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ustomProperty20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olatileDependencies.xml" ContentType="application/vnd.openxmlformats-officedocument.spreadsheetml.volatileDependenc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firmwide.corp.gs.com\irroot\projects\hk\gc_tech_telco\GC Tech\0 Published Model\Client version\"/>
    </mc:Choice>
  </mc:AlternateContent>
  <xr:revisionPtr revIDLastSave="0" documentId="13_ncr:1_{46DDFCAD-80FF-4062-A4ED-C84AF1146DD5}" xr6:coauthVersionLast="47" xr6:coauthVersionMax="47" xr10:uidLastSave="{00000000-0000-0000-0000-000000000000}"/>
  <bookViews>
    <workbookView xWindow="28800" yWindow="0" windowWidth="28800" windowHeight="23400" xr2:uid="{47CB905B-A24F-44C3-A8E6-340AAE1670C5}"/>
  </bookViews>
  <sheets>
    <sheet name="Cover Page" sheetId="110" r:id="rId1"/>
    <sheet name="TP" sheetId="161" r:id="rId2"/>
    <sheet name="BS" sheetId="168" r:id="rId3"/>
    <sheet name="PL" sheetId="167" r:id="rId4"/>
    <sheet name="CF" sheetId="169" r:id="rId5"/>
    <sheet name="Assumption" sheetId="178" r:id="rId6"/>
    <sheet name="Annual" sheetId="171" state="hidden" r:id="rId7"/>
    <sheet name="Quarter" sheetId="170" state="hidden" r:id="rId8"/>
    <sheet name="Segment" sheetId="186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A_ALL_000050.SZ">#REF!</definedName>
    <definedName name="A_ALL_000413.SZ">'[1]000413.SZ_Annotation_Sheet'!$A$1:$BH$278</definedName>
    <definedName name="A_ALL_000725.SZ" localSheetId="0">'[2]000725.SZ_Annotation_Sheet'!$A$1:$BE$278</definedName>
    <definedName name="A_ALL_000725.SZ">'[2]000725.SZ_Annotation_Sheet'!$A$1:$BE$278</definedName>
    <definedName name="A_ALL_002371.SZ">#REF!</definedName>
    <definedName name="A_ALL_002415.SZ">#REF!</definedName>
    <definedName name="A_ALL_002415.SZ_">#REF!</definedName>
    <definedName name="A_ALL_002456.SZ">'[3]002456.SZ_Annotation_Sheet'!$A$1:$AF$225</definedName>
    <definedName name="A_ALL_002876.SZ">#REF!</definedName>
    <definedName name="A_ALL_600584.SS">#REF!</definedName>
    <definedName name="A_ALL_600699.SS">'[4]600699.SS_Annotation_Sheet'!$A$1:$AG$225</definedName>
    <definedName name="A_ALL_603986.SS">#REF!</definedName>
    <definedName name="A_ALL_6088.HK">'[5]6088.HK_Annotation_Sheet'!$A$1:$AF$287</definedName>
    <definedName name="A_ALL_6415.TW">'[6]6415.TW_Annotation_Sheet'!$A$1:$BZ$286</definedName>
    <definedName name="A_ALL_688256.SS">#REF!</definedName>
    <definedName name="A_ALL_KEYWORDS_TYPE_ScalarContributed_EQTY_200011172">'[7]000422.SZ_Annotation_Sheet'!$261:$281,'[7]000422.SZ_Annotation_Sheet'!$320:$322</definedName>
    <definedName name="A_ALL_KEYWORDS_TYPE_ScalarContributed_EQTY_200012735">'[8]002405.SZ_Annotation_Sheet'!$215:$235,'[8]002405.SZ_Annotation_Sheet'!$275:$277</definedName>
    <definedName name="A_ALL_KEYWORDS_TYPE_ScalarContributed_EQTY_200012909">'[9]300002.SZ_Annotation_Sheet'!$218:$239,'[9]300002.SZ_Annotation_Sheet'!$279:$281</definedName>
    <definedName name="A_ALL_KEYWORDS_TYPE_ScalarContributed_EQTY_200012913">'[10]002230.SZ_Annotation_Sheet'!$215:$237,'[10]002230.SZ_Annotation_Sheet'!$277:$279</definedName>
    <definedName name="A_ALL_KEYWORDS_TYPE_ScalarContributed_EQTY_200016087">'[11]002236.SZ_Annotation_Sheet'!$223:$242,'[11]002236.SZ_Annotation_Sheet'!$282:$284</definedName>
    <definedName name="A_ALL_KEYWORDS_TYPE_ScalarContributed_EQTY_200019558" localSheetId="0">'[12]000050.SZ_Annotation_Sheet'!$276:$278,'[12]000050.SZ_Annotation_Sheet'!$215:$236</definedName>
    <definedName name="A_ALL_KEYWORDS_TYPE_ScalarContributed_EQTY_200019558">'[13]000050.SZ_Annotation_Sheet'!$276:$278,'[13]000050.SZ_Annotation_Sheet'!$215:$236</definedName>
    <definedName name="A_ALL_KEYWORDS_TYPE_ScalarContributed_EQTY_200019559">#REF!,#REF!</definedName>
    <definedName name="A_ALL_KEYWORDS_TYPE_ScalarContributed_EQTY_200021805">#REF!,#REF!,#REF!</definedName>
    <definedName name="A_ALL_KEYWORDS_TYPE_ScalarContributed_ISSR_208013036">#REF!,#REF!</definedName>
    <definedName name="A_ALL_KEYWORDS_TYPE_ScalarContributed_ISSR_208019322">'[14]603501.SS_Annotation_Sheet'!$9:$9,'[14]603501.SS_Annotation_Sheet'!$40:$40</definedName>
    <definedName name="A_ALL_KEYWORDS_TYPE_Vector_EQTY_200011172">'[7]000422.SZ_Annotation_Sheet'!$283:$294,'[7]000422.SZ_Annotation_Sheet'!$296:$311,'[7]000422.SZ_Annotation_Sheet'!$313:$314,'[7]000422.SZ_Annotation_Sheet'!$316:$316,'[7]000422.SZ_Annotation_Sheet'!$318:$318</definedName>
    <definedName name="A_ALL_KEYWORDS_TYPE_Vector_EQTY_200012735">'[8]002405.SZ_Annotation_Sheet'!$251:$266,'[8]002405.SZ_Annotation_Sheet'!$268:$269,'[8]002405.SZ_Annotation_Sheet'!$271:$271,'[8]002405.SZ_Annotation_Sheet'!$273:$273,'[8]002405.SZ_Annotation_Sheet'!$237:$249</definedName>
    <definedName name="A_ALL_KEYWORDS_TYPE_Vector_EQTY_200012909">'[9]300002.SZ_Annotation_Sheet'!$255:$270,'[9]300002.SZ_Annotation_Sheet'!$272:$273,'[9]300002.SZ_Annotation_Sheet'!$275:$275,'[9]300002.SZ_Annotation_Sheet'!$277:$277,'[9]300002.SZ_Annotation_Sheet'!$241:$253</definedName>
    <definedName name="A_ALL_KEYWORDS_TYPE_Vector_EQTY_200012913">'[10]002230.SZ_Annotation_Sheet'!$253:$268,'[10]002230.SZ_Annotation_Sheet'!$270:$271,'[10]002230.SZ_Annotation_Sheet'!$273:$273,'[10]002230.SZ_Annotation_Sheet'!$275:$275,'[10]002230.SZ_Annotation_Sheet'!$239:$251</definedName>
    <definedName name="A_ALL_KEYWORDS_TYPE_Vector_EQTY_200016087">'[11]002236.SZ_Annotation_Sheet'!$258:$273,'[11]002236.SZ_Annotation_Sheet'!$275:$276,'[11]002236.SZ_Annotation_Sheet'!$278:$278,'[11]002236.SZ_Annotation_Sheet'!$280:$280,'[11]002236.SZ_Annotation_Sheet'!$244:$256</definedName>
    <definedName name="A_ALL_KEYWORDS_TYPE_Vector_EQTY_200016088">#REF!,#REF!,#REF!,#REF!,#REF!</definedName>
    <definedName name="A_ALL_KEYWORDS_TYPE_Vector_EQTY_200018245">'[15]600570.SS_Annotation_Sheet'!$255:$270,'[15]600570.SS_Annotation_Sheet'!$272:$273,'[15]600570.SS_Annotation_Sheet'!$275:$275,'[15]600570.SS_Annotation_Sheet'!$277:$277,'[15]600570.SS_Annotation_Sheet'!$241:$253</definedName>
    <definedName name="A_ALL_KEYWORDS_TYPE_Vector_EQTY_200020296">'[14]603501.SS_Annotation_Sheet'!$269:$284,'[14]603501.SS_Annotation_Sheet'!$286:$287,'[14]603501.SS_Annotation_Sheet'!$289:$289,'[14]603501.SS_Annotation_Sheet'!$291:$291,'[14]603501.SS_Annotation_Sheet'!$253:$267</definedName>
    <definedName name="A_ALL_KEYWORDS_TYPE_Vector_ISSR_208006410" localSheetId="0">'[16]000725.SZ_Annotation_Sheet'!$2:$3,'[16]000725.SZ_Annotation_Sheet'!$11:$30,'[16]000725.SZ_Annotation_Sheet'!$32:$37,'[16]000725.SZ_Annotation_Sheet'!$39:$66,'[16]000725.SZ_Annotation_Sheet'!$72:$84,'[16]000725.SZ_Annotation_Sheet'!$86:$101,'[16]000725.SZ_Annotation_Sheet'!$103:$113,'[16]000725.SZ_Annotation_Sheet'!$115:$115,'[16]000725.SZ_Annotation_Sheet'!$176:$182,'[16]000725.SZ_Annotation_Sheet'!$184:$194,'[16]000725.SZ_Annotation_Sheet'!$118:$173</definedName>
    <definedName name="A_ALL_KEYWORDS_TYPE_Vector_ISSR_208006410">'[2]000725.SZ_Annotation_Sheet'!$2:$3,'[2]000725.SZ_Annotation_Sheet'!$11:$30,'[2]000725.SZ_Annotation_Sheet'!$32:$37,'[2]000725.SZ_Annotation_Sheet'!$39:$66,'[2]000725.SZ_Annotation_Sheet'!$72:$84,'[2]000725.SZ_Annotation_Sheet'!$86:$101,'[2]000725.SZ_Annotation_Sheet'!$103:$113,'[2]000725.SZ_Annotation_Sheet'!$115:$115,'[2]000725.SZ_Annotation_Sheet'!$176:$182,'[2]000725.SZ_Annotation_Sheet'!$184:$194,'[2]000725.SZ_Annotation_Sheet'!$118:$173</definedName>
    <definedName name="A_ALL_KEYWORDS_TYPE_Vector_ISSR_208008548">'[7]000422.SZ_Annotation_Sheet'!$2:$3,'[7]000422.SZ_Annotation_Sheet'!$9:$28,'[7]000422.SZ_Annotation_Sheet'!$30:$35,'[7]000422.SZ_Annotation_Sheet'!$37:$64,'[7]000422.SZ_Annotation_Sheet'!$66:$78,'[7]000422.SZ_Annotation_Sheet'!$80:$95,'[7]000422.SZ_Annotation_Sheet'!$97:$107,'[7]000422.SZ_Annotation_Sheet'!$109:$109,'[7]000422.SZ_Annotation_Sheet'!$111:$112,'[7]000422.SZ_Annotation_Sheet'!$114:$118,'[7]000422.SZ_Annotation_Sheet'!$148:$149,'[7]000422.SZ_Annotation_Sheet'!$135:$145,'[7]000422.SZ_Annotation_Sheet'!$187:$190,'[7]000422.SZ_Annotation_Sheet'!$242:$251,'[7]000422.SZ_Annotation_Sheet'!$195:$216,'[7]000422.SZ_Annotation_Sheet'!$218:$240</definedName>
    <definedName name="A_ALL_KEYWORDS_TYPE_Vector_ISSR_208009698">'[8]002405.SZ_Annotation_Sheet'!$2:$3,'[8]002405.SZ_Annotation_Sheet'!$9:$28,'[8]002405.SZ_Annotation_Sheet'!$30:$35,'[8]002405.SZ_Annotation_Sheet'!$37:$64,'[8]002405.SZ_Annotation_Sheet'!$66:$78,'[8]002405.SZ_Annotation_Sheet'!$80:$95,'[8]002405.SZ_Annotation_Sheet'!$97:$107,'[8]002405.SZ_Annotation_Sheet'!$109:$109,'[8]002405.SZ_Annotation_Sheet'!$111:$112,'[8]002405.SZ_Annotation_Sheet'!$114:$118,'[8]002405.SZ_Annotation_Sheet'!$135:$144,'[8]002405.SZ_Annotation_Sheet'!$148:$149,'[8]002405.SZ_Annotation_Sheet'!$187:$189,'[8]002405.SZ_Annotation_Sheet'!$205:$205</definedName>
    <definedName name="A_ALL_KEYWORDS_TYPE_Vector_ISSR_208009912">'[9]300002.SZ_Annotation_Sheet'!$2:$3,'[9]300002.SZ_Annotation_Sheet'!$9:$28,'[9]300002.SZ_Annotation_Sheet'!$30:$35,'[9]300002.SZ_Annotation_Sheet'!$37:$64,'[9]300002.SZ_Annotation_Sheet'!$66:$78,'[9]300002.SZ_Annotation_Sheet'!$80:$95,'[9]300002.SZ_Annotation_Sheet'!$97:$107,'[9]300002.SZ_Annotation_Sheet'!$109:$109,'[9]300002.SZ_Annotation_Sheet'!$111:$112,'[9]300002.SZ_Annotation_Sheet'!$114:$118,'[9]300002.SZ_Annotation_Sheet'!$148:$149,'[9]300002.SZ_Annotation_Sheet'!$135:$145,'[9]300002.SZ_Annotation_Sheet'!$187:$190,'[9]300002.SZ_Annotation_Sheet'!$198:$208,'[9]300002.SZ_Annotation_Sheet'!$195:$196</definedName>
    <definedName name="A_ALL_KEYWORDS_TYPE_Vector_ISSR_208009916">'[10]002230.SZ_Annotation_Sheet'!$2:$3,'[10]002230.SZ_Annotation_Sheet'!$9:$28,'[10]002230.SZ_Annotation_Sheet'!$30:$35,'[10]002230.SZ_Annotation_Sheet'!$37:$64,'[10]002230.SZ_Annotation_Sheet'!$66:$78,'[10]002230.SZ_Annotation_Sheet'!$80:$95,'[10]002230.SZ_Annotation_Sheet'!$97:$107,'[10]002230.SZ_Annotation_Sheet'!$109:$109,'[10]002230.SZ_Annotation_Sheet'!$111:$112,'[10]002230.SZ_Annotation_Sheet'!$114:$118,'[10]002230.SZ_Annotation_Sheet'!$135:$144,'[10]002230.SZ_Annotation_Sheet'!$148:$149,'[10]002230.SZ_Annotation_Sheet'!$187:$189,'[10]002230.SZ_Annotation_Sheet'!$205:$205</definedName>
    <definedName name="A_ALL_KEYWORDS_TYPE_Vector_ISSR_208011603">'[17]002449.SZ_Annotation_Sheet'!$2:$3,'[17]002449.SZ_Annotation_Sheet'!$11:$30,'[17]002449.SZ_Annotation_Sheet'!$32:$37,'[17]002449.SZ_Annotation_Sheet'!$39:$66,'[17]002449.SZ_Annotation_Sheet'!$72:$84,'[17]002449.SZ_Annotation_Sheet'!$86:$101,'[17]002449.SZ_Annotation_Sheet'!$103:$113,'[17]002449.SZ_Annotation_Sheet'!$115:$115,'[17]002449.SZ_Annotation_Sheet'!$176:$182,'[17]002449.SZ_Annotation_Sheet'!$184:$194,'[17]002449.SZ_Annotation_Sheet'!$118:$173</definedName>
    <definedName name="A_ALL_KEYWORDS_TYPE_Vector_ISSR_208013035">'[11]002236.SZ_Annotation_Sheet'!$2:$3,'[11]002236.SZ_Annotation_Sheet'!$9:$28,'[11]002236.SZ_Annotation_Sheet'!$30:$35,'[11]002236.SZ_Annotation_Sheet'!$37:$64,'[11]002236.SZ_Annotation_Sheet'!$66:$78,'[11]002236.SZ_Annotation_Sheet'!$80:$95,'[11]002236.SZ_Annotation_Sheet'!$97:$107,'[11]002236.SZ_Annotation_Sheet'!$109:$109,'[11]002236.SZ_Annotation_Sheet'!$111:$112,'[11]002236.SZ_Annotation_Sheet'!$114:$118,'[11]002236.SZ_Annotation_Sheet'!$148:$149,'[11]002236.SZ_Annotation_Sheet'!$135:$145,'[11]002236.SZ_Annotation_Sheet'!$187:$190,'[11]002236.SZ_Annotation_Sheet'!$203:$213,'[11]002236.SZ_Annotation_Sheet'!$195:$201</definedName>
    <definedName name="A_ALL_KEYWORDS_TYPE_Vector_ISSR_208013036">#REF!,#REF!,#REF!,#REF!,#REF!,#REF!,#REF!,#REF!,#REF!,#REF!,#REF!,#REF!,#REF!,#REF!</definedName>
    <definedName name="A_ALL_KEYWORDS_TYPE_Vector_ISSR_208015997">'[15]600570.SS_Annotation_Sheet'!$2:$3,'[15]600570.SS_Annotation_Sheet'!$11:$30,'[15]600570.SS_Annotation_Sheet'!$32:$37,'[15]600570.SS_Annotation_Sheet'!$39:$66,'[15]600570.SS_Annotation_Sheet'!$68:$80,'[15]600570.SS_Annotation_Sheet'!$82:$97,'[15]600570.SS_Annotation_Sheet'!$99:$109,'[15]600570.SS_Annotation_Sheet'!$111:$111,'[15]600570.SS_Annotation_Sheet'!$113:$114,'[15]600570.SS_Annotation_Sheet'!$116:$120,'[15]600570.SS_Annotation_Sheet'!$137:$146,'[15]600570.SS_Annotation_Sheet'!$150:$151,'[15]600570.SS_Annotation_Sheet'!$189:$191,'[15]600570.SS_Annotation_Sheet'!$207:$207</definedName>
    <definedName name="A_ALL_KEYWORDS_TYPE_Vector_ISSR_208018057">#REF!,#REF!,#REF!,#REF!,#REF!,#REF!,#REF!,#REF!,#REF!,#REF!,#REF!</definedName>
    <definedName name="A_ALL_KEYWORDS_TYPE_Vector_ISSR_208019322">'[14]603501.SS_Annotation_Sheet'!$2:$3,'[14]603501.SS_Annotation_Sheet'!$11:$30,'[14]603501.SS_Annotation_Sheet'!$32:$37,'[14]603501.SS_Annotation_Sheet'!$42:$71,'[14]603501.SS_Annotation_Sheet'!$73:$89,'[14]603501.SS_Annotation_Sheet'!$92:$108,'[14]603501.SS_Annotation_Sheet'!$110:$120,'[14]603501.SS_Annotation_Sheet'!$122:$122,'[14]603501.SS_Annotation_Sheet'!$124:$181,'[14]603501.SS_Annotation_Sheet'!$199:$209,'[14]603501.SS_Annotation_Sheet'!$211:$220,'[14]603501.SS_Annotation_Sheet'!$183:$197</definedName>
    <definedName name="A_ALL_KEYWORDS_TYPE_Vector_ISSR_208019500">'[18]300782.SZ_Annotation_Sheet'!$2:$3,'[18]300782.SZ_Annotation_Sheet'!$11:$30,'[18]300782.SZ_Annotation_Sheet'!$32:$39,'[18]300782.SZ_Annotation_Sheet'!$42:$71,'[18]300782.SZ_Annotation_Sheet'!$73:$90,'[18]300782.SZ_Annotation_Sheet'!$92:$108,'[18]300782.SZ_Annotation_Sheet'!$110:$120,'[18]300782.SZ_Annotation_Sheet'!$122:$122,'[18]300782.SZ_Annotation_Sheet'!$124:$181,'[18]300782.SZ_Annotation_Sheet'!$183:$184,'[18]300782.SZ_Annotation_Sheet'!$196:$206,'[18]300782.SZ_Annotation_Sheet'!$208:$217,'[18]300782.SZ_Annotation_Sheet'!$194:$194</definedName>
    <definedName name="A_ALL_KEYWORDS_TYPE_Vector_ISSR_208021308">#REF!,#REF!,#REF!,#REF!,#REF!,#REF!,#REF!,#REF!,#REF!,#REF!,#REF!,#REF!,#REF!</definedName>
    <definedName name="A_ALL_SECTION_KEYWORDS_EQTY_200016088_13K">#REF!</definedName>
    <definedName name="A_ALL_SECTION_KEYWORDS_EQTY_200019559_13A">#REF!</definedName>
    <definedName name="A_ALL_SECTION_KEYWORDS_EQTY_200021805_13A">#REF!</definedName>
    <definedName name="A_ALL_SECTION_KEYWORDS_ISSR_208006410_136E" localSheetId="0">'[16]000725.SZ_Annotation_Sheet'!$C$196,'[16]000725.SZ_Annotation_Sheet'!$C$205</definedName>
    <definedName name="A_ALL_SECTION_KEYWORDS_ISSR_208006410_136E">'[2]000725.SZ_Annotation_Sheet'!$C$196,'[2]000725.SZ_Annotation_Sheet'!$C$205</definedName>
    <definedName name="A_ALL_SECTION_KEYWORDS_ISSR_208009698_1316U">'[8]002405.SZ_Annotation_Sheet'!$C$195,'[8]002405.SZ_Annotation_Sheet'!$C$205</definedName>
    <definedName name="A_ALL_SECTION_KEYWORDS_ISSR_208009916_1316U">'[10]002230.SZ_Annotation_Sheet'!$C$195,'[10]002230.SZ_Annotation_Sheet'!$C$205</definedName>
    <definedName name="A_ALL_SECTION_KEYWORDS_ISSR_208011603_136E">'[17]002449.SZ_Annotation_Sheet'!$C$196,'[17]002449.SZ_Annotation_Sheet'!$C$205</definedName>
    <definedName name="A_ALL_SECTION_KEYWORDS_ISSR_208013036_1314">#REF!</definedName>
    <definedName name="A_ALL_SECTION_KEYWORDS_ISSR_208013036_13168">#REF!</definedName>
    <definedName name="A_ALL_SECTION_KEYWORDS_ISSR_208013036_1319">#REF!</definedName>
    <definedName name="A_ALL_SECTION_KEYWORDS_ISSR_208013036_131E">#REF!</definedName>
    <definedName name="A_ALL_SECTION_KEYWORDS_ISSR_208013036_136E">#REF!,#REF!</definedName>
    <definedName name="A_ALL_SECTION_KEYWORDS_ISSR_208013036_13V">#REF!,#REF!</definedName>
    <definedName name="A_ALL_SECTION_KEYWORDS_ISSR_208015997_1316U">'[15]600570.SS_Annotation_Sheet'!$C$197,'[15]600570.SS_Annotation_Sheet'!$C$207</definedName>
    <definedName name="A_ALL_SECTION_KEYWORDS_ISSR_208018057_136E">#REF!,#REF!</definedName>
    <definedName name="A_ALL_SECTION_KEYWORDS_ISSR_208019322_13V">'[14]603501.SS_Annotation_Sheet'!$C$32:$C$37,'[14]603501.SS_Annotation_Sheet'!$C$40</definedName>
    <definedName name="A_ALL_SECTION_KEYWORDS_ISSR_208021308_1316T">#REF!</definedName>
    <definedName name="A_ALL_SECTIONS_EQTY_200011172">'[7]000422.SZ_Annotation_Sheet'!$253:$253,'[7]000422.SZ_Annotation_Sheet'!$260:$260,'[7]000422.SZ_Annotation_Sheet'!$282:$282,'[7]000422.SZ_Annotation_Sheet'!$295:$295,'[7]000422.SZ_Annotation_Sheet'!$312:$312,'[7]000422.SZ_Annotation_Sheet'!$315:$315,'[7]000422.SZ_Annotation_Sheet'!$317:$317,'[7]000422.SZ_Annotation_Sheet'!$319:$319</definedName>
    <definedName name="A_ALL_SECTIONS_EQTY_200012735">'[8]002405.SZ_Annotation_Sheet'!$207:$207,'[8]002405.SZ_Annotation_Sheet'!$214:$214,'[8]002405.SZ_Annotation_Sheet'!$236:$236,'[8]002405.SZ_Annotation_Sheet'!$250:$250,'[8]002405.SZ_Annotation_Sheet'!$267:$267,'[8]002405.SZ_Annotation_Sheet'!$270:$270,'[8]002405.SZ_Annotation_Sheet'!$272:$272,'[8]002405.SZ_Annotation_Sheet'!$274:$274</definedName>
    <definedName name="A_ALL_SECTIONS_EQTY_200012909">'[9]300002.SZ_Annotation_Sheet'!$210:$210,'[9]300002.SZ_Annotation_Sheet'!$217:$217,'[9]300002.SZ_Annotation_Sheet'!$240:$240,'[9]300002.SZ_Annotation_Sheet'!$254:$254,'[9]300002.SZ_Annotation_Sheet'!$271:$271,'[9]300002.SZ_Annotation_Sheet'!$274:$274,'[9]300002.SZ_Annotation_Sheet'!$276:$276,'[9]300002.SZ_Annotation_Sheet'!$278:$278</definedName>
    <definedName name="A_ALL_SECTIONS_EQTY_200012913">'[10]002230.SZ_Annotation_Sheet'!$207:$207,'[10]002230.SZ_Annotation_Sheet'!$214:$214,'[10]002230.SZ_Annotation_Sheet'!$238:$238,'[10]002230.SZ_Annotation_Sheet'!$252:$252,'[10]002230.SZ_Annotation_Sheet'!$269:$269,'[10]002230.SZ_Annotation_Sheet'!$272:$272,'[10]002230.SZ_Annotation_Sheet'!$274:$274,'[10]002230.SZ_Annotation_Sheet'!$276:$276</definedName>
    <definedName name="A_ALL_SECTIONS_EQTY_200016087">'[11]002236.SZ_Annotation_Sheet'!$215:$215,'[11]002236.SZ_Annotation_Sheet'!$222:$222,'[11]002236.SZ_Annotation_Sheet'!$243:$243,'[11]002236.SZ_Annotation_Sheet'!$257:$257,'[11]002236.SZ_Annotation_Sheet'!$274:$274,'[11]002236.SZ_Annotation_Sheet'!$277:$277,'[11]002236.SZ_Annotation_Sheet'!$279:$279,'[11]002236.SZ_Annotation_Sheet'!$281:$281</definedName>
    <definedName name="A_ALL_SECTIONS_EQTY_200018245">'[15]600570.SS_Annotation_Sheet'!$209:$209,'[15]600570.SS_Annotation_Sheet'!$216:$216,'[15]600570.SS_Annotation_Sheet'!$240:$240,'[15]600570.SS_Annotation_Sheet'!$254:$254,'[15]600570.SS_Annotation_Sheet'!$271:$271,'[15]600570.SS_Annotation_Sheet'!$274:$274,'[15]600570.SS_Annotation_Sheet'!$276:$276,'[15]600570.SS_Annotation_Sheet'!$278:$278</definedName>
    <definedName name="A_ALL_SECTIONS_ISSR_208008548">'[7]000422.SZ_Annotation_Sheet'!$5:$5,'[7]000422.SZ_Annotation_Sheet'!$8:$8,'[7]000422.SZ_Annotation_Sheet'!$29:$29,'[7]000422.SZ_Annotation_Sheet'!$36:$36,'[7]000422.SZ_Annotation_Sheet'!$65:$65,'[7]000422.SZ_Annotation_Sheet'!$79:$79,'[7]000422.SZ_Annotation_Sheet'!$96:$96,'[7]000422.SZ_Annotation_Sheet'!$108:$108,'[7]000422.SZ_Annotation_Sheet'!$110:$110,'[7]000422.SZ_Annotation_Sheet'!$194:$241</definedName>
    <definedName name="A_ALL_SECTIONS_ISSR_208009698">'[8]002405.SZ_Annotation_Sheet'!$5:$5,'[8]002405.SZ_Annotation_Sheet'!$8:$8,'[8]002405.SZ_Annotation_Sheet'!$29:$29,'[8]002405.SZ_Annotation_Sheet'!$36:$36,'[8]002405.SZ_Annotation_Sheet'!$65:$65,'[8]002405.SZ_Annotation_Sheet'!$79:$79,'[8]002405.SZ_Annotation_Sheet'!$96:$96,'[8]002405.SZ_Annotation_Sheet'!$108:$108,'[8]002405.SZ_Annotation_Sheet'!$110:$110</definedName>
    <definedName name="A_ALL_SECTIONS_ISSR_208009912">'[9]300002.SZ_Annotation_Sheet'!$5:$5,'[9]300002.SZ_Annotation_Sheet'!$8:$8,'[9]300002.SZ_Annotation_Sheet'!$29:$29,'[9]300002.SZ_Annotation_Sheet'!$36:$36,'[9]300002.SZ_Annotation_Sheet'!$65:$65,'[9]300002.SZ_Annotation_Sheet'!$79:$79,'[9]300002.SZ_Annotation_Sheet'!$96:$96,'[9]300002.SZ_Annotation_Sheet'!$108:$108,'[9]300002.SZ_Annotation_Sheet'!$110:$110,'[9]300002.SZ_Annotation_Sheet'!$194:$197</definedName>
    <definedName name="A_ALL_SECTIONS_ISSR_208009916">'[10]002230.SZ_Annotation_Sheet'!$5:$5,'[10]002230.SZ_Annotation_Sheet'!$8:$8,'[10]002230.SZ_Annotation_Sheet'!$29:$29,'[10]002230.SZ_Annotation_Sheet'!$36:$36,'[10]002230.SZ_Annotation_Sheet'!$65:$65,'[10]002230.SZ_Annotation_Sheet'!$79:$79,'[10]002230.SZ_Annotation_Sheet'!$96:$96,'[10]002230.SZ_Annotation_Sheet'!$108:$108,'[10]002230.SZ_Annotation_Sheet'!$110:$110</definedName>
    <definedName name="A_ALL_SECTIONS_ISSR_208013035">'[11]002236.SZ_Annotation_Sheet'!$5:$5,'[11]002236.SZ_Annotation_Sheet'!$8:$8,'[11]002236.SZ_Annotation_Sheet'!$29:$29,'[11]002236.SZ_Annotation_Sheet'!$36:$36,'[11]002236.SZ_Annotation_Sheet'!$65:$65,'[11]002236.SZ_Annotation_Sheet'!$79:$79,'[11]002236.SZ_Annotation_Sheet'!$96:$96,'[11]002236.SZ_Annotation_Sheet'!$108:$108,'[11]002236.SZ_Annotation_Sheet'!$110:$110,'[11]002236.SZ_Annotation_Sheet'!$194:$202</definedName>
    <definedName name="ASP" localSheetId="0">[2]Sensitivity!$C$3</definedName>
    <definedName name="ASP">[2]Sensitivity!$C$3</definedName>
    <definedName name="DATES">#REF!</definedName>
    <definedName name="DES">#REF!</definedName>
    <definedName name="E_ALL_000050.SZ" localSheetId="0">'[19]000050.SZ_Exchange_Sheet'!$A$1:$BE$276</definedName>
    <definedName name="E_ALL_000050.SZ">#REF!</definedName>
    <definedName name="E_ALL_000063.SZ">'[20]000063.SZ_Exchange_Sheet'!$A$1:$AQ$370</definedName>
    <definedName name="E_ALL_000413.SZ">'[1]000413.SZ_Exchange_Sheet'!$A$1:$BH$278</definedName>
    <definedName name="E_ALL_000422.SZ">'[7]000422.SZ_Exchange_Sheet'!$A$1:$BY$322</definedName>
    <definedName name="E_ALL_000725.SZ" localSheetId="0">'[2]000725.SZ_Exchange_Sheet'!$A$1:$BE$278</definedName>
    <definedName name="E_ALL_000725.SZ">'[2]000725.SZ_Exchange_Sheet'!$A$1:$BE$276</definedName>
    <definedName name="E_ALL_002153.SZ">'[21]002153.SZ_Exchange_Sheet'!$A$1:$AN$225</definedName>
    <definedName name="E_ALL_002230.SZ">'[22]002230.SZ_Exchange_Sheet'!$A$1:$BX$279</definedName>
    <definedName name="E_ALL_002236.SZ">'[11]002236.SZ_Exchange_Sheet'!$A$1:$AO$284</definedName>
    <definedName name="E_ALL_002261.SZ">'[23]002261.SZ_Exchange_Sheet'!$A$1:$AR$263</definedName>
    <definedName name="E_ALL_002371.SZ">#REF!</definedName>
    <definedName name="E_ALL_002405.SZ">'[8]002405.SZ_Exchange_Sheet'!$A$1:$BD$277</definedName>
    <definedName name="E_ALL_002415.SZ">#REF!</definedName>
    <definedName name="E_ALL_002449.SZ">#REF!</definedName>
    <definedName name="E_ALL_002456.SZ">'[3]002456.SZ_Exchange_Sheet'!$A$1:$AF$225</definedName>
    <definedName name="E_ALL_002876.SZ">#REF!</definedName>
    <definedName name="E_ALL_300002.SZ">'[9]300002.SZ_Exchange_Sheet'!$A$1:$BD$281</definedName>
    <definedName name="E_ALL_300782.SZ">'[24]002439.SZ_Exchange_Sheet'!$A$1:$AN$292</definedName>
    <definedName name="E_ALL_600271.SS">'[25]600271.SS_Exchange_Sheet'!$A$1:$AM$225</definedName>
    <definedName name="E_ALL_600570.SS">'[15]600570.SS_Exchange_Sheet'!$A$1:$BH$281</definedName>
    <definedName name="E_ALL_600584.SS">#REF!</definedName>
    <definedName name="E_ALL_600699.SS">'[4]600699.SS_Exchange_Sheet'!$A$1:$AG$225</definedName>
    <definedName name="E_ALL_600703.SS">'[26]600703.SS_Exchange_Sheet'!$A$1:$BB$295</definedName>
    <definedName name="E_ALL_603501.SS">'[14]603501.SS_Exchange_Sheet'!$A$1:$AU$295</definedName>
    <definedName name="E_ALL_603986.SS">#REF!</definedName>
    <definedName name="E_ALL_6088.HK">'[5]6088.HK_Exchange_Sheet'!$A$1:$AF$287</definedName>
    <definedName name="E_ALL_6415.TW">#REF!</definedName>
    <definedName name="E_ALL_688256.SS">#REF!</definedName>
    <definedName name="E_ALL_KEYWORDS_TYPE_ScalarContributed_EQTY_200011172">'[7]000422.SZ_Exchange_Sheet'!$261:$281,'[7]000422.SZ_Exchange_Sheet'!$320:$322</definedName>
    <definedName name="E_ALL_KEYWORDS_TYPE_ScalarContributed_EQTY_200012735">'[8]002405.SZ_Exchange_Sheet'!$215:$235,'[8]002405.SZ_Exchange_Sheet'!$275:$277</definedName>
    <definedName name="E_ALL_KEYWORDS_TYPE_ScalarContributed_EQTY_200012909">'[9]300002.SZ_Exchange_Sheet'!$218:$239,'[9]300002.SZ_Exchange_Sheet'!$279:$281</definedName>
    <definedName name="E_ALL_KEYWORDS_TYPE_ScalarContributed_EQTY_200012913">'[10]002230.SZ_Exchange_Sheet'!$215:$237,'[10]002230.SZ_Exchange_Sheet'!$277:$279</definedName>
    <definedName name="E_ALL_KEYWORDS_TYPE_ScalarContributed_EQTY_200016087">'[11]002236.SZ_Exchange_Sheet'!$223:$242,'[11]002236.SZ_Exchange_Sheet'!$282:$284</definedName>
    <definedName name="E_ALL_KEYWORDS_TYPE_ScalarContributed_EQTY_200019558" localSheetId="0">'[12]000050.SZ_Exchange_Sheet'!$276:$278,'[12]000050.SZ_Exchange_Sheet'!$215:$236</definedName>
    <definedName name="E_ALL_KEYWORDS_TYPE_ScalarContributed_EQTY_200019558">'[13]000050.SZ_Exchange_Sheet'!$276:$278,'[13]000050.SZ_Exchange_Sheet'!$215:$236</definedName>
    <definedName name="E_ALL_KEYWORDS_TYPE_ScalarContributed_EQTY_200019559">#REF!,#REF!</definedName>
    <definedName name="E_ALL_KEYWORDS_TYPE_ScalarContributed_ISSR_208017814">'[14]603501.SS_Exchange_Sheet'!$9:$9,'[14]603501.SS_Exchange_Sheet'!$40:$40</definedName>
    <definedName name="E_ALL_KEYWORDS_TYPE_Vector_EQTY_200011172">'[7]000422.SZ_Exchange_Sheet'!$283:$294,'[7]000422.SZ_Exchange_Sheet'!$296:$311,'[7]000422.SZ_Exchange_Sheet'!$313:$314,'[7]000422.SZ_Exchange_Sheet'!$316:$316,'[7]000422.SZ_Exchange_Sheet'!$318:$318</definedName>
    <definedName name="E_ALL_KEYWORDS_TYPE_Vector_EQTY_200012735">'[8]002405.SZ_Exchange_Sheet'!$251:$266,'[8]002405.SZ_Exchange_Sheet'!$268:$269,'[8]002405.SZ_Exchange_Sheet'!$271:$271,'[8]002405.SZ_Exchange_Sheet'!$273:$273,'[8]002405.SZ_Exchange_Sheet'!$237:$249</definedName>
    <definedName name="E_ALL_KEYWORDS_TYPE_Vector_EQTY_200012909">'[9]300002.SZ_Exchange_Sheet'!$255:$270,'[9]300002.SZ_Exchange_Sheet'!$272:$273,'[9]300002.SZ_Exchange_Sheet'!$275:$275,'[9]300002.SZ_Exchange_Sheet'!$277:$277,'[9]300002.SZ_Exchange_Sheet'!$241:$253</definedName>
    <definedName name="E_ALL_KEYWORDS_TYPE_Vector_EQTY_200012913">'[10]002230.SZ_Exchange_Sheet'!$253:$268,'[10]002230.SZ_Exchange_Sheet'!$270:$271,'[10]002230.SZ_Exchange_Sheet'!$273:$273,'[10]002230.SZ_Exchange_Sheet'!$275:$275,'[10]002230.SZ_Exchange_Sheet'!$239:$251</definedName>
    <definedName name="E_ALL_KEYWORDS_TYPE_Vector_EQTY_200016087">'[11]002236.SZ_Exchange_Sheet'!$258:$273,'[11]002236.SZ_Exchange_Sheet'!$275:$276,'[11]002236.SZ_Exchange_Sheet'!$278:$278,'[11]002236.SZ_Exchange_Sheet'!$280:$280,'[11]002236.SZ_Exchange_Sheet'!$244:$256</definedName>
    <definedName name="E_ALL_KEYWORDS_TYPE_Vector_EQTY_200018245">'[15]600570.SS_Exchange_Sheet'!$255:$270,'[15]600570.SS_Exchange_Sheet'!$272:$273,'[15]600570.SS_Exchange_Sheet'!$275:$275,'[15]600570.SS_Exchange_Sheet'!$277:$277,'[15]600570.SS_Exchange_Sheet'!$241:$253</definedName>
    <definedName name="E_ALL_KEYWORDS_TYPE_Vector_EQTY_200019399">'[14]603501.SS_Exchange_Sheet'!$269:$284,'[14]603501.SS_Exchange_Sheet'!$286:$287,'[14]603501.SS_Exchange_Sheet'!$289:$289,'[14]603501.SS_Exchange_Sheet'!$291:$291,'[14]603501.SS_Exchange_Sheet'!$253:$267</definedName>
    <definedName name="E_ALL_KEYWORDS_TYPE_Vector_ISSR_208008548">'[7]000422.SZ_Exchange_Sheet'!$2:$3,'[7]000422.SZ_Exchange_Sheet'!$9:$28,'[7]000422.SZ_Exchange_Sheet'!$30:$35,'[7]000422.SZ_Exchange_Sheet'!$37:$64,'[7]000422.SZ_Exchange_Sheet'!$66:$78,'[7]000422.SZ_Exchange_Sheet'!$80:$95,'[7]000422.SZ_Exchange_Sheet'!$97:$107,'[7]000422.SZ_Exchange_Sheet'!$109:$109,'[7]000422.SZ_Exchange_Sheet'!$111:$112,'[7]000422.SZ_Exchange_Sheet'!$114:$118,'[7]000422.SZ_Exchange_Sheet'!$148:$149,'[7]000422.SZ_Exchange_Sheet'!$135:$145,'[7]000422.SZ_Exchange_Sheet'!$187:$190,'[7]000422.SZ_Exchange_Sheet'!$242:$251,'[7]000422.SZ_Exchange_Sheet'!$195:$216,'[7]000422.SZ_Exchange_Sheet'!$218:$240</definedName>
    <definedName name="E_ALL_KEYWORDS_TYPE_Vector_ISSR_208009698">'[8]002405.SZ_Exchange_Sheet'!$2:$3,'[8]002405.SZ_Exchange_Sheet'!$9:$28,'[8]002405.SZ_Exchange_Sheet'!$30:$35,'[8]002405.SZ_Exchange_Sheet'!$37:$64,'[8]002405.SZ_Exchange_Sheet'!$66:$78,'[8]002405.SZ_Exchange_Sheet'!$80:$95,'[8]002405.SZ_Exchange_Sheet'!$97:$107,'[8]002405.SZ_Exchange_Sheet'!$109:$109,'[8]002405.SZ_Exchange_Sheet'!$111:$193</definedName>
    <definedName name="E_ALL_KEYWORDS_TYPE_Vector_ISSR_208009912">'[9]300002.SZ_Exchange_Sheet'!$2:$3,'[9]300002.SZ_Exchange_Sheet'!$9:$28,'[9]300002.SZ_Exchange_Sheet'!$30:$35,'[9]300002.SZ_Exchange_Sheet'!$37:$64,'[9]300002.SZ_Exchange_Sheet'!$66:$78,'[9]300002.SZ_Exchange_Sheet'!$80:$95,'[9]300002.SZ_Exchange_Sheet'!$97:$107,'[9]300002.SZ_Exchange_Sheet'!$109:$109,'[9]300002.SZ_Exchange_Sheet'!$111:$112,'[9]300002.SZ_Exchange_Sheet'!$114:$118,'[9]300002.SZ_Exchange_Sheet'!$148:$149,'[9]300002.SZ_Exchange_Sheet'!$135:$145,'[9]300002.SZ_Exchange_Sheet'!$187:$190,'[9]300002.SZ_Exchange_Sheet'!$198:$208,'[9]300002.SZ_Exchange_Sheet'!$195:$196</definedName>
    <definedName name="E_ALL_KEYWORDS_TYPE_Vector_ISSR_208009916">'[10]002230.SZ_Exchange_Sheet'!$2:$3,'[10]002230.SZ_Exchange_Sheet'!$9:$28,'[10]002230.SZ_Exchange_Sheet'!$30:$35,'[10]002230.SZ_Exchange_Sheet'!$37:$64,'[10]002230.SZ_Exchange_Sheet'!$66:$78,'[10]002230.SZ_Exchange_Sheet'!$80:$95,'[10]002230.SZ_Exchange_Sheet'!$97:$107,'[10]002230.SZ_Exchange_Sheet'!$109:$109,'[10]002230.SZ_Exchange_Sheet'!$111:$193</definedName>
    <definedName name="E_ALL_KEYWORDS_TYPE_Vector_ISSR_208013035">'[11]002236.SZ_Exchange_Sheet'!$2:$3,'[11]002236.SZ_Exchange_Sheet'!$9:$28,'[11]002236.SZ_Exchange_Sheet'!$30:$35,'[11]002236.SZ_Exchange_Sheet'!$37:$64,'[11]002236.SZ_Exchange_Sheet'!$66:$78,'[11]002236.SZ_Exchange_Sheet'!$80:$95,'[11]002236.SZ_Exchange_Sheet'!$97:$107,'[11]002236.SZ_Exchange_Sheet'!$109:$109,'[11]002236.SZ_Exchange_Sheet'!$111:$112,'[11]002236.SZ_Exchange_Sheet'!$114:$118,'[11]002236.SZ_Exchange_Sheet'!$148:$149,'[11]002236.SZ_Exchange_Sheet'!$135:$145,'[11]002236.SZ_Exchange_Sheet'!$187:$190,'[11]002236.SZ_Exchange_Sheet'!$203:$213,'[11]002236.SZ_Exchange_Sheet'!$195:$201</definedName>
    <definedName name="E_ALL_KEYWORDS_TYPE_Vector_ISSR_208017814">'[14]603501.SS_Exchange_Sheet'!$2:$3,'[14]603501.SS_Exchange_Sheet'!$11:$30,'[14]603501.SS_Exchange_Sheet'!$32:$37,'[14]603501.SS_Exchange_Sheet'!$42:$71,'[14]603501.SS_Exchange_Sheet'!$73:$89,'[14]603501.SS_Exchange_Sheet'!$92:$108,'[14]603501.SS_Exchange_Sheet'!$110:$120,'[14]603501.SS_Exchange_Sheet'!$122:$122,'[14]603501.SS_Exchange_Sheet'!$124:$181,'[14]603501.SS_Exchange_Sheet'!$183:$197,'[14]603501.SS_Exchange_Sheet'!$199:$209,'[14]603501.SS_Exchange_Sheet'!$211:$220,'[14]603501.SS_Exchange_Sheet'!$39:$39</definedName>
    <definedName name="E_ALL_SECTION_KEYWORDS_EQTY_200019559_13A">#REF!</definedName>
    <definedName name="E_ALL_SECTION_KEYWORDS_ISSR_208017814_13V">'[14]603501.SS_Exchange_Sheet'!$C$32:$C$37,'[14]603501.SS_Exchange_Sheet'!$C$40</definedName>
    <definedName name="E_ALL_SECTIONS_EQTY_200011172">'[7]000422.SZ_Exchange_Sheet'!$253:$253,'[7]000422.SZ_Exchange_Sheet'!$260:$260,'[7]000422.SZ_Exchange_Sheet'!$282:$282,'[7]000422.SZ_Exchange_Sheet'!$295:$295,'[7]000422.SZ_Exchange_Sheet'!$312:$312,'[7]000422.SZ_Exchange_Sheet'!$315:$315,'[7]000422.SZ_Exchange_Sheet'!$317:$317,'[7]000422.SZ_Exchange_Sheet'!$319:$319</definedName>
    <definedName name="E_ALL_SECTIONS_EQTY_200012735">'[8]002405.SZ_Exchange_Sheet'!$207:$207,'[8]002405.SZ_Exchange_Sheet'!$214:$214,'[8]002405.SZ_Exchange_Sheet'!$236:$236,'[8]002405.SZ_Exchange_Sheet'!$250:$250,'[8]002405.SZ_Exchange_Sheet'!$267:$267,'[8]002405.SZ_Exchange_Sheet'!$270:$270,'[8]002405.SZ_Exchange_Sheet'!$272:$272,'[8]002405.SZ_Exchange_Sheet'!$274:$274</definedName>
    <definedName name="E_ALL_SECTIONS_EQTY_200012909">'[9]300002.SZ_Exchange_Sheet'!$210:$210,'[9]300002.SZ_Exchange_Sheet'!$217:$217,'[9]300002.SZ_Exchange_Sheet'!$240:$240,'[9]300002.SZ_Exchange_Sheet'!$254:$254,'[9]300002.SZ_Exchange_Sheet'!$271:$271,'[9]300002.SZ_Exchange_Sheet'!$274:$274,'[9]300002.SZ_Exchange_Sheet'!$276:$276,'[9]300002.SZ_Exchange_Sheet'!$278:$278</definedName>
    <definedName name="E_ALL_SECTIONS_EQTY_200012913">'[10]002230.SZ_Exchange_Sheet'!$207:$207,'[10]002230.SZ_Exchange_Sheet'!$214:$214,'[10]002230.SZ_Exchange_Sheet'!$238:$238,'[10]002230.SZ_Exchange_Sheet'!$252:$252,'[10]002230.SZ_Exchange_Sheet'!$269:$269,'[10]002230.SZ_Exchange_Sheet'!$272:$272,'[10]002230.SZ_Exchange_Sheet'!$274:$274,'[10]002230.SZ_Exchange_Sheet'!$276:$276</definedName>
    <definedName name="E_ALL_SECTIONS_EQTY_200016087">'[11]002236.SZ_Exchange_Sheet'!$215:$215,'[11]002236.SZ_Exchange_Sheet'!$222:$222,'[11]002236.SZ_Exchange_Sheet'!$243:$243,'[11]002236.SZ_Exchange_Sheet'!$257:$257,'[11]002236.SZ_Exchange_Sheet'!$274:$274,'[11]002236.SZ_Exchange_Sheet'!$277:$277,'[11]002236.SZ_Exchange_Sheet'!$279:$279,'[11]002236.SZ_Exchange_Sheet'!$281:$281</definedName>
    <definedName name="E_ALL_SECTIONS_EQTY_200018245">'[15]600570.SS_Exchange_Sheet'!$209:$209,'[15]600570.SS_Exchange_Sheet'!$216:$216,'[15]600570.SS_Exchange_Sheet'!$240:$240,'[15]600570.SS_Exchange_Sheet'!$254:$254,'[15]600570.SS_Exchange_Sheet'!$271:$271,'[15]600570.SS_Exchange_Sheet'!$274:$274,'[15]600570.SS_Exchange_Sheet'!$276:$276,'[15]600570.SS_Exchange_Sheet'!$278:$278</definedName>
    <definedName name="E_ALL_SECTIONS_ISSR_208008548">'[7]000422.SZ_Exchange_Sheet'!$5:$5,'[7]000422.SZ_Exchange_Sheet'!$8:$8,'[7]000422.SZ_Exchange_Sheet'!$29:$29,'[7]000422.SZ_Exchange_Sheet'!$36:$36,'[7]000422.SZ_Exchange_Sheet'!$65:$65,'[7]000422.SZ_Exchange_Sheet'!$79:$79,'[7]000422.SZ_Exchange_Sheet'!$96:$96,'[7]000422.SZ_Exchange_Sheet'!$108:$108,'[7]000422.SZ_Exchange_Sheet'!$110:$110,'[7]000422.SZ_Exchange_Sheet'!$194:$241</definedName>
    <definedName name="E_ALL_SECTIONS_ISSR_208009698">'[8]002405.SZ_Exchange_Sheet'!$5:$5,'[8]002405.SZ_Exchange_Sheet'!$8:$8,'[8]002405.SZ_Exchange_Sheet'!$29:$29,'[8]002405.SZ_Exchange_Sheet'!$36:$36,'[8]002405.SZ_Exchange_Sheet'!$65:$65,'[8]002405.SZ_Exchange_Sheet'!$79:$79,'[8]002405.SZ_Exchange_Sheet'!$96:$96,'[8]002405.SZ_Exchange_Sheet'!$108:$108,'[8]002405.SZ_Exchange_Sheet'!$110:$110</definedName>
    <definedName name="E_ALL_SECTIONS_ISSR_208009912">'[9]300002.SZ_Exchange_Sheet'!$5:$5,'[9]300002.SZ_Exchange_Sheet'!$8:$8,'[9]300002.SZ_Exchange_Sheet'!$29:$29,'[9]300002.SZ_Exchange_Sheet'!$36:$36,'[9]300002.SZ_Exchange_Sheet'!$65:$65,'[9]300002.SZ_Exchange_Sheet'!$79:$79,'[9]300002.SZ_Exchange_Sheet'!$96:$96,'[9]300002.SZ_Exchange_Sheet'!$108:$108,'[9]300002.SZ_Exchange_Sheet'!$110:$110,'[9]300002.SZ_Exchange_Sheet'!$194:$197</definedName>
    <definedName name="E_ALL_SECTIONS_ISSR_208009916">'[10]002230.SZ_Exchange_Sheet'!$5:$5,'[10]002230.SZ_Exchange_Sheet'!$8:$8,'[10]002230.SZ_Exchange_Sheet'!$29:$29,'[10]002230.SZ_Exchange_Sheet'!$36:$36,'[10]002230.SZ_Exchange_Sheet'!$65:$65,'[10]002230.SZ_Exchange_Sheet'!$79:$79,'[10]002230.SZ_Exchange_Sheet'!$96:$96,'[10]002230.SZ_Exchange_Sheet'!$108:$108,'[10]002230.SZ_Exchange_Sheet'!$110:$110</definedName>
    <definedName name="E_ALL_SECTIONS_ISSR_208013035">'[11]002236.SZ_Exchange_Sheet'!$5:$5,'[11]002236.SZ_Exchange_Sheet'!$8:$8,'[11]002236.SZ_Exchange_Sheet'!$29:$29,'[11]002236.SZ_Exchange_Sheet'!$36:$36,'[11]002236.SZ_Exchange_Sheet'!$65:$65,'[11]002236.SZ_Exchange_Sheet'!$79:$79,'[11]002236.SZ_Exchange_Sheet'!$96:$96,'[11]002236.SZ_Exchange_Sheet'!$108:$108,'[11]002236.SZ_Exchange_Sheet'!$110:$110,'[11]002236.SZ_Exchange_Sheet'!$194:$202</definedName>
    <definedName name="E_CURRENCY_EQTY_200011172_PRI">'[7]000422.SZ_Exchange_Sheet'!$E$258</definedName>
    <definedName name="E_CURRENCY_EQTY_200011172_PUB">'[7]000422.SZ_Exchange_Sheet'!$E$257</definedName>
    <definedName name="E_CURRENCY_EQTY_200011172_REP">'[7]000422.SZ_Exchange_Sheet'!$E$259</definedName>
    <definedName name="E_CURRENCY_EQTY_200012735_PRI">'[8]002405.SZ_Exchange_Sheet'!$E$212</definedName>
    <definedName name="E_CURRENCY_EQTY_200012735_PUB">'[8]002405.SZ_Exchange_Sheet'!$E$211</definedName>
    <definedName name="E_CURRENCY_EQTY_200012735_REP">'[8]002405.SZ_Exchange_Sheet'!$E$213</definedName>
    <definedName name="E_CURRENCY_EQTY_200012909_PRI">'[9]300002.SZ_Exchange_Sheet'!$E$215</definedName>
    <definedName name="E_CURRENCY_EQTY_200012909_PUB">'[9]300002.SZ_Exchange_Sheet'!$E$214</definedName>
    <definedName name="E_CURRENCY_EQTY_200012909_REP">'[9]300002.SZ_Exchange_Sheet'!$E$216</definedName>
    <definedName name="E_CURRENCY_EQTY_200012913_PRI">'[10]002230.SZ_Exchange_Sheet'!$E$212</definedName>
    <definedName name="E_CURRENCY_EQTY_200012913_PUB">'[10]002230.SZ_Exchange_Sheet'!$E$211</definedName>
    <definedName name="E_CURRENCY_EQTY_200012913_REP">'[10]002230.SZ_Exchange_Sheet'!$E$213</definedName>
    <definedName name="E_CURRENCY_EQTY_200016087_PRI">'[11]002236.SZ_Exchange_Sheet'!$E$220</definedName>
    <definedName name="E_CURRENCY_EQTY_200016087_PUB">'[11]002236.SZ_Exchange_Sheet'!$E$219</definedName>
    <definedName name="E_CURRENCY_EQTY_200016087_REP">'[11]002236.SZ_Exchange_Sheet'!$E$221</definedName>
    <definedName name="E_CURRENCY_EQTY_200018245_PRI">'[15]600570.SS_Exchange_Sheet'!$E$214</definedName>
    <definedName name="E_CURRENCY_EQTY_200018245_PUB">'[15]600570.SS_Exchange_Sheet'!$E$213</definedName>
    <definedName name="E_CURRENCY_EQTY_200018245_REP">'[15]600570.SS_Exchange_Sheet'!$E$215</definedName>
    <definedName name="E_CURRENCY_ISSR_208008548_REP">'[7]000422.SZ_Exchange_Sheet'!$E$7</definedName>
    <definedName name="E_CURRENCY_ISSR_208009698_REP">'[8]002405.SZ_Exchange_Sheet'!$E$7</definedName>
    <definedName name="E_CURRENCY_ISSR_208009912_REP">'[9]300002.SZ_Exchange_Sheet'!$E$7</definedName>
    <definedName name="E_CURRENCY_ISSR_208009916_REP">'[10]002230.SZ_Exchange_Sheet'!$E$7</definedName>
    <definedName name="E_CURRENCY_ISSR_208013035_REP">'[11]002236.SZ_Exchange_Sheet'!$E$7</definedName>
    <definedName name="E_CURRENCY_ISSR_208015997_REP">'[15]600570.SS_Exchange_Sheet'!$E$7</definedName>
    <definedName name="IDS">#REF!</definedName>
    <definedName name="L_ALL_000050.SZ" localSheetId="0">'[19]000050.SZ_Live_Sheet'!$A$1:$BE$276</definedName>
    <definedName name="L_ALL_000050.SZ">#REF!</definedName>
    <definedName name="L_ALL_000063.SZ">'[20]000063.SZ_Live_Sheet'!$A$1:$AQ$370</definedName>
    <definedName name="L_ALL_000413.SZ">'[1]000413.SZ_Live_Sheet'!$A$1:$BH$278</definedName>
    <definedName name="L_ALL_000422.SZ">'[7]000422.SZ_Live_Sheet'!$A$1:$BY$322</definedName>
    <definedName name="L_ALL_000725.SZ" localSheetId="0">'[2]000725.SZ_Live_Sheet'!$A$1:$BE$278</definedName>
    <definedName name="L_ALL_000725.SZ">'[2]000725.SZ_Live_Sheet'!$A$1:$BE$276</definedName>
    <definedName name="L_ALL_002153.SZ">'[21]002153.SZ_Live_Sheet'!$A$1:$AN$225</definedName>
    <definedName name="L_ALL_002230.SZ">'[22]002230.SZ_Live_Sheet'!$A$1:$BX$279</definedName>
    <definedName name="L_ALL_002236.SZ">'[11]002236.SZ_Live_Sheet'!$A$1:$AO$284</definedName>
    <definedName name="L_ALL_002261.SZ">'[23]002261.SZ_Live_Sheet'!$A$1:$AR$261</definedName>
    <definedName name="L_ALL_002371.SZ">#REF!</definedName>
    <definedName name="L_ALL_002405.SZ">'[8]002405.SZ_Live_Sheet'!$A$1:$BD$277</definedName>
    <definedName name="L_ALL_002415.SZ">#REF!</definedName>
    <definedName name="L_ALL_002415.SZ_">#REF!</definedName>
    <definedName name="L_ALL_002449.SZ">'[17]002449.SZ_Live_Sheet'!$A$1:$BD$276</definedName>
    <definedName name="L_ALL_002456.SZ">'[3]002456.SZ_Live_Sheet'!$A$1:$AF$225</definedName>
    <definedName name="L_ALL_002876.SZ">#REF!</definedName>
    <definedName name="L_ALL_300002.SZ">'[9]300002.SZ_Live_Sheet'!$A$1:$BD$281</definedName>
    <definedName name="L_ALL_300782.SZ">'[24]002439.SZ_Live_Sheet'!$A$1:$AN$292</definedName>
    <definedName name="L_ALL_600271.SS">'[25]600271.SS_Live_Sheet'!$A$1:$AM$225</definedName>
    <definedName name="L_ALL_600570.SS">'[15]600570.SS_Live_Sheet'!$A$1:$BH$281</definedName>
    <definedName name="L_ALL_600584.SS">#REF!</definedName>
    <definedName name="L_ALL_600699.SS">'[4]600699.SS_Live_Sheet'!$A$1:$AG$225</definedName>
    <definedName name="L_ALL_600703.SS">'[26]600703.SS_Live_Sheet'!$A$1:$BB$295</definedName>
    <definedName name="L_ALL_603501.SS">'[14]603501.SS_Live_Sheet'!$A$1:$AU$295</definedName>
    <definedName name="L_ALL_603986.SS">#REF!</definedName>
    <definedName name="L_ALL_6088.HK">'[5]6088.HK_Live_Sheet'!$A$1:$AF$287</definedName>
    <definedName name="L_ALL_6415.TW">'[6]6415.TW_Live_Sheet'!$A$1:$BZ$286</definedName>
    <definedName name="L_ALL_688256.SS">#REF!</definedName>
    <definedName name="L_ALL_KEYWORDS_TYPE_ScalarContributed_EQTY_200011172">'[7]000422.SZ_Live_Sheet'!$261:$281,'[7]000422.SZ_Live_Sheet'!$320:$322</definedName>
    <definedName name="L_ALL_KEYWORDS_TYPE_ScalarContributed_EQTY_200012735">'[8]002405.SZ_Live_Sheet'!$215:$235,'[8]002405.SZ_Live_Sheet'!$275:$277</definedName>
    <definedName name="L_ALL_KEYWORDS_TYPE_ScalarContributed_EQTY_200012909">'[9]300002.SZ_Live_Sheet'!$218:$239,'[9]300002.SZ_Live_Sheet'!$279:$281</definedName>
    <definedName name="L_ALL_KEYWORDS_TYPE_ScalarContributed_EQTY_200012913">'[10]002230.SZ_Live_Sheet'!$215:$237,'[10]002230.SZ_Live_Sheet'!$277:$279</definedName>
    <definedName name="L_ALL_KEYWORDS_TYPE_ScalarContributed_EQTY_200016087">'[11]002236.SZ_Live_Sheet'!$223:$242,'[11]002236.SZ_Live_Sheet'!$282:$284</definedName>
    <definedName name="L_ALL_KEYWORDS_TYPE_ScalarContributed_EQTY_200019558" localSheetId="0">'[12]000050.SZ_Live_Sheet'!$276:$278,'[12]000050.SZ_Live_Sheet'!$215:$236</definedName>
    <definedName name="L_ALL_KEYWORDS_TYPE_ScalarContributed_EQTY_200019558">'[13]000050.SZ_Live_Sheet'!$276:$278,'[13]000050.SZ_Live_Sheet'!$215:$236</definedName>
    <definedName name="L_ALL_KEYWORDS_TYPE_ScalarContributed_EQTY_200019559">#REF!,#REF!</definedName>
    <definedName name="L_ALL_KEYWORDS_TYPE_ScalarContributed_EQTY_200021805">#REF!,#REF!,#REF!</definedName>
    <definedName name="L_ALL_KEYWORDS_TYPE_ScalarContributed_ISSR_208013036">#REF!,#REF!</definedName>
    <definedName name="L_ALL_KEYWORDS_TYPE_ScalarContributed_ISSR_208019322">'[14]603501.SS_Live_Sheet'!$9:$9,'[14]603501.SS_Live_Sheet'!$40:$40</definedName>
    <definedName name="L_ALL_KEYWORDS_TYPE_Vector_EQTY_200011172">'[7]000422.SZ_Live_Sheet'!$283:$294,'[7]000422.SZ_Live_Sheet'!$296:$311,'[7]000422.SZ_Live_Sheet'!$313:$314,'[7]000422.SZ_Live_Sheet'!$316:$316,'[7]000422.SZ_Live_Sheet'!$318:$318</definedName>
    <definedName name="L_ALL_KEYWORDS_TYPE_Vector_EQTY_200012735">'[8]002405.SZ_Live_Sheet'!$251:$266,'[8]002405.SZ_Live_Sheet'!$268:$269,'[8]002405.SZ_Live_Sheet'!$271:$271,'[8]002405.SZ_Live_Sheet'!$273:$273,'[8]002405.SZ_Live_Sheet'!$237:$249</definedName>
    <definedName name="L_ALL_KEYWORDS_TYPE_Vector_EQTY_200012909">'[9]300002.SZ_Live_Sheet'!$255:$270,'[9]300002.SZ_Live_Sheet'!$272:$273,'[9]300002.SZ_Live_Sheet'!$275:$275,'[9]300002.SZ_Live_Sheet'!$277:$277,'[9]300002.SZ_Live_Sheet'!$241:$253</definedName>
    <definedName name="L_ALL_KEYWORDS_TYPE_Vector_EQTY_200012913">'[10]002230.SZ_Live_Sheet'!$253:$268,'[10]002230.SZ_Live_Sheet'!$270:$271,'[10]002230.SZ_Live_Sheet'!$273:$273,'[10]002230.SZ_Live_Sheet'!$275:$275,'[10]002230.SZ_Live_Sheet'!$239:$251</definedName>
    <definedName name="L_ALL_KEYWORDS_TYPE_Vector_EQTY_200016087">'[11]002236.SZ_Live_Sheet'!$258:$273,'[11]002236.SZ_Live_Sheet'!$275:$276,'[11]002236.SZ_Live_Sheet'!$278:$278,'[11]002236.SZ_Live_Sheet'!$280:$280,'[11]002236.SZ_Live_Sheet'!$244:$256</definedName>
    <definedName name="L_ALL_KEYWORDS_TYPE_Vector_EQTY_200016088">#REF!,#REF!,#REF!,#REF!,#REF!</definedName>
    <definedName name="L_ALL_KEYWORDS_TYPE_Vector_EQTY_200018245">'[15]600570.SS_Live_Sheet'!$255:$270,'[15]600570.SS_Live_Sheet'!$272:$273,'[15]600570.SS_Live_Sheet'!$275:$275,'[15]600570.SS_Live_Sheet'!$277:$277,'[15]600570.SS_Live_Sheet'!$241:$253</definedName>
    <definedName name="L_ALL_KEYWORDS_TYPE_Vector_EQTY_200020296">'[14]603501.SS_Live_Sheet'!$269:$284,'[14]603501.SS_Live_Sheet'!$286:$287,'[14]603501.SS_Live_Sheet'!$289:$289,'[14]603501.SS_Live_Sheet'!$291:$291,'[14]603501.SS_Live_Sheet'!$253:$267</definedName>
    <definedName name="L_ALL_KEYWORDS_TYPE_Vector_ISSR_208006410" localSheetId="0">'[16]000725.SZ_Live_Sheet'!$2:$3,'[16]000725.SZ_Live_Sheet'!$11:$30,'[16]000725.SZ_Live_Sheet'!$32:$37,'[16]000725.SZ_Live_Sheet'!$39:$66,'[16]000725.SZ_Live_Sheet'!$72:$84,'[16]000725.SZ_Live_Sheet'!$86:$101,'[16]000725.SZ_Live_Sheet'!$103:$113,'[16]000725.SZ_Live_Sheet'!$115:$115,'[16]000725.SZ_Live_Sheet'!$176:$182,'[16]000725.SZ_Live_Sheet'!$184:$194,'[16]000725.SZ_Live_Sheet'!$118:$173</definedName>
    <definedName name="L_ALL_KEYWORDS_TYPE_Vector_ISSR_208006410">'[2]000725.SZ_Live_Sheet'!$2:$3,'[2]000725.SZ_Live_Sheet'!$11:$30,'[2]000725.SZ_Live_Sheet'!$32:$37,'[2]000725.SZ_Live_Sheet'!$39:$66,'[2]000725.SZ_Live_Sheet'!$72:$84,'[2]000725.SZ_Live_Sheet'!$86:$101,'[2]000725.SZ_Live_Sheet'!$103:$113,'[2]000725.SZ_Live_Sheet'!$115:$115,'[2]000725.SZ_Live_Sheet'!$176:$182,'[2]000725.SZ_Live_Sheet'!$184:$194,'[2]000725.SZ_Live_Sheet'!$118:$173</definedName>
    <definedName name="L_ALL_KEYWORDS_TYPE_Vector_ISSR_208008548">'[7]000422.SZ_Live_Sheet'!$2:$3,'[7]000422.SZ_Live_Sheet'!$9:$28,'[7]000422.SZ_Live_Sheet'!$30:$35,'[7]000422.SZ_Live_Sheet'!$37:$64,'[7]000422.SZ_Live_Sheet'!$66:$78,'[7]000422.SZ_Live_Sheet'!$80:$95,'[7]000422.SZ_Live_Sheet'!$97:$107,'[7]000422.SZ_Live_Sheet'!$109:$109,'[7]000422.SZ_Live_Sheet'!$111:$112,'[7]000422.SZ_Live_Sheet'!$114:$118,'[7]000422.SZ_Live_Sheet'!$148:$149,'[7]000422.SZ_Live_Sheet'!$135:$145,'[7]000422.SZ_Live_Sheet'!$187:$190,'[7]000422.SZ_Live_Sheet'!$242:$251,'[7]000422.SZ_Live_Sheet'!$195:$216,'[7]000422.SZ_Live_Sheet'!$218:$240</definedName>
    <definedName name="L_ALL_KEYWORDS_TYPE_Vector_ISSR_208009698">'[8]002405.SZ_Live_Sheet'!$2:$3,'[8]002405.SZ_Live_Sheet'!$9:$28,'[8]002405.SZ_Live_Sheet'!$30:$35,'[8]002405.SZ_Live_Sheet'!$37:$64,'[8]002405.SZ_Live_Sheet'!$66:$78,'[8]002405.SZ_Live_Sheet'!$80:$95,'[8]002405.SZ_Live_Sheet'!$97:$107,'[8]002405.SZ_Live_Sheet'!$109:$109,'[8]002405.SZ_Live_Sheet'!$111:$112,'[8]002405.SZ_Live_Sheet'!$114:$118,'[8]002405.SZ_Live_Sheet'!$135:$144,'[8]002405.SZ_Live_Sheet'!$148:$149,'[8]002405.SZ_Live_Sheet'!$187:$189,'[8]002405.SZ_Live_Sheet'!$205:$205</definedName>
    <definedName name="L_ALL_KEYWORDS_TYPE_Vector_ISSR_208009912">'[9]300002.SZ_Live_Sheet'!$2:$3,'[9]300002.SZ_Live_Sheet'!$9:$28,'[9]300002.SZ_Live_Sheet'!$30:$35,'[9]300002.SZ_Live_Sheet'!$37:$64,'[9]300002.SZ_Live_Sheet'!$66:$78,'[9]300002.SZ_Live_Sheet'!$80:$95,'[9]300002.SZ_Live_Sheet'!$97:$107,'[9]300002.SZ_Live_Sheet'!$109:$109,'[9]300002.SZ_Live_Sheet'!$111:$112,'[9]300002.SZ_Live_Sheet'!$114:$118,'[9]300002.SZ_Live_Sheet'!$148:$149,'[9]300002.SZ_Live_Sheet'!$135:$145,'[9]300002.SZ_Live_Sheet'!$187:$190,'[9]300002.SZ_Live_Sheet'!$198:$208,'[9]300002.SZ_Live_Sheet'!$195:$196</definedName>
    <definedName name="L_ALL_KEYWORDS_TYPE_Vector_ISSR_208009916">'[10]002230.SZ_Live_Sheet'!$2:$3,'[10]002230.SZ_Live_Sheet'!$9:$28,'[10]002230.SZ_Live_Sheet'!$30:$35,'[10]002230.SZ_Live_Sheet'!$37:$64,'[10]002230.SZ_Live_Sheet'!$66:$78,'[10]002230.SZ_Live_Sheet'!$80:$95,'[10]002230.SZ_Live_Sheet'!$97:$107,'[10]002230.SZ_Live_Sheet'!$109:$109,'[10]002230.SZ_Live_Sheet'!$111:$112,'[10]002230.SZ_Live_Sheet'!$114:$118,'[10]002230.SZ_Live_Sheet'!$135:$144,'[10]002230.SZ_Live_Sheet'!$148:$149,'[10]002230.SZ_Live_Sheet'!$187:$189,'[10]002230.SZ_Live_Sheet'!$205:$205</definedName>
    <definedName name="L_ALL_KEYWORDS_TYPE_Vector_ISSR_208011603">'[17]002449.SZ_Live_Sheet'!$2:$3,'[17]002449.SZ_Live_Sheet'!$11:$30,'[17]002449.SZ_Live_Sheet'!$32:$37,'[17]002449.SZ_Live_Sheet'!$39:$66,'[17]002449.SZ_Live_Sheet'!$72:$84,'[17]002449.SZ_Live_Sheet'!$86:$101,'[17]002449.SZ_Live_Sheet'!$103:$113,'[17]002449.SZ_Live_Sheet'!$115:$115,'[17]002449.SZ_Live_Sheet'!$176:$182,'[17]002449.SZ_Live_Sheet'!$184:$194,'[17]002449.SZ_Live_Sheet'!$118:$173</definedName>
    <definedName name="L_ALL_KEYWORDS_TYPE_Vector_ISSR_208013035">'[11]002236.SZ_Live_Sheet'!$2:$3,'[11]002236.SZ_Live_Sheet'!$9:$28,'[11]002236.SZ_Live_Sheet'!$30:$35,'[11]002236.SZ_Live_Sheet'!$37:$64,'[11]002236.SZ_Live_Sheet'!$66:$78,'[11]002236.SZ_Live_Sheet'!$80:$95,'[11]002236.SZ_Live_Sheet'!$97:$107,'[11]002236.SZ_Live_Sheet'!$109:$109,'[11]002236.SZ_Live_Sheet'!$111:$112,'[11]002236.SZ_Live_Sheet'!$114:$118,'[11]002236.SZ_Live_Sheet'!$148:$149,'[11]002236.SZ_Live_Sheet'!$135:$145,'[11]002236.SZ_Live_Sheet'!$187:$190,'[11]002236.SZ_Live_Sheet'!$203:$213,'[11]002236.SZ_Live_Sheet'!$195:$201</definedName>
    <definedName name="L_ALL_KEYWORDS_TYPE_Vector_ISSR_208013036">#REF!,#REF!,#REF!,#REF!,#REF!,#REF!,#REF!,#REF!,#REF!,#REF!,#REF!,#REF!,#REF!,#REF!</definedName>
    <definedName name="L_ALL_KEYWORDS_TYPE_Vector_ISSR_208015997">'[15]600570.SS_Live_Sheet'!$2:$3,'[15]600570.SS_Live_Sheet'!$11:$30,'[15]600570.SS_Live_Sheet'!$32:$37,'[15]600570.SS_Live_Sheet'!$39:$66,'[15]600570.SS_Live_Sheet'!$68:$80,'[15]600570.SS_Live_Sheet'!$82:$97,'[15]600570.SS_Live_Sheet'!$99:$109,'[15]600570.SS_Live_Sheet'!$111:$111,'[15]600570.SS_Live_Sheet'!$113:$114,'[15]600570.SS_Live_Sheet'!$116:$120,'[15]600570.SS_Live_Sheet'!$137:$146,'[15]600570.SS_Live_Sheet'!$150:$151,'[15]600570.SS_Live_Sheet'!$189:$191,'[15]600570.SS_Live_Sheet'!$207:$207</definedName>
    <definedName name="L_ALL_KEYWORDS_TYPE_Vector_ISSR_208018057">#REF!,#REF!,#REF!,#REF!,#REF!,#REF!,#REF!,#REF!,#REF!,#REF!,#REF!</definedName>
    <definedName name="L_ALL_KEYWORDS_TYPE_Vector_ISSR_208019322">'[14]603501.SS_Live_Sheet'!$2:$3,'[14]603501.SS_Live_Sheet'!$11:$30,'[14]603501.SS_Live_Sheet'!$32:$37,'[14]603501.SS_Live_Sheet'!$42:$71,'[14]603501.SS_Live_Sheet'!$73:$89,'[14]603501.SS_Live_Sheet'!$92:$108,'[14]603501.SS_Live_Sheet'!$110:$120,'[14]603501.SS_Live_Sheet'!$122:$122,'[14]603501.SS_Live_Sheet'!$124:$181,'[14]603501.SS_Live_Sheet'!$199:$209,'[14]603501.SS_Live_Sheet'!$211:$220,'[14]603501.SS_Live_Sheet'!$183:$197</definedName>
    <definedName name="L_ALL_KEYWORDS_TYPE_Vector_ISSR_208019500">'[18]300782.SZ_Live_Sheet'!$2:$3,'[18]300782.SZ_Live_Sheet'!$11:$30,'[18]300782.SZ_Live_Sheet'!$32:$39,'[18]300782.SZ_Live_Sheet'!$42:$71,'[18]300782.SZ_Live_Sheet'!$73:$90,'[18]300782.SZ_Live_Sheet'!$92:$108,'[18]300782.SZ_Live_Sheet'!$110:$120,'[18]300782.SZ_Live_Sheet'!$122:$122,'[18]300782.SZ_Live_Sheet'!$124:$181,'[18]300782.SZ_Live_Sheet'!$183:$184,'[18]300782.SZ_Live_Sheet'!$196:$206,'[18]300782.SZ_Live_Sheet'!$208:$217,'[18]300782.SZ_Live_Sheet'!$194:$194</definedName>
    <definedName name="L_ALL_KEYWORDS_TYPE_Vector_ISSR_208021308">#REF!,#REF!,#REF!,#REF!,#REF!,#REF!,#REF!,#REF!,#REF!,#REF!,#REF!,#REF!,#REF!</definedName>
    <definedName name="L_ALL_SECTION_KEYWORDS_EQTY_200016088_13K">#REF!</definedName>
    <definedName name="L_ALL_SECTION_KEYWORDS_EQTY_200019559_13A">#REF!</definedName>
    <definedName name="L_ALL_SECTION_KEYWORDS_EQTY_200021805_13A">#REF!</definedName>
    <definedName name="L_ALL_SECTION_KEYWORDS_ISSR_208006410_136E" localSheetId="0">'[16]000725.SZ_Live_Sheet'!$C$196,'[16]000725.SZ_Live_Sheet'!$C$205</definedName>
    <definedName name="L_ALL_SECTION_KEYWORDS_ISSR_208006410_136E">'[2]000725.SZ_Live_Sheet'!$C$196,'[2]000725.SZ_Live_Sheet'!$C$205</definedName>
    <definedName name="L_ALL_SECTION_KEYWORDS_ISSR_208009698_1316U">'[8]002405.SZ_Live_Sheet'!$C$195,'[8]002405.SZ_Live_Sheet'!$C$205</definedName>
    <definedName name="L_ALL_SECTION_KEYWORDS_ISSR_208009916_1316U">'[10]002230.SZ_Live_Sheet'!$C$195,'[10]002230.SZ_Live_Sheet'!$C$205</definedName>
    <definedName name="L_ALL_SECTION_KEYWORDS_ISSR_208011603_136E">'[17]002449.SZ_Live_Sheet'!$C$196,'[17]002449.SZ_Live_Sheet'!$C$205</definedName>
    <definedName name="L_ALL_SECTION_KEYWORDS_ISSR_208013036_1314">#REF!</definedName>
    <definedName name="L_ALL_SECTION_KEYWORDS_ISSR_208013036_13168">#REF!</definedName>
    <definedName name="L_ALL_SECTION_KEYWORDS_ISSR_208013036_1319">#REF!</definedName>
    <definedName name="L_ALL_SECTION_KEYWORDS_ISSR_208013036_131E">#REF!</definedName>
    <definedName name="L_ALL_SECTION_KEYWORDS_ISSR_208013036_136E">#REF!,#REF!</definedName>
    <definedName name="L_ALL_SECTION_KEYWORDS_ISSR_208013036_13V">#REF!,#REF!</definedName>
    <definedName name="L_ALL_SECTION_KEYWORDS_ISSR_208015997_1316U">'[15]600570.SS_Live_Sheet'!$C$197,'[15]600570.SS_Live_Sheet'!$C$207</definedName>
    <definedName name="L_ALL_SECTION_KEYWORDS_ISSR_208018057_136E">#REF!,#REF!</definedName>
    <definedName name="L_ALL_SECTION_KEYWORDS_ISSR_208019322_13V">'[14]603501.SS_Live_Sheet'!$C$32:$C$37,'[14]603501.SS_Live_Sheet'!$C$40</definedName>
    <definedName name="L_ALL_SECTION_KEYWORDS_ISSR_208021308_1316T">#REF!</definedName>
    <definedName name="L_ALL_SECTIONS_EQTY_200011172">'[7]000422.SZ_Live_Sheet'!$253:$253,'[7]000422.SZ_Live_Sheet'!$260:$260,'[7]000422.SZ_Live_Sheet'!$282:$282,'[7]000422.SZ_Live_Sheet'!$295:$295,'[7]000422.SZ_Live_Sheet'!$312:$312,'[7]000422.SZ_Live_Sheet'!$315:$315,'[7]000422.SZ_Live_Sheet'!$317:$317,'[7]000422.SZ_Live_Sheet'!$319:$319</definedName>
    <definedName name="L_ALL_SECTIONS_EQTY_200012735">'[8]002405.SZ_Live_Sheet'!$207:$207,'[8]002405.SZ_Live_Sheet'!$214:$214,'[8]002405.SZ_Live_Sheet'!$236:$236,'[8]002405.SZ_Live_Sheet'!$250:$250,'[8]002405.SZ_Live_Sheet'!$267:$267,'[8]002405.SZ_Live_Sheet'!$270:$270,'[8]002405.SZ_Live_Sheet'!$272:$272,'[8]002405.SZ_Live_Sheet'!$274:$274</definedName>
    <definedName name="L_ALL_SECTIONS_EQTY_200012909">'[9]300002.SZ_Live_Sheet'!$210:$210,'[9]300002.SZ_Live_Sheet'!$217:$217,'[9]300002.SZ_Live_Sheet'!$240:$240,'[9]300002.SZ_Live_Sheet'!$254:$254,'[9]300002.SZ_Live_Sheet'!$271:$271,'[9]300002.SZ_Live_Sheet'!$274:$274,'[9]300002.SZ_Live_Sheet'!$276:$276,'[9]300002.SZ_Live_Sheet'!$278:$278</definedName>
    <definedName name="L_ALL_SECTIONS_EQTY_200012913">'[10]002230.SZ_Live_Sheet'!$207:$207,'[10]002230.SZ_Live_Sheet'!$214:$214,'[10]002230.SZ_Live_Sheet'!$238:$238,'[10]002230.SZ_Live_Sheet'!$252:$252,'[10]002230.SZ_Live_Sheet'!$269:$269,'[10]002230.SZ_Live_Sheet'!$272:$272,'[10]002230.SZ_Live_Sheet'!$274:$274,'[10]002230.SZ_Live_Sheet'!$276:$276</definedName>
    <definedName name="L_ALL_SECTIONS_EQTY_200016087">'[11]002236.SZ_Live_Sheet'!$215:$215,'[11]002236.SZ_Live_Sheet'!$222:$222,'[11]002236.SZ_Live_Sheet'!$243:$243,'[11]002236.SZ_Live_Sheet'!$257:$257,'[11]002236.SZ_Live_Sheet'!$274:$274,'[11]002236.SZ_Live_Sheet'!$277:$277,'[11]002236.SZ_Live_Sheet'!$279:$279,'[11]002236.SZ_Live_Sheet'!$281:$281</definedName>
    <definedName name="L_ALL_SECTIONS_EQTY_200018245">'[15]600570.SS_Live_Sheet'!$209:$209,'[15]600570.SS_Live_Sheet'!$216:$216,'[15]600570.SS_Live_Sheet'!$240:$240,'[15]600570.SS_Live_Sheet'!$254:$254,'[15]600570.SS_Live_Sheet'!$271:$271,'[15]600570.SS_Live_Sheet'!$274:$274,'[15]600570.SS_Live_Sheet'!$276:$276,'[15]600570.SS_Live_Sheet'!$278:$278</definedName>
    <definedName name="L_ALL_SECTIONS_ISSR_208008548">'[7]000422.SZ_Live_Sheet'!$5:$5,'[7]000422.SZ_Live_Sheet'!$8:$8,'[7]000422.SZ_Live_Sheet'!$29:$29,'[7]000422.SZ_Live_Sheet'!$36:$36,'[7]000422.SZ_Live_Sheet'!$65:$65,'[7]000422.SZ_Live_Sheet'!$79:$79,'[7]000422.SZ_Live_Sheet'!$96:$96,'[7]000422.SZ_Live_Sheet'!$108:$108,'[7]000422.SZ_Live_Sheet'!$110:$110,'[7]000422.SZ_Live_Sheet'!$194:$241</definedName>
    <definedName name="L_ALL_SECTIONS_ISSR_208009698">'[8]002405.SZ_Live_Sheet'!$5:$5,'[8]002405.SZ_Live_Sheet'!$8:$8,'[8]002405.SZ_Live_Sheet'!$29:$29,'[8]002405.SZ_Live_Sheet'!$36:$36,'[8]002405.SZ_Live_Sheet'!$65:$65,'[8]002405.SZ_Live_Sheet'!$79:$79,'[8]002405.SZ_Live_Sheet'!$96:$96,'[8]002405.SZ_Live_Sheet'!$108:$108,'[8]002405.SZ_Live_Sheet'!$110:$110</definedName>
    <definedName name="L_ALL_SECTIONS_ISSR_208009912">'[9]300002.SZ_Live_Sheet'!$5:$5,'[9]300002.SZ_Live_Sheet'!$8:$8,'[9]300002.SZ_Live_Sheet'!$29:$29,'[9]300002.SZ_Live_Sheet'!$36:$36,'[9]300002.SZ_Live_Sheet'!$65:$65,'[9]300002.SZ_Live_Sheet'!$79:$79,'[9]300002.SZ_Live_Sheet'!$96:$96,'[9]300002.SZ_Live_Sheet'!$108:$108,'[9]300002.SZ_Live_Sheet'!$110:$110,'[9]300002.SZ_Live_Sheet'!$194:$197</definedName>
    <definedName name="L_ALL_SECTIONS_ISSR_208009916">'[10]002230.SZ_Live_Sheet'!$5:$5,'[10]002230.SZ_Live_Sheet'!$8:$8,'[10]002230.SZ_Live_Sheet'!$29:$29,'[10]002230.SZ_Live_Sheet'!$36:$36,'[10]002230.SZ_Live_Sheet'!$65:$65,'[10]002230.SZ_Live_Sheet'!$79:$79,'[10]002230.SZ_Live_Sheet'!$96:$96,'[10]002230.SZ_Live_Sheet'!$108:$108,'[10]002230.SZ_Live_Sheet'!$110:$110</definedName>
    <definedName name="L_ALL_SECTIONS_ISSR_208013035">'[11]002236.SZ_Live_Sheet'!$5:$5,'[11]002236.SZ_Live_Sheet'!$8:$8,'[11]002236.SZ_Live_Sheet'!$29:$29,'[11]002236.SZ_Live_Sheet'!$36:$36,'[11]002236.SZ_Live_Sheet'!$65:$65,'[11]002236.SZ_Live_Sheet'!$79:$79,'[11]002236.SZ_Live_Sheet'!$96:$96,'[11]002236.SZ_Live_Sheet'!$108:$108,'[11]002236.SZ_Live_Sheet'!$110:$110,'[11]002236.SZ_Live_Sheet'!$194:$202</definedName>
    <definedName name="L_CURRENCY_EQTY_200011172_PRI">'[7]000422.SZ_Live_Sheet'!$E$258</definedName>
    <definedName name="L_CURRENCY_EQTY_200011172_PUB">'[7]000422.SZ_Live_Sheet'!$E$257</definedName>
    <definedName name="L_CURRENCY_EQTY_200011172_REP">'[7]000422.SZ_Live_Sheet'!$E$259</definedName>
    <definedName name="L_CURRENCY_EQTY_200012735_PRI">'[8]002405.SZ_Live_Sheet'!$E$212</definedName>
    <definedName name="L_CURRENCY_EQTY_200012735_PUB">'[8]002405.SZ_Live_Sheet'!$E$211</definedName>
    <definedName name="L_CURRENCY_EQTY_200012735_REP">'[8]002405.SZ_Live_Sheet'!$E$213</definedName>
    <definedName name="L_CURRENCY_EQTY_200012909_PRI">'[9]300002.SZ_Live_Sheet'!$E$215</definedName>
    <definedName name="L_CURRENCY_EQTY_200012909_PUB">'[9]300002.SZ_Live_Sheet'!$E$214</definedName>
    <definedName name="L_CURRENCY_EQTY_200012909_REP">'[9]300002.SZ_Live_Sheet'!$E$216</definedName>
    <definedName name="L_CURRENCY_EQTY_200012913_PRI">'[10]002230.SZ_Live_Sheet'!$E$212</definedName>
    <definedName name="L_CURRENCY_EQTY_200012913_PUB">'[10]002230.SZ_Live_Sheet'!$E$211</definedName>
    <definedName name="L_CURRENCY_EQTY_200012913_REP">'[10]002230.SZ_Live_Sheet'!$E$213</definedName>
    <definedName name="L_CURRENCY_EQTY_200016087_PRI">'[11]002236.SZ_Live_Sheet'!$E$220</definedName>
    <definedName name="L_CURRENCY_EQTY_200016087_PUB">'[11]002236.SZ_Live_Sheet'!$E$219</definedName>
    <definedName name="L_CURRENCY_EQTY_200016087_REP">'[11]002236.SZ_Live_Sheet'!$E$221</definedName>
    <definedName name="L_CURRENCY_EQTY_200018245_PRI">'[15]600570.SS_Live_Sheet'!$E$214</definedName>
    <definedName name="L_CURRENCY_EQTY_200018245_PUB">'[15]600570.SS_Live_Sheet'!$E$213</definedName>
    <definedName name="L_CURRENCY_EQTY_200018245_REP">'[15]600570.SS_Live_Sheet'!$E$215</definedName>
    <definedName name="L_CURRENCY_ISSR_208008548_REP">'[7]000422.SZ_Live_Sheet'!$E$7</definedName>
    <definedName name="L_CURRENCY_ISSR_208009698_REP">'[8]002405.SZ_Live_Sheet'!$E$7</definedName>
    <definedName name="L_CURRENCY_ISSR_208009912_REP">'[9]300002.SZ_Live_Sheet'!$E$7</definedName>
    <definedName name="L_CURRENCY_ISSR_208009916_REP">'[10]002230.SZ_Live_Sheet'!$E$7</definedName>
    <definedName name="L_CURRENCY_ISSR_208013035_REP">'[11]002236.SZ_Live_Sheet'!$E$7</definedName>
    <definedName name="L_CURRENCY_ISSR_208015997_REP">'[15]600570.SS_Live_Sheet'!$E$7</definedName>
    <definedName name="OBS">#REF!</definedName>
    <definedName name="_xlnm.Print_Titles" localSheetId="5">Assumption!$1:$5</definedName>
    <definedName name="_xlnm.Print_Titles" localSheetId="3">PL!$2:$2</definedName>
    <definedName name="rrrr">'[6]6415.TW_Exchange_Sheet'!$A$1:$BZ$286</definedName>
    <definedName name="SpreadsheetBuilder_1" hidden="1">#REF!</definedName>
    <definedName name="SpreadsheetBuilder_2" hidden="1">#REF!</definedName>
    <definedName name="SpreadsheetBuilder_3" hidden="1">#REF!</definedName>
    <definedName name="Tigr_Exhibit00400428_a0e0_415d_9c1b_269d646b3614" localSheetId="0" hidden="1">#REF!</definedName>
    <definedName name="Tigr_Exhibit00400428_a0e0_415d_9c1b_269d646b3614" hidden="1">#REF!</definedName>
    <definedName name="Tigr_Exhibit00d43779_9baf_44e9_a854_8ff4c509d761" localSheetId="0" hidden="1">#REF!</definedName>
    <definedName name="Tigr_Exhibit00d43779_9baf_44e9_a854_8ff4c509d761" hidden="1">#REF!</definedName>
    <definedName name="Tigr_Exhibit08ce656f_3d2e_4942_b713_8527d8503af7" localSheetId="0" hidden="1">#REF!</definedName>
    <definedName name="Tigr_Exhibit08ce656f_3d2e_4942_b713_8527d8503af7" hidden="1">#REF!</definedName>
    <definedName name="Tigr_Exhibit1ce9642f_d9c5_417d_b3d2_6a5fc861d074" localSheetId="0" hidden="1">#REF!</definedName>
    <definedName name="Tigr_Exhibit1ce9642f_d9c5_417d_b3d2_6a5fc861d074" hidden="1">#REF!</definedName>
    <definedName name="Tigr_Exhibit2b816ec0_33c5_45bf_b5fa_3e18a9a2b010" localSheetId="0" hidden="1">#REF!</definedName>
    <definedName name="Tigr_Exhibit2b816ec0_33c5_45bf_b5fa_3e18a9a2b010" hidden="1">#REF!</definedName>
    <definedName name="Tigr_Exhibit31b91d07_1f8f_4088_a583_9357e81a697d" localSheetId="0" hidden="1">#REF!</definedName>
    <definedName name="Tigr_Exhibit31b91d07_1f8f_4088_a583_9357e81a697d" hidden="1">#REF!</definedName>
    <definedName name="Tigr_Exhibit34c5fed8_1f0f_46ab_a61a_c15d4d83118d" localSheetId="0" hidden="1">#REF!</definedName>
    <definedName name="Tigr_Exhibit34c5fed8_1f0f_46ab_a61a_c15d4d83118d" hidden="1">#REF!</definedName>
    <definedName name="Tigr_Exhibit3847e256_2a32_4b37_a4fe_cfbdce94e977" localSheetId="0" hidden="1">#REF!</definedName>
    <definedName name="Tigr_Exhibit3847e256_2a32_4b37_a4fe_cfbdce94e977" hidden="1">#REF!</definedName>
    <definedName name="Tigr_Exhibit4205ad55_9781_4289_bf12_fd12592939eb" localSheetId="0" hidden="1">#REF!</definedName>
    <definedName name="Tigr_Exhibit4205ad55_9781_4289_bf12_fd12592939eb" hidden="1">#REF!</definedName>
    <definedName name="Tigr_Exhibit46da0b89_e3f8_4af2_a6b7_374f4d72efdd" localSheetId="0" hidden="1">#REF!</definedName>
    <definedName name="Tigr_Exhibit46da0b89_e3f8_4af2_a6b7_374f4d72efdd" hidden="1">#REF!</definedName>
    <definedName name="Tigr_Exhibit48c03c34_bf41_44b4_9198_c2efd7f2cfd5" localSheetId="0" hidden="1">#REF!</definedName>
    <definedName name="Tigr_Exhibit48c03c34_bf41_44b4_9198_c2efd7f2cfd5" hidden="1">#REF!</definedName>
    <definedName name="Tigr_Exhibit50970383_b545_4790_a22f_d314d287a39d" localSheetId="0" hidden="1">#REF!</definedName>
    <definedName name="Tigr_Exhibit50970383_b545_4790_a22f_d314d287a39d" hidden="1">#REF!</definedName>
    <definedName name="Tigr_Exhibit56b33795_7bf8_4e87_b4e0_e52176a1d3c7" localSheetId="0" hidden="1">#REF!</definedName>
    <definedName name="Tigr_Exhibit56b33795_7bf8_4e87_b4e0_e52176a1d3c7" hidden="1">#REF!</definedName>
    <definedName name="Tigr_Exhibit68c3ac07_1db5_4ce4_a48a_436ca76c6afe" localSheetId="0" hidden="1">#REF!</definedName>
    <definedName name="Tigr_Exhibit68c3ac07_1db5_4ce4_a48a_436ca76c6afe" hidden="1">#REF!</definedName>
    <definedName name="Tigr_Exhibit6bf0b7f9_553b_4d4a_98bf_5a833381aea5" localSheetId="0" hidden="1">#REF!</definedName>
    <definedName name="Tigr_Exhibit6bf0b7f9_553b_4d4a_98bf_5a833381aea5" hidden="1">#REF!</definedName>
    <definedName name="Tigr_Exhibit9b60f733_be0b_4edb_84d6_e981fb87781a" localSheetId="0" hidden="1">#REF!</definedName>
    <definedName name="Tigr_Exhibit9b60f733_be0b_4edb_84d6_e981fb87781a" hidden="1">#REF!</definedName>
    <definedName name="Tigr_Exhibita93262e5_e8a9_4e8b_8519_2dac90c97095" hidden="1">#REF!</definedName>
    <definedName name="Tigr_Exhibitaa369b83_5c2d_4559_bc2a_18bb2f1417af" localSheetId="0" hidden="1">#REF!</definedName>
    <definedName name="Tigr_Exhibitaa369b83_5c2d_4559_bc2a_18bb2f1417af" hidden="1">#REF!</definedName>
    <definedName name="Tigr_Exhibitb1864d0f_5ddf_40cf_857f_2f221aa1077a" localSheetId="0" hidden="1">#REF!</definedName>
    <definedName name="Tigr_Exhibitb1864d0f_5ddf_40cf_857f_2f221aa1077a" hidden="1">#REF!</definedName>
    <definedName name="Tigr_Exhibitc8c188a3_efb3_458f_a8ae_688200f91a6a" localSheetId="0" hidden="1">#REF!</definedName>
    <definedName name="Tigr_Exhibitc8c188a3_efb3_458f_a8ae_688200f91a6a" hidden="1">#REF!</definedName>
    <definedName name="Tigr_Exhibitcfe88003_4191_497e_a629_84140342cace" localSheetId="0" hidden="1">#REF!</definedName>
    <definedName name="Tigr_Exhibitcfe88003_4191_497e_a629_84140342cace" hidden="1">#REF!</definedName>
    <definedName name="Tigr_Exhibitd049700a_8937_496d_aea1_4a0b8c2b4ab2" localSheetId="0" hidden="1">#REF!</definedName>
    <definedName name="Tigr_Exhibitd049700a_8937_496d_aea1_4a0b8c2b4ab2" hidden="1">#REF!</definedName>
    <definedName name="Tigr_Exhibitdcc1eb0d_8551_47a4_a0c4_6fe3df77517e" localSheetId="0" hidden="1">#REF!</definedName>
    <definedName name="Tigr_Exhibitdcc1eb0d_8551_47a4_a0c4_6fe3df77517e" hidden="1">#REF!</definedName>
    <definedName name="Tigr_Exhibitde6e44d7_7700_4102_8fca_1389eb4b0ec3" localSheetId="0" hidden="1">#REF!</definedName>
    <definedName name="Tigr_Exhibitde6e44d7_7700_4102_8fca_1389eb4b0ec3" hidden="1">#REF!</definedName>
    <definedName name="Tigr_Exhibite291a57f_a430_4769_9d3d_2ed947406e56" localSheetId="0" hidden="1">#REF!</definedName>
    <definedName name="Tigr_Exhibite291a57f_a430_4769_9d3d_2ed947406e56" hidden="1">#REF!</definedName>
    <definedName name="Tigr_Exhibite7b89801_728e_47d7_b690_b69a16dec4d1" localSheetId="0" hidden="1">#REF!</definedName>
    <definedName name="Tigr_Exhibite7b89801_728e_47d7_b690_b69a16dec4d1" hidden="1">#REF!</definedName>
    <definedName name="Tigr_Exhibitf558570c_782a_42bf_a8c9_fb2706b084f6" localSheetId="0" hidden="1">#REF!</definedName>
    <definedName name="Tigr_Exhibitf558570c_782a_42bf_a8c9_fb2706b084f6" hidden="1">#REF!</definedName>
    <definedName name="Tigr_Exhibitf5a729f1_8c8d_4391_9d18_a4b71011d31c" localSheetId="0" hidden="1">#REF!</definedName>
    <definedName name="Tigr_Exhibitf5a729f1_8c8d_4391_9d18_a4b71011d31c" hidden="1">#REF!</definedName>
    <definedName name="TRNR_3d2d600e95e94355aa1a093f2cf4b94e_432_1" hidden="1">#REF!</definedName>
    <definedName name="TRNR_7de4300109df47bc9e5dd754f99b1e29_275_1" hidden="1">#REF!</definedName>
    <definedName name="TRNR_cdefadb7daff4efeac537da9a25168b9_4_1" hidden="1">#REF!</definedName>
    <definedName name="UNITS">#REF!</definedName>
    <definedName name="V_ALL_000050.SZ" localSheetId="0">'[19]000050.SZ_Validation_Sheet'!$A$1:$BE$276</definedName>
    <definedName name="V_ALL_000050.SZ">#REF!</definedName>
    <definedName name="V_ALL_000063.SZ">'[20]000063.SZ_Validation_Sheet'!$A$1:$AQ$370</definedName>
    <definedName name="V_ALL_000413.SZ">'[1]000413.SZ_Validation_Sheet'!$A$1:$BH$278</definedName>
    <definedName name="V_ALL_000422.SZ">'[7]000422.SZ_Validation_Sheet'!$A$1:$BY$322</definedName>
    <definedName name="V_ALL_000725.SZ" localSheetId="0">'[2]000725.SZ_Validation_Sheet'!$A$1:$BE$278</definedName>
    <definedName name="V_ALL_000725.SZ">'[2]000725.SZ_Validation_Sheet'!$A$1:$BE$276</definedName>
    <definedName name="V_ALL_002153.SZ">'[21]002153.SZ_Validation_Sheet'!$A$1:$AN$225</definedName>
    <definedName name="V_ALL_002230.SZ">'[22]002230.SZ_Validation_Sheet'!$A$1:$BX$279</definedName>
    <definedName name="V_ALL_002236.SZ">'[11]002236.SZ_Validation_Sheet'!$A$1:$AO$284</definedName>
    <definedName name="V_ALL_002261.SZ">'[23]002261.SZ_Validation_Sheet'!$A$1:$AR$261</definedName>
    <definedName name="V_ALL_002371.SZ">#REF!</definedName>
    <definedName name="V_ALL_002405.SZ">'[8]002405.SZ_Validation_Sheet'!$A$1:$BD$277</definedName>
    <definedName name="V_ALL_002415.SZ">#REF!</definedName>
    <definedName name="V_ALL_002415.SZ_">#REF!</definedName>
    <definedName name="V_ALL_002449.SZ">'[17]002449.SZ_Validation_Sheet'!$A$1:$BD$276</definedName>
    <definedName name="V_ALL_002456.SZ">'[3]002456.SZ_Validation_Sheet'!$A$1:$AF$225</definedName>
    <definedName name="V_ALL_002876.SZ">#REF!</definedName>
    <definedName name="V_ALL_300002.SZ">'[9]300002.SZ_Validation_Sheet'!$A$1:$BD$281</definedName>
    <definedName name="V_ALL_300782.SZ">'[24]002439.SZ_Validation_Sheet'!$A$1:$AN$292</definedName>
    <definedName name="V_ALL_600271.SS">'[25]600271.SS_Validation_Sheet'!$A$1:$AM$225</definedName>
    <definedName name="V_ALL_600570.SS">'[15]600570.SS_Validation_Sheet'!$A$1:$BH$281</definedName>
    <definedName name="V_ALL_600584.SS">#REF!</definedName>
    <definedName name="V_ALL_600699.SS">'[4]600699.SS_Validation_Sheet'!$A$1:$AG$225</definedName>
    <definedName name="V_ALL_600703.SS">'[26]600703.SS_Validation_Sheet'!$A$1:$BB$295</definedName>
    <definedName name="V_ALL_603501.SS">'[14]603501.SS_Validation_Sheet'!$A$1:$AU$295</definedName>
    <definedName name="V_ALL_603986.SS">#REF!</definedName>
    <definedName name="V_ALL_6088.HK">'[5]6088.HK_Validation_Sheet'!$A$1:$AF$287</definedName>
    <definedName name="V_ALL_6415.TW">'[6]6415.TW_Validation_Sheet'!$A$1:$BZ$286</definedName>
    <definedName name="V_ALL_688256.SS">#REF!</definedName>
    <definedName name="V_ALL_KEYWORDS_TYPE_ScalarContributed_EQTY_200011172">'[7]000422.SZ_Validation_Sheet'!$261:$281,'[7]000422.SZ_Validation_Sheet'!$320:$322</definedName>
    <definedName name="V_ALL_KEYWORDS_TYPE_ScalarContributed_EQTY_200012735">'[8]002405.SZ_Validation_Sheet'!$215:$235,'[8]002405.SZ_Validation_Sheet'!$275:$277</definedName>
    <definedName name="V_ALL_KEYWORDS_TYPE_ScalarContributed_EQTY_200012909">'[9]300002.SZ_Validation_Sheet'!$218:$239,'[9]300002.SZ_Validation_Sheet'!$279:$281</definedName>
    <definedName name="V_ALL_KEYWORDS_TYPE_ScalarContributed_EQTY_200012913">'[10]002230.SZ_Validation_Sheet'!$215:$237,'[10]002230.SZ_Validation_Sheet'!$277:$279</definedName>
    <definedName name="V_ALL_KEYWORDS_TYPE_ScalarContributed_EQTY_200016087">'[11]002236.SZ_Validation_Sheet'!$223:$242,'[11]002236.SZ_Validation_Sheet'!$282:$284</definedName>
    <definedName name="V_ALL_KEYWORDS_TYPE_ScalarContributed_EQTY_200019558" localSheetId="0">'[12]000050.SZ_Validation_Sheet'!$276:$278,'[12]000050.SZ_Validation_Sheet'!$215:$236</definedName>
    <definedName name="V_ALL_KEYWORDS_TYPE_ScalarContributed_EQTY_200019558">'[13]000050.SZ_Validation_Sheet'!$276:$278,'[13]000050.SZ_Validation_Sheet'!$215:$236</definedName>
    <definedName name="V_ALL_KEYWORDS_TYPE_ScalarContributed_EQTY_200019559">#REF!,#REF!</definedName>
    <definedName name="V_ALL_KEYWORDS_TYPE_ScalarContributed_EQTY_200021805">#REF!,#REF!,#REF!</definedName>
    <definedName name="V_ALL_KEYWORDS_TYPE_ScalarContributed_ISSR_208013036">#REF!,#REF!</definedName>
    <definedName name="V_ALL_KEYWORDS_TYPE_ScalarContributed_ISSR_208019322">'[14]603501.SS_Validation_Sheet'!$9:$9,'[14]603501.SS_Validation_Sheet'!$40:$40</definedName>
    <definedName name="V_ALL_KEYWORDS_TYPE_Vector_EQTY_200011172">'[7]000422.SZ_Validation_Sheet'!$283:$294,'[7]000422.SZ_Validation_Sheet'!$296:$311,'[7]000422.SZ_Validation_Sheet'!$313:$314,'[7]000422.SZ_Validation_Sheet'!$316:$316,'[7]000422.SZ_Validation_Sheet'!$318:$318</definedName>
    <definedName name="V_ALL_KEYWORDS_TYPE_Vector_EQTY_200012735">'[8]002405.SZ_Validation_Sheet'!$251:$266,'[8]002405.SZ_Validation_Sheet'!$268:$269,'[8]002405.SZ_Validation_Sheet'!$271:$271,'[8]002405.SZ_Validation_Sheet'!$273:$273,'[8]002405.SZ_Validation_Sheet'!$237:$249</definedName>
    <definedName name="V_ALL_KEYWORDS_TYPE_Vector_EQTY_200012909">'[9]300002.SZ_Validation_Sheet'!$255:$270,'[9]300002.SZ_Validation_Sheet'!$272:$273,'[9]300002.SZ_Validation_Sheet'!$275:$275,'[9]300002.SZ_Validation_Sheet'!$277:$277,'[9]300002.SZ_Validation_Sheet'!$241:$253</definedName>
    <definedName name="V_ALL_KEYWORDS_TYPE_Vector_EQTY_200012913">'[10]002230.SZ_Validation_Sheet'!$253:$268,'[10]002230.SZ_Validation_Sheet'!$270:$271,'[10]002230.SZ_Validation_Sheet'!$273:$273,'[10]002230.SZ_Validation_Sheet'!$275:$275,'[10]002230.SZ_Validation_Sheet'!$239:$251</definedName>
    <definedName name="V_ALL_KEYWORDS_TYPE_Vector_EQTY_200016087">'[11]002236.SZ_Validation_Sheet'!$258:$273,'[11]002236.SZ_Validation_Sheet'!$275:$276,'[11]002236.SZ_Validation_Sheet'!$278:$278,'[11]002236.SZ_Validation_Sheet'!$280:$280,'[11]002236.SZ_Validation_Sheet'!$244:$256</definedName>
    <definedName name="V_ALL_KEYWORDS_TYPE_Vector_EQTY_200016088">#REF!,#REF!,#REF!,#REF!,#REF!</definedName>
    <definedName name="V_ALL_KEYWORDS_TYPE_Vector_EQTY_200018245">'[15]600570.SS_Validation_Sheet'!$255:$270,'[15]600570.SS_Validation_Sheet'!$272:$273,'[15]600570.SS_Validation_Sheet'!$275:$275,'[15]600570.SS_Validation_Sheet'!$277:$277,'[15]600570.SS_Validation_Sheet'!$241:$253</definedName>
    <definedName name="V_ALL_KEYWORDS_TYPE_Vector_EQTY_200020296">'[14]603501.SS_Validation_Sheet'!$269:$284,'[14]603501.SS_Validation_Sheet'!$286:$287,'[14]603501.SS_Validation_Sheet'!$289:$289,'[14]603501.SS_Validation_Sheet'!$291:$291,'[14]603501.SS_Validation_Sheet'!$253:$267</definedName>
    <definedName name="V_ALL_KEYWORDS_TYPE_Vector_ISSR_208006410" localSheetId="0">'[16]000725.SZ_Validation_Sheet'!$2:$3,'[16]000725.SZ_Validation_Sheet'!$11:$30,'[16]000725.SZ_Validation_Sheet'!$32:$37,'[16]000725.SZ_Validation_Sheet'!$39:$66,'[16]000725.SZ_Validation_Sheet'!$72:$84,'[16]000725.SZ_Validation_Sheet'!$86:$101,'[16]000725.SZ_Validation_Sheet'!$103:$113,'[16]000725.SZ_Validation_Sheet'!$115:$115,'[16]000725.SZ_Validation_Sheet'!$176:$182,'[16]000725.SZ_Validation_Sheet'!$184:$194,'[16]000725.SZ_Validation_Sheet'!$118:$173</definedName>
    <definedName name="V_ALL_KEYWORDS_TYPE_Vector_ISSR_208006410">'[2]000725.SZ_Validation_Sheet'!$2:$3,'[2]000725.SZ_Validation_Sheet'!$11:$30,'[2]000725.SZ_Validation_Sheet'!$32:$37,'[2]000725.SZ_Validation_Sheet'!$39:$66,'[2]000725.SZ_Validation_Sheet'!$72:$84,'[2]000725.SZ_Validation_Sheet'!$86:$101,'[2]000725.SZ_Validation_Sheet'!$103:$113,'[2]000725.SZ_Validation_Sheet'!$115:$115,'[2]000725.SZ_Validation_Sheet'!$176:$182,'[2]000725.SZ_Validation_Sheet'!$184:$194,'[2]000725.SZ_Validation_Sheet'!$118:$173</definedName>
    <definedName name="V_ALL_KEYWORDS_TYPE_Vector_ISSR_208008548">'[7]000422.SZ_Validation_Sheet'!$2:$3,'[7]000422.SZ_Validation_Sheet'!$9:$28,'[7]000422.SZ_Validation_Sheet'!$30:$35,'[7]000422.SZ_Validation_Sheet'!$37:$64,'[7]000422.SZ_Validation_Sheet'!$66:$78,'[7]000422.SZ_Validation_Sheet'!$80:$95,'[7]000422.SZ_Validation_Sheet'!$97:$107,'[7]000422.SZ_Validation_Sheet'!$109:$109,'[7]000422.SZ_Validation_Sheet'!$111:$112,'[7]000422.SZ_Validation_Sheet'!$114:$118,'[7]000422.SZ_Validation_Sheet'!$148:$149,'[7]000422.SZ_Validation_Sheet'!$135:$145,'[7]000422.SZ_Validation_Sheet'!$187:$190,'[7]000422.SZ_Validation_Sheet'!$242:$251,'[7]000422.SZ_Validation_Sheet'!$195:$216,'[7]000422.SZ_Validation_Sheet'!$218:$240</definedName>
    <definedName name="V_ALL_KEYWORDS_TYPE_Vector_ISSR_208009698">'[8]002405.SZ_Validation_Sheet'!$2:$3,'[8]002405.SZ_Validation_Sheet'!$9:$28,'[8]002405.SZ_Validation_Sheet'!$30:$35,'[8]002405.SZ_Validation_Sheet'!$37:$64,'[8]002405.SZ_Validation_Sheet'!$66:$78,'[8]002405.SZ_Validation_Sheet'!$80:$95,'[8]002405.SZ_Validation_Sheet'!$97:$107,'[8]002405.SZ_Validation_Sheet'!$109:$109,'[8]002405.SZ_Validation_Sheet'!$111:$112,'[8]002405.SZ_Validation_Sheet'!$114:$118,'[8]002405.SZ_Validation_Sheet'!$135:$144,'[8]002405.SZ_Validation_Sheet'!$148:$149,'[8]002405.SZ_Validation_Sheet'!$187:$189,'[8]002405.SZ_Validation_Sheet'!$205:$205</definedName>
    <definedName name="V_ALL_KEYWORDS_TYPE_Vector_ISSR_208009912">'[9]300002.SZ_Validation_Sheet'!$2:$3,'[9]300002.SZ_Validation_Sheet'!$9:$28,'[9]300002.SZ_Validation_Sheet'!$30:$35,'[9]300002.SZ_Validation_Sheet'!$37:$64,'[9]300002.SZ_Validation_Sheet'!$66:$78,'[9]300002.SZ_Validation_Sheet'!$80:$95,'[9]300002.SZ_Validation_Sheet'!$97:$107,'[9]300002.SZ_Validation_Sheet'!$109:$109,'[9]300002.SZ_Validation_Sheet'!$111:$112,'[9]300002.SZ_Validation_Sheet'!$114:$118,'[9]300002.SZ_Validation_Sheet'!$148:$149,'[9]300002.SZ_Validation_Sheet'!$135:$145,'[9]300002.SZ_Validation_Sheet'!$187:$190,'[9]300002.SZ_Validation_Sheet'!$198:$208,'[9]300002.SZ_Validation_Sheet'!$195:$196</definedName>
    <definedName name="V_ALL_KEYWORDS_TYPE_Vector_ISSR_208009916">'[10]002230.SZ_Validation_Sheet'!$2:$3,'[10]002230.SZ_Validation_Sheet'!$9:$28,'[10]002230.SZ_Validation_Sheet'!$30:$35,'[10]002230.SZ_Validation_Sheet'!$37:$64,'[10]002230.SZ_Validation_Sheet'!$66:$78,'[10]002230.SZ_Validation_Sheet'!$80:$95,'[10]002230.SZ_Validation_Sheet'!$97:$107,'[10]002230.SZ_Validation_Sheet'!$109:$109,'[10]002230.SZ_Validation_Sheet'!$111:$112,'[10]002230.SZ_Validation_Sheet'!$114:$118,'[10]002230.SZ_Validation_Sheet'!$135:$144,'[10]002230.SZ_Validation_Sheet'!$148:$149,'[10]002230.SZ_Validation_Sheet'!$187:$189,'[10]002230.SZ_Validation_Sheet'!$205:$205</definedName>
    <definedName name="V_ALL_KEYWORDS_TYPE_Vector_ISSR_208011603">'[17]002449.SZ_Validation_Sheet'!$2:$3,'[17]002449.SZ_Validation_Sheet'!$11:$30,'[17]002449.SZ_Validation_Sheet'!$32:$37,'[17]002449.SZ_Validation_Sheet'!$39:$66,'[17]002449.SZ_Validation_Sheet'!$72:$84,'[17]002449.SZ_Validation_Sheet'!$86:$101,'[17]002449.SZ_Validation_Sheet'!$103:$113,'[17]002449.SZ_Validation_Sheet'!$115:$115,'[17]002449.SZ_Validation_Sheet'!$176:$182,'[17]002449.SZ_Validation_Sheet'!$184:$194,'[17]002449.SZ_Validation_Sheet'!$118:$173</definedName>
    <definedName name="V_ALL_KEYWORDS_TYPE_Vector_ISSR_208013035">'[11]002236.SZ_Validation_Sheet'!$2:$3,'[11]002236.SZ_Validation_Sheet'!$9:$28,'[11]002236.SZ_Validation_Sheet'!$30:$35,'[11]002236.SZ_Validation_Sheet'!$37:$64,'[11]002236.SZ_Validation_Sheet'!$66:$78,'[11]002236.SZ_Validation_Sheet'!$80:$95,'[11]002236.SZ_Validation_Sheet'!$97:$107,'[11]002236.SZ_Validation_Sheet'!$109:$109,'[11]002236.SZ_Validation_Sheet'!$111:$112,'[11]002236.SZ_Validation_Sheet'!$114:$118,'[11]002236.SZ_Validation_Sheet'!$148:$149,'[11]002236.SZ_Validation_Sheet'!$135:$145,'[11]002236.SZ_Validation_Sheet'!$187:$190,'[11]002236.SZ_Validation_Sheet'!$203:$213,'[11]002236.SZ_Validation_Sheet'!$195:$201</definedName>
    <definedName name="V_ALL_KEYWORDS_TYPE_Vector_ISSR_208013036">#REF!,#REF!,#REF!,#REF!,#REF!,#REF!,#REF!,#REF!,#REF!,#REF!,#REF!,#REF!,#REF!,#REF!</definedName>
    <definedName name="V_ALL_KEYWORDS_TYPE_Vector_ISSR_208015997">'[15]600570.SS_Validation_Sheet'!$2:$3,'[15]600570.SS_Validation_Sheet'!$11:$30,'[15]600570.SS_Validation_Sheet'!$32:$37,'[15]600570.SS_Validation_Sheet'!$39:$66,'[15]600570.SS_Validation_Sheet'!$68:$80,'[15]600570.SS_Validation_Sheet'!$82:$97,'[15]600570.SS_Validation_Sheet'!$99:$109,'[15]600570.SS_Validation_Sheet'!$111:$111,'[15]600570.SS_Validation_Sheet'!$113:$114,'[15]600570.SS_Validation_Sheet'!$116:$120,'[15]600570.SS_Validation_Sheet'!$137:$146,'[15]600570.SS_Validation_Sheet'!$150:$151,'[15]600570.SS_Validation_Sheet'!$189:$191,'[15]600570.SS_Validation_Sheet'!$207:$207</definedName>
    <definedName name="V_ALL_KEYWORDS_TYPE_Vector_ISSR_208018057">#REF!,#REF!,#REF!,#REF!,#REF!,#REF!,#REF!,#REF!,#REF!,#REF!,#REF!</definedName>
    <definedName name="V_ALL_KEYWORDS_TYPE_Vector_ISSR_208019322">'[14]603501.SS_Validation_Sheet'!$2:$3,'[14]603501.SS_Validation_Sheet'!$11:$30,'[14]603501.SS_Validation_Sheet'!$32:$37,'[14]603501.SS_Validation_Sheet'!$42:$71,'[14]603501.SS_Validation_Sheet'!$73:$89,'[14]603501.SS_Validation_Sheet'!$92:$108,'[14]603501.SS_Validation_Sheet'!$110:$120,'[14]603501.SS_Validation_Sheet'!$122:$122,'[14]603501.SS_Validation_Sheet'!$124:$181,'[14]603501.SS_Validation_Sheet'!$199:$209,'[14]603501.SS_Validation_Sheet'!$211:$220,'[14]603501.SS_Validation_Sheet'!$183:$197</definedName>
    <definedName name="V_ALL_KEYWORDS_TYPE_Vector_ISSR_208019500">'[18]300782.SZ_Validation_Sheet'!$2:$3,'[18]300782.SZ_Validation_Sheet'!$11:$30,'[18]300782.SZ_Validation_Sheet'!$32:$39,'[18]300782.SZ_Validation_Sheet'!$42:$71,'[18]300782.SZ_Validation_Sheet'!$73:$90,'[18]300782.SZ_Validation_Sheet'!$92:$108,'[18]300782.SZ_Validation_Sheet'!$110:$120,'[18]300782.SZ_Validation_Sheet'!$122:$122,'[18]300782.SZ_Validation_Sheet'!$124:$181,'[18]300782.SZ_Validation_Sheet'!$183:$184,'[18]300782.SZ_Validation_Sheet'!$196:$206,'[18]300782.SZ_Validation_Sheet'!$208:$217,'[18]300782.SZ_Validation_Sheet'!$194:$194</definedName>
    <definedName name="V_ALL_KEYWORDS_TYPE_Vector_ISSR_208021308">#REF!,#REF!,#REF!,#REF!,#REF!,#REF!,#REF!,#REF!,#REF!,#REF!,#REF!,#REF!,#REF!</definedName>
    <definedName name="V_ALL_SECTION_KEYWORDS_EQTY_200016088_13K">#REF!</definedName>
    <definedName name="V_ALL_SECTION_KEYWORDS_EQTY_200019559_13A">#REF!</definedName>
    <definedName name="V_ALL_SECTION_KEYWORDS_EQTY_200021805_13A">#REF!</definedName>
    <definedName name="V_ALL_SECTION_KEYWORDS_ISSR_208006410_136E" localSheetId="0">'[16]000725.SZ_Validation_Sheet'!$C$196,'[16]000725.SZ_Validation_Sheet'!$C$205</definedName>
    <definedName name="V_ALL_SECTION_KEYWORDS_ISSR_208006410_136E">'[2]000725.SZ_Validation_Sheet'!$C$196,'[2]000725.SZ_Validation_Sheet'!$C$205</definedName>
    <definedName name="V_ALL_SECTION_KEYWORDS_ISSR_208009698_1316U">'[8]002405.SZ_Validation_Sheet'!$C$195,'[8]002405.SZ_Validation_Sheet'!$C$205</definedName>
    <definedName name="V_ALL_SECTION_KEYWORDS_ISSR_208009916_1316U">'[10]002230.SZ_Validation_Sheet'!$C$195,'[10]002230.SZ_Validation_Sheet'!$C$205</definedName>
    <definedName name="V_ALL_SECTION_KEYWORDS_ISSR_208011603_136E">'[17]002449.SZ_Validation_Sheet'!$C$196,'[17]002449.SZ_Validation_Sheet'!$C$205</definedName>
    <definedName name="V_ALL_SECTION_KEYWORDS_ISSR_208013036_1314">#REF!</definedName>
    <definedName name="V_ALL_SECTION_KEYWORDS_ISSR_208013036_13168">#REF!</definedName>
    <definedName name="V_ALL_SECTION_KEYWORDS_ISSR_208013036_1319">#REF!</definedName>
    <definedName name="V_ALL_SECTION_KEYWORDS_ISSR_208013036_131E">#REF!</definedName>
    <definedName name="V_ALL_SECTION_KEYWORDS_ISSR_208013036_136E">#REF!,#REF!</definedName>
    <definedName name="V_ALL_SECTION_KEYWORDS_ISSR_208013036_13V">#REF!,#REF!</definedName>
    <definedName name="V_ALL_SECTION_KEYWORDS_ISSR_208015997_1316U">'[15]600570.SS_Validation_Sheet'!$C$197,'[15]600570.SS_Validation_Sheet'!$C$207</definedName>
    <definedName name="V_ALL_SECTION_KEYWORDS_ISSR_208018057_136E">#REF!,#REF!</definedName>
    <definedName name="V_ALL_SECTION_KEYWORDS_ISSR_208019322_13V">'[14]603501.SS_Validation_Sheet'!$C$32:$C$37,'[14]603501.SS_Validation_Sheet'!$C$40</definedName>
    <definedName name="V_ALL_SECTION_KEYWORDS_ISSR_208021308_1316T">#REF!</definedName>
    <definedName name="V_ALL_SECTIONS_EQTY_200011172">'[7]000422.SZ_Validation_Sheet'!$253:$253,'[7]000422.SZ_Validation_Sheet'!$260:$260,'[7]000422.SZ_Validation_Sheet'!$282:$282,'[7]000422.SZ_Validation_Sheet'!$295:$295,'[7]000422.SZ_Validation_Sheet'!$312:$312,'[7]000422.SZ_Validation_Sheet'!$315:$315,'[7]000422.SZ_Validation_Sheet'!$317:$317,'[7]000422.SZ_Validation_Sheet'!$319:$319</definedName>
    <definedName name="V_ALL_SECTIONS_EQTY_200012735">'[8]002405.SZ_Validation_Sheet'!$207:$207,'[8]002405.SZ_Validation_Sheet'!$214:$214,'[8]002405.SZ_Validation_Sheet'!$236:$236,'[8]002405.SZ_Validation_Sheet'!$250:$250,'[8]002405.SZ_Validation_Sheet'!$267:$267,'[8]002405.SZ_Validation_Sheet'!$270:$270,'[8]002405.SZ_Validation_Sheet'!$272:$272,'[8]002405.SZ_Validation_Sheet'!$274:$274</definedName>
    <definedName name="V_ALL_SECTIONS_EQTY_200012909">'[9]300002.SZ_Validation_Sheet'!$210:$210,'[9]300002.SZ_Validation_Sheet'!$217:$217,'[9]300002.SZ_Validation_Sheet'!$240:$240,'[9]300002.SZ_Validation_Sheet'!$254:$254,'[9]300002.SZ_Validation_Sheet'!$271:$271,'[9]300002.SZ_Validation_Sheet'!$274:$274,'[9]300002.SZ_Validation_Sheet'!$276:$276,'[9]300002.SZ_Validation_Sheet'!$278:$278</definedName>
    <definedName name="V_ALL_SECTIONS_EQTY_200012913">'[10]002230.SZ_Validation_Sheet'!$207:$207,'[10]002230.SZ_Validation_Sheet'!$214:$214,'[10]002230.SZ_Validation_Sheet'!$238:$238,'[10]002230.SZ_Validation_Sheet'!$252:$252,'[10]002230.SZ_Validation_Sheet'!$269:$269,'[10]002230.SZ_Validation_Sheet'!$272:$272,'[10]002230.SZ_Validation_Sheet'!$274:$274,'[10]002230.SZ_Validation_Sheet'!$276:$276</definedName>
    <definedName name="V_ALL_SECTIONS_EQTY_200016087">'[11]002236.SZ_Validation_Sheet'!$215:$215,'[11]002236.SZ_Validation_Sheet'!$222:$222,'[11]002236.SZ_Validation_Sheet'!$243:$243,'[11]002236.SZ_Validation_Sheet'!$257:$257,'[11]002236.SZ_Validation_Sheet'!$274:$274,'[11]002236.SZ_Validation_Sheet'!$277:$277,'[11]002236.SZ_Validation_Sheet'!$279:$279,'[11]002236.SZ_Validation_Sheet'!$281:$281</definedName>
    <definedName name="V_ALL_SECTIONS_EQTY_200018245">'[15]600570.SS_Validation_Sheet'!$209:$209,'[15]600570.SS_Validation_Sheet'!$216:$216,'[15]600570.SS_Validation_Sheet'!$240:$240,'[15]600570.SS_Validation_Sheet'!$254:$254,'[15]600570.SS_Validation_Sheet'!$271:$271,'[15]600570.SS_Validation_Sheet'!$274:$274,'[15]600570.SS_Validation_Sheet'!$276:$276,'[15]600570.SS_Validation_Sheet'!$278:$278</definedName>
    <definedName name="V_ALL_SECTIONS_ISSR_208008548">'[27]000422.SZ_Validation_Sheet'!$5:$5,'[27]000422.SZ_Validation_Sheet'!$8:$8,'[27]000422.SZ_Validation_Sheet'!$29:$29,'[27]000422.SZ_Validation_Sheet'!$36:$36,'[27]000422.SZ_Validation_Sheet'!$65:$65,'[27]000422.SZ_Validation_Sheet'!$79:$79,'[27]000422.SZ_Validation_Sheet'!$96:$96,'[27]000422.SZ_Validation_Sheet'!$108:$108,'[27]000422.SZ_Validation_Sheet'!$110:$110,'[27]000422.SZ_Validation_Sheet'!$194:$241</definedName>
    <definedName name="V_ALL_SECTIONS_ISSR_208009698">'[8]002405.SZ_Validation_Sheet'!$5:$5,'[8]002405.SZ_Validation_Sheet'!$8:$8,'[8]002405.SZ_Validation_Sheet'!$29:$29,'[8]002405.SZ_Validation_Sheet'!$36:$36,'[8]002405.SZ_Validation_Sheet'!$65:$65,'[8]002405.SZ_Validation_Sheet'!$79:$79,'[8]002405.SZ_Validation_Sheet'!$96:$96,'[8]002405.SZ_Validation_Sheet'!$108:$108,'[8]002405.SZ_Validation_Sheet'!$110:$110</definedName>
    <definedName name="V_ALL_SECTIONS_ISSR_208009912">'[9]300002.SZ_Validation_Sheet'!$5:$5,'[9]300002.SZ_Validation_Sheet'!$8:$8,'[9]300002.SZ_Validation_Sheet'!$29:$29,'[9]300002.SZ_Validation_Sheet'!$36:$36,'[9]300002.SZ_Validation_Sheet'!$65:$65,'[9]300002.SZ_Validation_Sheet'!$79:$79,'[9]300002.SZ_Validation_Sheet'!$96:$96,'[9]300002.SZ_Validation_Sheet'!$108:$108,'[9]300002.SZ_Validation_Sheet'!$110:$110,'[9]300002.SZ_Validation_Sheet'!$194:$197</definedName>
    <definedName name="V_ALL_SECTIONS_ISSR_208009916">'[10]002230.SZ_Validation_Sheet'!$5:$5,'[10]002230.SZ_Validation_Sheet'!$8:$8,'[10]002230.SZ_Validation_Sheet'!$29:$29,'[10]002230.SZ_Validation_Sheet'!$36:$36,'[10]002230.SZ_Validation_Sheet'!$65:$65,'[10]002230.SZ_Validation_Sheet'!$79:$79,'[10]002230.SZ_Validation_Sheet'!$96:$96,'[10]002230.SZ_Validation_Sheet'!$108:$108,'[10]002230.SZ_Validation_Sheet'!$110:$110</definedName>
    <definedName name="V_ALL_SECTIONS_ISSR_208013035">'[11]002236.SZ_Validation_Sheet'!$5:$5,'[11]002236.SZ_Validation_Sheet'!$8:$8,'[11]002236.SZ_Validation_Sheet'!$29:$29,'[11]002236.SZ_Validation_Sheet'!$36:$36,'[11]002236.SZ_Validation_Sheet'!$65:$65,'[11]002236.SZ_Validation_Sheet'!$79:$79,'[11]002236.SZ_Validation_Sheet'!$96:$96,'[11]002236.SZ_Validation_Sheet'!$108:$108,'[11]002236.SZ_Validation_Sheet'!$110:$110,'[11]002236.SZ_Validation_Sheet'!$194:$202</definedName>
  </definedNames>
  <calcPr calcId="191029"/>
  <customWorkbookViews>
    <customWorkbookView name="Paras Mehta - Personal View" guid="{321036AA-3276-44BC-8CB3-4CBCFA4F462F}" mergeInterval="0" personalView="1" xWindow="18" yWindow="34" windowWidth="2100" windowHeight="1147" tabRatio="939" activeSheetId="11"/>
    <customWorkbookView name="bengri - Personal View" guid="{B8501C8E-9F33-4778-ADC2-9364BC03E250}" mergeInterval="0" personalView="1" xWindow="5" yWindow="24" windowWidth="1260" windowHeight="798" tabRatio="939" activeSheetId="9"/>
    <customWorkbookView name="Vikram Sahu - Personal View" guid="{263D1B69-9EEA-11D4-AAE3-000000000000}" mergeInterval="0" personalView="1" maximized="1" windowWidth="1276" windowHeight="777" tabRatio="848" activeSheetId="17" showComments="commIndAndComment"/>
    <customWorkbookView name="Ian Wainwright - Personal View" guid="{62481223-A8AD-11D4-AB95-00105A428564}" mergeInterval="0" personalView="1" maximized="1" windowWidth="1235" windowHeight="760" tabRatio="848" activeSheetId="17"/>
    <customWorkbookView name="MEHTPA - Personal View" guid="{CB1EC698-F699-40F8-9700-EEA429015C92}" mergeInterval="0" personalView="1" xWindow="5" yWindow="24" windowWidth="2317" windowHeight="1209" tabRatio="885" activeSheetId="12"/>
    <customWorkbookView name="Sheetal Unadkat - Personal View" guid="{6C9EC5C6-570C-4833-990D-EBE4C700E669}" mergeInterval="0" personalView="1" maximized="1" windowWidth="1268" windowHeight="799" tabRatio="800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4" i="167" l="1"/>
  <c r="AM123" i="178"/>
  <c r="AL123" i="178"/>
  <c r="AK123" i="178"/>
  <c r="AJ123" i="178"/>
  <c r="AK131" i="178"/>
  <c r="AL131" i="178" s="1"/>
  <c r="AH153" i="178"/>
  <c r="AI122" i="178"/>
  <c r="AN154" i="178"/>
  <c r="AO154" i="178" s="1"/>
  <c r="AP154" i="178" s="1"/>
  <c r="AQ154" i="178" s="1"/>
  <c r="AS154" i="178" s="1"/>
  <c r="AT154" i="178" s="1"/>
  <c r="AU154" i="178" s="1"/>
  <c r="AE142" i="178"/>
  <c r="AE152" i="178"/>
  <c r="AF152" i="178" s="1"/>
  <c r="AG152" i="178" s="1"/>
  <c r="AH152" i="178" s="1"/>
  <c r="AI152" i="178" s="1"/>
  <c r="AK152" i="178" s="1"/>
  <c r="AL152" i="178" s="1"/>
  <c r="AN152" i="178" s="1"/>
  <c r="AO152" i="178" s="1"/>
  <c r="AP152" i="178" s="1"/>
  <c r="AQ152" i="178" s="1"/>
  <c r="AR152" i="178" s="1"/>
  <c r="AS152" i="178" s="1"/>
  <c r="AT152" i="178" s="1"/>
  <c r="AU152" i="178" s="1"/>
  <c r="AI153" i="178" l="1"/>
  <c r="AK153" i="178" s="1"/>
  <c r="AL153" i="178" s="1"/>
  <c r="AN153" i="178" s="1"/>
  <c r="AO153" i="178" s="1"/>
  <c r="AP153" i="178" s="1"/>
  <c r="AQ153" i="178" s="1"/>
  <c r="AR153" i="178" s="1"/>
  <c r="AS153" i="178" s="1"/>
  <c r="AT153" i="178" s="1"/>
  <c r="AU153" i="178" s="1"/>
  <c r="T8" i="161" l="1"/>
  <c r="T7" i="161"/>
  <c r="S8" i="161"/>
  <c r="S7" i="161"/>
  <c r="V8" i="161"/>
  <c r="V7" i="161"/>
  <c r="U8" i="161" l="1"/>
  <c r="U7" i="161"/>
  <c r="R8" i="161"/>
  <c r="R7" i="161"/>
  <c r="F5" i="161"/>
  <c r="AE37" i="167"/>
  <c r="AE36" i="167"/>
  <c r="AF33" i="167"/>
  <c r="AE19" i="167"/>
  <c r="AF19" i="167" s="1"/>
  <c r="AE18" i="167"/>
  <c r="AF17" i="167"/>
  <c r="AE16" i="167"/>
  <c r="AF16" i="167" s="1"/>
  <c r="AF5" i="167"/>
  <c r="AF4" i="167"/>
  <c r="AF24" i="167"/>
  <c r="AF23" i="167"/>
  <c r="AF55" i="167" s="1"/>
  <c r="AF22" i="167"/>
  <c r="AF20" i="167"/>
  <c r="AF15" i="167"/>
  <c r="AF14" i="167"/>
  <c r="AF10" i="167"/>
  <c r="AF54" i="167" s="1"/>
  <c r="AF9" i="167"/>
  <c r="AF8" i="167"/>
  <c r="AF7" i="167"/>
  <c r="AF51" i="167" s="1"/>
  <c r="AC6" i="178" l="1"/>
  <c r="AF11" i="167"/>
  <c r="AF6" i="167"/>
  <c r="AC37" i="178" s="1"/>
  <c r="AF43" i="167"/>
  <c r="M5" i="161"/>
  <c r="M4" i="161"/>
  <c r="BO92" i="178" l="1"/>
  <c r="BN92" i="178"/>
  <c r="BM92" i="178"/>
  <c r="BL92" i="178"/>
  <c r="BK92" i="178"/>
  <c r="BJ94" i="178"/>
  <c r="R24" i="161" l="1"/>
  <c r="R23" i="161"/>
  <c r="R22" i="161"/>
  <c r="R9" i="161"/>
  <c r="AB7" i="161"/>
  <c r="AA7" i="161"/>
  <c r="Z8" i="161"/>
  <c r="U9" i="161"/>
  <c r="F6" i="161"/>
  <c r="AJ143" i="178" l="1"/>
  <c r="AK143" i="178" s="1"/>
  <c r="AL143" i="178" s="1"/>
  <c r="AA152" i="178"/>
  <c r="BJ92" i="178" l="1"/>
  <c r="BO86" i="178"/>
  <c r="BN86" i="178"/>
  <c r="BM86" i="178"/>
  <c r="BM85" i="178"/>
  <c r="BM76" i="178"/>
  <c r="BO77" i="178"/>
  <c r="BN77" i="178"/>
  <c r="BM77" i="178"/>
  <c r="AB6" i="178" l="1"/>
  <c r="AE55" i="167"/>
  <c r="AE54" i="167"/>
  <c r="AE53" i="167"/>
  <c r="AE52" i="167"/>
  <c r="AE51" i="167"/>
  <c r="AE34" i="167"/>
  <c r="AA18" i="167"/>
  <c r="AE6" i="167"/>
  <c r="AB37" i="178" s="1"/>
  <c r="P5" i="168"/>
  <c r="O35" i="168"/>
  <c r="O33" i="168" s="1"/>
  <c r="O32" i="168" s="1"/>
  <c r="O34" i="168"/>
  <c r="O31" i="168"/>
  <c r="O30" i="168"/>
  <c r="O29" i="168"/>
  <c r="O28" i="168"/>
  <c r="O27" i="168"/>
  <c r="O26" i="168" s="1"/>
  <c r="O25" i="168" s="1"/>
  <c r="O24" i="168"/>
  <c r="O23" i="168"/>
  <c r="O21" i="168"/>
  <c r="O20" i="168"/>
  <c r="O22" i="168" s="1"/>
  <c r="O19" i="168"/>
  <c r="O16" i="168"/>
  <c r="O15" i="168"/>
  <c r="O13" i="168"/>
  <c r="O12" i="168"/>
  <c r="P30" i="168"/>
  <c r="P28" i="168"/>
  <c r="P24" i="168"/>
  <c r="O7" i="168"/>
  <c r="O6" i="168"/>
  <c r="O19" i="169"/>
  <c r="O50" i="168"/>
  <c r="O54" i="168"/>
  <c r="O57" i="168"/>
  <c r="O7" i="169"/>
  <c r="O13" i="169"/>
  <c r="O14" i="169"/>
  <c r="O18" i="169"/>
  <c r="O26" i="169"/>
  <c r="O28" i="169"/>
  <c r="O4" i="168"/>
  <c r="O9" i="168"/>
  <c r="O18" i="168" s="1"/>
  <c r="O17" i="168" s="1"/>
  <c r="O10" i="168"/>
  <c r="AD34" i="167"/>
  <c r="AA37" i="167"/>
  <c r="AA36" i="167"/>
  <c r="AB36" i="167" s="1"/>
  <c r="AA33" i="167"/>
  <c r="W33" i="167"/>
  <c r="Z37" i="167"/>
  <c r="Z36" i="167"/>
  <c r="AC4" i="167"/>
  <c r="AC6" i="167" s="1"/>
  <c r="AD4" i="167"/>
  <c r="AA6" i="178" s="1"/>
  <c r="AC5" i="167"/>
  <c r="AD5" i="167"/>
  <c r="AC7" i="167"/>
  <c r="AD7" i="167"/>
  <c r="AC8" i="167"/>
  <c r="AD8" i="167"/>
  <c r="AD52" i="167" s="1"/>
  <c r="AC9" i="167"/>
  <c r="AD9" i="167"/>
  <c r="AC10" i="167"/>
  <c r="AD10" i="167"/>
  <c r="AC14" i="167"/>
  <c r="AD14" i="167"/>
  <c r="AC15" i="167"/>
  <c r="AD15" i="167"/>
  <c r="AC17" i="167"/>
  <c r="AD17" i="167"/>
  <c r="AC19" i="167"/>
  <c r="AD19" i="167"/>
  <c r="AC20" i="167"/>
  <c r="AD20" i="167"/>
  <c r="AC22" i="167"/>
  <c r="AD22" i="167"/>
  <c r="AC23" i="167"/>
  <c r="AD23" i="167"/>
  <c r="AD55" i="167" s="1"/>
  <c r="AC24" i="167"/>
  <c r="AD24" i="167"/>
  <c r="AD54" i="167" l="1"/>
  <c r="AD51" i="167"/>
  <c r="O47" i="168"/>
  <c r="AC36" i="167"/>
  <c r="AD36" i="167" s="1"/>
  <c r="BH36" i="167"/>
  <c r="O48" i="168" s="1"/>
  <c r="AC13" i="167"/>
  <c r="AD11" i="167"/>
  <c r="AD6" i="167"/>
  <c r="AA37" i="178" s="1"/>
  <c r="AC11" i="167"/>
  <c r="AC12" i="167" s="1"/>
  <c r="AG9" i="167"/>
  <c r="AD53" i="167"/>
  <c r="O36" i="168"/>
  <c r="O8" i="168"/>
  <c r="P32" i="168"/>
  <c r="P25" i="168"/>
  <c r="AD12" i="167" l="1"/>
  <c r="AD13" i="167" s="1"/>
  <c r="AD50" i="167"/>
  <c r="AH55" i="167"/>
  <c r="AA16" i="167"/>
  <c r="AB18" i="167"/>
  <c r="AC18" i="167" s="1"/>
  <c r="AC34" i="167"/>
  <c r="AB34" i="167"/>
  <c r="Z16" i="161"/>
  <c r="Z15" i="161"/>
  <c r="V16" i="161"/>
  <c r="U16" i="161"/>
  <c r="T16" i="161"/>
  <c r="T100" i="161"/>
  <c r="AB16" i="167" l="1"/>
  <c r="AC16" i="167" s="1"/>
  <c r="AD16" i="167" s="1"/>
  <c r="BH16" i="167"/>
  <c r="AD18" i="167"/>
  <c r="AD21" i="167" s="1"/>
  <c r="AC21" i="167"/>
  <c r="BK101" i="178"/>
  <c r="AV54" i="167" l="1"/>
  <c r="AJ54" i="167"/>
  <c r="AK54" i="167" s="1"/>
  <c r="AL54" i="167" s="1"/>
  <c r="AN54" i="167" s="1"/>
  <c r="AO54" i="167" s="1"/>
  <c r="AP54" i="167" s="1"/>
  <c r="AO132" i="178"/>
  <c r="AP132" i="178" s="1"/>
  <c r="AQ132" i="178" s="1"/>
  <c r="AS132" i="178" s="1"/>
  <c r="AT132" i="178" s="1"/>
  <c r="AU132" i="178" s="1"/>
  <c r="AR54" i="167" l="1"/>
  <c r="AS54" i="167" s="1"/>
  <c r="AT54" i="167" s="1"/>
  <c r="AW54" i="167" s="1"/>
  <c r="AX54" i="167" s="1"/>
  <c r="AU133" i="178" l="1"/>
  <c r="AT133" i="178"/>
  <c r="AS133" i="178"/>
  <c r="AR133" i="178"/>
  <c r="AQ133" i="178"/>
  <c r="AP133" i="178"/>
  <c r="AO133" i="178"/>
  <c r="AN133" i="178"/>
  <c r="AM133" i="178"/>
  <c r="X9" i="178"/>
  <c r="AB37" i="167"/>
  <c r="AC37" i="167" l="1"/>
  <c r="AD37" i="167" s="1"/>
  <c r="AB4" i="167"/>
  <c r="AB5" i="167"/>
  <c r="AB6" i="167" s="1"/>
  <c r="AB7" i="167"/>
  <c r="AB8" i="167"/>
  <c r="AB9" i="167"/>
  <c r="AB10" i="167"/>
  <c r="AB14" i="167"/>
  <c r="AB15" i="167"/>
  <c r="AB17" i="167"/>
  <c r="AB19" i="167"/>
  <c r="AB20" i="167"/>
  <c r="AB22" i="167"/>
  <c r="AB23" i="167"/>
  <c r="AB24" i="167"/>
  <c r="AB54" i="167" l="1"/>
  <c r="BH37" i="167"/>
  <c r="O55" i="168" s="1"/>
  <c r="AB43" i="167"/>
  <c r="Y37" i="178"/>
  <c r="AB52" i="167"/>
  <c r="AB55" i="167"/>
  <c r="AB11" i="167"/>
  <c r="AB50" i="167" s="1"/>
  <c r="Y6" i="178"/>
  <c r="AB25" i="167"/>
  <c r="AB26" i="167" s="1"/>
  <c r="AB51" i="167"/>
  <c r="AB53" i="167"/>
  <c r="AB47" i="167"/>
  <c r="AB27" i="167" l="1"/>
  <c r="AB12" i="167"/>
  <c r="AB13" i="167" s="1"/>
  <c r="AB21" i="167" s="1"/>
  <c r="AB44" i="167"/>
  <c r="BM179" i="178" l="1"/>
  <c r="BN179" i="178"/>
  <c r="BO179" i="178"/>
  <c r="W25" i="161" l="1"/>
  <c r="AG25" i="161"/>
  <c r="AE8" i="161"/>
  <c r="AD25" i="161"/>
  <c r="AC8" i="161"/>
  <c r="T25" i="161"/>
  <c r="W26" i="161" s="1"/>
  <c r="AF17" i="161"/>
  <c r="U25" i="161"/>
  <c r="V25" i="161"/>
  <c r="AD8" i="161"/>
  <c r="AF25" i="161"/>
  <c r="AC25" i="161"/>
  <c r="AB8" i="161"/>
  <c r="T17" i="161"/>
  <c r="U17" i="161"/>
  <c r="V17" i="161"/>
  <c r="Z17" i="161"/>
  <c r="X17" i="161"/>
  <c r="W17" i="161" l="1"/>
  <c r="AD17" i="161"/>
  <c r="S25" i="161"/>
  <c r="R25" i="161"/>
  <c r="Y17" i="161"/>
  <c r="AC17" i="161"/>
  <c r="AR55" i="167"/>
  <c r="BK106" i="178"/>
  <c r="BL106" i="178" s="1"/>
  <c r="BM106" i="178" s="1"/>
  <c r="BN106" i="178" s="1"/>
  <c r="BO106" i="178" s="1"/>
  <c r="Z18" i="161" l="1"/>
  <c r="BK111" i="178" l="1"/>
  <c r="BL111" i="178" s="1"/>
  <c r="BL102" i="178"/>
  <c r="BM102" i="178" s="1"/>
  <c r="BN102" i="178" s="1"/>
  <c r="BO102" i="178" s="1"/>
  <c r="BJ110" i="178"/>
  <c r="BK110" i="178" s="1"/>
  <c r="BL110" i="178" s="1"/>
  <c r="BM110" i="178" l="1"/>
  <c r="BN110" i="178" s="1"/>
  <c r="BO110" i="178" s="1"/>
  <c r="BM111" i="178"/>
  <c r="BN111" i="178" s="1"/>
  <c r="BO111" i="178" s="1"/>
  <c r="BL101" i="178"/>
  <c r="BM101" i="178" s="1"/>
  <c r="BK104" i="178"/>
  <c r="BK107" i="178" s="1"/>
  <c r="BL104" i="178" l="1"/>
  <c r="BL107" i="178" s="1"/>
  <c r="BN101" i="178"/>
  <c r="BM104" i="178"/>
  <c r="BM107" i="178" s="1"/>
  <c r="BO101" i="178" l="1"/>
  <c r="BO104" i="178" s="1"/>
  <c r="BO107" i="178" s="1"/>
  <c r="BN104" i="178"/>
  <c r="BN107" i="178" s="1"/>
  <c r="BJ104" i="178" l="1"/>
  <c r="BJ107" i="178" s="1"/>
  <c r="BI97" i="178"/>
  <c r="BO94" i="178"/>
  <c r="BN94" i="178"/>
  <c r="BM94" i="178"/>
  <c r="BL94" i="178"/>
  <c r="BK94" i="178"/>
  <c r="BI93" i="178"/>
  <c r="BI94" i="178"/>
  <c r="BI90" i="178" s="1"/>
  <c r="BI91" i="178" s="1"/>
  <c r="BI98" i="178" s="1"/>
  <c r="C95" i="178"/>
  <c r="C94" i="178"/>
  <c r="BL86" i="178"/>
  <c r="BK86" i="178"/>
  <c r="BJ86" i="178"/>
  <c r="BI86" i="178"/>
  <c r="BH86" i="178"/>
  <c r="BG86" i="178"/>
  <c r="BL85" i="178"/>
  <c r="BK85" i="178"/>
  <c r="BJ85" i="178"/>
  <c r="BI85" i="178"/>
  <c r="BF86" i="178"/>
  <c r="C82" i="178"/>
  <c r="C81" i="178"/>
  <c r="C80" i="178"/>
  <c r="BL77" i="178"/>
  <c r="BK77" i="178"/>
  <c r="BJ77" i="178"/>
  <c r="BI77" i="178"/>
  <c r="BH77" i="178"/>
  <c r="BG77" i="178"/>
  <c r="BL76" i="178"/>
  <c r="BK76" i="178"/>
  <c r="BJ76" i="178"/>
  <c r="BI76" i="178"/>
  <c r="BI75" i="178"/>
  <c r="BH75" i="178"/>
  <c r="BG75" i="178"/>
  <c r="BF77" i="178"/>
  <c r="BF75" i="178"/>
  <c r="BJ90" i="178" l="1"/>
  <c r="BJ91" i="178" s="1"/>
  <c r="BJ98" i="178" s="1"/>
  <c r="BJ93" i="178"/>
  <c r="BK93" i="178"/>
  <c r="BL90" i="178"/>
  <c r="BL91" i="178" s="1"/>
  <c r="BK90" i="178"/>
  <c r="BK91" i="178" s="1"/>
  <c r="BL93" i="178" l="1"/>
  <c r="BM93" i="178" l="1"/>
  <c r="BM90" i="178"/>
  <c r="BM91" i="178" s="1"/>
  <c r="BN93" i="178" l="1"/>
  <c r="BN90" i="178"/>
  <c r="BN91" i="178" s="1"/>
  <c r="BO93" i="178" l="1"/>
  <c r="BO90" i="178"/>
  <c r="BO91" i="178" s="1"/>
  <c r="C77" i="178" l="1"/>
  <c r="C76" i="178"/>
  <c r="C75" i="178"/>
  <c r="C86" i="178" l="1"/>
  <c r="C84" i="178"/>
  <c r="C85" i="178"/>
  <c r="L124" i="161" l="1"/>
  <c r="R120" i="161" l="1"/>
  <c r="R119" i="161"/>
  <c r="R121" i="161" s="1"/>
  <c r="Q121" i="161"/>
  <c r="Q112" i="161"/>
  <c r="Q107" i="161"/>
  <c r="W14" i="167" l="1"/>
  <c r="AY113" i="170" l="1"/>
  <c r="AX113" i="170"/>
  <c r="AW113" i="170"/>
  <c r="AV113" i="170"/>
  <c r="AU113" i="170"/>
  <c r="AY111" i="170"/>
  <c r="AX111" i="170"/>
  <c r="AW111" i="170"/>
  <c r="AV111" i="170"/>
  <c r="AU111" i="170"/>
  <c r="AZ97" i="170"/>
  <c r="AZ96" i="170"/>
  <c r="AY95" i="170"/>
  <c r="D86" i="161"/>
  <c r="C86" i="161"/>
  <c r="AH9" i="167"/>
  <c r="AL9" i="167" s="1"/>
  <c r="AP9" i="167" s="1"/>
  <c r="AT9" i="167" s="1"/>
  <c r="AX9" i="167" s="1"/>
  <c r="AJ9" i="167"/>
  <c r="AN9" i="167" s="1"/>
  <c r="AR9" i="167" s="1"/>
  <c r="AV9" i="167" s="1"/>
  <c r="D85" i="161"/>
  <c r="C85" i="161"/>
  <c r="BG130" i="167"/>
  <c r="BG128" i="167"/>
  <c r="BG129" i="167"/>
  <c r="BF129" i="167"/>
  <c r="BE129" i="167"/>
  <c r="BD129" i="167"/>
  <c r="BC129" i="167"/>
  <c r="BB129" i="167"/>
  <c r="BA129" i="167"/>
  <c r="AZ129" i="167"/>
  <c r="BF130" i="167"/>
  <c r="BF128" i="167"/>
  <c r="BG118" i="167"/>
  <c r="BG117" i="167"/>
  <c r="BF118" i="167"/>
  <c r="BF117" i="167"/>
  <c r="BG106" i="167"/>
  <c r="BF106" i="167"/>
  <c r="BG94" i="167"/>
  <c r="BF94" i="167"/>
  <c r="BM21" i="167"/>
  <c r="BL21" i="167"/>
  <c r="BK21" i="167"/>
  <c r="BM19" i="167"/>
  <c r="BL19" i="167"/>
  <c r="BK19" i="167"/>
  <c r="BM17" i="167"/>
  <c r="BL17" i="167"/>
  <c r="BK17" i="167"/>
  <c r="BM16" i="167"/>
  <c r="BL16" i="167"/>
  <c r="BK16" i="167"/>
  <c r="T7" i="169"/>
  <c r="BM88" i="167"/>
  <c r="BM87" i="167"/>
  <c r="BL88" i="167"/>
  <c r="BL87" i="167"/>
  <c r="BK88" i="167"/>
  <c r="BK87" i="167"/>
  <c r="R77" i="168"/>
  <c r="S77" i="168"/>
  <c r="T77" i="168"/>
  <c r="BG127" i="167" l="1"/>
  <c r="Q43" i="168"/>
  <c r="R43" i="168" s="1"/>
  <c r="R44" i="168" s="1"/>
  <c r="S41" i="168"/>
  <c r="T43" i="168"/>
  <c r="S7" i="169"/>
  <c r="R7" i="169"/>
  <c r="BF127" i="167"/>
  <c r="T41" i="168" l="1"/>
  <c r="S44" i="168"/>
  <c r="T44" i="168" l="1"/>
  <c r="BO39" i="178"/>
  <c r="BN39" i="178"/>
  <c r="BM39" i="178"/>
  <c r="W48" i="178"/>
  <c r="X48" i="178" s="1"/>
  <c r="Y48" i="178" s="1"/>
  <c r="Z48" i="178" s="1"/>
  <c r="AA48" i="178" s="1"/>
  <c r="AB48" i="178" s="1"/>
  <c r="AC48" i="178" s="1"/>
  <c r="AD48" i="178" s="1"/>
  <c r="AE48" i="178" s="1"/>
  <c r="AF48" i="178" s="1"/>
  <c r="AG48" i="178" s="1"/>
  <c r="AH48" i="178" s="1"/>
  <c r="AI48" i="178" s="1"/>
  <c r="AJ48" i="178" s="1"/>
  <c r="AK48" i="178" s="1"/>
  <c r="AL48" i="178" s="1"/>
  <c r="AM48" i="178" s="1"/>
  <c r="AN48" i="178" s="1"/>
  <c r="AO48" i="178" s="1"/>
  <c r="AP48" i="178" s="1"/>
  <c r="AQ48" i="178" s="1"/>
  <c r="AR48" i="178" s="1"/>
  <c r="AS48" i="178" s="1"/>
  <c r="AT48" i="178" s="1"/>
  <c r="AU48" i="178" s="1"/>
  <c r="BO67" i="178" l="1"/>
  <c r="BN67" i="178"/>
  <c r="BM67" i="178"/>
  <c r="AO123" i="178" l="1"/>
  <c r="AN123" i="178"/>
  <c r="BM123" i="178"/>
  <c r="T10" i="178"/>
  <c r="U10" i="178" s="1"/>
  <c r="U184" i="178" s="1"/>
  <c r="Y18" i="178"/>
  <c r="Z18" i="178" s="1"/>
  <c r="AU180" i="178"/>
  <c r="AT180" i="178"/>
  <c r="AS180" i="178"/>
  <c r="AR180" i="178"/>
  <c r="AS171" i="178"/>
  <c r="AT171" i="178" s="1"/>
  <c r="AU171" i="178" s="1"/>
  <c r="AS156" i="178"/>
  <c r="AT156" i="178" s="1"/>
  <c r="AU156" i="178" s="1"/>
  <c r="AS155" i="178"/>
  <c r="AT155" i="178" s="1"/>
  <c r="AU155" i="178" s="1"/>
  <c r="AS134" i="178"/>
  <c r="AT134" i="178" s="1"/>
  <c r="AS47" i="178"/>
  <c r="AT47" i="178" s="1"/>
  <c r="AU47" i="178" s="1"/>
  <c r="AS45" i="178"/>
  <c r="AQ180" i="178"/>
  <c r="AP180" i="178"/>
  <c r="AO180" i="178"/>
  <c r="AN180" i="178"/>
  <c r="AO171" i="178"/>
  <c r="AP171" i="178" s="1"/>
  <c r="AQ171" i="178" s="1"/>
  <c r="AO156" i="178"/>
  <c r="AP156" i="178" s="1"/>
  <c r="AQ156" i="178" s="1"/>
  <c r="AO155" i="178"/>
  <c r="AP155" i="178" s="1"/>
  <c r="AQ155" i="178" s="1"/>
  <c r="AO134" i="178"/>
  <c r="AP134" i="178" s="1"/>
  <c r="AO47" i="178"/>
  <c r="AP47" i="178" s="1"/>
  <c r="AQ47" i="178" s="1"/>
  <c r="AO45" i="178"/>
  <c r="AP45" i="178" s="1"/>
  <c r="AM180" i="178"/>
  <c r="AL180" i="178"/>
  <c r="AK180" i="178"/>
  <c r="AJ180" i="178"/>
  <c r="AK171" i="178"/>
  <c r="AL171" i="178" s="1"/>
  <c r="AM171" i="178" s="1"/>
  <c r="AL164" i="178"/>
  <c r="AK164" i="178"/>
  <c r="AJ164" i="178"/>
  <c r="AK156" i="178"/>
  <c r="AL156" i="178" s="1"/>
  <c r="AM156" i="178" s="1"/>
  <c r="AK155" i="178"/>
  <c r="AL155" i="178" s="1"/>
  <c r="AM155" i="178" s="1"/>
  <c r="AK134" i="178"/>
  <c r="AL134" i="178" s="1"/>
  <c r="AK47" i="178"/>
  <c r="AL47" i="178" s="1"/>
  <c r="AM47" i="178" s="1"/>
  <c r="AK45" i="178"/>
  <c r="AL45" i="178" s="1"/>
  <c r="BI10" i="178"/>
  <c r="N13" i="169"/>
  <c r="N14" i="169"/>
  <c r="N33" i="169" s="1"/>
  <c r="N18" i="169"/>
  <c r="N19" i="169"/>
  <c r="N26" i="169"/>
  <c r="AA24" i="167"/>
  <c r="AA23" i="167"/>
  <c r="Z22" i="167"/>
  <c r="W20" i="167"/>
  <c r="X20" i="167"/>
  <c r="Y20" i="167"/>
  <c r="Z20" i="167"/>
  <c r="AA20" i="167"/>
  <c r="X15" i="167"/>
  <c r="Y15" i="167"/>
  <c r="Z15" i="167"/>
  <c r="AA15" i="167"/>
  <c r="BH15" i="167" s="1"/>
  <c r="BH63" i="167" s="1"/>
  <c r="S19" i="167"/>
  <c r="T19" i="167"/>
  <c r="V19" i="167"/>
  <c r="W19" i="167"/>
  <c r="X19" i="167"/>
  <c r="Y19" i="167"/>
  <c r="Z19" i="167"/>
  <c r="AA19" i="167"/>
  <c r="X37" i="167"/>
  <c r="Y37" i="167"/>
  <c r="W37" i="167"/>
  <c r="Y36" i="167"/>
  <c r="X36" i="167"/>
  <c r="W36" i="167"/>
  <c r="BG36" i="167" s="1"/>
  <c r="N54" i="168"/>
  <c r="N14" i="168"/>
  <c r="N4" i="168"/>
  <c r="N5" i="168"/>
  <c r="O15" i="169" s="1"/>
  <c r="N6" i="168"/>
  <c r="N7" i="168"/>
  <c r="N9" i="168"/>
  <c r="N11" i="168"/>
  <c r="N12" i="168"/>
  <c r="N50" i="168" s="1"/>
  <c r="O46" i="168" s="1"/>
  <c r="N15" i="168"/>
  <c r="N16" i="168"/>
  <c r="O16" i="169" s="1"/>
  <c r="N19" i="168"/>
  <c r="N20" i="168"/>
  <c r="N21" i="168"/>
  <c r="N23" i="168"/>
  <c r="N24" i="168"/>
  <c r="O22" i="169" s="1"/>
  <c r="N27" i="168"/>
  <c r="N28" i="168"/>
  <c r="O23" i="169" s="1"/>
  <c r="N29" i="168"/>
  <c r="O20" i="169" s="1"/>
  <c r="N30" i="168"/>
  <c r="N31" i="168"/>
  <c r="N34" i="168"/>
  <c r="O24" i="169" s="1"/>
  <c r="N35" i="168"/>
  <c r="Z14" i="167"/>
  <c r="Z9" i="167"/>
  <c r="Z7" i="167"/>
  <c r="Z5" i="167"/>
  <c r="Z23" i="167"/>
  <c r="Z24" i="167"/>
  <c r="Z8" i="167"/>
  <c r="Z17" i="167"/>
  <c r="Z4" i="167"/>
  <c r="AA34" i="167"/>
  <c r="Z33" i="167"/>
  <c r="Z34" i="167" s="1"/>
  <c r="AA4" i="167"/>
  <c r="BH4" i="167" s="1"/>
  <c r="O32" i="169" s="1"/>
  <c r="AA5" i="167"/>
  <c r="AA7" i="167"/>
  <c r="AA8" i="167"/>
  <c r="AA9" i="167"/>
  <c r="Z10" i="167"/>
  <c r="AA10" i="167"/>
  <c r="AA14" i="167"/>
  <c r="BH14" i="167" s="1"/>
  <c r="BH59" i="167" s="1"/>
  <c r="AA17" i="167"/>
  <c r="AA22" i="167"/>
  <c r="BJ85" i="170"/>
  <c r="BG15" i="167" l="1"/>
  <c r="O17" i="169"/>
  <c r="Z54" i="167"/>
  <c r="O10" i="169"/>
  <c r="O11" i="169"/>
  <c r="O9" i="169"/>
  <c r="O41" i="168"/>
  <c r="O21" i="169"/>
  <c r="O25" i="169" s="1"/>
  <c r="BH62" i="167"/>
  <c r="BH64" i="167" s="1"/>
  <c r="O51" i="168"/>
  <c r="O49" i="168"/>
  <c r="BH58" i="167"/>
  <c r="BH60" i="167" s="1"/>
  <c r="AC54" i="167"/>
  <c r="AI8" i="167"/>
  <c r="AM8" i="167" s="1"/>
  <c r="AC52" i="167"/>
  <c r="W6" i="178"/>
  <c r="Z6" i="178"/>
  <c r="AC25" i="167"/>
  <c r="AC55" i="167"/>
  <c r="AC51" i="167"/>
  <c r="AJ51" i="167" s="1"/>
  <c r="AK51" i="167" s="1"/>
  <c r="AL51" i="167" s="1"/>
  <c r="AN51" i="167" s="1"/>
  <c r="AO51" i="167" s="1"/>
  <c r="AP51" i="167" s="1"/>
  <c r="AR51" i="167" s="1"/>
  <c r="AS51" i="167" s="1"/>
  <c r="AT51" i="167" s="1"/>
  <c r="AV51" i="167" s="1"/>
  <c r="AW51" i="167" s="1"/>
  <c r="AX51" i="167" s="1"/>
  <c r="AI9" i="167"/>
  <c r="AM9" i="167" s="1"/>
  <c r="AQ9" i="167" s="1"/>
  <c r="AU9" i="167" s="1"/>
  <c r="AH8" i="167"/>
  <c r="AL8" i="167" s="1"/>
  <c r="AP8" i="167" s="1"/>
  <c r="Z55" i="167"/>
  <c r="AA54" i="167"/>
  <c r="AZ112" i="170"/>
  <c r="X6" i="178"/>
  <c r="AZ106" i="170"/>
  <c r="AY107" i="170" s="1"/>
  <c r="BG20" i="167"/>
  <c r="AA52" i="167"/>
  <c r="AA25" i="167"/>
  <c r="AA51" i="167"/>
  <c r="AA53" i="167"/>
  <c r="BG37" i="167"/>
  <c r="AA55" i="167"/>
  <c r="N35" i="169"/>
  <c r="N28" i="169"/>
  <c r="N33" i="168"/>
  <c r="N32" i="168" s="1"/>
  <c r="N64" i="168"/>
  <c r="N8" i="168"/>
  <c r="N13" i="168"/>
  <c r="N18" i="168"/>
  <c r="N17" i="168" s="1"/>
  <c r="N36" i="168"/>
  <c r="N61" i="168"/>
  <c r="N62" i="168" s="1"/>
  <c r="N22" i="168"/>
  <c r="N10" i="168"/>
  <c r="N57" i="168"/>
  <c r="O53" i="168" s="1"/>
  <c r="Z52" i="167"/>
  <c r="Z51" i="167"/>
  <c r="AA6" i="167"/>
  <c r="Z53" i="167"/>
  <c r="AA11" i="167"/>
  <c r="AA50" i="167" s="1"/>
  <c r="AR123" i="178"/>
  <c r="AS123" i="178"/>
  <c r="V10" i="178"/>
  <c r="V184" i="178" s="1"/>
  <c r="T184" i="178"/>
  <c r="AT45" i="178"/>
  <c r="AQ45" i="178"/>
  <c r="AM45" i="178"/>
  <c r="N26" i="168"/>
  <c r="N25" i="168" s="1"/>
  <c r="Z11" i="167"/>
  <c r="Z50" i="167" s="1"/>
  <c r="Z25" i="167"/>
  <c r="Z6" i="167"/>
  <c r="O8" i="169" l="1"/>
  <c r="O58" i="168"/>
  <c r="O56" i="168"/>
  <c r="Z37" i="178"/>
  <c r="AK9" i="167"/>
  <c r="AO9" i="167" s="1"/>
  <c r="AS9" i="167" s="1"/>
  <c r="AW9" i="167" s="1"/>
  <c r="BM9" i="167" s="1"/>
  <c r="Z26" i="167"/>
  <c r="X37" i="178"/>
  <c r="AQ8" i="167"/>
  <c r="AT8" i="167"/>
  <c r="N6" i="169"/>
  <c r="AA12" i="167"/>
  <c r="Z12" i="167"/>
  <c r="W37" i="178"/>
  <c r="Z43" i="167"/>
  <c r="W10" i="178"/>
  <c r="W184" i="178" s="1"/>
  <c r="AP123" i="178"/>
  <c r="AQ123" i="178"/>
  <c r="AU45" i="178"/>
  <c r="Z27" i="167"/>
  <c r="Z47" i="167"/>
  <c r="AX8" i="167" l="1"/>
  <c r="AU8" i="167"/>
  <c r="AA13" i="167"/>
  <c r="AA21" i="167" s="1"/>
  <c r="Z13" i="167"/>
  <c r="Z44" i="167"/>
  <c r="BN123" i="178"/>
  <c r="BN133" i="178" s="1"/>
  <c r="AU123" i="178"/>
  <c r="AT123" i="178"/>
  <c r="V9" i="161"/>
  <c r="BO123" i="178" l="1"/>
  <c r="BO133" i="178" s="1"/>
  <c r="AA8" i="161"/>
  <c r="K124" i="161" l="1"/>
  <c r="K123" i="161"/>
  <c r="J122" i="161"/>
  <c r="I31" i="161" l="1"/>
  <c r="J31" i="161" s="1"/>
  <c r="T9" i="161" l="1"/>
  <c r="Q117" i="161" l="1"/>
  <c r="Q116" i="161"/>
  <c r="Q114" i="161"/>
  <c r="BR89" i="170"/>
  <c r="BO98" i="170" l="1"/>
  <c r="BP98" i="170"/>
  <c r="BR98" i="170"/>
  <c r="BQ98" i="170"/>
  <c r="BK67" i="178"/>
  <c r="BL67" i="178"/>
  <c r="BR103" i="170"/>
  <c r="E130" i="161"/>
  <c r="E129" i="161"/>
  <c r="AA102" i="161"/>
  <c r="S108" i="161"/>
  <c r="S107" i="161"/>
  <c r="S106" i="161"/>
  <c r="AY108" i="170" l="1"/>
  <c r="AZ108" i="170" s="1"/>
  <c r="AX105" i="170"/>
  <c r="AW105" i="170"/>
  <c r="AV105" i="170"/>
  <c r="AU105" i="170"/>
  <c r="AX104" i="170"/>
  <c r="AW104" i="170"/>
  <c r="AV104" i="170"/>
  <c r="AU104" i="170"/>
  <c r="AV99" i="170"/>
  <c r="AT102" i="170"/>
  <c r="AT101" i="170"/>
  <c r="AT100" i="170"/>
  <c r="AV95" i="170"/>
  <c r="AV100" i="170" s="1"/>
  <c r="AU95" i="170"/>
  <c r="AU99" i="170" s="1"/>
  <c r="AT88" i="170"/>
  <c r="AU88" i="170"/>
  <c r="AV88" i="170"/>
  <c r="AW88" i="170"/>
  <c r="AW95" i="170" s="1"/>
  <c r="AX88" i="170"/>
  <c r="AY88" i="170"/>
  <c r="AZ88" i="170"/>
  <c r="BA88" i="170"/>
  <c r="AX95" i="170" s="1"/>
  <c r="AX101" i="170" s="1"/>
  <c r="BB88" i="170"/>
  <c r="BC88" i="170"/>
  <c r="BD88" i="170"/>
  <c r="AS88" i="170"/>
  <c r="BD85" i="170"/>
  <c r="BC85" i="170"/>
  <c r="BB85" i="170"/>
  <c r="BA85" i="170"/>
  <c r="K81" i="161"/>
  <c r="M13" i="161"/>
  <c r="L13" i="161"/>
  <c r="K13" i="161"/>
  <c r="J13" i="161"/>
  <c r="I13" i="161"/>
  <c r="H13" i="161"/>
  <c r="G13" i="161"/>
  <c r="F13" i="161"/>
  <c r="E13" i="161"/>
  <c r="D13" i="161"/>
  <c r="C13" i="161"/>
  <c r="S9" i="161"/>
  <c r="V10" i="161" s="1"/>
  <c r="X9" i="161" s="1"/>
  <c r="Q103" i="161"/>
  <c r="AX100" i="170" l="1"/>
  <c r="BD87" i="170"/>
  <c r="BE87" i="170"/>
  <c r="BD89" i="170"/>
  <c r="BF87" i="170"/>
  <c r="AY101" i="170"/>
  <c r="AY100" i="170"/>
  <c r="AY99" i="170"/>
  <c r="AY98" i="170"/>
  <c r="AY102" i="170" s="1"/>
  <c r="AW100" i="170"/>
  <c r="AW101" i="170"/>
  <c r="AW98" i="170"/>
  <c r="AW102" i="170" s="1"/>
  <c r="AW99" i="170"/>
  <c r="AV98" i="170"/>
  <c r="AV102" i="170" s="1"/>
  <c r="AX99" i="170"/>
  <c r="AV101" i="170"/>
  <c r="AU100" i="170"/>
  <c r="AU98" i="170"/>
  <c r="AU102" i="170" s="1"/>
  <c r="AX98" i="170"/>
  <c r="AX102" i="170" s="1"/>
  <c r="AU101" i="170"/>
  <c r="BA47" i="170" l="1"/>
  <c r="AZ46" i="170" s="1"/>
  <c r="BA46" i="170" s="1"/>
  <c r="V16" i="167" s="1"/>
  <c r="BB46" i="170"/>
  <c r="W16" i="167" s="1"/>
  <c r="BB50" i="170"/>
  <c r="BB49" i="170" s="1"/>
  <c r="W18" i="167" s="1"/>
  <c r="BA54" i="170"/>
  <c r="AZ50" i="170" s="1"/>
  <c r="AZ49" i="170" s="1"/>
  <c r="U18" i="167" s="1"/>
  <c r="Q5" i="168"/>
  <c r="M26" i="169"/>
  <c r="M19" i="169"/>
  <c r="M18" i="169"/>
  <c r="M14" i="169"/>
  <c r="M33" i="169" s="1"/>
  <c r="M13" i="169"/>
  <c r="M54" i="168"/>
  <c r="M35" i="168"/>
  <c r="M34" i="168"/>
  <c r="N24" i="169" s="1"/>
  <c r="M31" i="168"/>
  <c r="M30" i="168"/>
  <c r="M29" i="168"/>
  <c r="N20" i="169" s="1"/>
  <c r="M28" i="168"/>
  <c r="N23" i="169" s="1"/>
  <c r="M27" i="168"/>
  <c r="M24" i="168"/>
  <c r="N22" i="169" s="1"/>
  <c r="M23" i="168"/>
  <c r="M21" i="168"/>
  <c r="M20" i="168"/>
  <c r="N11" i="169" s="1"/>
  <c r="M19" i="168"/>
  <c r="M16" i="168"/>
  <c r="N16" i="169" s="1"/>
  <c r="M15" i="168"/>
  <c r="M57" i="168" s="1"/>
  <c r="N53" i="168" s="1"/>
  <c r="M14" i="168"/>
  <c r="M12" i="168"/>
  <c r="M50" i="168" s="1"/>
  <c r="N46" i="168" s="1"/>
  <c r="M11" i="168"/>
  <c r="M9" i="168"/>
  <c r="M7" i="168"/>
  <c r="N10" i="169" s="1"/>
  <c r="M6" i="168"/>
  <c r="N9" i="169" s="1"/>
  <c r="M5" i="168"/>
  <c r="N15" i="169" s="1"/>
  <c r="M4" i="168"/>
  <c r="BF29" i="167"/>
  <c r="AC47" i="178"/>
  <c r="AD47" i="178" s="1"/>
  <c r="AE47" i="178" s="1"/>
  <c r="BH42" i="178"/>
  <c r="BH40" i="178"/>
  <c r="BH41" i="178"/>
  <c r="BG41" i="178"/>
  <c r="AI180" i="178"/>
  <c r="AH180" i="178"/>
  <c r="AG180" i="178"/>
  <c r="AF180" i="178"/>
  <c r="AE180" i="178"/>
  <c r="AD180" i="178"/>
  <c r="AC180" i="178"/>
  <c r="AB180" i="178"/>
  <c r="N180" i="178"/>
  <c r="M180" i="178"/>
  <c r="L180" i="178"/>
  <c r="K180" i="178"/>
  <c r="J180" i="178"/>
  <c r="I180" i="178"/>
  <c r="H180" i="178"/>
  <c r="Y20" i="178"/>
  <c r="AC20" i="178" s="1"/>
  <c r="AD20" i="178" s="1"/>
  <c r="AE20" i="178" s="1"/>
  <c r="AG20" i="178" s="1"/>
  <c r="AH20" i="178" s="1"/>
  <c r="AI20" i="178" s="1"/>
  <c r="AK20" i="178" s="1"/>
  <c r="AL20" i="178" s="1"/>
  <c r="AM20" i="178" s="1"/>
  <c r="AO20" i="178" s="1"/>
  <c r="AP20" i="178" s="1"/>
  <c r="AQ20" i="178" s="1"/>
  <c r="AR20" i="178" s="1"/>
  <c r="AS20" i="178" s="1"/>
  <c r="AT20" i="178" s="1"/>
  <c r="AU20" i="178" s="1"/>
  <c r="P11" i="178"/>
  <c r="Q11" i="178" s="1"/>
  <c r="L11" i="178"/>
  <c r="M11" i="178" s="1"/>
  <c r="N11" i="178" s="1"/>
  <c r="O11" i="178" s="1"/>
  <c r="T121" i="178"/>
  <c r="BH184" i="178"/>
  <c r="Z144" i="178"/>
  <c r="AA144" i="178" s="1"/>
  <c r="AB144" i="178" s="1"/>
  <c r="AC144" i="178" s="1"/>
  <c r="AB145" i="178"/>
  <c r="AC145" i="178" s="1"/>
  <c r="AD145" i="178" s="1"/>
  <c r="AE145" i="178" s="1"/>
  <c r="AD124" i="178"/>
  <c r="AZ8" i="178"/>
  <c r="BH19" i="178"/>
  <c r="N67" i="168" l="1"/>
  <c r="N17" i="169"/>
  <c r="R5" i="168"/>
  <c r="S5" i="168" s="1"/>
  <c r="T5" i="168" s="1"/>
  <c r="BG62" i="167"/>
  <c r="N21" i="169"/>
  <c r="N25" i="169" s="1"/>
  <c r="BG58" i="167"/>
  <c r="M13" i="168"/>
  <c r="N8" i="169"/>
  <c r="R184" i="178"/>
  <c r="M26" i="168"/>
  <c r="M25" i="168" s="1"/>
  <c r="M36" i="168"/>
  <c r="M47" i="168"/>
  <c r="M28" i="169"/>
  <c r="M35" i="169"/>
  <c r="M22" i="168"/>
  <c r="M18" i="168"/>
  <c r="M17" i="168" s="1"/>
  <c r="BC50" i="170"/>
  <c r="BC49" i="170" s="1"/>
  <c r="X18" i="167" s="1"/>
  <c r="U16" i="167"/>
  <c r="BA50" i="170"/>
  <c r="BA49" i="170" s="1"/>
  <c r="V18" i="167" s="1"/>
  <c r="BC46" i="170"/>
  <c r="X16" i="167" s="1"/>
  <c r="Z16" i="167" s="1"/>
  <c r="T11" i="178"/>
  <c r="M33" i="168"/>
  <c r="M8" i="168"/>
  <c r="M10" i="168"/>
  <c r="P184" i="178"/>
  <c r="Q184" i="178"/>
  <c r="R11" i="178"/>
  <c r="BG16" i="167" l="1"/>
  <c r="R15" i="169"/>
  <c r="Y18" i="167"/>
  <c r="Z18" i="167" s="1"/>
  <c r="Z21" i="167" s="1"/>
  <c r="S184" i="178"/>
  <c r="X11" i="178"/>
  <c r="U11" i="178"/>
  <c r="M32" i="168"/>
  <c r="S11" i="178"/>
  <c r="AB11" i="178" l="1"/>
  <c r="AF11" i="178" s="1"/>
  <c r="AJ11" i="178" s="1"/>
  <c r="AN11" i="178" s="1"/>
  <c r="BG18" i="167"/>
  <c r="S15" i="169"/>
  <c r="T15" i="169"/>
  <c r="Y11" i="178"/>
  <c r="AC11" i="178" s="1"/>
  <c r="AG11" i="178" s="1"/>
  <c r="AK11" i="178" s="1"/>
  <c r="AO11" i="178" s="1"/>
  <c r="AS11" i="178" s="1"/>
  <c r="U20" i="178"/>
  <c r="Y33" i="167"/>
  <c r="Y34" i="167" s="1"/>
  <c r="Y24" i="167"/>
  <c r="Y23" i="167"/>
  <c r="Y22" i="167"/>
  <c r="Y17" i="167"/>
  <c r="Y14" i="167"/>
  <c r="Y10" i="167"/>
  <c r="Y9" i="167"/>
  <c r="Y8" i="167"/>
  <c r="Y7" i="167"/>
  <c r="Y5" i="167"/>
  <c r="Y4" i="167"/>
  <c r="X33" i="167"/>
  <c r="X34" i="167" s="1"/>
  <c r="X24" i="167"/>
  <c r="X23" i="167"/>
  <c r="X22" i="167"/>
  <c r="X17" i="167"/>
  <c r="X14" i="167"/>
  <c r="X10" i="167"/>
  <c r="X9" i="167"/>
  <c r="X8" i="167"/>
  <c r="X7" i="167"/>
  <c r="X5" i="167"/>
  <c r="X4" i="167"/>
  <c r="W34" i="167"/>
  <c r="W24" i="167"/>
  <c r="BG24" i="167" s="1"/>
  <c r="N5" i="169" s="1"/>
  <c r="W23" i="167"/>
  <c r="W22" i="167"/>
  <c r="W17" i="167"/>
  <c r="W10" i="167"/>
  <c r="W9" i="167"/>
  <c r="W8" i="167"/>
  <c r="W7" i="167"/>
  <c r="W5" i="167"/>
  <c r="W4" i="167"/>
  <c r="V33" i="167"/>
  <c r="V34" i="167" s="1"/>
  <c r="V24" i="167"/>
  <c r="V23" i="167"/>
  <c r="V22" i="167"/>
  <c r="V20" i="167"/>
  <c r="V17" i="167"/>
  <c r="V15" i="167"/>
  <c r="V14" i="167"/>
  <c r="V10" i="167"/>
  <c r="V9" i="167"/>
  <c r="V8" i="167"/>
  <c r="V7" i="167"/>
  <c r="V5" i="167"/>
  <c r="V4" i="167"/>
  <c r="BG14" i="167" l="1"/>
  <c r="BG23" i="167"/>
  <c r="U6" i="178"/>
  <c r="AG8" i="167"/>
  <c r="AK8" i="167" s="1"/>
  <c r="AO8" i="167" s="1"/>
  <c r="BG4" i="167"/>
  <c r="N41" i="168" s="1"/>
  <c r="AJ8" i="167"/>
  <c r="AN8" i="167" s="1"/>
  <c r="BG8" i="167"/>
  <c r="BG91" i="167" s="1"/>
  <c r="BG95" i="167" s="1"/>
  <c r="BG9" i="167"/>
  <c r="BG103" i="167" s="1"/>
  <c r="BG107" i="167" s="1"/>
  <c r="BG7" i="167"/>
  <c r="N32" i="169"/>
  <c r="BG5" i="167"/>
  <c r="W54" i="167"/>
  <c r="BG10" i="167"/>
  <c r="AK27" i="178"/>
  <c r="AO27" i="178"/>
  <c r="AR11" i="178"/>
  <c r="V11" i="178"/>
  <c r="Y54" i="167"/>
  <c r="V6" i="178"/>
  <c r="Y55" i="167"/>
  <c r="V55" i="167"/>
  <c r="X11" i="167"/>
  <c r="X50" i="167" s="1"/>
  <c r="T6" i="178"/>
  <c r="V6" i="167"/>
  <c r="W53" i="167"/>
  <c r="Y51" i="167"/>
  <c r="Y52" i="167"/>
  <c r="Y53" i="167"/>
  <c r="Y6" i="167"/>
  <c r="V11" i="167"/>
  <c r="V50" i="167" s="1"/>
  <c r="V51" i="167"/>
  <c r="X51" i="167"/>
  <c r="V52" i="167"/>
  <c r="V54" i="167"/>
  <c r="V25" i="167"/>
  <c r="W6" i="167"/>
  <c r="X54" i="167"/>
  <c r="Y11" i="167"/>
  <c r="Y50" i="167" s="1"/>
  <c r="Y25" i="167"/>
  <c r="Y26" i="167" s="1"/>
  <c r="W52" i="167"/>
  <c r="X6" i="167"/>
  <c r="X25" i="167"/>
  <c r="X26" i="167" s="1"/>
  <c r="X55" i="167"/>
  <c r="W55" i="167"/>
  <c r="X52" i="167"/>
  <c r="W11" i="167"/>
  <c r="W50" i="167" s="1"/>
  <c r="W51" i="167"/>
  <c r="V53" i="167"/>
  <c r="W25" i="167"/>
  <c r="W26" i="167" s="1"/>
  <c r="X53" i="167"/>
  <c r="BG51" i="167" l="1"/>
  <c r="N66" i="168"/>
  <c r="BG26" i="167"/>
  <c r="BG52" i="167"/>
  <c r="AY106" i="170"/>
  <c r="AX107" i="170" s="1"/>
  <c r="AR8" i="167"/>
  <c r="BG6" i="167"/>
  <c r="AS8" i="167"/>
  <c r="BI6" i="178"/>
  <c r="BG53" i="167"/>
  <c r="N42" i="168"/>
  <c r="BG54" i="167"/>
  <c r="AY117" i="170" s="1"/>
  <c r="BG115" i="167"/>
  <c r="BG119" i="167" s="1"/>
  <c r="AY115" i="170"/>
  <c r="N43" i="168"/>
  <c r="Z88" i="167"/>
  <c r="BG11" i="167"/>
  <c r="BG50" i="167" s="1"/>
  <c r="X27" i="167"/>
  <c r="S37" i="178"/>
  <c r="AS27" i="178"/>
  <c r="Z11" i="178"/>
  <c r="W11" i="178"/>
  <c r="W20" i="178" s="1"/>
  <c r="T13" i="178"/>
  <c r="W13" i="178"/>
  <c r="V13" i="178"/>
  <c r="U13" i="178"/>
  <c r="Y27" i="167"/>
  <c r="W27" i="167"/>
  <c r="V27" i="167"/>
  <c r="W43" i="167"/>
  <c r="V12" i="167"/>
  <c r="Y12" i="167"/>
  <c r="V37" i="178"/>
  <c r="X12" i="167"/>
  <c r="U37" i="178"/>
  <c r="V26" i="167"/>
  <c r="W12" i="167"/>
  <c r="T37" i="178"/>
  <c r="AD11" i="178" l="1"/>
  <c r="AH11" i="178" s="1"/>
  <c r="AL11" i="178" s="1"/>
  <c r="AP11" i="178" s="1"/>
  <c r="AA11" i="178"/>
  <c r="AA20" i="178" s="1"/>
  <c r="BG27" i="167"/>
  <c r="BG12" i="167"/>
  <c r="N44" i="168"/>
  <c r="AW8" i="167"/>
  <c r="X13" i="167"/>
  <c r="X21" i="167" s="1"/>
  <c r="AV8" i="167"/>
  <c r="Y13" i="167"/>
  <c r="Y21" i="167" s="1"/>
  <c r="V13" i="167"/>
  <c r="V21" i="167" s="1"/>
  <c r="W13" i="167"/>
  <c r="W21" i="167" s="1"/>
  <c r="W44" i="167"/>
  <c r="AL27" i="178" l="1"/>
  <c r="AE11" i="178"/>
  <c r="AI11" i="178" s="1"/>
  <c r="AM11" i="178" s="1"/>
  <c r="BM11" i="178" s="1"/>
  <c r="BG21" i="167"/>
  <c r="AT11" i="178"/>
  <c r="AP27" i="178"/>
  <c r="R4" i="178"/>
  <c r="AJ27" i="178" l="1"/>
  <c r="AT27" i="178"/>
  <c r="AM27" i="178"/>
  <c r="AN27" i="178"/>
  <c r="AQ11" i="178"/>
  <c r="BN11" i="178" s="1"/>
  <c r="U33" i="167"/>
  <c r="U34" i="167" s="1"/>
  <c r="AW85" i="170"/>
  <c r="AX85" i="170"/>
  <c r="AY85" i="170"/>
  <c r="AZ37" i="170"/>
  <c r="AZ6" i="170"/>
  <c r="AZ7" i="170"/>
  <c r="AZ8" i="170"/>
  <c r="AZ85" i="170" s="1"/>
  <c r="BC87" i="170" s="1"/>
  <c r="AZ9" i="170"/>
  <c r="U7" i="167" s="1"/>
  <c r="AZ10" i="170"/>
  <c r="U8" i="167" s="1"/>
  <c r="AZ11" i="170"/>
  <c r="U9" i="167" s="1"/>
  <c r="AZ12" i="170"/>
  <c r="U10" i="167" s="1"/>
  <c r="AZ13" i="170"/>
  <c r="AZ14" i="170"/>
  <c r="U15" i="167" s="1"/>
  <c r="AZ15" i="170"/>
  <c r="U14" i="167" s="1"/>
  <c r="AZ16" i="170"/>
  <c r="U20" i="167" s="1"/>
  <c r="AZ17" i="170"/>
  <c r="AZ18" i="170"/>
  <c r="AZ19" i="170"/>
  <c r="U17" i="167" s="1"/>
  <c r="AZ20" i="170"/>
  <c r="AZ21" i="170"/>
  <c r="AZ22" i="170"/>
  <c r="U19" i="167" s="1"/>
  <c r="AZ23" i="170"/>
  <c r="AZ24" i="170"/>
  <c r="AZ25" i="170"/>
  <c r="AZ26" i="170"/>
  <c r="AZ27" i="170"/>
  <c r="U22" i="167" s="1"/>
  <c r="AZ28" i="170"/>
  <c r="U23" i="167" s="1"/>
  <c r="AZ29" i="170"/>
  <c r="AZ30" i="170"/>
  <c r="AZ31" i="170"/>
  <c r="AZ32" i="170"/>
  <c r="U24" i="167" s="1"/>
  <c r="AZ33" i="170"/>
  <c r="AZ34" i="170"/>
  <c r="AZ35" i="170"/>
  <c r="AZ36" i="170"/>
  <c r="AZ5" i="170"/>
  <c r="U4" i="167" s="1"/>
  <c r="BM7" i="170"/>
  <c r="BM8" i="170"/>
  <c r="BM9" i="170"/>
  <c r="BM10" i="170"/>
  <c r="BM11" i="170"/>
  <c r="BM12" i="170"/>
  <c r="BM13" i="170"/>
  <c r="BM14" i="170"/>
  <c r="BM15" i="170"/>
  <c r="BM16" i="170"/>
  <c r="BM17" i="170"/>
  <c r="BM18" i="170"/>
  <c r="BM19" i="170"/>
  <c r="BM20" i="170"/>
  <c r="BM21" i="170"/>
  <c r="BM22" i="170"/>
  <c r="BM23" i="170"/>
  <c r="BM24" i="170"/>
  <c r="BM25" i="170"/>
  <c r="BM26" i="170"/>
  <c r="BM27" i="170"/>
  <c r="BM28" i="170"/>
  <c r="BM29" i="170"/>
  <c r="BM30" i="170"/>
  <c r="BM31" i="170"/>
  <c r="BM32" i="170"/>
  <c r="BM33" i="170"/>
  <c r="BM34" i="170"/>
  <c r="BM35" i="170"/>
  <c r="BM36" i="170"/>
  <c r="BM37" i="170"/>
  <c r="BM5" i="170"/>
  <c r="BM6" i="170"/>
  <c r="BB87" i="170" l="1"/>
  <c r="BN20" i="178"/>
  <c r="AQ27" i="178"/>
  <c r="AU11" i="178"/>
  <c r="AR27" i="178"/>
  <c r="BA87" i="170"/>
  <c r="AZ87" i="170"/>
  <c r="U25" i="167"/>
  <c r="R6" i="178"/>
  <c r="U55" i="167"/>
  <c r="U52" i="167"/>
  <c r="U51" i="167"/>
  <c r="U5" i="167"/>
  <c r="U54" i="167"/>
  <c r="U11" i="167"/>
  <c r="U50" i="167" s="1"/>
  <c r="U53" i="167"/>
  <c r="AU27" i="178" l="1"/>
  <c r="BO11" i="178"/>
  <c r="U27" i="167"/>
  <c r="U6" i="167"/>
  <c r="U26" i="167"/>
  <c r="U47" i="167"/>
  <c r="Q162" i="178"/>
  <c r="Q4" i="178"/>
  <c r="BO20" i="178" l="1"/>
  <c r="R37" i="178"/>
  <c r="U12" i="167"/>
  <c r="U43" i="167"/>
  <c r="T33" i="167"/>
  <c r="T34" i="167" s="1"/>
  <c r="T22" i="167"/>
  <c r="S15" i="167"/>
  <c r="S17" i="167"/>
  <c r="T14" i="167"/>
  <c r="AY61" i="170"/>
  <c r="T37" i="167" s="1"/>
  <c r="AX61" i="170"/>
  <c r="S37" i="167" s="1"/>
  <c r="AY60" i="170"/>
  <c r="T36" i="167" s="1"/>
  <c r="AX60" i="170"/>
  <c r="S36" i="167" s="1"/>
  <c r="AY50" i="170"/>
  <c r="AY49" i="170" s="1"/>
  <c r="T18" i="167" s="1"/>
  <c r="AX50" i="170"/>
  <c r="AX49" i="170" s="1"/>
  <c r="S18" i="167" s="1"/>
  <c r="T4" i="167"/>
  <c r="AY46" i="170"/>
  <c r="T16" i="167" s="1"/>
  <c r="AX46" i="170"/>
  <c r="S16" i="167" s="1"/>
  <c r="T5" i="167"/>
  <c r="T7" i="167"/>
  <c r="T8" i="167"/>
  <c r="T9" i="167"/>
  <c r="T10" i="167"/>
  <c r="T15" i="167"/>
  <c r="T20" i="167"/>
  <c r="T17" i="167"/>
  <c r="T23" i="167"/>
  <c r="T24" i="167"/>
  <c r="U36" i="167" l="1"/>
  <c r="V36" i="167" s="1"/>
  <c r="U37" i="167"/>
  <c r="V37" i="167" s="1"/>
  <c r="BF15" i="167"/>
  <c r="U44" i="167"/>
  <c r="T6" i="167"/>
  <c r="Q6" i="178"/>
  <c r="T25" i="167"/>
  <c r="T51" i="167"/>
  <c r="T55" i="167"/>
  <c r="T54" i="167"/>
  <c r="T53" i="167"/>
  <c r="T52" i="167"/>
  <c r="T11" i="167"/>
  <c r="T50" i="167" s="1"/>
  <c r="BF36" i="167" l="1"/>
  <c r="BF37" i="167"/>
  <c r="M55" i="168" s="1"/>
  <c r="M48" i="168"/>
  <c r="T26" i="167"/>
  <c r="Q37" i="178"/>
  <c r="Q44" i="178" s="1"/>
  <c r="T12" i="167"/>
  <c r="M6" i="169" l="1"/>
  <c r="U182" i="178" l="1"/>
  <c r="V182" i="178" s="1"/>
  <c r="W182" i="178" s="1"/>
  <c r="X182" i="178" s="1"/>
  <c r="Y182" i="178" l="1"/>
  <c r="Z182" i="178" s="1"/>
  <c r="AA182" i="178" s="1"/>
  <c r="AB182" i="178" l="1"/>
  <c r="AC182" i="178" s="1"/>
  <c r="AD182" i="178" s="1"/>
  <c r="AE182" i="178" s="1"/>
  <c r="AM143" i="178"/>
  <c r="AN143" i="178"/>
  <c r="Y152" i="178"/>
  <c r="AO143" i="178" s="1"/>
  <c r="X121" i="178"/>
  <c r="V121" i="178"/>
  <c r="AN164" i="178" l="1"/>
  <c r="AM164" i="178"/>
  <c r="BM164" i="178" s="1"/>
  <c r="BM143" i="178" s="1"/>
  <c r="AO164" i="178"/>
  <c r="AF182" i="178"/>
  <c r="AG182" i="178" s="1"/>
  <c r="AH182" i="178" s="1"/>
  <c r="AI182" i="178" s="1"/>
  <c r="AJ182" i="178" s="1"/>
  <c r="AK182" i="178" s="1"/>
  <c r="AL182" i="178" s="1"/>
  <c r="AM182" i="178" s="1"/>
  <c r="AN182" i="178" s="1"/>
  <c r="AO182" i="178" s="1"/>
  <c r="AP182" i="178" s="1"/>
  <c r="AQ182" i="178" s="1"/>
  <c r="AR182" i="178" s="1"/>
  <c r="AS182" i="178" s="1"/>
  <c r="AT182" i="178" s="1"/>
  <c r="AU182" i="178" s="1"/>
  <c r="AQ143" i="178"/>
  <c r="U152" i="178"/>
  <c r="U141" i="178" s="1"/>
  <c r="AR143" i="178"/>
  <c r="AR164" i="178" s="1"/>
  <c r="T141" i="178"/>
  <c r="S141" i="178"/>
  <c r="M47" i="178"/>
  <c r="N47" i="178" s="1"/>
  <c r="BG42" i="178"/>
  <c r="BG40" i="178"/>
  <c r="O179" i="178"/>
  <c r="O180" i="178" s="1"/>
  <c r="BG184" i="178"/>
  <c r="BF7" i="178"/>
  <c r="O4" i="178"/>
  <c r="P4" i="178"/>
  <c r="AQ164" i="178" l="1"/>
  <c r="N184" i="178"/>
  <c r="N181" i="178" s="1"/>
  <c r="M184" i="178"/>
  <c r="M181" i="178" s="1"/>
  <c r="AP143" i="178"/>
  <c r="V152" i="178"/>
  <c r="AP164" i="178" l="1"/>
  <c r="BN164" i="178" s="1"/>
  <c r="BN143" i="178" s="1"/>
  <c r="BN154" i="178" s="1"/>
  <c r="V141" i="178"/>
  <c r="L13" i="169" l="1"/>
  <c r="L14" i="169"/>
  <c r="L33" i="169" s="1"/>
  <c r="L18" i="169"/>
  <c r="L19" i="169"/>
  <c r="L26" i="169"/>
  <c r="L54" i="168"/>
  <c r="L21" i="168"/>
  <c r="L23" i="168"/>
  <c r="L24" i="168"/>
  <c r="L27" i="168"/>
  <c r="L28" i="168"/>
  <c r="M23" i="169" s="1"/>
  <c r="L29" i="168"/>
  <c r="M20" i="169" s="1"/>
  <c r="L30" i="168"/>
  <c r="L31" i="168"/>
  <c r="L34" i="168"/>
  <c r="M24" i="169" s="1"/>
  <c r="L35" i="168"/>
  <c r="L4" i="168"/>
  <c r="L5" i="168"/>
  <c r="M15" i="169" s="1"/>
  <c r="L6" i="168"/>
  <c r="M9" i="169" s="1"/>
  <c r="L7" i="168"/>
  <c r="M10" i="169" s="1"/>
  <c r="L9" i="168"/>
  <c r="L11" i="168"/>
  <c r="L12" i="168"/>
  <c r="L50" i="168" s="1"/>
  <c r="M46" i="168" s="1"/>
  <c r="L14" i="168"/>
  <c r="L15" i="168"/>
  <c r="L57" i="168" s="1"/>
  <c r="M53" i="168" s="1"/>
  <c r="L16" i="168"/>
  <c r="M16" i="169" s="1"/>
  <c r="L19" i="168"/>
  <c r="L20" i="168"/>
  <c r="M11" i="169" s="1"/>
  <c r="BE128" i="167"/>
  <c r="BE145" i="167" s="1"/>
  <c r="BE149" i="167" s="1"/>
  <c r="BE146" i="167"/>
  <c r="BE150" i="167" s="1"/>
  <c r="BE130" i="167"/>
  <c r="BE147" i="167" s="1"/>
  <c r="BE151" i="167" s="1"/>
  <c r="BE136" i="167"/>
  <c r="BE137" i="167"/>
  <c r="BE138" i="167"/>
  <c r="BE118" i="167"/>
  <c r="BD118" i="167"/>
  <c r="BE117" i="167"/>
  <c r="BE106" i="167"/>
  <c r="BE94" i="167"/>
  <c r="BE36" i="167"/>
  <c r="BE37" i="167"/>
  <c r="L55" i="168" s="1"/>
  <c r="BE29" i="167"/>
  <c r="S33" i="167"/>
  <c r="S34" i="167" s="1"/>
  <c r="S20" i="167"/>
  <c r="BF20" i="167" s="1"/>
  <c r="S22" i="167"/>
  <c r="S23" i="167"/>
  <c r="S24" i="167"/>
  <c r="S14" i="167"/>
  <c r="BF14" i="167" s="1"/>
  <c r="S4" i="167"/>
  <c r="S5" i="167"/>
  <c r="S7" i="167"/>
  <c r="S8" i="167"/>
  <c r="S9" i="167"/>
  <c r="S10" i="167"/>
  <c r="R33" i="167"/>
  <c r="R34" i="167" s="1"/>
  <c r="Q19" i="167"/>
  <c r="R19" i="167"/>
  <c r="Q20" i="167"/>
  <c r="R20" i="167"/>
  <c r="Q22" i="167"/>
  <c r="R22" i="167"/>
  <c r="Q23" i="167"/>
  <c r="R23" i="167"/>
  <c r="Q24" i="167"/>
  <c r="R24" i="167"/>
  <c r="Q17" i="167"/>
  <c r="R17" i="167"/>
  <c r="Q14" i="167"/>
  <c r="R14" i="167"/>
  <c r="Q15" i="167"/>
  <c r="R15" i="167"/>
  <c r="Q4" i="167"/>
  <c r="R4" i="167"/>
  <c r="Q5" i="167"/>
  <c r="R5" i="167"/>
  <c r="Q7" i="167"/>
  <c r="R7" i="167"/>
  <c r="Q8" i="167"/>
  <c r="R8" i="167"/>
  <c r="Q9" i="167"/>
  <c r="R9" i="167"/>
  <c r="Q10" i="167"/>
  <c r="R10" i="167"/>
  <c r="AW63" i="170"/>
  <c r="AV61" i="170" s="1"/>
  <c r="Q37" i="167" s="1"/>
  <c r="AW62" i="170"/>
  <c r="AW60" i="170" s="1"/>
  <c r="R36" i="167" s="1"/>
  <c r="AW54" i="170"/>
  <c r="AW50" i="170" s="1"/>
  <c r="AW49" i="170" s="1"/>
  <c r="R18" i="167" s="1"/>
  <c r="AW47" i="170"/>
  <c r="AW46" i="170" s="1"/>
  <c r="R16" i="167" s="1"/>
  <c r="M17" i="169" l="1"/>
  <c r="M58" i="168"/>
  <c r="M56" i="168"/>
  <c r="BF62" i="167"/>
  <c r="M21" i="169"/>
  <c r="BF58" i="167"/>
  <c r="M8" i="169"/>
  <c r="M51" i="168"/>
  <c r="M49" i="168"/>
  <c r="M64" i="168"/>
  <c r="M22" i="169"/>
  <c r="S6" i="178"/>
  <c r="L18" i="168"/>
  <c r="L17" i="168" s="1"/>
  <c r="L26" i="168"/>
  <c r="L25" i="168" s="1"/>
  <c r="Q6" i="167"/>
  <c r="S6" i="167"/>
  <c r="S55" i="167"/>
  <c r="AW61" i="170"/>
  <c r="R37" i="167" s="1"/>
  <c r="AV46" i="170"/>
  <c r="Q16" i="167" s="1"/>
  <c r="R54" i="167"/>
  <c r="R51" i="167"/>
  <c r="L6" i="169"/>
  <c r="L33" i="168"/>
  <c r="L32" i="168" s="1"/>
  <c r="L48" i="168"/>
  <c r="R25" i="167"/>
  <c r="S11" i="167"/>
  <c r="S50" i="167" s="1"/>
  <c r="AV50" i="170"/>
  <c r="AV49" i="170" s="1"/>
  <c r="Q18" i="167" s="1"/>
  <c r="O6" i="178"/>
  <c r="Q25" i="167"/>
  <c r="R11" i="167"/>
  <c r="R50" i="167" s="1"/>
  <c r="R6" i="167"/>
  <c r="S52" i="167"/>
  <c r="AV60" i="170"/>
  <c r="Q36" i="167" s="1"/>
  <c r="Q11" i="167"/>
  <c r="P6" i="178"/>
  <c r="R52" i="167"/>
  <c r="L22" i="168"/>
  <c r="L61" i="168"/>
  <c r="L62" i="168" s="1"/>
  <c r="L35" i="169"/>
  <c r="L64" i="168"/>
  <c r="L10" i="168"/>
  <c r="L28" i="169"/>
  <c r="L36" i="168"/>
  <c r="L8" i="168"/>
  <c r="L13" i="168"/>
  <c r="R55" i="167"/>
  <c r="R53" i="167"/>
  <c r="BE127" i="167"/>
  <c r="S25" i="167"/>
  <c r="S54" i="167"/>
  <c r="S51" i="167"/>
  <c r="S53" i="167"/>
  <c r="L47" i="168"/>
  <c r="M25" i="169" l="1"/>
  <c r="BH6" i="178"/>
  <c r="R47" i="167"/>
  <c r="Q12" i="167"/>
  <c r="R27" i="167"/>
  <c r="S27" i="167"/>
  <c r="S43" i="167"/>
  <c r="P37" i="178"/>
  <c r="R26" i="167"/>
  <c r="S12" i="167"/>
  <c r="S47" i="167"/>
  <c r="R43" i="167"/>
  <c r="O37" i="178"/>
  <c r="S26" i="167"/>
  <c r="R12" i="167"/>
  <c r="Q13" i="167" l="1"/>
  <c r="Q21" i="167" s="1"/>
  <c r="S44" i="167"/>
  <c r="R44" i="167"/>
  <c r="R13" i="167"/>
  <c r="R21" i="167" s="1"/>
  <c r="AB142" i="178"/>
  <c r="AC142" i="178" s="1"/>
  <c r="AD142" i="178" s="1"/>
  <c r="AN85" i="170" l="1"/>
  <c r="AO85" i="170"/>
  <c r="AP85" i="170"/>
  <c r="AQ85" i="170"/>
  <c r="AR85" i="170"/>
  <c r="AS85" i="170"/>
  <c r="AT85" i="170"/>
  <c r="AU85" i="170"/>
  <c r="AV85" i="170"/>
  <c r="AY87" i="170" s="1"/>
  <c r="AV87" i="170" l="1"/>
  <c r="AT87" i="170"/>
  <c r="AU87" i="170"/>
  <c r="AS87" i="170"/>
  <c r="AX87" i="170"/>
  <c r="AW87" i="170"/>
  <c r="R120" i="178"/>
  <c r="AJ55" i="167" l="1"/>
  <c r="O120" i="178"/>
  <c r="AK55" i="167" l="1"/>
  <c r="M4" i="178"/>
  <c r="N4" i="178"/>
  <c r="AL55" i="167" l="1"/>
  <c r="Q33" i="167"/>
  <c r="AN55" i="167" l="1"/>
  <c r="Q34" i="167"/>
  <c r="Q27" i="167" s="1"/>
  <c r="Q26" i="167"/>
  <c r="N6" i="178"/>
  <c r="Q55" i="167"/>
  <c r="Q51" i="167"/>
  <c r="AO55" i="167" l="1"/>
  <c r="O140" i="178"/>
  <c r="O161" i="178" s="1"/>
  <c r="AG134" i="178"/>
  <c r="AH134" i="178" s="1"/>
  <c r="AC130" i="178"/>
  <c r="AD130" i="178" s="1"/>
  <c r="AE130" i="178" s="1"/>
  <c r="AF130" i="178" s="1"/>
  <c r="AG130" i="178" s="1"/>
  <c r="AH130" i="178" s="1"/>
  <c r="AI130" i="178" s="1"/>
  <c r="AJ130" i="178" s="1"/>
  <c r="AK130" i="178" s="1"/>
  <c r="AL130" i="178" s="1"/>
  <c r="AM130" i="178" s="1"/>
  <c r="AN130" i="178" s="1"/>
  <c r="AO130" i="178" s="1"/>
  <c r="AP130" i="178" s="1"/>
  <c r="AQ130" i="178" s="1"/>
  <c r="AR130" i="178" s="1"/>
  <c r="AS130" i="178" s="1"/>
  <c r="AT130" i="178" s="1"/>
  <c r="AU130" i="178" s="1"/>
  <c r="U130" i="178"/>
  <c r="V130" i="178" s="1"/>
  <c r="W130" i="178" s="1"/>
  <c r="Y130" i="178" s="1"/>
  <c r="Z130" i="178" s="1"/>
  <c r="AA130" i="178" s="1"/>
  <c r="AC129" i="178"/>
  <c r="AD129" i="178" s="1"/>
  <c r="AE129" i="178" s="1"/>
  <c r="AF129" i="178" s="1"/>
  <c r="AG129" i="178" s="1"/>
  <c r="AH129" i="178" s="1"/>
  <c r="AI129" i="178" s="1"/>
  <c r="AJ129" i="178" s="1"/>
  <c r="AK129" i="178" s="1"/>
  <c r="AL129" i="178" s="1"/>
  <c r="AM129" i="178" s="1"/>
  <c r="AN129" i="178" s="1"/>
  <c r="AO129" i="178" s="1"/>
  <c r="AP129" i="178" s="1"/>
  <c r="AQ129" i="178" s="1"/>
  <c r="AR129" i="178" s="1"/>
  <c r="AS129" i="178" s="1"/>
  <c r="AT129" i="178" s="1"/>
  <c r="AU129" i="178" s="1"/>
  <c r="Y129" i="178"/>
  <c r="Z129" i="178" s="1"/>
  <c r="AA129" i="178" s="1"/>
  <c r="U129" i="178"/>
  <c r="V129" i="178" s="1"/>
  <c r="W129" i="178" s="1"/>
  <c r="AP55" i="167" l="1"/>
  <c r="S129" i="178"/>
  <c r="AU61" i="170"/>
  <c r="P37" i="167" s="1"/>
  <c r="AT61" i="170"/>
  <c r="O37" i="167" s="1"/>
  <c r="AU60" i="170"/>
  <c r="P36" i="167" s="1"/>
  <c r="AT60" i="170"/>
  <c r="O36" i="167" s="1"/>
  <c r="O4" i="167"/>
  <c r="P4" i="167"/>
  <c r="O5" i="167"/>
  <c r="P5" i="167"/>
  <c r="O7" i="167"/>
  <c r="P7" i="167"/>
  <c r="O8" i="167"/>
  <c r="P8" i="167"/>
  <c r="O9" i="167"/>
  <c r="P9" i="167"/>
  <c r="O10" i="167"/>
  <c r="P10" i="167"/>
  <c r="O14" i="167"/>
  <c r="P14" i="167"/>
  <c r="O15" i="167"/>
  <c r="P15" i="167"/>
  <c r="O17" i="167"/>
  <c r="P17" i="167"/>
  <c r="O19" i="167"/>
  <c r="P19" i="167"/>
  <c r="O20" i="167"/>
  <c r="P20" i="167"/>
  <c r="O22" i="167"/>
  <c r="P22" i="167"/>
  <c r="O23" i="167"/>
  <c r="P23" i="167"/>
  <c r="O24" i="167"/>
  <c r="P24" i="167"/>
  <c r="O33" i="167"/>
  <c r="O34" i="167" s="1"/>
  <c r="P33" i="167"/>
  <c r="P34" i="167" s="1"/>
  <c r="AU50" i="170"/>
  <c r="AU49" i="170" s="1"/>
  <c r="P18" i="167" s="1"/>
  <c r="AT50" i="170"/>
  <c r="AT49" i="170" s="1"/>
  <c r="O18" i="167" s="1"/>
  <c r="AQ50" i="170"/>
  <c r="AU46" i="170"/>
  <c r="P16" i="167" s="1"/>
  <c r="AT46" i="170"/>
  <c r="O16" i="167" s="1"/>
  <c r="BE18" i="167" l="1"/>
  <c r="BE16" i="167"/>
  <c r="BE20" i="167"/>
  <c r="BE17" i="167"/>
  <c r="BE7" i="167"/>
  <c r="BE24" i="167"/>
  <c r="L5" i="169" s="1"/>
  <c r="BE9" i="167"/>
  <c r="O6" i="167"/>
  <c r="BE5" i="167"/>
  <c r="BE10" i="167"/>
  <c r="BE15" i="167"/>
  <c r="BE63" i="167" s="1"/>
  <c r="BE23" i="167"/>
  <c r="BE19" i="167"/>
  <c r="L7" i="169" s="1"/>
  <c r="BE14" i="167"/>
  <c r="BE8" i="167"/>
  <c r="BE91" i="167" s="1"/>
  <c r="BE95" i="167" s="1"/>
  <c r="BE100" i="167" s="1"/>
  <c r="BE4" i="167"/>
  <c r="O25" i="167"/>
  <c r="M6" i="178"/>
  <c r="P51" i="167"/>
  <c r="O11" i="167"/>
  <c r="P53" i="167"/>
  <c r="P55" i="167"/>
  <c r="P54" i="167"/>
  <c r="P52" i="167"/>
  <c r="P6" i="167"/>
  <c r="P25" i="167"/>
  <c r="P11" i="167"/>
  <c r="BE115" i="167" l="1"/>
  <c r="BE119" i="167" s="1"/>
  <c r="AW115" i="170"/>
  <c r="L32" i="169"/>
  <c r="AW106" i="170"/>
  <c r="AV107" i="170" s="1"/>
  <c r="BE103" i="167"/>
  <c r="BE107" i="167" s="1"/>
  <c r="O27" i="167"/>
  <c r="BE59" i="167"/>
  <c r="BE11" i="167"/>
  <c r="O12" i="167"/>
  <c r="BE6" i="167"/>
  <c r="O26" i="167"/>
  <c r="M37" i="178"/>
  <c r="P12" i="167"/>
  <c r="P27" i="167"/>
  <c r="P26" i="167"/>
  <c r="AT55" i="167" l="1"/>
  <c r="BE27" i="167"/>
  <c r="P13" i="167"/>
  <c r="P21" i="167" s="1"/>
  <c r="O13" i="167"/>
  <c r="O21" i="167" s="1"/>
  <c r="O39" i="167"/>
  <c r="O40" i="167" s="1"/>
  <c r="BE26" i="167"/>
  <c r="BE12" i="167"/>
  <c r="AV55" i="167" l="1"/>
  <c r="BE21" i="167"/>
  <c r="BE13" i="167" s="1"/>
  <c r="BE22" i="167" s="1"/>
  <c r="BE25" i="167" s="1"/>
  <c r="L4" i="169" s="1"/>
  <c r="AW55" i="167" l="1"/>
  <c r="AX55" i="167" l="1"/>
  <c r="P15" i="169" l="1"/>
  <c r="Q15" i="169"/>
  <c r="W171" i="178" l="1"/>
  <c r="Y171" i="178" s="1"/>
  <c r="Z171" i="178" s="1"/>
  <c r="AA171" i="178" s="1"/>
  <c r="AC171" i="178" l="1"/>
  <c r="AD171" i="178" s="1"/>
  <c r="AE171" i="178" s="1"/>
  <c r="AG171" i="178" s="1"/>
  <c r="AH171" i="178" s="1"/>
  <c r="L4" i="178"/>
  <c r="L6" i="178"/>
  <c r="BG6" i="178" l="1"/>
  <c r="O51" i="167"/>
  <c r="O52" i="167"/>
  <c r="O53" i="167"/>
  <c r="O54" i="167"/>
  <c r="O55" i="167"/>
  <c r="O50" i="167"/>
  <c r="L13" i="178" l="1"/>
  <c r="BG33" i="178"/>
  <c r="O13" i="178"/>
  <c r="N13" i="178"/>
  <c r="M13" i="178"/>
  <c r="L37" i="178"/>
  <c r="AJ122" i="178" l="1"/>
  <c r="AI164" i="178"/>
  <c r="BI153" i="178"/>
  <c r="BI154" i="178"/>
  <c r="BK133" i="178"/>
  <c r="BE124" i="178"/>
  <c r="BF124" i="178"/>
  <c r="BG124" i="178"/>
  <c r="BE125" i="178"/>
  <c r="BF125" i="178"/>
  <c r="BG125" i="178"/>
  <c r="BE120" i="178"/>
  <c r="V162" i="178"/>
  <c r="AN122" i="178" l="1"/>
  <c r="S120" i="178"/>
  <c r="P120" i="178"/>
  <c r="T120" i="178" s="1"/>
  <c r="X120" i="178" s="1"/>
  <c r="AA164" i="178"/>
  <c r="BJ164" i="178" s="1"/>
  <c r="AB164" i="178"/>
  <c r="AC164" i="178"/>
  <c r="AD164" i="178"/>
  <c r="AE164" i="178"/>
  <c r="AF164" i="178"/>
  <c r="AG164" i="178"/>
  <c r="AH164" i="178"/>
  <c r="BL123" i="178"/>
  <c r="C143" i="178"/>
  <c r="C154" i="178" s="1"/>
  <c r="C133" i="178"/>
  <c r="BL133" i="178" l="1"/>
  <c r="BM133" i="178"/>
  <c r="AR122" i="178"/>
  <c r="BJ143" i="178"/>
  <c r="BJ154" i="178" s="1"/>
  <c r="BK164" i="178"/>
  <c r="BK143" i="178" s="1"/>
  <c r="BL164" i="178"/>
  <c r="BL143" i="178" s="1"/>
  <c r="BM154" i="178" s="1"/>
  <c r="AM122" i="178"/>
  <c r="AQ122" i="178" s="1"/>
  <c r="AU122" i="178" s="1"/>
  <c r="BK122" i="178"/>
  <c r="C164" i="178"/>
  <c r="BK154" i="178" l="1"/>
  <c r="BL154" i="178"/>
  <c r="N165" i="171" l="1"/>
  <c r="M165" i="171"/>
  <c r="L165" i="171"/>
  <c r="BD36" i="167"/>
  <c r="K48" i="168" s="1"/>
  <c r="BD37" i="167"/>
  <c r="BB36" i="167"/>
  <c r="BC36" i="167"/>
  <c r="BB37" i="167"/>
  <c r="BC37" i="167"/>
  <c r="BA36" i="167"/>
  <c r="BA37" i="167"/>
  <c r="AZ37" i="167"/>
  <c r="AZ36" i="167"/>
  <c r="BA33" i="167"/>
  <c r="BA34" i="167" s="1"/>
  <c r="AZ33" i="167"/>
  <c r="AZ34" i="167" s="1"/>
  <c r="R54" i="168" l="1"/>
  <c r="S54" i="168" s="1"/>
  <c r="T54" i="168" s="1"/>
  <c r="BE163" i="178"/>
  <c r="BF163" i="178"/>
  <c r="BG163" i="178"/>
  <c r="BH163" i="178"/>
  <c r="BE165" i="178"/>
  <c r="BF165" i="178"/>
  <c r="W163" i="178"/>
  <c r="BI163" i="178" s="1"/>
  <c r="X163" i="178"/>
  <c r="Y163" i="178"/>
  <c r="Z163" i="178"/>
  <c r="AA163" i="178"/>
  <c r="AB163" i="178"/>
  <c r="AC163" i="178"/>
  <c r="AD163" i="178"/>
  <c r="AG142" i="178"/>
  <c r="AH142" i="178"/>
  <c r="AF142" i="178"/>
  <c r="AJ142" i="178" s="1"/>
  <c r="C142" i="178"/>
  <c r="C153" i="178" s="1"/>
  <c r="C132" i="178"/>
  <c r="BJ122" i="178"/>
  <c r="M129" i="178"/>
  <c r="AJ163" i="178" l="1"/>
  <c r="C163" i="178"/>
  <c r="AF163" i="178"/>
  <c r="AE163" i="178"/>
  <c r="BJ163" i="178"/>
  <c r="BK132" i="178"/>
  <c r="AI142" i="178"/>
  <c r="AK122" i="178"/>
  <c r="AO122" i="178" l="1"/>
  <c r="AH163" i="178"/>
  <c r="AL122" i="178"/>
  <c r="AP122" i="178" s="1"/>
  <c r="AT122" i="178" s="1"/>
  <c r="BL122" i="178"/>
  <c r="BJ142" i="178"/>
  <c r="BJ153" i="178" s="1"/>
  <c r="BK163" i="178"/>
  <c r="AG163" i="178"/>
  <c r="AI163" i="178"/>
  <c r="BL132" i="178" l="1"/>
  <c r="BL121" i="178"/>
  <c r="BM122" i="178"/>
  <c r="AS122" i="178"/>
  <c r="BO122" i="178" s="1"/>
  <c r="BO121" i="178" s="1"/>
  <c r="BN122" i="178"/>
  <c r="BN121" i="178" s="1"/>
  <c r="BK142" i="178"/>
  <c r="BK153" i="178" s="1"/>
  <c r="BL163" i="178"/>
  <c r="BM132" i="178" l="1"/>
  <c r="BM121" i="178"/>
  <c r="BN132" i="178"/>
  <c r="BO132" i="178"/>
  <c r="BL142" i="178"/>
  <c r="BL153" i="178" s="1"/>
  <c r="K119" i="178"/>
  <c r="M128" i="178"/>
  <c r="N128" i="178" s="1"/>
  <c r="O128" i="178" s="1"/>
  <c r="R128" i="178" s="1"/>
  <c r="S128" i="178" s="1"/>
  <c r="U128" i="178" s="1"/>
  <c r="V128" i="178" s="1"/>
  <c r="W128" i="178" s="1"/>
  <c r="X128" i="178" s="1"/>
  <c r="Y128" i="178" s="1"/>
  <c r="Z128" i="178" s="1"/>
  <c r="AA128" i="178" s="1"/>
  <c r="AB128" i="178" s="1"/>
  <c r="AC128" i="178" s="1"/>
  <c r="AD128" i="178" s="1"/>
  <c r="AE128" i="178" s="1"/>
  <c r="AF128" i="178" s="1"/>
  <c r="AG128" i="178" s="1"/>
  <c r="AH128" i="178" s="1"/>
  <c r="AI128" i="178" s="1"/>
  <c r="AJ128" i="178" s="1"/>
  <c r="AK128" i="178" s="1"/>
  <c r="AL128" i="178" s="1"/>
  <c r="AM128" i="178" s="1"/>
  <c r="AN128" i="178" s="1"/>
  <c r="AO128" i="178" s="1"/>
  <c r="AP128" i="178" s="1"/>
  <c r="AQ128" i="178" s="1"/>
  <c r="AR128" i="178" s="1"/>
  <c r="AS128" i="178" s="1"/>
  <c r="AT128" i="178" s="1"/>
  <c r="AU128" i="178" s="1"/>
  <c r="AW40" i="178" l="1"/>
  <c r="AW38" i="178"/>
  <c r="BE64" i="178"/>
  <c r="AX64" i="178" s="1"/>
  <c r="BF42" i="178"/>
  <c r="I173" i="178"/>
  <c r="J173" i="178" s="1"/>
  <c r="K173" i="178" s="1"/>
  <c r="O119" i="178"/>
  <c r="BG120" i="178"/>
  <c r="BH124" i="178"/>
  <c r="R165" i="178"/>
  <c r="V166" i="178"/>
  <c r="W141" i="178"/>
  <c r="I149" i="178"/>
  <c r="J149" i="178" s="1"/>
  <c r="K149" i="178" s="1"/>
  <c r="H118" i="178"/>
  <c r="I128" i="178"/>
  <c r="J128" i="178" s="1"/>
  <c r="K128" i="178" s="1"/>
  <c r="H138" i="178"/>
  <c r="AW11" i="178"/>
  <c r="AY11" i="178"/>
  <c r="BE11" i="178"/>
  <c r="AW42" i="178" l="1"/>
  <c r="AZ11" i="178"/>
  <c r="BJ125" i="178"/>
  <c r="BF49" i="178"/>
  <c r="U166" i="178"/>
  <c r="BI125" i="178"/>
  <c r="Q44" i="168" l="1"/>
  <c r="AI171" i="178" l="1"/>
  <c r="BI124" i="178"/>
  <c r="BI134" i="178" s="1"/>
  <c r="BJ135" i="178"/>
  <c r="AF125" i="178"/>
  <c r="AJ125" i="178" s="1"/>
  <c r="K13" i="169"/>
  <c r="K14" i="169"/>
  <c r="K18" i="169"/>
  <c r="K19" i="169"/>
  <c r="K26" i="169"/>
  <c r="K54" i="168"/>
  <c r="K5" i="168"/>
  <c r="K6" i="168"/>
  <c r="K7" i="168"/>
  <c r="K9" i="168"/>
  <c r="K11" i="168"/>
  <c r="K12" i="168"/>
  <c r="K14" i="168"/>
  <c r="K15" i="168"/>
  <c r="K16" i="168"/>
  <c r="L16" i="169" s="1"/>
  <c r="K19" i="168"/>
  <c r="K20" i="168"/>
  <c r="K21" i="168"/>
  <c r="L21" i="169" s="1"/>
  <c r="K23" i="168"/>
  <c r="K24" i="168"/>
  <c r="L22" i="169" s="1"/>
  <c r="K27" i="168"/>
  <c r="K28" i="168"/>
  <c r="L23" i="169" s="1"/>
  <c r="K29" i="168"/>
  <c r="L20" i="169" s="1"/>
  <c r="K30" i="168"/>
  <c r="K31" i="168"/>
  <c r="K34" i="168"/>
  <c r="L24" i="169" s="1"/>
  <c r="K35" i="168"/>
  <c r="K4" i="168"/>
  <c r="K50" i="168" l="1"/>
  <c r="L46" i="168" s="1"/>
  <c r="BE58" i="167"/>
  <c r="BE60" i="167" s="1"/>
  <c r="L15" i="169"/>
  <c r="L17" i="169" s="1"/>
  <c r="AN125" i="178"/>
  <c r="L42" i="168"/>
  <c r="L10" i="169"/>
  <c r="L41" i="168"/>
  <c r="L9" i="169"/>
  <c r="L25" i="169"/>
  <c r="L43" i="168"/>
  <c r="L11" i="169"/>
  <c r="L66" i="168"/>
  <c r="L67" i="168"/>
  <c r="L71" i="168"/>
  <c r="BE62" i="167"/>
  <c r="BE64" i="167" s="1"/>
  <c r="L51" i="168"/>
  <c r="L49" i="168"/>
  <c r="K47" i="168"/>
  <c r="K57" i="168"/>
  <c r="L53" i="168" s="1"/>
  <c r="K33" i="169"/>
  <c r="K8" i="168"/>
  <c r="K18" i="168"/>
  <c r="K17" i="168" s="1"/>
  <c r="K33" i="168"/>
  <c r="K26" i="168"/>
  <c r="K64" i="168"/>
  <c r="BK125" i="178"/>
  <c r="BK135" i="178" s="1"/>
  <c r="AI125" i="178"/>
  <c r="AM125" i="178" s="1"/>
  <c r="AQ125" i="178" s="1"/>
  <c r="AU125" i="178" s="1"/>
  <c r="AH125" i="178"/>
  <c r="AL125" i="178" s="1"/>
  <c r="AP125" i="178" s="1"/>
  <c r="AT125" i="178" s="1"/>
  <c r="AG125" i="178"/>
  <c r="AK125" i="178" s="1"/>
  <c r="AO125" i="178" s="1"/>
  <c r="AS125" i="178" s="1"/>
  <c r="K35" i="169"/>
  <c r="K28" i="169"/>
  <c r="K22" i="168"/>
  <c r="K61" i="168"/>
  <c r="K62" i="168" s="1"/>
  <c r="K13" i="168"/>
  <c r="K36" i="168"/>
  <c r="K10" i="168"/>
  <c r="BM125" i="178" l="1"/>
  <c r="AR125" i="178"/>
  <c r="BO125" i="178" s="1"/>
  <c r="BN125" i="178"/>
  <c r="L8" i="169"/>
  <c r="L12" i="169" s="1"/>
  <c r="L44" i="168"/>
  <c r="L56" i="168"/>
  <c r="L58" i="168"/>
  <c r="K32" i="168"/>
  <c r="L70" i="168"/>
  <c r="K25" i="168"/>
  <c r="BL125" i="178"/>
  <c r="BN135" i="178" l="1"/>
  <c r="BO135" i="178"/>
  <c r="BM135" i="178"/>
  <c r="BL135" i="178"/>
  <c r="BF4" i="178"/>
  <c r="BE162" i="178"/>
  <c r="BF162" i="178"/>
  <c r="BE166" i="178"/>
  <c r="BF166" i="178"/>
  <c r="BG166" i="178"/>
  <c r="AG155" i="178"/>
  <c r="AE155" i="178"/>
  <c r="AF124" i="178"/>
  <c r="AJ124" i="178" s="1"/>
  <c r="BH125" i="178"/>
  <c r="P162" i="178"/>
  <c r="R162" i="178"/>
  <c r="P165" i="178"/>
  <c r="P166" i="178"/>
  <c r="Q166" i="178"/>
  <c r="R166" i="178"/>
  <c r="S166" i="178"/>
  <c r="T166" i="178"/>
  <c r="C139" i="178"/>
  <c r="C160" i="178" s="1"/>
  <c r="C140" i="178"/>
  <c r="C161" i="178" s="1"/>
  <c r="C141" i="178"/>
  <c r="C162" i="178" s="1"/>
  <c r="C144" i="178"/>
  <c r="C165" i="178" s="1"/>
  <c r="C145" i="178"/>
  <c r="C166" i="178" s="1"/>
  <c r="C135" i="178"/>
  <c r="C129" i="178"/>
  <c r="C130" i="178"/>
  <c r="C131" i="178"/>
  <c r="C134" i="178"/>
  <c r="C128" i="178"/>
  <c r="AA141" i="178"/>
  <c r="L162" i="178"/>
  <c r="M162" i="178"/>
  <c r="N162" i="178"/>
  <c r="L165" i="178"/>
  <c r="M165" i="178"/>
  <c r="N165" i="178"/>
  <c r="O165" i="178"/>
  <c r="H119" i="178"/>
  <c r="J118" i="178"/>
  <c r="AZ9" i="178"/>
  <c r="J9" i="178" s="1"/>
  <c r="N9" i="178" s="1"/>
  <c r="R9" i="178" s="1"/>
  <c r="V9" i="178" s="1"/>
  <c r="AZ10" i="178"/>
  <c r="J10" i="178" s="1"/>
  <c r="BF41" i="178"/>
  <c r="BF40" i="178"/>
  <c r="BE17" i="178"/>
  <c r="BF17" i="178"/>
  <c r="AN124" i="178" l="1"/>
  <c r="L119" i="178"/>
  <c r="P119" i="178" s="1"/>
  <c r="Z9" i="178"/>
  <c r="AG156" i="178"/>
  <c r="AH156" i="178" s="1"/>
  <c r="AI156" i="178" s="1"/>
  <c r="BF47" i="178"/>
  <c r="BG165" i="178"/>
  <c r="Y166" i="178"/>
  <c r="S165" i="178"/>
  <c r="AH155" i="178"/>
  <c r="AI155" i="178" s="1"/>
  <c r="V165" i="178"/>
  <c r="BH166" i="178"/>
  <c r="C152" i="178"/>
  <c r="C150" i="178"/>
  <c r="X141" i="178"/>
  <c r="AB141" i="178" s="1"/>
  <c r="C156" i="178"/>
  <c r="T162" i="178"/>
  <c r="C155" i="178"/>
  <c r="C151" i="178"/>
  <c r="Q165" i="178"/>
  <c r="C53" i="178"/>
  <c r="C61" i="178" s="1"/>
  <c r="C39" i="178"/>
  <c r="C46" i="178" s="1"/>
  <c r="AR124" i="178" l="1"/>
  <c r="BJ124" i="178"/>
  <c r="BJ134" i="178" s="1"/>
  <c r="BH165" i="178"/>
  <c r="W166" i="178"/>
  <c r="Z166" i="178"/>
  <c r="AG145" i="178"/>
  <c r="AC166" i="178"/>
  <c r="AD144" i="178"/>
  <c r="AH144" i="178" s="1"/>
  <c r="AL144" i="178" s="1"/>
  <c r="AP144" i="178" s="1"/>
  <c r="AT144" i="178" s="1"/>
  <c r="AE144" i="178"/>
  <c r="AI144" i="178" s="1"/>
  <c r="AM144" i="178" s="1"/>
  <c r="AQ144" i="178" s="1"/>
  <c r="AU144" i="178" s="1"/>
  <c r="W165" i="178"/>
  <c r="T165" i="178"/>
  <c r="X162" i="178"/>
  <c r="AE124" i="178"/>
  <c r="Z141" i="178"/>
  <c r="Y141" i="178"/>
  <c r="AZ7" i="178"/>
  <c r="K4" i="178"/>
  <c r="BD128" i="167"/>
  <c r="BD146" i="167"/>
  <c r="BD130" i="167"/>
  <c r="BD136" i="167"/>
  <c r="BD119" i="167"/>
  <c r="BC119" i="167"/>
  <c r="BC118" i="167"/>
  <c r="BD117" i="167"/>
  <c r="BC117" i="167"/>
  <c r="BD107" i="167"/>
  <c r="BE112" i="167" s="1"/>
  <c r="BC107" i="167"/>
  <c r="BD106" i="167"/>
  <c r="BC106" i="167"/>
  <c r="BD94" i="167"/>
  <c r="BC94" i="167"/>
  <c r="BD29" i="167"/>
  <c r="N24" i="167"/>
  <c r="N23" i="167"/>
  <c r="N22" i="167"/>
  <c r="N4" i="167"/>
  <c r="N5" i="167"/>
  <c r="N7" i="167"/>
  <c r="N8" i="167"/>
  <c r="N9" i="167"/>
  <c r="N10" i="167"/>
  <c r="N14" i="167"/>
  <c r="N15" i="167"/>
  <c r="N17" i="167"/>
  <c r="N19" i="167"/>
  <c r="N20" i="167"/>
  <c r="N33" i="167"/>
  <c r="N34" i="167" s="1"/>
  <c r="AS57" i="170"/>
  <c r="AS58" i="170" s="1"/>
  <c r="AS54" i="170"/>
  <c r="AS50" i="170" s="1"/>
  <c r="AS49" i="170" s="1"/>
  <c r="N18" i="167" s="1"/>
  <c r="AS47" i="170"/>
  <c r="AR46" i="170" s="1"/>
  <c r="M16" i="167" s="1"/>
  <c r="AS63" i="170"/>
  <c r="AS61" i="170" s="1"/>
  <c r="AS62" i="170"/>
  <c r="AS60" i="170" s="1"/>
  <c r="AO63" i="170"/>
  <c r="AO62" i="170"/>
  <c r="AK63" i="170"/>
  <c r="AK62" i="170"/>
  <c r="J233" i="171"/>
  <c r="K233" i="171"/>
  <c r="L233" i="171"/>
  <c r="AK54" i="170" s="1"/>
  <c r="AG166" i="178" l="1"/>
  <c r="AK145" i="178"/>
  <c r="K6" i="178"/>
  <c r="N51" i="167"/>
  <c r="N54" i="167"/>
  <c r="N6" i="167"/>
  <c r="BD112" i="167"/>
  <c r="AS46" i="170"/>
  <c r="N16" i="167" s="1"/>
  <c r="AR50" i="170"/>
  <c r="AR49" i="170" s="1"/>
  <c r="M18" i="167" s="1"/>
  <c r="Q21" i="168"/>
  <c r="AR61" i="170"/>
  <c r="M37" i="167" s="1"/>
  <c r="N11" i="167"/>
  <c r="AR60" i="170"/>
  <c r="M36" i="167" s="1"/>
  <c r="N53" i="167"/>
  <c r="N52" i="167"/>
  <c r="AF144" i="178"/>
  <c r="AB165" i="178"/>
  <c r="X165" i="178"/>
  <c r="U165" i="178"/>
  <c r="AH145" i="178"/>
  <c r="AD166" i="178"/>
  <c r="X166" i="178"/>
  <c r="BI166" i="178"/>
  <c r="BH144" i="178"/>
  <c r="AG124" i="178"/>
  <c r="AK124" i="178" s="1"/>
  <c r="AH124" i="178"/>
  <c r="AL124" i="178" s="1"/>
  <c r="AI124" i="178"/>
  <c r="AM124" i="178" s="1"/>
  <c r="BK124" i="178"/>
  <c r="BK134" i="178" s="1"/>
  <c r="N25" i="167"/>
  <c r="N55" i="167"/>
  <c r="K161" i="178"/>
  <c r="R21" i="168" l="1"/>
  <c r="S21" i="168"/>
  <c r="R21" i="169"/>
  <c r="AO124" i="178"/>
  <c r="BM124" i="178"/>
  <c r="AL165" i="178"/>
  <c r="AP124" i="178"/>
  <c r="AK166" i="178"/>
  <c r="AO145" i="178"/>
  <c r="AM165" i="178"/>
  <c r="AQ124" i="178"/>
  <c r="AH166" i="178"/>
  <c r="AL145" i="178"/>
  <c r="AF165" i="178"/>
  <c r="AJ144" i="178"/>
  <c r="K37" i="178"/>
  <c r="N12" i="167"/>
  <c r="N26" i="167"/>
  <c r="Q21" i="169"/>
  <c r="N27" i="167"/>
  <c r="BI165" i="178"/>
  <c r="BI167" i="178" s="1"/>
  <c r="BI145" i="178"/>
  <c r="AA166" i="178"/>
  <c r="AF145" i="178"/>
  <c r="AB166" i="178"/>
  <c r="AG144" i="178"/>
  <c r="AK144" i="178" s="1"/>
  <c r="Y165" i="178"/>
  <c r="Z165" i="178"/>
  <c r="BL124" i="178"/>
  <c r="BL134" i="178" s="1"/>
  <c r="BB184" i="178"/>
  <c r="BC184" i="178"/>
  <c r="BD184" i="178"/>
  <c r="BL179" i="178"/>
  <c r="BK179" i="178"/>
  <c r="BJ179" i="178"/>
  <c r="BG179" i="178"/>
  <c r="BF179" i="178"/>
  <c r="BE179" i="178"/>
  <c r="L184" i="178"/>
  <c r="H182" i="178"/>
  <c r="E10" i="178"/>
  <c r="AY184" i="178"/>
  <c r="T21" i="168" l="1"/>
  <c r="S21" i="169"/>
  <c r="BM134" i="178"/>
  <c r="AS124" i="178"/>
  <c r="BN124" i="178"/>
  <c r="BN134" i="178" s="1"/>
  <c r="AO166" i="178"/>
  <c r="AS145" i="178"/>
  <c r="AS166" i="178" s="1"/>
  <c r="AP165" i="178"/>
  <c r="AT124" i="178"/>
  <c r="AT165" i="178" s="1"/>
  <c r="AQ165" i="178"/>
  <c r="AU124" i="178"/>
  <c r="AU165" i="178" s="1"/>
  <c r="AJ165" i="178"/>
  <c r="AN144" i="178"/>
  <c r="AK165" i="178"/>
  <c r="AO144" i="178"/>
  <c r="AL166" i="178"/>
  <c r="AP145" i="178"/>
  <c r="AF166" i="178"/>
  <c r="AJ145" i="178"/>
  <c r="K44" i="178"/>
  <c r="L10" i="178"/>
  <c r="O184" i="178"/>
  <c r="N13" i="167"/>
  <c r="N21" i="167" s="1"/>
  <c r="BI144" i="178"/>
  <c r="BJ166" i="178"/>
  <c r="AG165" i="178"/>
  <c r="AC165" i="178"/>
  <c r="AI145" i="178"/>
  <c r="AE166" i="178"/>
  <c r="AH165" i="178"/>
  <c r="AD165" i="178"/>
  <c r="AA165" i="178"/>
  <c r="P10" i="178"/>
  <c r="T21" i="169" l="1"/>
  <c r="BM165" i="178"/>
  <c r="BM144" i="178" s="1"/>
  <c r="BO124" i="178"/>
  <c r="BO134" i="178" s="1"/>
  <c r="AO165" i="178"/>
  <c r="AS144" i="178"/>
  <c r="AS165" i="178" s="1"/>
  <c r="AN165" i="178"/>
  <c r="AR144" i="178"/>
  <c r="AR165" i="178" s="1"/>
  <c r="AP166" i="178"/>
  <c r="AT145" i="178"/>
  <c r="AT166" i="178" s="1"/>
  <c r="AJ166" i="178"/>
  <c r="AN145" i="178"/>
  <c r="AI166" i="178"/>
  <c r="BL166" i="178" s="1"/>
  <c r="AM145" i="178"/>
  <c r="P19" i="178"/>
  <c r="BI155" i="178"/>
  <c r="BJ165" i="178"/>
  <c r="BJ167" i="178" s="1"/>
  <c r="BJ145" i="178"/>
  <c r="BK166" i="178"/>
  <c r="AI165" i="178"/>
  <c r="AE165" i="178"/>
  <c r="BM147" i="178" l="1"/>
  <c r="BN165" i="178"/>
  <c r="BN144" i="178" s="1"/>
  <c r="BO165" i="178"/>
  <c r="BO144" i="178" s="1"/>
  <c r="AN166" i="178"/>
  <c r="AR145" i="178"/>
  <c r="AR166" i="178" s="1"/>
  <c r="AM166" i="178"/>
  <c r="BM166" i="178" s="1"/>
  <c r="BM145" i="178" s="1"/>
  <c r="AQ145" i="178"/>
  <c r="BL145" i="178"/>
  <c r="BJ156" i="178"/>
  <c r="BL165" i="178"/>
  <c r="BL167" i="178" s="1"/>
  <c r="BK165" i="178"/>
  <c r="BK167" i="178" s="1"/>
  <c r="BJ144" i="178"/>
  <c r="BK145" i="178"/>
  <c r="BM148" i="178" l="1"/>
  <c r="BM156" i="178"/>
  <c r="BN147" i="178"/>
  <c r="BN155" i="178"/>
  <c r="BO155" i="178"/>
  <c r="BO147" i="178"/>
  <c r="AQ166" i="178"/>
  <c r="BN166" i="178" s="1"/>
  <c r="BN145" i="178" s="1"/>
  <c r="AU145" i="178"/>
  <c r="AU166" i="178" s="1"/>
  <c r="BO166" i="178" s="1"/>
  <c r="BO145" i="178" s="1"/>
  <c r="BK156" i="178"/>
  <c r="BJ155" i="178"/>
  <c r="BK144" i="178"/>
  <c r="BL144" i="178"/>
  <c r="BM155" i="178" s="1"/>
  <c r="BL156" i="178"/>
  <c r="BO156" i="178" l="1"/>
  <c r="BO148" i="178"/>
  <c r="BN156" i="178"/>
  <c r="BN148" i="178"/>
  <c r="BK155" i="178"/>
  <c r="BL155" i="178"/>
  <c r="AF18" i="167" l="1"/>
  <c r="AH18" i="167" s="1"/>
  <c r="BI18" i="167" l="1"/>
  <c r="AJ18" i="167"/>
  <c r="AK18" i="167" l="1"/>
  <c r="AL18" i="167" l="1"/>
  <c r="BD137" i="167"/>
  <c r="BJ18" i="167" l="1"/>
  <c r="BD138" i="167"/>
  <c r="G39" i="178"/>
  <c r="AW49" i="178"/>
  <c r="AY39" i="178"/>
  <c r="AY46" i="178" s="1"/>
  <c r="AX63" i="178"/>
  <c r="AX62" i="178"/>
  <c r="AX60" i="178"/>
  <c r="AX11" i="178"/>
  <c r="AW41" i="178"/>
  <c r="AW48" i="178" s="1"/>
  <c r="AW47" i="178"/>
  <c r="AW45" i="178"/>
  <c r="AY41" i="178"/>
  <c r="AY40" i="178"/>
  <c r="AY38" i="178"/>
  <c r="AY45" i="178" s="1"/>
  <c r="AY42" i="178"/>
  <c r="BB60" i="178"/>
  <c r="BC60" i="178"/>
  <c r="BD60" i="178"/>
  <c r="BB62" i="178"/>
  <c r="BC62" i="178"/>
  <c r="BD62" i="178"/>
  <c r="BB63" i="178"/>
  <c r="BC63" i="178"/>
  <c r="BD63" i="178"/>
  <c r="BC64" i="178"/>
  <c r="BD64" i="178"/>
  <c r="BB64" i="178"/>
  <c r="BC49" i="178"/>
  <c r="BD49" i="178"/>
  <c r="BD45" i="178"/>
  <c r="BD48" i="178"/>
  <c r="BE38" i="178"/>
  <c r="BE42" i="178"/>
  <c r="BE40" i="178"/>
  <c r="BE41" i="178"/>
  <c r="BE39" i="178"/>
  <c r="BE16" i="178"/>
  <c r="BE170" i="178"/>
  <c r="L173" i="178"/>
  <c r="Y174" i="178"/>
  <c r="Z174" i="178" s="1"/>
  <c r="AA174" i="178" s="1"/>
  <c r="AB174" i="178" s="1"/>
  <c r="AC174" i="178" s="1"/>
  <c r="AD174" i="178" s="1"/>
  <c r="AE174" i="178" s="1"/>
  <c r="AF174" i="178" s="1"/>
  <c r="AG174" i="178" s="1"/>
  <c r="AH174" i="178" s="1"/>
  <c r="AI174" i="178" s="1"/>
  <c r="AJ174" i="178" s="1"/>
  <c r="AK174" i="178" s="1"/>
  <c r="AL174" i="178" s="1"/>
  <c r="AM174" i="178" s="1"/>
  <c r="AN174" i="178" s="1"/>
  <c r="AO174" i="178" s="1"/>
  <c r="AP174" i="178" s="1"/>
  <c r="AQ174" i="178" s="1"/>
  <c r="AR174" i="178" s="1"/>
  <c r="AS174" i="178" s="1"/>
  <c r="AT174" i="178" s="1"/>
  <c r="AU174" i="178" s="1"/>
  <c r="M174" i="178"/>
  <c r="M173" i="178" s="1"/>
  <c r="AY176" i="178"/>
  <c r="H159" i="178"/>
  <c r="E138" i="178"/>
  <c r="BE119" i="178"/>
  <c r="D159" i="178"/>
  <c r="AN18" i="167" l="1"/>
  <c r="G138" i="178"/>
  <c r="AE45" i="178"/>
  <c r="BE48" i="178"/>
  <c r="BE47" i="178"/>
  <c r="BE49" i="178"/>
  <c r="BE45" i="178"/>
  <c r="AY49" i="178"/>
  <c r="AZ42" i="178"/>
  <c r="AY47" i="178"/>
  <c r="AZ40" i="178"/>
  <c r="AY48" i="178"/>
  <c r="AZ41" i="178"/>
  <c r="AZ48" i="178" s="1"/>
  <c r="AX42" i="178"/>
  <c r="AX49" i="178" s="1"/>
  <c r="BD131" i="167"/>
  <c r="N174" i="178"/>
  <c r="O174" i="178" s="1"/>
  <c r="AO18" i="167" l="1"/>
  <c r="AG45" i="178"/>
  <c r="AH45" i="178" s="1"/>
  <c r="AI45" i="178" s="1"/>
  <c r="AZ47" i="178"/>
  <c r="O173" i="178"/>
  <c r="N173" i="178"/>
  <c r="AP18" i="167" l="1"/>
  <c r="AR18" i="167"/>
  <c r="Q174" i="178"/>
  <c r="P173" i="178"/>
  <c r="BK18" i="167" l="1"/>
  <c r="AS18" i="167"/>
  <c r="BE131" i="167"/>
  <c r="R174" i="178"/>
  <c r="Q173" i="178"/>
  <c r="BF136" i="167"/>
  <c r="BF137" i="167"/>
  <c r="BG137" i="167"/>
  <c r="BF138" i="167"/>
  <c r="AT18" i="167" l="1"/>
  <c r="BE135" i="167"/>
  <c r="BE140" i="167"/>
  <c r="BE142" i="167"/>
  <c r="BE141" i="167"/>
  <c r="BG136" i="167"/>
  <c r="S174" i="178"/>
  <c r="R173" i="178"/>
  <c r="BF131" i="167"/>
  <c r="BL18" i="167" l="1"/>
  <c r="AV18" i="167"/>
  <c r="BE139" i="167"/>
  <c r="T174" i="178"/>
  <c r="S173" i="178"/>
  <c r="AW18" i="167" l="1"/>
  <c r="U174" i="178"/>
  <c r="T173" i="178"/>
  <c r="X173" i="178" s="1"/>
  <c r="AB173" i="178" s="1"/>
  <c r="AF173" i="178" s="1"/>
  <c r="AJ173" i="178" s="1"/>
  <c r="AN173" i="178" s="1"/>
  <c r="AR173" i="178" s="1"/>
  <c r="AX18" i="167" l="1"/>
  <c r="V174" i="178"/>
  <c r="U173" i="178"/>
  <c r="Y173" i="178" s="1"/>
  <c r="AC173" i="178" s="1"/>
  <c r="AG173" i="178" s="1"/>
  <c r="AK173" i="178" s="1"/>
  <c r="AO173" i="178" s="1"/>
  <c r="AS173" i="178" s="1"/>
  <c r="BM18" i="167" l="1"/>
  <c r="W174" i="178"/>
  <c r="W173" i="178" s="1"/>
  <c r="AA173" i="178" s="1"/>
  <c r="AE173" i="178" s="1"/>
  <c r="AI173" i="178" s="1"/>
  <c r="AM173" i="178" s="1"/>
  <c r="AQ173" i="178" s="1"/>
  <c r="AU173" i="178" s="1"/>
  <c r="V173" i="178"/>
  <c r="Z173" i="178" s="1"/>
  <c r="AD173" i="178" s="1"/>
  <c r="AH173" i="178" s="1"/>
  <c r="AL173" i="178" s="1"/>
  <c r="AP173" i="178" s="1"/>
  <c r="AT173" i="178" s="1"/>
  <c r="BG138" i="167"/>
  <c r="BG131" i="167"/>
  <c r="C169" i="178" l="1"/>
  <c r="Q149" i="178"/>
  <c r="R149" i="178" s="1"/>
  <c r="S149" i="178" s="1"/>
  <c r="T149" i="178" s="1"/>
  <c r="U149" i="178" s="1"/>
  <c r="V149" i="178" s="1"/>
  <c r="W149" i="178" s="1"/>
  <c r="X149" i="178" s="1"/>
  <c r="Y149" i="178" s="1"/>
  <c r="Z149" i="178" s="1"/>
  <c r="AA149" i="178" s="1"/>
  <c r="AB149" i="178" s="1"/>
  <c r="AC149" i="178" s="1"/>
  <c r="AD149" i="178" s="1"/>
  <c r="AE149" i="178" s="1"/>
  <c r="AF149" i="178" s="1"/>
  <c r="AG149" i="178" s="1"/>
  <c r="AH149" i="178" s="1"/>
  <c r="AI149" i="178" s="1"/>
  <c r="AJ149" i="178" s="1"/>
  <c r="AK149" i="178" s="1"/>
  <c r="AL149" i="178" s="1"/>
  <c r="AM149" i="178" s="1"/>
  <c r="AN149" i="178" s="1"/>
  <c r="AO149" i="178" s="1"/>
  <c r="AP149" i="178" s="1"/>
  <c r="AQ149" i="178" s="1"/>
  <c r="AR149" i="178" s="1"/>
  <c r="AS149" i="178" s="1"/>
  <c r="AT149" i="178" s="1"/>
  <c r="AU149" i="178" s="1"/>
  <c r="K118" i="178" l="1"/>
  <c r="Q120" i="178"/>
  <c r="U151" i="178"/>
  <c r="V151" i="178" s="1"/>
  <c r="W151" i="178" s="1"/>
  <c r="Y151" i="178" s="1"/>
  <c r="P151" i="178"/>
  <c r="M149" i="178"/>
  <c r="N149" i="178" s="1"/>
  <c r="O149" i="178" s="1"/>
  <c r="D117" i="178"/>
  <c r="E117" i="178"/>
  <c r="F117" i="178"/>
  <c r="S140" i="178"/>
  <c r="J119" i="178"/>
  <c r="BF120" i="178"/>
  <c r="BE118" i="178"/>
  <c r="K117" i="178" l="1"/>
  <c r="Z151" i="178"/>
  <c r="R151" i="178"/>
  <c r="V120" i="178"/>
  <c r="Z120" i="178" s="1"/>
  <c r="BG130" i="178"/>
  <c r="G117" i="178"/>
  <c r="BE117" i="178" s="1"/>
  <c r="E85" i="161" s="1"/>
  <c r="W140" i="178"/>
  <c r="U120" i="178"/>
  <c r="AC141" i="178" l="1"/>
  <c r="AA151" i="178"/>
  <c r="S161" i="178"/>
  <c r="W120" i="178"/>
  <c r="W161" i="178" s="1"/>
  <c r="BH120" i="178"/>
  <c r="BH130" i="178" s="1"/>
  <c r="Y120" i="178"/>
  <c r="AB120" i="178"/>
  <c r="AD120" i="178"/>
  <c r="AK142" i="178" l="1"/>
  <c r="AK163" i="178" s="1"/>
  <c r="AS143" i="178"/>
  <c r="AS164" i="178" s="1"/>
  <c r="AD141" i="178"/>
  <c r="AB151" i="178"/>
  <c r="AA140" i="178"/>
  <c r="BI120" i="178"/>
  <c r="BI130" i="178" s="1"/>
  <c r="AA120" i="178"/>
  <c r="AC120" i="178"/>
  <c r="AF120" i="178"/>
  <c r="AJ120" i="178" s="1"/>
  <c r="AH120" i="178"/>
  <c r="AL120" i="178" s="1"/>
  <c r="AP120" i="178" s="1"/>
  <c r="AT120" i="178" s="1"/>
  <c r="AL142" i="178" l="1"/>
  <c r="AL163" i="178" s="1"/>
  <c r="AT143" i="178"/>
  <c r="AT164" i="178" s="1"/>
  <c r="AN120" i="178"/>
  <c r="AE141" i="178"/>
  <c r="AC151" i="178"/>
  <c r="AA161" i="178"/>
  <c r="AE120" i="178"/>
  <c r="BJ120" i="178"/>
  <c r="BJ130" i="178" s="1"/>
  <c r="AG120" i="178"/>
  <c r="AK120" i="178" s="1"/>
  <c r="AO120" i="178" s="1"/>
  <c r="AS120" i="178" s="1"/>
  <c r="AR120" i="178" l="1"/>
  <c r="AM142" i="178"/>
  <c r="AM163" i="178" s="1"/>
  <c r="BM163" i="178" s="1"/>
  <c r="BM142" i="178" s="1"/>
  <c r="BM153" i="178" s="1"/>
  <c r="AU143" i="178"/>
  <c r="AU164" i="178" s="1"/>
  <c r="BO164" i="178" s="1"/>
  <c r="BO143" i="178" s="1"/>
  <c r="BO154" i="178" s="1"/>
  <c r="AF141" i="178"/>
  <c r="AN142" i="178"/>
  <c r="AD151" i="178"/>
  <c r="AI120" i="178"/>
  <c r="BK120" i="178"/>
  <c r="BK130" i="178" s="1"/>
  <c r="AN163" i="178" l="1"/>
  <c r="AG141" i="178"/>
  <c r="AO142" i="178"/>
  <c r="BL120" i="178"/>
  <c r="BL130" i="178" s="1"/>
  <c r="AM120" i="178"/>
  <c r="AE151" i="178"/>
  <c r="AQ120" i="178" l="1"/>
  <c r="BM120" i="178"/>
  <c r="BM130" i="178" s="1"/>
  <c r="AO163" i="178"/>
  <c r="AH141" i="178"/>
  <c r="AP142" i="178"/>
  <c r="AF151" i="178"/>
  <c r="AE140" i="178"/>
  <c r="AU120" i="178" l="1"/>
  <c r="BO120" i="178" s="1"/>
  <c r="BN120" i="178"/>
  <c r="BN130" i="178" s="1"/>
  <c r="AP163" i="178"/>
  <c r="AI141" i="178"/>
  <c r="AQ142" i="178"/>
  <c r="AG151" i="178"/>
  <c r="AE161" i="178"/>
  <c r="AV160" i="178"/>
  <c r="BO130" i="178" l="1"/>
  <c r="AQ163" i="178"/>
  <c r="BN163" i="178" s="1"/>
  <c r="BN142" i="178" s="1"/>
  <c r="BN153" i="178" s="1"/>
  <c r="AJ141" i="178"/>
  <c r="AR142" i="178"/>
  <c r="AR163" i="178" s="1"/>
  <c r="AH151" i="178"/>
  <c r="E159" i="178"/>
  <c r="F159" i="178"/>
  <c r="G159" i="178"/>
  <c r="I138" i="178"/>
  <c r="M138" i="178" s="1"/>
  <c r="Q138" i="178" s="1"/>
  <c r="U138" i="178" s="1"/>
  <c r="Y138" i="178" s="1"/>
  <c r="AC138" i="178" s="1"/>
  <c r="AG138" i="178" s="1"/>
  <c r="AK138" i="178" s="1"/>
  <c r="AO138" i="178" s="1"/>
  <c r="AS138" i="178" s="1"/>
  <c r="J138" i="178"/>
  <c r="K138" i="178"/>
  <c r="O138" i="178" l="1"/>
  <c r="S138" i="178" s="1"/>
  <c r="W138" i="178" s="1"/>
  <c r="AA138" i="178" s="1"/>
  <c r="AE138" i="178" s="1"/>
  <c r="AI138" i="178" s="1"/>
  <c r="AM138" i="178" s="1"/>
  <c r="AQ138" i="178" s="1"/>
  <c r="AU138" i="178" s="1"/>
  <c r="AK141" i="178"/>
  <c r="AS142" i="178"/>
  <c r="AS163" i="178" s="1"/>
  <c r="AI151" i="178"/>
  <c r="N138" i="178"/>
  <c r="R138" i="178" s="1"/>
  <c r="V138" i="178" s="1"/>
  <c r="Z138" i="178" s="1"/>
  <c r="AD138" i="178" s="1"/>
  <c r="AH138" i="178" s="1"/>
  <c r="AL138" i="178" s="1"/>
  <c r="AP138" i="178" s="1"/>
  <c r="AT138" i="178" s="1"/>
  <c r="J159" i="178"/>
  <c r="BF161" i="178"/>
  <c r="BE159" i="178"/>
  <c r="BE138" i="178" s="1"/>
  <c r="BE161" i="178"/>
  <c r="L138" i="178"/>
  <c r="P138" i="178" s="1"/>
  <c r="T138" i="178" s="1"/>
  <c r="I119" i="178"/>
  <c r="I118" i="178"/>
  <c r="L118" i="178"/>
  <c r="L117" i="178" l="1"/>
  <c r="AL141" i="178"/>
  <c r="AT142" i="178"/>
  <c r="AT163" i="178" s="1"/>
  <c r="AJ151" i="178"/>
  <c r="AI140" i="178"/>
  <c r="BF140" i="178"/>
  <c r="M119" i="178"/>
  <c r="Q119" i="178" s="1"/>
  <c r="P118" i="178"/>
  <c r="I117" i="178"/>
  <c r="H117" i="178"/>
  <c r="BF119" i="178"/>
  <c r="BF129" i="178" s="1"/>
  <c r="X138" i="178"/>
  <c r="S119" i="178"/>
  <c r="W119" i="178" s="1"/>
  <c r="O118" i="178"/>
  <c r="L159" i="178"/>
  <c r="K159" i="178"/>
  <c r="I159" i="178"/>
  <c r="M118" i="178"/>
  <c r="N119" i="178"/>
  <c r="P159" i="178" l="1"/>
  <c r="AM141" i="178"/>
  <c r="AU142" i="178"/>
  <c r="AU163" i="178" s="1"/>
  <c r="BO163" i="178" s="1"/>
  <c r="BO142" i="178" s="1"/>
  <c r="BO153" i="178" s="1"/>
  <c r="AK151" i="178"/>
  <c r="AN141" i="178"/>
  <c r="AI161" i="178"/>
  <c r="BG119" i="178"/>
  <c r="BG129" i="178" s="1"/>
  <c r="M117" i="178"/>
  <c r="Q118" i="178"/>
  <c r="T118" i="178"/>
  <c r="P117" i="178"/>
  <c r="AB138" i="178"/>
  <c r="J117" i="178"/>
  <c r="BF118" i="178"/>
  <c r="BF128" i="178" s="1"/>
  <c r="U119" i="178"/>
  <c r="R119" i="178"/>
  <c r="S118" i="178"/>
  <c r="O159" i="178"/>
  <c r="M159" i="178"/>
  <c r="N118" i="178"/>
  <c r="BE158" i="178"/>
  <c r="Q117" i="178" l="1"/>
  <c r="N117" i="178"/>
  <c r="AL151" i="178"/>
  <c r="AO141" i="178"/>
  <c r="Q159" i="178"/>
  <c r="U118" i="178"/>
  <c r="R118" i="178"/>
  <c r="X118" i="178"/>
  <c r="T159" i="178"/>
  <c r="BF117" i="178"/>
  <c r="F85" i="161" s="1"/>
  <c r="BH119" i="178"/>
  <c r="BH129" i="178" s="1"/>
  <c r="BF159" i="178"/>
  <c r="W118" i="178"/>
  <c r="AF138" i="178"/>
  <c r="AJ138" i="178" s="1"/>
  <c r="AN138" i="178" s="1"/>
  <c r="AR138" i="178" s="1"/>
  <c r="T119" i="178"/>
  <c r="BG118" i="178"/>
  <c r="BG128" i="178" s="1"/>
  <c r="S159" i="178"/>
  <c r="Y119" i="178"/>
  <c r="AA119" i="178"/>
  <c r="V119" i="178"/>
  <c r="N159" i="178"/>
  <c r="V118" i="178" l="1"/>
  <c r="V117" i="178" s="1"/>
  <c r="V71" i="178" s="1"/>
  <c r="V80" i="178" s="1"/>
  <c r="AM151" i="178"/>
  <c r="AP141" i="178"/>
  <c r="BF138" i="178"/>
  <c r="BF149" i="178" s="1"/>
  <c r="T117" i="178"/>
  <c r="T71" i="178" s="1"/>
  <c r="T80" i="178" s="1"/>
  <c r="X119" i="178"/>
  <c r="X117" i="178" s="1"/>
  <c r="X71" i="178" s="1"/>
  <c r="X80" i="178" s="1"/>
  <c r="R159" i="178"/>
  <c r="BH118" i="178"/>
  <c r="BH128" i="178" s="1"/>
  <c r="U159" i="178"/>
  <c r="Y118" i="178"/>
  <c r="R117" i="178"/>
  <c r="AB118" i="178"/>
  <c r="X159" i="178"/>
  <c r="BF127" i="178"/>
  <c r="BG159" i="178"/>
  <c r="BI119" i="178"/>
  <c r="BI129" i="178" s="1"/>
  <c r="AA118" i="178"/>
  <c r="W159" i="178"/>
  <c r="V159" i="178"/>
  <c r="AC119" i="178"/>
  <c r="AE119" i="178"/>
  <c r="Z119" i="178"/>
  <c r="Z118" i="178" l="1"/>
  <c r="AD118" i="178" s="1"/>
  <c r="BI118" i="178"/>
  <c r="BI128" i="178" s="1"/>
  <c r="AC118" i="178"/>
  <c r="AQ141" i="178"/>
  <c r="AN151" i="178"/>
  <c r="AM140" i="178"/>
  <c r="BJ119" i="178"/>
  <c r="BJ129" i="178" s="1"/>
  <c r="BG138" i="178"/>
  <c r="BG149" i="178" s="1"/>
  <c r="BH159" i="178"/>
  <c r="Y159" i="178"/>
  <c r="AF118" i="178"/>
  <c r="AB159" i="178"/>
  <c r="AA159" i="178"/>
  <c r="AE118" i="178"/>
  <c r="BJ118" i="178"/>
  <c r="BJ128" i="178" s="1"/>
  <c r="BI159" i="178"/>
  <c r="AB119" i="178"/>
  <c r="Z159" i="178"/>
  <c r="AG119" i="178"/>
  <c r="AK119" i="178" s="1"/>
  <c r="AO119" i="178" s="1"/>
  <c r="AS119" i="178" s="1"/>
  <c r="AI119" i="178"/>
  <c r="AM119" i="178" s="1"/>
  <c r="AQ119" i="178" s="1"/>
  <c r="AU119" i="178" s="1"/>
  <c r="AD119" i="178"/>
  <c r="BD158" i="178"/>
  <c r="BC158" i="178"/>
  <c r="BB158" i="178"/>
  <c r="AY158" i="178"/>
  <c r="AW158" i="178"/>
  <c r="C138" i="178"/>
  <c r="C149" i="178" s="1"/>
  <c r="C116" i="178"/>
  <c r="BE19" i="178"/>
  <c r="BE18" i="178"/>
  <c r="BE20" i="178"/>
  <c r="BD17" i="178"/>
  <c r="BD19" i="178"/>
  <c r="BD18" i="178"/>
  <c r="BD16" i="178"/>
  <c r="BD20" i="178"/>
  <c r="BC17" i="178"/>
  <c r="BC19" i="178"/>
  <c r="BC18" i="178"/>
  <c r="BC16" i="178"/>
  <c r="BC20" i="178"/>
  <c r="C24" i="178"/>
  <c r="C31" i="178" s="1"/>
  <c r="C17" i="178"/>
  <c r="AX8" i="178"/>
  <c r="AX10" i="178"/>
  <c r="AX9" i="178"/>
  <c r="AX40" i="178" s="1"/>
  <c r="AX47" i="178" s="1"/>
  <c r="AX7" i="178"/>
  <c r="AG118" i="178" l="1"/>
  <c r="AG159" i="178" s="1"/>
  <c r="AC159" i="178"/>
  <c r="AJ118" i="178"/>
  <c r="AO151" i="178"/>
  <c r="AR141" i="178"/>
  <c r="AM161" i="178"/>
  <c r="BH138" i="178"/>
  <c r="BH149" i="178" s="1"/>
  <c r="BI138" i="178"/>
  <c r="AD159" i="178"/>
  <c r="AF159" i="178"/>
  <c r="AX41" i="178"/>
  <c r="AX48" i="178" s="1"/>
  <c r="AX158" i="178"/>
  <c r="AX38" i="178"/>
  <c r="AX45" i="178" s="1"/>
  <c r="BJ159" i="178"/>
  <c r="AI118" i="178"/>
  <c r="AM118" i="178" s="1"/>
  <c r="AQ118" i="178" s="1"/>
  <c r="AU118" i="178" s="1"/>
  <c r="AE159" i="178"/>
  <c r="BK119" i="178"/>
  <c r="BK129" i="178" s="1"/>
  <c r="BK118" i="178"/>
  <c r="BK128" i="178" s="1"/>
  <c r="AH118" i="178"/>
  <c r="AF119" i="178"/>
  <c r="AH119" i="178"/>
  <c r="AL119" i="178" s="1"/>
  <c r="AP119" i="178" s="1"/>
  <c r="AT119" i="178" s="1"/>
  <c r="C159" i="178"/>
  <c r="AN118" i="178" l="1"/>
  <c r="AK118" i="178"/>
  <c r="AL118" i="178"/>
  <c r="AJ159" i="178"/>
  <c r="AP151" i="178"/>
  <c r="AS141" i="178"/>
  <c r="AU159" i="178"/>
  <c r="AQ159" i="178"/>
  <c r="AJ119" i="178"/>
  <c r="AM159" i="178"/>
  <c r="BI149" i="178"/>
  <c r="BJ138" i="178"/>
  <c r="BJ149" i="178" s="1"/>
  <c r="BK159" i="178"/>
  <c r="AI159" i="178"/>
  <c r="BL118" i="178"/>
  <c r="BL128" i="178" s="1"/>
  <c r="BL119" i="178"/>
  <c r="BL129" i="178" s="1"/>
  <c r="AH159" i="178"/>
  <c r="BM118" i="178" l="1"/>
  <c r="BM128" i="178" s="1"/>
  <c r="AN119" i="178"/>
  <c r="BM119" i="178"/>
  <c r="BM129" i="178" s="1"/>
  <c r="AP118" i="178"/>
  <c r="AO118" i="178"/>
  <c r="AK159" i="178"/>
  <c r="AL159" i="178"/>
  <c r="AR118" i="178"/>
  <c r="AN159" i="178"/>
  <c r="AQ151" i="178"/>
  <c r="AT141" i="178"/>
  <c r="BL159" i="178"/>
  <c r="BK138" i="178"/>
  <c r="BK149" i="178" s="1"/>
  <c r="BL4" i="178"/>
  <c r="AI4" i="178"/>
  <c r="AH4" i="178"/>
  <c r="AG4" i="178"/>
  <c r="AF4" i="178"/>
  <c r="BJ88" i="167"/>
  <c r="BJ87" i="167"/>
  <c r="BJ19" i="167"/>
  <c r="BJ17" i="167"/>
  <c r="BJ16" i="167"/>
  <c r="BN118" i="178" l="1"/>
  <c r="BN128" i="178" s="1"/>
  <c r="BM159" i="178"/>
  <c r="BM138" i="178" s="1"/>
  <c r="AR119" i="178"/>
  <c r="BO119" i="178" s="1"/>
  <c r="BN119" i="178"/>
  <c r="BN129" i="178" s="1"/>
  <c r="AR159" i="178"/>
  <c r="AS118" i="178"/>
  <c r="AO159" i="178"/>
  <c r="AT118" i="178"/>
  <c r="AP159" i="178"/>
  <c r="AR151" i="178"/>
  <c r="AS151" i="178" s="1"/>
  <c r="AT151" i="178" s="1"/>
  <c r="AU151" i="178" s="1"/>
  <c r="AU141" i="178"/>
  <c r="AQ140" i="178"/>
  <c r="Q7" i="169"/>
  <c r="BL138" i="178"/>
  <c r="BL149" i="178" s="1"/>
  <c r="BM149" i="178" l="1"/>
  <c r="BO118" i="178"/>
  <c r="BO128" i="178" s="1"/>
  <c r="BN159" i="178"/>
  <c r="BN138" i="178" s="1"/>
  <c r="BN149" i="178" s="1"/>
  <c r="BO129" i="178"/>
  <c r="AS159" i="178"/>
  <c r="AT159" i="178"/>
  <c r="AQ161" i="178"/>
  <c r="AU140" i="178"/>
  <c r="AU161" i="178" s="1"/>
  <c r="BC131" i="167"/>
  <c r="BB131" i="167"/>
  <c r="BD99" i="167"/>
  <c r="BB94" i="167"/>
  <c r="BB92" i="167"/>
  <c r="BA92" i="167"/>
  <c r="BA94" i="167"/>
  <c r="BA99" i="167" s="1"/>
  <c r="BB130" i="167"/>
  <c r="BB147" i="167" s="1"/>
  <c r="BB151" i="167" s="1"/>
  <c r="BC136" i="167"/>
  <c r="BD140" i="167"/>
  <c r="BF140" i="167"/>
  <c r="BG140" i="167"/>
  <c r="BD141" i="167"/>
  <c r="BF141" i="167"/>
  <c r="BG141" i="167"/>
  <c r="BD142" i="167"/>
  <c r="BF142" i="167"/>
  <c r="BG142" i="167"/>
  <c r="BF135" i="167"/>
  <c r="BG135" i="167"/>
  <c r="BC137" i="167"/>
  <c r="BC138" i="167"/>
  <c r="BB137" i="167"/>
  <c r="BB138" i="167"/>
  <c r="BB136" i="167"/>
  <c r="BB146" i="167"/>
  <c r="BB150" i="167" s="1"/>
  <c r="BC146" i="167"/>
  <c r="BC150" i="167" s="1"/>
  <c r="BA130" i="167"/>
  <c r="BC130" i="167"/>
  <c r="BC147" i="167" s="1"/>
  <c r="BC151" i="167" s="1"/>
  <c r="AZ130" i="167"/>
  <c r="BA128" i="167"/>
  <c r="BB128" i="167"/>
  <c r="BB145" i="167" s="1"/>
  <c r="BB149" i="167" s="1"/>
  <c r="BC128" i="167"/>
  <c r="AZ128" i="167"/>
  <c r="BB119" i="167"/>
  <c r="BB118" i="167"/>
  <c r="BC123" i="167" s="1"/>
  <c r="BB117" i="167"/>
  <c r="BA119" i="167"/>
  <c r="BA118" i="167"/>
  <c r="BA117" i="167"/>
  <c r="AZ119" i="167"/>
  <c r="AZ118" i="167"/>
  <c r="AZ117" i="167"/>
  <c r="BG123" i="167"/>
  <c r="BF123" i="167"/>
  <c r="BE123" i="167"/>
  <c r="BD123" i="167"/>
  <c r="BG122" i="167"/>
  <c r="BF122" i="167"/>
  <c r="BE122" i="167"/>
  <c r="BD122" i="167"/>
  <c r="BC121" i="167"/>
  <c r="BB121" i="167"/>
  <c r="BA121" i="167"/>
  <c r="BB106" i="167"/>
  <c r="BA106" i="167"/>
  <c r="AZ106" i="167"/>
  <c r="BB107" i="167"/>
  <c r="BC112" i="167" s="1"/>
  <c r="BA107" i="167"/>
  <c r="AZ107" i="167"/>
  <c r="BA109" i="167"/>
  <c r="BG111" i="167"/>
  <c r="BF111" i="167"/>
  <c r="BE111" i="167"/>
  <c r="BD111" i="167"/>
  <c r="BG110" i="167"/>
  <c r="BF110" i="167"/>
  <c r="BE110" i="167"/>
  <c r="BD110" i="167"/>
  <c r="BC110" i="167"/>
  <c r="BB110" i="167"/>
  <c r="BA110" i="167"/>
  <c r="BC109" i="167"/>
  <c r="BB109" i="167"/>
  <c r="BC103" i="167"/>
  <c r="BC100" i="167"/>
  <c r="BB100" i="167"/>
  <c r="BA100" i="167"/>
  <c r="BG99" i="167"/>
  <c r="BF99" i="167"/>
  <c r="BE99" i="167"/>
  <c r="BC98" i="167"/>
  <c r="BB98" i="167"/>
  <c r="BA98" i="167"/>
  <c r="BE97" i="167"/>
  <c r="BD97" i="167"/>
  <c r="AZ91" i="167"/>
  <c r="B124" i="167"/>
  <c r="B123" i="167"/>
  <c r="B122" i="167"/>
  <c r="B121" i="167"/>
  <c r="B134" i="167"/>
  <c r="B147" i="167" s="1"/>
  <c r="B151" i="167" s="1"/>
  <c r="B155" i="167" s="1"/>
  <c r="B133" i="167"/>
  <c r="B146" i="167" s="1"/>
  <c r="B150" i="167" s="1"/>
  <c r="B154" i="167" s="1"/>
  <c r="B132" i="167"/>
  <c r="B145" i="167" s="1"/>
  <c r="B149" i="167" s="1"/>
  <c r="B153" i="167" s="1"/>
  <c r="B112" i="167"/>
  <c r="B111" i="167"/>
  <c r="B110" i="167"/>
  <c r="B109" i="167"/>
  <c r="B100" i="167"/>
  <c r="B99" i="167"/>
  <c r="B98" i="167"/>
  <c r="B97" i="167"/>
  <c r="BB29" i="167"/>
  <c r="BC29" i="167"/>
  <c r="BA123" i="167" l="1"/>
  <c r="BO159" i="178"/>
  <c r="BO138" i="178" s="1"/>
  <c r="BO149" i="178" s="1"/>
  <c r="BC122" i="167"/>
  <c r="BC111" i="167"/>
  <c r="BC155" i="167"/>
  <c r="AZ127" i="167"/>
  <c r="BC141" i="167"/>
  <c r="BC145" i="167"/>
  <c r="BC149" i="167" s="1"/>
  <c r="BC153" i="167" s="1"/>
  <c r="BG139" i="167"/>
  <c r="BF139" i="167"/>
  <c r="BD139" i="167"/>
  <c r="BA127" i="167"/>
  <c r="BB140" i="167"/>
  <c r="BB142" i="167"/>
  <c r="BB135" i="167"/>
  <c r="BB127" i="167"/>
  <c r="BB141" i="167"/>
  <c r="BC124" i="167"/>
  <c r="BC115" i="167"/>
  <c r="AZ115" i="167"/>
  <c r="BC99" i="167"/>
  <c r="BB103" i="167"/>
  <c r="BC108" i="167" s="1"/>
  <c r="BA122" i="167"/>
  <c r="BA112" i="167"/>
  <c r="BC91" i="167"/>
  <c r="BB124" i="167"/>
  <c r="BC154" i="167"/>
  <c r="BC142" i="167"/>
  <c r="BD135" i="167"/>
  <c r="BC135" i="167"/>
  <c r="BC140" i="167"/>
  <c r="BC127" i="167"/>
  <c r="BB123" i="167"/>
  <c r="BA103" i="167"/>
  <c r="BB111" i="167"/>
  <c r="AZ103" i="167"/>
  <c r="BA115" i="167"/>
  <c r="BB91" i="167"/>
  <c r="BC97" i="167"/>
  <c r="BB97" i="167"/>
  <c r="BA111" i="167"/>
  <c r="BA124" i="167"/>
  <c r="BB122" i="167"/>
  <c r="BA91" i="167"/>
  <c r="BA96" i="167" s="1"/>
  <c r="BB99" i="167"/>
  <c r="BB112" i="167"/>
  <c r="BB115" i="167"/>
  <c r="BA97" i="167"/>
  <c r="B138" i="167"/>
  <c r="B142" i="167" s="1"/>
  <c r="B136" i="167"/>
  <c r="B140" i="167" s="1"/>
  <c r="B137" i="167"/>
  <c r="B141" i="167" s="1"/>
  <c r="BC96" i="167" l="1"/>
  <c r="BA120" i="167"/>
  <c r="BB108" i="167"/>
  <c r="BC120" i="167"/>
  <c r="BA108" i="167"/>
  <c r="BC139" i="167"/>
  <c r="BB139" i="167"/>
  <c r="BB96" i="167"/>
  <c r="BB120" i="167"/>
  <c r="BA23" i="167" l="1"/>
  <c r="BA24" i="167"/>
  <c r="AZ24" i="167"/>
  <c r="AZ23" i="167"/>
  <c r="BA14" i="167"/>
  <c r="BA15" i="167"/>
  <c r="BA16" i="167"/>
  <c r="BA17" i="167"/>
  <c r="BA19" i="167"/>
  <c r="BA20" i="167"/>
  <c r="BA22" i="167"/>
  <c r="AZ22" i="167"/>
  <c r="AZ20" i="167"/>
  <c r="D4" i="167"/>
  <c r="E4" i="167"/>
  <c r="F4" i="167"/>
  <c r="G4" i="167"/>
  <c r="H4" i="167"/>
  <c r="I4" i="167"/>
  <c r="J4" i="167"/>
  <c r="K4" i="167"/>
  <c r="L4" i="167"/>
  <c r="D5" i="167"/>
  <c r="E5" i="167"/>
  <c r="F5" i="167"/>
  <c r="G5" i="167"/>
  <c r="H5" i="167"/>
  <c r="I5" i="167"/>
  <c r="J5" i="167"/>
  <c r="K5" i="167"/>
  <c r="L5" i="167"/>
  <c r="D7" i="167"/>
  <c r="E7" i="167"/>
  <c r="F7" i="167"/>
  <c r="G7" i="167"/>
  <c r="H7" i="167"/>
  <c r="I7" i="167"/>
  <c r="J7" i="167"/>
  <c r="K7" i="167"/>
  <c r="L7" i="167"/>
  <c r="D8" i="167"/>
  <c r="E8" i="167"/>
  <c r="F8" i="167"/>
  <c r="G8" i="167"/>
  <c r="H8" i="167"/>
  <c r="I8" i="167"/>
  <c r="J8" i="167"/>
  <c r="K8" i="167"/>
  <c r="L8" i="167"/>
  <c r="D9" i="167"/>
  <c r="E9" i="167"/>
  <c r="F9" i="167"/>
  <c r="G9" i="167"/>
  <c r="H9" i="167"/>
  <c r="I9" i="167"/>
  <c r="J9" i="167"/>
  <c r="K9" i="167"/>
  <c r="L9" i="167"/>
  <c r="D10" i="167"/>
  <c r="E10" i="167"/>
  <c r="F10" i="167"/>
  <c r="G10" i="167"/>
  <c r="H10" i="167"/>
  <c r="I10" i="167"/>
  <c r="J10" i="167"/>
  <c r="K10" i="167"/>
  <c r="L10" i="167"/>
  <c r="D14" i="167"/>
  <c r="E14" i="167"/>
  <c r="F14" i="167"/>
  <c r="G14" i="167"/>
  <c r="H14" i="167"/>
  <c r="I14" i="167"/>
  <c r="J14" i="167"/>
  <c r="K14" i="167"/>
  <c r="L14" i="167"/>
  <c r="D15" i="167"/>
  <c r="E15" i="167"/>
  <c r="F15" i="167"/>
  <c r="G15" i="167"/>
  <c r="H15" i="167"/>
  <c r="I15" i="167"/>
  <c r="J15" i="167"/>
  <c r="K15" i="167"/>
  <c r="L15" i="167"/>
  <c r="D17" i="167"/>
  <c r="E17" i="167"/>
  <c r="F17" i="167"/>
  <c r="G17" i="167"/>
  <c r="H17" i="167"/>
  <c r="I17" i="167"/>
  <c r="J17" i="167"/>
  <c r="K17" i="167"/>
  <c r="L17" i="167"/>
  <c r="D19" i="167"/>
  <c r="E19" i="167"/>
  <c r="F19" i="167"/>
  <c r="G19" i="167"/>
  <c r="H19" i="167"/>
  <c r="I19" i="167"/>
  <c r="J19" i="167"/>
  <c r="K19" i="167"/>
  <c r="L19" i="167"/>
  <c r="D20" i="167"/>
  <c r="E20" i="167"/>
  <c r="F20" i="167"/>
  <c r="G20" i="167"/>
  <c r="H20" i="167"/>
  <c r="I20" i="167"/>
  <c r="J20" i="167"/>
  <c r="K20" i="167"/>
  <c r="L20" i="167"/>
  <c r="D22" i="167"/>
  <c r="E22" i="167"/>
  <c r="F22" i="167"/>
  <c r="G22" i="167"/>
  <c r="H22" i="167"/>
  <c r="I22" i="167"/>
  <c r="J22" i="167"/>
  <c r="K22" i="167"/>
  <c r="L22" i="167"/>
  <c r="D23" i="167"/>
  <c r="E23" i="167"/>
  <c r="F23" i="167"/>
  <c r="G23" i="167"/>
  <c r="H23" i="167"/>
  <c r="I23" i="167"/>
  <c r="J23" i="167"/>
  <c r="K23" i="167"/>
  <c r="L23" i="167"/>
  <c r="D24" i="167"/>
  <c r="E24" i="167"/>
  <c r="F24" i="167"/>
  <c r="G24" i="167"/>
  <c r="H24" i="167"/>
  <c r="I24" i="167"/>
  <c r="J24" i="167"/>
  <c r="K24" i="167"/>
  <c r="L24" i="167"/>
  <c r="AZ19" i="167"/>
  <c r="AZ18" i="167"/>
  <c r="AZ17" i="167"/>
  <c r="BA18" i="167"/>
  <c r="AZ16" i="167"/>
  <c r="AZ15" i="167"/>
  <c r="AZ14" i="167"/>
  <c r="BA7" i="167"/>
  <c r="BA8" i="167"/>
  <c r="BA9" i="167"/>
  <c r="BA10" i="167"/>
  <c r="BA4" i="167"/>
  <c r="C87" i="161" s="1"/>
  <c r="C84" i="161" s="1"/>
  <c r="BA5" i="167"/>
  <c r="AZ8" i="167"/>
  <c r="AZ9" i="167"/>
  <c r="AZ10" i="167"/>
  <c r="AZ7" i="167"/>
  <c r="AZ5" i="167"/>
  <c r="AZ4" i="167"/>
  <c r="M4" i="167"/>
  <c r="M5" i="167"/>
  <c r="M7" i="167"/>
  <c r="M8" i="167"/>
  <c r="M9" i="167"/>
  <c r="M10" i="167"/>
  <c r="M14" i="167"/>
  <c r="M15" i="167"/>
  <c r="M17" i="167"/>
  <c r="M19" i="167"/>
  <c r="M20" i="167"/>
  <c r="M22" i="167"/>
  <c r="M23" i="167"/>
  <c r="M24" i="167"/>
  <c r="J11" i="168"/>
  <c r="AK47" i="170"/>
  <c r="AO47" i="170"/>
  <c r="AO54" i="170"/>
  <c r="B1" i="167"/>
  <c r="BD23" i="167" l="1"/>
  <c r="BD24" i="167"/>
  <c r="BD19" i="167"/>
  <c r="K7" i="169" s="1"/>
  <c r="BD14" i="167"/>
  <c r="BD7" i="167"/>
  <c r="BD17" i="167"/>
  <c r="BD10" i="167"/>
  <c r="AV115" i="170" s="1"/>
  <c r="BD9" i="167"/>
  <c r="BD20" i="167"/>
  <c r="BD15" i="167"/>
  <c r="BD63" i="167" s="1"/>
  <c r="BD8" i="167"/>
  <c r="BD150" i="167"/>
  <c r="BA25" i="167"/>
  <c r="D11" i="167"/>
  <c r="I6" i="167"/>
  <c r="AZ11" i="167"/>
  <c r="BC20" i="167"/>
  <c r="BC9" i="167"/>
  <c r="BC23" i="167"/>
  <c r="BC14" i="167"/>
  <c r="BC8" i="167"/>
  <c r="BC17" i="167"/>
  <c r="BC7" i="167"/>
  <c r="E6" i="167"/>
  <c r="BC10" i="167"/>
  <c r="AU115" i="170" s="1"/>
  <c r="BC5" i="167"/>
  <c r="H6" i="167"/>
  <c r="BC24" i="167"/>
  <c r="E99" i="161" s="1"/>
  <c r="BC19" i="167"/>
  <c r="BC15" i="167"/>
  <c r="BC4" i="167"/>
  <c r="H11" i="167"/>
  <c r="L6" i="167"/>
  <c r="D6" i="167"/>
  <c r="M11" i="167"/>
  <c r="L11" i="167"/>
  <c r="M25" i="167"/>
  <c r="M6" i="167"/>
  <c r="BA11" i="167"/>
  <c r="L25" i="167"/>
  <c r="I11" i="167"/>
  <c r="E11" i="167"/>
  <c r="J6" i="167"/>
  <c r="G37" i="178" s="1"/>
  <c r="F6" i="167"/>
  <c r="J11" i="167"/>
  <c r="F11" i="167"/>
  <c r="K11" i="167"/>
  <c r="G11" i="167"/>
  <c r="K6" i="167"/>
  <c r="G6" i="167"/>
  <c r="AY114" i="170" l="1"/>
  <c r="AV114" i="170"/>
  <c r="AU114" i="170"/>
  <c r="AX114" i="170"/>
  <c r="AW114" i="170"/>
  <c r="E87" i="161"/>
  <c r="AU106" i="170"/>
  <c r="BD154" i="167"/>
  <c r="BE154" i="167"/>
  <c r="D12" i="167"/>
  <c r="D13" i="167" s="1"/>
  <c r="I12" i="167"/>
  <c r="I13" i="167" s="1"/>
  <c r="F99" i="161"/>
  <c r="K5" i="169"/>
  <c r="BD11" i="167"/>
  <c r="BD91" i="167"/>
  <c r="BD96" i="167" s="1"/>
  <c r="BD98" i="167"/>
  <c r="BD147" i="167"/>
  <c r="BD151" i="167" s="1"/>
  <c r="BD145" i="167"/>
  <c r="BD149" i="167" s="1"/>
  <c r="BC11" i="167"/>
  <c r="BC6" i="167"/>
  <c r="H12" i="167"/>
  <c r="H13" i="167" s="1"/>
  <c r="E12" i="167"/>
  <c r="E13" i="167" s="1"/>
  <c r="L12" i="167"/>
  <c r="K12" i="167"/>
  <c r="K13" i="167" s="1"/>
  <c r="J12" i="167"/>
  <c r="J13" i="167" s="1"/>
  <c r="F12" i="167"/>
  <c r="F13" i="167" s="1"/>
  <c r="G12" i="167"/>
  <c r="G13" i="167" s="1"/>
  <c r="M12" i="167"/>
  <c r="AZ114" i="170" l="1"/>
  <c r="BD153" i="167"/>
  <c r="BE153" i="167"/>
  <c r="BD155" i="167"/>
  <c r="BE155" i="167"/>
  <c r="M13" i="167"/>
  <c r="M21" i="167" s="1"/>
  <c r="L13" i="167"/>
  <c r="BC12" i="167"/>
  <c r="E90" i="161"/>
  <c r="BD100" i="167"/>
  <c r="BD109" i="167"/>
  <c r="BD103" i="167"/>
  <c r="BD108" i="167" s="1"/>
  <c r="BD127" i="167"/>
  <c r="BD115" i="167" l="1"/>
  <c r="BD120" i="167" s="1"/>
  <c r="BD121" i="167"/>
  <c r="BD124" i="167" l="1"/>
  <c r="M33" i="167"/>
  <c r="M34" i="167" s="1"/>
  <c r="L33" i="167"/>
  <c r="L34" i="167" s="1"/>
  <c r="K33" i="167"/>
  <c r="K34" i="167" s="1"/>
  <c r="J33" i="167"/>
  <c r="J34" i="167" s="1"/>
  <c r="I33" i="167"/>
  <c r="I34" i="167" s="1"/>
  <c r="H33" i="167"/>
  <c r="H34" i="167" s="1"/>
  <c r="G33" i="167"/>
  <c r="G34" i="167" s="1"/>
  <c r="F33" i="167"/>
  <c r="F34" i="167" s="1"/>
  <c r="E33" i="167"/>
  <c r="E34" i="167" s="1"/>
  <c r="D33" i="167"/>
  <c r="D34" i="167" s="1"/>
  <c r="C33" i="167"/>
  <c r="C34" i="167" s="1"/>
  <c r="G4" i="178" l="1"/>
  <c r="C55" i="178" l="1"/>
  <c r="C41" i="178"/>
  <c r="C48" i="178" s="1"/>
  <c r="C26" i="178" l="1"/>
  <c r="C33" i="178" s="1"/>
  <c r="C19" i="178"/>
  <c r="C178" i="178" s="1"/>
  <c r="AQ61" i="170" l="1"/>
  <c r="L37" i="167" s="1"/>
  <c r="AP61" i="170"/>
  <c r="K37" i="167" s="1"/>
  <c r="AQ60" i="170"/>
  <c r="L36" i="167" s="1"/>
  <c r="AP60" i="170"/>
  <c r="K36" i="167" s="1"/>
  <c r="N37" i="167" l="1"/>
  <c r="AQ51" i="170"/>
  <c r="AP51" i="170"/>
  <c r="AP50" i="170"/>
  <c r="AQ46" i="170"/>
  <c r="L16" i="167" s="1"/>
  <c r="AP46" i="170"/>
  <c r="K16" i="167" s="1"/>
  <c r="BD16" i="167" l="1"/>
  <c r="AP49" i="170"/>
  <c r="K18" i="167" s="1"/>
  <c r="AQ49" i="170"/>
  <c r="L18" i="167" s="1"/>
  <c r="L21" i="167" s="1"/>
  <c r="L54" i="167"/>
  <c r="L53" i="167"/>
  <c r="L51" i="167"/>
  <c r="K21" i="167" l="1"/>
  <c r="BD21" i="167" s="1"/>
  <c r="BD18" i="167"/>
  <c r="L52" i="167"/>
  <c r="L55" i="167"/>
  <c r="I6" i="178"/>
  <c r="I37" i="178"/>
  <c r="C57" i="178" l="1"/>
  <c r="C56" i="178"/>
  <c r="C43" i="178"/>
  <c r="C50" i="178" s="1"/>
  <c r="C42" i="178"/>
  <c r="C49" i="178" s="1"/>
  <c r="C28" i="178"/>
  <c r="C35" i="178" s="1"/>
  <c r="C27" i="178"/>
  <c r="C34" i="178" s="1"/>
  <c r="C21" i="178"/>
  <c r="C38" i="178"/>
  <c r="C45" i="178" s="1"/>
  <c r="C54" i="178" l="1"/>
  <c r="C23" i="178"/>
  <c r="C30" i="178" s="1"/>
  <c r="C52" i="178"/>
  <c r="C60" i="178" s="1"/>
  <c r="C40" i="178"/>
  <c r="C47" i="178" s="1"/>
  <c r="C25" i="178"/>
  <c r="C32" i="178" s="1"/>
  <c r="J26" i="169" l="1"/>
  <c r="J19" i="169"/>
  <c r="J18" i="169"/>
  <c r="J14" i="169"/>
  <c r="J13" i="169"/>
  <c r="J54" i="168"/>
  <c r="J4" i="168"/>
  <c r="J5" i="168"/>
  <c r="K15" i="169" s="1"/>
  <c r="J6" i="168"/>
  <c r="J7" i="168"/>
  <c r="J9" i="168"/>
  <c r="J12" i="168"/>
  <c r="J14" i="168"/>
  <c r="J15" i="168"/>
  <c r="J16" i="168"/>
  <c r="J19" i="168"/>
  <c r="J20" i="168"/>
  <c r="J21" i="168"/>
  <c r="J23" i="168"/>
  <c r="J24" i="168"/>
  <c r="K22" i="169" s="1"/>
  <c r="J27" i="168"/>
  <c r="J28" i="168"/>
  <c r="K23" i="169" s="1"/>
  <c r="J29" i="168"/>
  <c r="K20" i="169" s="1"/>
  <c r="J30" i="168"/>
  <c r="J31" i="168"/>
  <c r="J34" i="168"/>
  <c r="K24" i="169" s="1"/>
  <c r="J35" i="168"/>
  <c r="J47" i="168" l="1"/>
  <c r="J28" i="169"/>
  <c r="K16" i="169"/>
  <c r="K17" i="169" s="1"/>
  <c r="BD62" i="167"/>
  <c r="BD64" i="167" s="1"/>
  <c r="K10" i="169"/>
  <c r="K67" i="168"/>
  <c r="BD58" i="167"/>
  <c r="K21" i="169"/>
  <c r="K25" i="169" s="1"/>
  <c r="K11" i="169"/>
  <c r="K9" i="169"/>
  <c r="J50" i="168"/>
  <c r="K46" i="168" s="1"/>
  <c r="K51" i="168" s="1"/>
  <c r="J10" i="168"/>
  <c r="K54" i="167"/>
  <c r="M54" i="167"/>
  <c r="K51" i="167"/>
  <c r="M51" i="167"/>
  <c r="K52" i="167"/>
  <c r="M52" i="167"/>
  <c r="M55" i="167"/>
  <c r="J6" i="178"/>
  <c r="K53" i="167"/>
  <c r="M53" i="167"/>
  <c r="J13" i="168"/>
  <c r="J57" i="168"/>
  <c r="K53" i="168" s="1"/>
  <c r="J26" i="168"/>
  <c r="J36" i="168"/>
  <c r="J22" i="168"/>
  <c r="J18" i="168"/>
  <c r="J17" i="168" s="1"/>
  <c r="J8" i="168"/>
  <c r="H6" i="178"/>
  <c r="K25" i="167"/>
  <c r="K55" i="167"/>
  <c r="J33" i="168"/>
  <c r="J25" i="168" l="1"/>
  <c r="I22" i="178"/>
  <c r="K8" i="169"/>
  <c r="J13" i="178"/>
  <c r="J11" i="178" s="1"/>
  <c r="H13" i="178"/>
  <c r="H7" i="178" s="1"/>
  <c r="J37" i="178"/>
  <c r="AY6" i="178"/>
  <c r="AY12" i="178" s="1"/>
  <c r="H29" i="178"/>
  <c r="H37" i="178"/>
  <c r="J32" i="168"/>
  <c r="G6" i="178"/>
  <c r="AO61" i="170"/>
  <c r="AN60" i="170"/>
  <c r="I36" i="167" s="1"/>
  <c r="AN46" i="170"/>
  <c r="I16" i="167" s="1"/>
  <c r="AO51" i="170"/>
  <c r="AN50" i="170"/>
  <c r="I7" i="178" l="1"/>
  <c r="H22" i="178"/>
  <c r="K13" i="178"/>
  <c r="J184" i="178"/>
  <c r="J181" i="178" s="1"/>
  <c r="J8" i="178"/>
  <c r="J7" i="178"/>
  <c r="H8" i="178"/>
  <c r="AY37" i="178"/>
  <c r="H9" i="178"/>
  <c r="I13" i="178"/>
  <c r="H11" i="178"/>
  <c r="J52" i="167"/>
  <c r="AO46" i="170"/>
  <c r="J16" i="167" s="1"/>
  <c r="AO60" i="170"/>
  <c r="J55" i="167"/>
  <c r="G29" i="178"/>
  <c r="AO50" i="170"/>
  <c r="AO49" i="170" s="1"/>
  <c r="J18" i="167" s="1"/>
  <c r="AN61" i="170"/>
  <c r="I37" i="167" s="1"/>
  <c r="J51" i="167"/>
  <c r="AN51" i="170"/>
  <c r="AN49" i="170" s="1"/>
  <c r="I18" i="167" s="1"/>
  <c r="J25" i="167"/>
  <c r="J26" i="167" s="1"/>
  <c r="J54" i="167"/>
  <c r="J53" i="167"/>
  <c r="L9" i="178" l="1"/>
  <c r="P9" i="178" s="1"/>
  <c r="T18" i="178" s="1"/>
  <c r="J158" i="178"/>
  <c r="J176" i="178"/>
  <c r="J170" i="178" s="1"/>
  <c r="J39" i="178"/>
  <c r="I11" i="178"/>
  <c r="J21" i="167"/>
  <c r="I21" i="167"/>
  <c r="L19" i="178"/>
  <c r="H184" i="178"/>
  <c r="H42" i="178"/>
  <c r="I42" i="178" s="1"/>
  <c r="H40" i="178"/>
  <c r="I40" i="178" s="1"/>
  <c r="H39" i="178"/>
  <c r="H158" i="178"/>
  <c r="H38" i="178"/>
  <c r="H41" i="178"/>
  <c r="I41" i="178" s="1"/>
  <c r="AY44" i="178"/>
  <c r="AY43" i="178"/>
  <c r="AY50" i="178" s="1"/>
  <c r="H31" i="178"/>
  <c r="H176" i="178"/>
  <c r="H170" i="178" s="1"/>
  <c r="H33" i="178"/>
  <c r="H32" i="178"/>
  <c r="H30" i="178"/>
  <c r="H34" i="178"/>
  <c r="I8" i="178"/>
  <c r="I9" i="178"/>
  <c r="M9" i="178" s="1"/>
  <c r="Q9" i="178" s="1"/>
  <c r="I10" i="178"/>
  <c r="K10" i="178" s="1"/>
  <c r="K184" i="178" s="1"/>
  <c r="K181" i="178" s="1"/>
  <c r="H12" i="178"/>
  <c r="J27" i="167"/>
  <c r="U9" i="178" l="1"/>
  <c r="U18" i="178" s="1"/>
  <c r="I38" i="178"/>
  <c r="I45" i="178" s="1"/>
  <c r="H43" i="178"/>
  <c r="J160" i="178"/>
  <c r="J139" i="178" s="1"/>
  <c r="J167" i="178" s="1"/>
  <c r="K7" i="178"/>
  <c r="K11" i="178"/>
  <c r="I39" i="178"/>
  <c r="I46" i="178" s="1"/>
  <c r="H160" i="178"/>
  <c r="I25" i="178"/>
  <c r="I49" i="178"/>
  <c r="I184" i="178"/>
  <c r="I181" i="178" s="1"/>
  <c r="I158" i="178"/>
  <c r="I26" i="178"/>
  <c r="I24" i="178"/>
  <c r="I27" i="178"/>
  <c r="I23" i="178"/>
  <c r="I48" i="178"/>
  <c r="L41" i="178"/>
  <c r="I47" i="178"/>
  <c r="I33" i="178"/>
  <c r="H35" i="178"/>
  <c r="H14" i="178"/>
  <c r="I31" i="178"/>
  <c r="I176" i="178"/>
  <c r="I170" i="178" s="1"/>
  <c r="I32" i="178"/>
  <c r="I30" i="178"/>
  <c r="I34" i="178"/>
  <c r="I12" i="178"/>
  <c r="Y9" i="178" l="1"/>
  <c r="AA9" i="178" s="1"/>
  <c r="W9" i="178"/>
  <c r="I43" i="178"/>
  <c r="I50" i="178" s="1"/>
  <c r="BF184" i="178"/>
  <c r="K158" i="178"/>
  <c r="H139" i="178"/>
  <c r="I160" i="178"/>
  <c r="I14" i="178"/>
  <c r="L170" i="178"/>
  <c r="L176" i="178" s="1"/>
  <c r="I28" i="178"/>
  <c r="I35" i="178"/>
  <c r="AA18" i="178" l="1"/>
  <c r="AC18" i="178"/>
  <c r="AD18" i="178" s="1"/>
  <c r="AB9" i="178"/>
  <c r="L139" i="178"/>
  <c r="H167" i="178"/>
  <c r="K160" i="178"/>
  <c r="K139" i="178" s="1"/>
  <c r="K167" i="178" s="1"/>
  <c r="I139" i="178"/>
  <c r="I167" i="178" s="1"/>
  <c r="N170" i="178"/>
  <c r="N176" i="178" s="1"/>
  <c r="P170" i="178"/>
  <c r="P176" i="178" s="1"/>
  <c r="P8" i="178" s="1"/>
  <c r="AC9" i="178" l="1"/>
  <c r="AE18" i="178"/>
  <c r="AD9" i="178"/>
  <c r="L8" i="178"/>
  <c r="N8" i="178"/>
  <c r="R170" i="178"/>
  <c r="R176" i="178" s="1"/>
  <c r="T170" i="178"/>
  <c r="T176" i="178" s="1"/>
  <c r="C70" i="161"/>
  <c r="C69" i="161"/>
  <c r="C68" i="161"/>
  <c r="AF18" i="178" l="1"/>
  <c r="AE9" i="178"/>
  <c r="M10" i="178"/>
  <c r="L17" i="178"/>
  <c r="L39" i="178"/>
  <c r="N39" i="178"/>
  <c r="X170" i="178"/>
  <c r="X176" i="178" s="1"/>
  <c r="V170" i="178"/>
  <c r="V176" i="178" s="1"/>
  <c r="R8" i="178"/>
  <c r="J32" i="161"/>
  <c r="AG18" i="178" l="1"/>
  <c r="AF9" i="178"/>
  <c r="M19" i="178"/>
  <c r="M26" i="178"/>
  <c r="Q10" i="178"/>
  <c r="R17" i="178"/>
  <c r="P17" i="178"/>
  <c r="T8" i="178"/>
  <c r="Z170" i="178"/>
  <c r="Z176" i="178" s="1"/>
  <c r="V8" i="178"/>
  <c r="AB170" i="178"/>
  <c r="AB176" i="178" s="1"/>
  <c r="K32" i="161"/>
  <c r="AH18" i="178" l="1"/>
  <c r="AG9" i="178"/>
  <c r="Q26" i="178"/>
  <c r="Q19" i="178"/>
  <c r="V17" i="178"/>
  <c r="T17" i="178"/>
  <c r="AF170" i="178"/>
  <c r="AD170" i="178"/>
  <c r="AD176" i="178" s="1"/>
  <c r="Z8" i="178"/>
  <c r="X8" i="178"/>
  <c r="L32" i="161"/>
  <c r="AI18" i="178" l="1"/>
  <c r="AH9" i="178"/>
  <c r="AF176" i="178"/>
  <c r="AJ170" i="178"/>
  <c r="Z17" i="178"/>
  <c r="X17" i="178"/>
  <c r="AH170" i="178"/>
  <c r="AD8" i="178"/>
  <c r="AB8" i="178"/>
  <c r="AJ18" i="178" l="1"/>
  <c r="AI9" i="178"/>
  <c r="AL170" i="178"/>
  <c r="AL176" i="178" s="1"/>
  <c r="AL8" i="178" s="1"/>
  <c r="AP170" i="178"/>
  <c r="AJ176" i="178"/>
  <c r="AJ8" i="178" s="1"/>
  <c r="AN170" i="178"/>
  <c r="AH176" i="178"/>
  <c r="AB17" i="178"/>
  <c r="AD17" i="178"/>
  <c r="AF8" i="178"/>
  <c r="N32" i="161"/>
  <c r="AK18" i="178" l="1"/>
  <c r="AJ9" i="178"/>
  <c r="AH8" i="178"/>
  <c r="AL17" i="178" s="1"/>
  <c r="AP176" i="178"/>
  <c r="AP8" i="178" s="1"/>
  <c r="AP17" i="178" s="1"/>
  <c r="AT170" i="178"/>
  <c r="AT176" i="178" s="1"/>
  <c r="AT8" i="178" s="1"/>
  <c r="AN176" i="178"/>
  <c r="AN8" i="178" s="1"/>
  <c r="AR170" i="178"/>
  <c r="AR176" i="178" s="1"/>
  <c r="AR8" i="178" s="1"/>
  <c r="AJ17" i="178"/>
  <c r="AF17" i="178"/>
  <c r="O32" i="161"/>
  <c r="AL18" i="178" l="1"/>
  <c r="AK9" i="178"/>
  <c r="AH17" i="178"/>
  <c r="AN17" i="178"/>
  <c r="AR17" i="178"/>
  <c r="AT17" i="178"/>
  <c r="P32" i="161"/>
  <c r="AM18" i="178" l="1"/>
  <c r="AL9" i="178"/>
  <c r="L83" i="161"/>
  <c r="C117" i="161"/>
  <c r="AN18" i="178" l="1"/>
  <c r="AM9" i="178"/>
  <c r="C71" i="161"/>
  <c r="BM9" i="178" l="1"/>
  <c r="AO18" i="178"/>
  <c r="AN9" i="178"/>
  <c r="C1" i="178"/>
  <c r="AP18" i="178" l="1"/>
  <c r="AO9" i="178"/>
  <c r="BI17" i="167"/>
  <c r="BI19" i="167"/>
  <c r="BI16" i="167"/>
  <c r="BI87" i="167"/>
  <c r="BI88" i="167"/>
  <c r="AE4" i="178"/>
  <c r="AD4" i="178"/>
  <c r="AC4" i="178"/>
  <c r="AB4" i="178"/>
  <c r="BK4" i="178"/>
  <c r="AQ18" i="178" l="1"/>
  <c r="AP9" i="178"/>
  <c r="P7" i="169"/>
  <c r="P13" i="168" s="1"/>
  <c r="P8" i="168"/>
  <c r="AJ50" i="170"/>
  <c r="AK50" i="170" s="1"/>
  <c r="AL50" i="170"/>
  <c r="AM50" i="170" s="1"/>
  <c r="AR18" i="178" l="1"/>
  <c r="AQ9" i="178"/>
  <c r="AI50" i="170"/>
  <c r="AH50" i="170"/>
  <c r="BN9" i="178" l="1"/>
  <c r="AS18" i="178"/>
  <c r="AR9" i="178"/>
  <c r="C34" i="168"/>
  <c r="D34" i="168"/>
  <c r="E34" i="168"/>
  <c r="F34" i="168"/>
  <c r="G34" i="168"/>
  <c r="AT18" i="178" l="1"/>
  <c r="AS9" i="178"/>
  <c r="BN18" i="178"/>
  <c r="C20" i="167"/>
  <c r="BB20" i="167" s="1"/>
  <c r="AU18" i="178" l="1"/>
  <c r="AU9" i="178" s="1"/>
  <c r="AT9" i="178"/>
  <c r="BO9" i="178" l="1"/>
  <c r="BO18" i="178" s="1"/>
  <c r="F6" i="178" l="1"/>
  <c r="I53" i="167"/>
  <c r="I54" i="167"/>
  <c r="I52" i="167"/>
  <c r="I55" i="167"/>
  <c r="I51" i="167"/>
  <c r="G22" i="178" l="1"/>
  <c r="F13" i="178"/>
  <c r="F10" i="178" s="1"/>
  <c r="F37" i="178"/>
  <c r="F29" i="178"/>
  <c r="F9" i="178" l="1"/>
  <c r="F40" i="178" s="1"/>
  <c r="G40" i="178" s="1"/>
  <c r="F11" i="178"/>
  <c r="F8" i="178"/>
  <c r="F7" i="178"/>
  <c r="G13" i="178"/>
  <c r="F42" i="178" l="1"/>
  <c r="G42" i="178" s="1"/>
  <c r="F41" i="178"/>
  <c r="G41" i="178" s="1"/>
  <c r="F184" i="178"/>
  <c r="F33" i="178"/>
  <c r="F31" i="178"/>
  <c r="F32" i="178"/>
  <c r="F30" i="178"/>
  <c r="F158" i="178"/>
  <c r="F34" i="178"/>
  <c r="G9" i="178"/>
  <c r="G47" i="178" s="1"/>
  <c r="G10" i="178"/>
  <c r="G7" i="178"/>
  <c r="G8" i="178"/>
  <c r="G11" i="178"/>
  <c r="F12" i="178"/>
  <c r="F35" i="178" s="1"/>
  <c r="AL51" i="170"/>
  <c r="AM51" i="170" s="1"/>
  <c r="AL46" i="170"/>
  <c r="AM46" i="170" l="1"/>
  <c r="H16" i="167" s="1"/>
  <c r="G16" i="167"/>
  <c r="G158" i="178"/>
  <c r="G49" i="178"/>
  <c r="F181" i="178"/>
  <c r="J182" i="178" s="1"/>
  <c r="G184" i="178"/>
  <c r="G181" i="178" s="1"/>
  <c r="K182" i="178" s="1"/>
  <c r="G48" i="178"/>
  <c r="F14" i="178"/>
  <c r="G24" i="178"/>
  <c r="F160" i="178"/>
  <c r="G25" i="178"/>
  <c r="G34" i="178"/>
  <c r="H23" i="178"/>
  <c r="G30" i="178"/>
  <c r="H26" i="178"/>
  <c r="G33" i="178"/>
  <c r="H24" i="178"/>
  <c r="G31" i="178"/>
  <c r="G27" i="178"/>
  <c r="G23" i="178"/>
  <c r="H25" i="178"/>
  <c r="G32" i="178"/>
  <c r="G12" i="178"/>
  <c r="G28" i="178" s="1"/>
  <c r="H27" i="178"/>
  <c r="G26" i="178"/>
  <c r="AL61" i="170"/>
  <c r="AM61" i="170" s="1"/>
  <c r="H37" i="167" s="1"/>
  <c r="AL60" i="170"/>
  <c r="G36" i="167" s="1"/>
  <c r="BC16" i="167" l="1"/>
  <c r="G160" i="178"/>
  <c r="G139" i="178" s="1"/>
  <c r="G14" i="178"/>
  <c r="F139" i="178"/>
  <c r="H28" i="178"/>
  <c r="G35" i="178"/>
  <c r="G37" i="167"/>
  <c r="J37" i="167" s="1"/>
  <c r="AM60" i="170"/>
  <c r="H36" i="167" s="1"/>
  <c r="J36" i="167" s="1"/>
  <c r="J150" i="178" l="1"/>
  <c r="F167" i="178"/>
  <c r="K150" i="178"/>
  <c r="N150" i="178" s="1"/>
  <c r="N139" i="178" s="1"/>
  <c r="G167" i="178"/>
  <c r="BF181" i="178"/>
  <c r="J55" i="168"/>
  <c r="J48" i="168"/>
  <c r="K33" i="178" l="1"/>
  <c r="L26" i="178"/>
  <c r="K19" i="178"/>
  <c r="BG181" i="178"/>
  <c r="R139" i="178"/>
  <c r="N160" i="178"/>
  <c r="L161" i="178"/>
  <c r="P140" i="178"/>
  <c r="J6" i="169"/>
  <c r="E6" i="178"/>
  <c r="F22" i="178" l="1"/>
  <c r="J38" i="178"/>
  <c r="J23" i="178"/>
  <c r="T140" i="178"/>
  <c r="P161" i="178"/>
  <c r="Q140" i="178"/>
  <c r="M161" i="178"/>
  <c r="R160" i="178"/>
  <c r="V139" i="178"/>
  <c r="E37" i="178"/>
  <c r="E29" i="178"/>
  <c r="U140" i="178" l="1"/>
  <c r="Q161" i="178"/>
  <c r="Z139" i="178"/>
  <c r="V160" i="178"/>
  <c r="R140" i="178"/>
  <c r="N161" i="178"/>
  <c r="N158" i="178" s="1"/>
  <c r="X140" i="178"/>
  <c r="T161" i="178"/>
  <c r="E44" i="178"/>
  <c r="BG161" i="178" l="1"/>
  <c r="AD139" i="178"/>
  <c r="Z160" i="178"/>
  <c r="Y140" i="178"/>
  <c r="U161" i="178"/>
  <c r="V140" i="178"/>
  <c r="R161" i="178"/>
  <c r="AB140" i="178"/>
  <c r="X161" i="178"/>
  <c r="R158" i="178" l="1"/>
  <c r="BG140" i="178"/>
  <c r="BG151" i="178" s="1"/>
  <c r="N7" i="178"/>
  <c r="N167" i="178" s="1"/>
  <c r="Z140" i="178"/>
  <c r="V161" i="178"/>
  <c r="AC140" i="178"/>
  <c r="Y161" i="178"/>
  <c r="AH139" i="178"/>
  <c r="AD160" i="178"/>
  <c r="AF140" i="178"/>
  <c r="AB161" i="178"/>
  <c r="BH161" i="178"/>
  <c r="AM49" i="170"/>
  <c r="H18" i="167" s="1"/>
  <c r="H21" i="167" s="1"/>
  <c r="AH160" i="178" l="1"/>
  <c r="AL139" i="178"/>
  <c r="AF161" i="178"/>
  <c r="AJ140" i="178"/>
  <c r="R7" i="178"/>
  <c r="R167" i="178" s="1"/>
  <c r="V158" i="178"/>
  <c r="BH140" i="178"/>
  <c r="BH151" i="178" s="1"/>
  <c r="AG140" i="178"/>
  <c r="AC161" i="178"/>
  <c r="AD140" i="178"/>
  <c r="Z161" i="178"/>
  <c r="BI161" i="178"/>
  <c r="D77" i="168"/>
  <c r="I77" i="168"/>
  <c r="E77" i="168"/>
  <c r="H77" i="168"/>
  <c r="C77" i="168"/>
  <c r="G77" i="168"/>
  <c r="F77" i="168"/>
  <c r="AL160" i="178" l="1"/>
  <c r="AP139" i="178"/>
  <c r="AJ161" i="178"/>
  <c r="AN140" i="178"/>
  <c r="AG161" i="178"/>
  <c r="AK140" i="178"/>
  <c r="V7" i="178"/>
  <c r="V167" i="178" s="1"/>
  <c r="BI140" i="178"/>
  <c r="BI151" i="178" s="1"/>
  <c r="BJ161" i="178"/>
  <c r="AH140" i="178"/>
  <c r="AD161" i="178"/>
  <c r="AN161" i="178" l="1"/>
  <c r="AR140" i="178"/>
  <c r="AR161" i="178" s="1"/>
  <c r="AP160" i="178"/>
  <c r="AT139" i="178"/>
  <c r="AK161" i="178"/>
  <c r="AO140" i="178"/>
  <c r="AH161" i="178"/>
  <c r="AL140" i="178"/>
  <c r="BJ140" i="178"/>
  <c r="BJ151" i="178" s="1"/>
  <c r="BK161" i="178"/>
  <c r="BL161" i="178" l="1"/>
  <c r="BL140" i="178" s="1"/>
  <c r="AT160" i="178"/>
  <c r="AO161" i="178"/>
  <c r="AS140" i="178"/>
  <c r="AS161" i="178" s="1"/>
  <c r="AL161" i="178"/>
  <c r="BM161" i="178" s="1"/>
  <c r="BM140" i="178" s="1"/>
  <c r="AP140" i="178"/>
  <c r="BK140" i="178"/>
  <c r="BK151" i="178" s="1"/>
  <c r="BM151" i="178" l="1"/>
  <c r="AP161" i="178"/>
  <c r="AT140" i="178"/>
  <c r="BL151" i="178"/>
  <c r="BN161" i="178" l="1"/>
  <c r="BN140" i="178" s="1"/>
  <c r="BN151" i="178" s="1"/>
  <c r="AT161" i="178"/>
  <c r="BO161" i="178" s="1"/>
  <c r="BO140" i="178" s="1"/>
  <c r="BO151" i="178" l="1"/>
  <c r="BK148" i="178"/>
  <c r="BK147" i="178"/>
  <c r="BL148" i="178"/>
  <c r="BL147" i="178"/>
  <c r="I54" i="168"/>
  <c r="I5" i="168"/>
  <c r="J15" i="169" s="1"/>
  <c r="I11" i="168"/>
  <c r="I14" i="168"/>
  <c r="AJ58" i="170" l="1"/>
  <c r="AJ57" i="170"/>
  <c r="AJ46" i="170"/>
  <c r="E16" i="167" s="1"/>
  <c r="AJ51" i="170"/>
  <c r="AK51" i="170" s="1"/>
  <c r="BC63" i="167"/>
  <c r="BC59" i="167"/>
  <c r="AL49" i="170"/>
  <c r="G18" i="167" s="1"/>
  <c r="G21" i="167" l="1"/>
  <c r="BC21" i="167" s="1"/>
  <c r="BC18" i="167"/>
  <c r="AJ49" i="170"/>
  <c r="E18" i="167" s="1"/>
  <c r="E21" i="167" s="1"/>
  <c r="AK46" i="170"/>
  <c r="F16" i="167" s="1"/>
  <c r="H54" i="167"/>
  <c r="H51" i="167"/>
  <c r="H50" i="167"/>
  <c r="H55" i="167"/>
  <c r="D37" i="178"/>
  <c r="D6" i="178"/>
  <c r="F53" i="167"/>
  <c r="F25" i="167"/>
  <c r="G54" i="167"/>
  <c r="G52" i="167"/>
  <c r="G25" i="167"/>
  <c r="F51" i="167"/>
  <c r="G55" i="167"/>
  <c r="F52" i="167"/>
  <c r="F55" i="167"/>
  <c r="G53" i="167"/>
  <c r="G51" i="167"/>
  <c r="I28" i="168"/>
  <c r="J23" i="169" s="1"/>
  <c r="AW37" i="178" l="1"/>
  <c r="AW43" i="178" s="1"/>
  <c r="BC13" i="167"/>
  <c r="BC22" i="167" s="1"/>
  <c r="BC25" i="167" s="1"/>
  <c r="BE37" i="178"/>
  <c r="D13" i="178"/>
  <c r="E22" i="178"/>
  <c r="D29" i="178"/>
  <c r="H15" i="178"/>
  <c r="G50" i="167"/>
  <c r="AW6" i="178"/>
  <c r="AW12" i="178" s="1"/>
  <c r="H52" i="167"/>
  <c r="H53" i="167"/>
  <c r="G26" i="167"/>
  <c r="G27" i="167"/>
  <c r="D7" i="178" l="1"/>
  <c r="E7" i="178" s="1"/>
  <c r="D9" i="178"/>
  <c r="D40" i="178" s="1"/>
  <c r="E40" i="178" s="1"/>
  <c r="E95" i="161"/>
  <c r="BC31" i="167"/>
  <c r="BE55" i="178"/>
  <c r="BE53" i="178"/>
  <c r="BE43" i="178"/>
  <c r="AX37" i="178"/>
  <c r="AW50" i="178"/>
  <c r="AW44" i="178"/>
  <c r="D8" i="178"/>
  <c r="E13" i="178"/>
  <c r="D11" i="178"/>
  <c r="D184" i="178"/>
  <c r="BE57" i="178" l="1"/>
  <c r="D42" i="178"/>
  <c r="E42" i="178" s="1"/>
  <c r="D38" i="178"/>
  <c r="D12" i="178"/>
  <c r="D14" i="178" s="1"/>
  <c r="D33" i="178"/>
  <c r="D41" i="178"/>
  <c r="E41" i="178" s="1"/>
  <c r="AX43" i="178"/>
  <c r="D31" i="178"/>
  <c r="H17" i="178"/>
  <c r="D32" i="178"/>
  <c r="D30" i="178"/>
  <c r="D158" i="178"/>
  <c r="D34" i="178"/>
  <c r="H16" i="178"/>
  <c r="H19" i="178"/>
  <c r="E8" i="178"/>
  <c r="E9" i="178"/>
  <c r="E47" i="178" s="1"/>
  <c r="H18" i="178"/>
  <c r="E184" i="178"/>
  <c r="E181" i="178" s="1"/>
  <c r="I182" i="178" s="1"/>
  <c r="E11" i="178"/>
  <c r="E38" i="178" l="1"/>
  <c r="D43" i="178"/>
  <c r="D160" i="178"/>
  <c r="BE184" i="178"/>
  <c r="BE181" i="178" s="1"/>
  <c r="D35" i="178"/>
  <c r="D55" i="178"/>
  <c r="E49" i="178"/>
  <c r="E48" i="178"/>
  <c r="E31" i="178"/>
  <c r="I17" i="178"/>
  <c r="E32" i="178"/>
  <c r="E30" i="178"/>
  <c r="E158" i="178"/>
  <c r="E25" i="178"/>
  <c r="E26" i="178"/>
  <c r="E33" i="178"/>
  <c r="F27" i="178"/>
  <c r="E34" i="178"/>
  <c r="E24" i="178"/>
  <c r="E27" i="178"/>
  <c r="I16" i="178"/>
  <c r="F23" i="178"/>
  <c r="I18" i="178"/>
  <c r="F25" i="178"/>
  <c r="E23" i="178"/>
  <c r="I19" i="178"/>
  <c r="F26" i="178"/>
  <c r="F24" i="178"/>
  <c r="H21" i="178"/>
  <c r="E12" i="178"/>
  <c r="E35" i="178" s="1"/>
  <c r="E45" i="178" l="1"/>
  <c r="E43" i="178"/>
  <c r="D139" i="178"/>
  <c r="E14" i="178"/>
  <c r="E160" i="178"/>
  <c r="I21" i="178"/>
  <c r="F28" i="178"/>
  <c r="E28" i="178"/>
  <c r="H150" i="178" l="1"/>
  <c r="D167" i="178"/>
  <c r="E139" i="178"/>
  <c r="I150" i="178" l="1"/>
  <c r="E167" i="178"/>
  <c r="G82" i="161"/>
  <c r="M82" i="161" l="1"/>
  <c r="N82" i="161" s="1"/>
  <c r="O82" i="161" s="1"/>
  <c r="BJ67" i="178" l="1"/>
  <c r="BI67" i="178"/>
  <c r="BI80" i="178" l="1"/>
  <c r="BI148" i="178"/>
  <c r="BI147" i="178"/>
  <c r="BJ148" i="178"/>
  <c r="BJ147" i="178"/>
  <c r="BG19" i="167" l="1"/>
  <c r="BH17" i="167"/>
  <c r="BG17" i="167"/>
  <c r="N7" i="169" l="1"/>
  <c r="BJ4" i="178" l="1"/>
  <c r="BI4" i="178"/>
  <c r="AA4" i="178"/>
  <c r="T4" i="178"/>
  <c r="U4" i="178"/>
  <c r="V4" i="178"/>
  <c r="W4" i="178"/>
  <c r="X4" i="178"/>
  <c r="Y4" i="178"/>
  <c r="Z4" i="178"/>
  <c r="AJ73" i="170" l="1"/>
  <c r="BH18" i="167" l="1"/>
  <c r="C20" i="178" l="1"/>
  <c r="C16" i="178" l="1"/>
  <c r="C18" i="178"/>
  <c r="E54" i="167" l="1"/>
  <c r="E52" i="167"/>
  <c r="E53" i="167"/>
  <c r="E51" i="167"/>
  <c r="E50" i="167"/>
  <c r="E25" i="167"/>
  <c r="E26" i="167" l="1"/>
  <c r="E27" i="167"/>
  <c r="F38" i="178" l="1"/>
  <c r="F43" i="178" s="1"/>
  <c r="J16" i="178"/>
  <c r="F50" i="178" l="1"/>
  <c r="G38" i="178"/>
  <c r="F52" i="178"/>
  <c r="N16" i="178"/>
  <c r="G45" i="178" l="1"/>
  <c r="G43" i="178"/>
  <c r="G50" i="178" s="1"/>
  <c r="N38" i="178"/>
  <c r="R16" i="178"/>
  <c r="R38" i="178" l="1"/>
  <c r="V16" i="178"/>
  <c r="AH51" i="170"/>
  <c r="AI51" i="170" s="1"/>
  <c r="AH61" i="170"/>
  <c r="AI61" i="170" s="1"/>
  <c r="AH60" i="170"/>
  <c r="AI60" i="170" s="1"/>
  <c r="V38" i="178" l="1"/>
  <c r="D36" i="167"/>
  <c r="D37" i="167"/>
  <c r="BE67" i="178"/>
  <c r="BE146" i="178" s="1"/>
  <c r="E86" i="161" s="1"/>
  <c r="BF67" i="178"/>
  <c r="BG67" i="178"/>
  <c r="BH67" i="178"/>
  <c r="BH80" i="178" s="1"/>
  <c r="C5" i="168"/>
  <c r="D5" i="168"/>
  <c r="E5" i="168"/>
  <c r="F5" i="168"/>
  <c r="G5" i="168"/>
  <c r="H5" i="168"/>
  <c r="BI84" i="178" l="1"/>
  <c r="BG80" i="178"/>
  <c r="BF146" i="178"/>
  <c r="F86" i="161" s="1"/>
  <c r="E84" i="161"/>
  <c r="BH147" i="178"/>
  <c r="BQ103" i="170"/>
  <c r="I15" i="169"/>
  <c r="BH84" i="178" l="1"/>
  <c r="AH46" i="170"/>
  <c r="C16" i="167" s="1"/>
  <c r="AI46" i="170" l="1"/>
  <c r="D16" i="167" s="1"/>
  <c r="BB16" i="167" s="1"/>
  <c r="D74" i="168" l="1"/>
  <c r="D24" i="168"/>
  <c r="C74" i="168"/>
  <c r="C24" i="168"/>
  <c r="C21" i="168" l="1"/>
  <c r="C64" i="168" s="1"/>
  <c r="D21" i="168"/>
  <c r="E24" i="168"/>
  <c r="E74" i="168"/>
  <c r="D64" i="168" l="1"/>
  <c r="E21" i="168"/>
  <c r="F74" i="168"/>
  <c r="F24" i="168"/>
  <c r="C27" i="169"/>
  <c r="E64" i="168" l="1"/>
  <c r="F21" i="168"/>
  <c r="G74" i="168"/>
  <c r="G24" i="168"/>
  <c r="D27" i="169"/>
  <c r="F64" i="168" l="1"/>
  <c r="G21" i="168"/>
  <c r="H74" i="168"/>
  <c r="H24" i="168"/>
  <c r="E27" i="169"/>
  <c r="J178" i="171"/>
  <c r="G64" i="168" l="1"/>
  <c r="H21" i="168"/>
  <c r="I6" i="168"/>
  <c r="I20" i="168"/>
  <c r="I7" i="168"/>
  <c r="I15" i="168"/>
  <c r="I24" i="168"/>
  <c r="I12" i="168"/>
  <c r="I19" i="168"/>
  <c r="I30" i="168"/>
  <c r="I35" i="168"/>
  <c r="I29" i="168"/>
  <c r="I23" i="168"/>
  <c r="I9" i="168"/>
  <c r="I31" i="168"/>
  <c r="I34" i="168"/>
  <c r="I4" i="168"/>
  <c r="I27" i="168"/>
  <c r="F27" i="169"/>
  <c r="K178" i="171"/>
  <c r="J10" i="169" l="1"/>
  <c r="J11" i="169"/>
  <c r="J24" i="169"/>
  <c r="J20" i="169"/>
  <c r="J22" i="169"/>
  <c r="J9" i="169"/>
  <c r="H64" i="168"/>
  <c r="I22" i="169"/>
  <c r="I26" i="168"/>
  <c r="L178" i="171"/>
  <c r="I21" i="168"/>
  <c r="I16" i="168"/>
  <c r="I36" i="168"/>
  <c r="I33" i="168"/>
  <c r="I13" i="168"/>
  <c r="I57" i="168"/>
  <c r="J53" i="168" s="1"/>
  <c r="I10" i="168"/>
  <c r="I50" i="168"/>
  <c r="J46" i="168" s="1"/>
  <c r="I8" i="168"/>
  <c r="I18" i="168"/>
  <c r="BB62" i="167"/>
  <c r="I26" i="169"/>
  <c r="I14" i="169"/>
  <c r="I47" i="168" s="1"/>
  <c r="I19" i="169"/>
  <c r="I18" i="169"/>
  <c r="I13" i="169"/>
  <c r="I28" i="169" l="1"/>
  <c r="J16" i="169"/>
  <c r="J8" i="169"/>
  <c r="J49" i="168"/>
  <c r="J51" i="168"/>
  <c r="I64" i="168"/>
  <c r="J21" i="169"/>
  <c r="I33" i="169"/>
  <c r="J56" i="168"/>
  <c r="J58" i="168"/>
  <c r="I25" i="168"/>
  <c r="I17" i="168"/>
  <c r="I32" i="168"/>
  <c r="I22" i="168"/>
  <c r="I21" i="169"/>
  <c r="I35" i="169"/>
  <c r="E53" i="161" s="1"/>
  <c r="J17" i="169" l="1"/>
  <c r="J25" i="169"/>
  <c r="F27" i="167"/>
  <c r="F26" i="167"/>
  <c r="AJ60" i="170"/>
  <c r="E36" i="167" s="1"/>
  <c r="AJ61" i="170"/>
  <c r="E37" i="167" s="1"/>
  <c r="AK61" i="170" l="1"/>
  <c r="AK60" i="170"/>
  <c r="BH4" i="178" l="1"/>
  <c r="BG4" i="178"/>
  <c r="BE4" i="178"/>
  <c r="BD4" i="178"/>
  <c r="BC4" i="178"/>
  <c r="BB4" i="178"/>
  <c r="S4" i="178"/>
  <c r="J4" i="178"/>
  <c r="I4" i="178"/>
  <c r="H4" i="178"/>
  <c r="F4" i="178"/>
  <c r="E4" i="178"/>
  <c r="D4" i="178"/>
  <c r="C20" i="168" l="1"/>
  <c r="D20" i="168"/>
  <c r="E20" i="168"/>
  <c r="F20" i="168"/>
  <c r="G20" i="168"/>
  <c r="H20" i="168"/>
  <c r="H43" i="168" l="1"/>
  <c r="I11" i="169"/>
  <c r="AI58" i="170" l="1"/>
  <c r="AH73" i="170"/>
  <c r="AH58" i="170"/>
  <c r="AH57" i="170"/>
  <c r="AI73" i="170" l="1"/>
  <c r="AK49" i="170"/>
  <c r="F18" i="167" s="1"/>
  <c r="F21" i="167" s="1"/>
  <c r="D55" i="167"/>
  <c r="D52" i="167"/>
  <c r="D54" i="167"/>
  <c r="D53" i="167"/>
  <c r="AI57" i="170"/>
  <c r="D25" i="167"/>
  <c r="D50" i="167"/>
  <c r="D51" i="167"/>
  <c r="D43" i="167" l="1"/>
  <c r="E78" i="167"/>
  <c r="AI49" i="170"/>
  <c r="AH49" i="170"/>
  <c r="D26" i="167"/>
  <c r="D47" i="167"/>
  <c r="D27" i="167"/>
  <c r="C15" i="167"/>
  <c r="BB15" i="167" s="1"/>
  <c r="D18" i="167" l="1"/>
  <c r="D21" i="167" s="1"/>
  <c r="D44" i="167"/>
  <c r="D39" i="167"/>
  <c r="D40" i="167" l="1"/>
  <c r="D46" i="167" s="1"/>
  <c r="D45" i="167"/>
  <c r="C18" i="167"/>
  <c r="BB18" i="167" s="1"/>
  <c r="C19" i="169" l="1"/>
  <c r="D19" i="169"/>
  <c r="E19" i="169"/>
  <c r="F19" i="169"/>
  <c r="G19" i="169"/>
  <c r="H19" i="169"/>
  <c r="C54" i="168" l="1"/>
  <c r="D54" i="168"/>
  <c r="E54" i="168"/>
  <c r="F54" i="168"/>
  <c r="G54" i="168"/>
  <c r="H54" i="168"/>
  <c r="C14" i="169" l="1"/>
  <c r="C33" i="169" s="1"/>
  <c r="D14" i="169"/>
  <c r="E14" i="169"/>
  <c r="F14" i="169"/>
  <c r="G14" i="169"/>
  <c r="G47" i="168" s="1"/>
  <c r="H14" i="169"/>
  <c r="H47" i="168" s="1"/>
  <c r="C26" i="169"/>
  <c r="D26" i="169"/>
  <c r="E26" i="169"/>
  <c r="F26" i="169"/>
  <c r="G26" i="169"/>
  <c r="H26" i="169"/>
  <c r="C18" i="169"/>
  <c r="D18" i="169"/>
  <c r="E18" i="169"/>
  <c r="F18" i="169"/>
  <c r="G18" i="169"/>
  <c r="H18" i="169"/>
  <c r="C13" i="169"/>
  <c r="D13" i="169"/>
  <c r="E13" i="169"/>
  <c r="F13" i="169"/>
  <c r="G13" i="169"/>
  <c r="H13" i="169"/>
  <c r="B2" i="168"/>
  <c r="B2" i="169" s="1"/>
  <c r="C35" i="168"/>
  <c r="D35" i="168"/>
  <c r="E35" i="168"/>
  <c r="F35" i="168"/>
  <c r="G35" i="168"/>
  <c r="H35" i="168"/>
  <c r="H34" i="168"/>
  <c r="C31" i="168"/>
  <c r="D31" i="168"/>
  <c r="E31" i="168"/>
  <c r="F31" i="168"/>
  <c r="G31" i="168"/>
  <c r="H31" i="168"/>
  <c r="C30" i="168"/>
  <c r="D30" i="168"/>
  <c r="E30" i="168"/>
  <c r="F30" i="168"/>
  <c r="G30" i="168"/>
  <c r="H30" i="168"/>
  <c r="C29" i="168"/>
  <c r="D29" i="168"/>
  <c r="E29" i="168"/>
  <c r="F29" i="168"/>
  <c r="G29" i="168"/>
  <c r="H29" i="168"/>
  <c r="C28" i="168"/>
  <c r="D28" i="168"/>
  <c r="E28" i="168"/>
  <c r="F28" i="168"/>
  <c r="G28" i="168"/>
  <c r="H28" i="168"/>
  <c r="C27" i="168"/>
  <c r="D27" i="168"/>
  <c r="E27" i="168"/>
  <c r="F27" i="168"/>
  <c r="G27" i="168"/>
  <c r="H27" i="168"/>
  <c r="C23" i="168"/>
  <c r="D23" i="168"/>
  <c r="E23" i="168"/>
  <c r="F23" i="168"/>
  <c r="G23" i="168"/>
  <c r="H23" i="168"/>
  <c r="C19" i="168"/>
  <c r="D19" i="168"/>
  <c r="E19" i="168"/>
  <c r="F19" i="168"/>
  <c r="G19" i="168"/>
  <c r="H19" i="168"/>
  <c r="C16" i="168"/>
  <c r="D16" i="168"/>
  <c r="E16" i="168"/>
  <c r="F16" i="168"/>
  <c r="G16" i="168"/>
  <c r="H16" i="168"/>
  <c r="H28" i="169" l="1"/>
  <c r="I16" i="169"/>
  <c r="I17" i="169" s="1"/>
  <c r="C35" i="169"/>
  <c r="I20" i="169"/>
  <c r="I24" i="169"/>
  <c r="I23" i="169"/>
  <c r="F35" i="169"/>
  <c r="F33" i="169"/>
  <c r="G33" i="169"/>
  <c r="E35" i="169"/>
  <c r="E33" i="169"/>
  <c r="D35" i="169"/>
  <c r="H33" i="169"/>
  <c r="D33" i="169"/>
  <c r="G35" i="169"/>
  <c r="H35" i="169"/>
  <c r="H36" i="169" s="1"/>
  <c r="C20" i="169"/>
  <c r="E67" i="168"/>
  <c r="H67" i="168"/>
  <c r="D67" i="168"/>
  <c r="G67" i="168"/>
  <c r="C67" i="168"/>
  <c r="F67" i="168"/>
  <c r="C53" i="161" l="1"/>
  <c r="G36" i="169"/>
  <c r="D53" i="161"/>
  <c r="E54" i="161" s="1"/>
  <c r="I25" i="169"/>
  <c r="C14" i="168"/>
  <c r="D14" i="168"/>
  <c r="E14" i="168"/>
  <c r="F14" i="168"/>
  <c r="G14" i="168"/>
  <c r="H14" i="168"/>
  <c r="C15" i="168"/>
  <c r="D15" i="168"/>
  <c r="E15" i="168"/>
  <c r="F15" i="168"/>
  <c r="G15" i="168"/>
  <c r="H15" i="168"/>
  <c r="C12" i="168"/>
  <c r="D12" i="168"/>
  <c r="E12" i="168"/>
  <c r="F12" i="168"/>
  <c r="G12" i="168"/>
  <c r="H12" i="168"/>
  <c r="C11" i="168"/>
  <c r="D11" i="168"/>
  <c r="E11" i="168"/>
  <c r="F11" i="168"/>
  <c r="G11" i="168"/>
  <c r="H11" i="168"/>
  <c r="C9" i="168"/>
  <c r="D9" i="168"/>
  <c r="E9" i="168"/>
  <c r="F9" i="168"/>
  <c r="G9" i="168"/>
  <c r="H9" i="168"/>
  <c r="C7" i="168"/>
  <c r="D7" i="168"/>
  <c r="E7" i="168"/>
  <c r="F7" i="168"/>
  <c r="G7" i="168"/>
  <c r="H7" i="168"/>
  <c r="C6" i="168"/>
  <c r="D6" i="168"/>
  <c r="E6" i="168"/>
  <c r="F6" i="168"/>
  <c r="G6" i="168"/>
  <c r="H6" i="168"/>
  <c r="C4" i="168"/>
  <c r="D4" i="168"/>
  <c r="E4" i="168"/>
  <c r="F4" i="168"/>
  <c r="G4" i="168"/>
  <c r="H4" i="168"/>
  <c r="D54" i="161" l="1"/>
  <c r="I9" i="169"/>
  <c r="I10" i="169"/>
  <c r="BB58" i="167"/>
  <c r="F50" i="168"/>
  <c r="F61" i="168"/>
  <c r="F62" i="168" s="1"/>
  <c r="E61" i="168"/>
  <c r="E62" i="168" s="1"/>
  <c r="H61" i="168"/>
  <c r="D61" i="168"/>
  <c r="D62" i="168" s="1"/>
  <c r="G61" i="168"/>
  <c r="C61" i="168"/>
  <c r="C62" i="168" s="1"/>
  <c r="C13" i="168"/>
  <c r="D13" i="168"/>
  <c r="E13" i="168"/>
  <c r="C36" i="167"/>
  <c r="F36" i="167" s="1"/>
  <c r="C37" i="167"/>
  <c r="F37" i="167" s="1"/>
  <c r="C23" i="167"/>
  <c r="BB23" i="167" s="1"/>
  <c r="C24" i="167"/>
  <c r="BB24" i="167" s="1"/>
  <c r="D99" i="161" s="1"/>
  <c r="C22" i="167"/>
  <c r="C19" i="167"/>
  <c r="BB19" i="167" s="1"/>
  <c r="C14" i="167"/>
  <c r="BB14" i="167" s="1"/>
  <c r="C17" i="167"/>
  <c r="BB17" i="167" s="1"/>
  <c r="I8" i="169" l="1"/>
  <c r="G62" i="168"/>
  <c r="H62" i="168"/>
  <c r="D82" i="167"/>
  <c r="C8" i="167"/>
  <c r="C9" i="167"/>
  <c r="C10" i="167"/>
  <c r="C7" i="167"/>
  <c r="BB7" i="167" s="1"/>
  <c r="C5" i="167"/>
  <c r="BB5" i="167" s="1"/>
  <c r="C4" i="167"/>
  <c r="BB4" i="167" s="1"/>
  <c r="B1" i="168"/>
  <c r="B1" i="169" s="1"/>
  <c r="G33" i="168"/>
  <c r="C33" i="168"/>
  <c r="G36" i="168"/>
  <c r="C36" i="168"/>
  <c r="BA62" i="167"/>
  <c r="H57" i="168"/>
  <c r="I53" i="168" s="1"/>
  <c r="G57" i="168"/>
  <c r="E57" i="168"/>
  <c r="D57" i="168"/>
  <c r="C57" i="168"/>
  <c r="H13" i="168"/>
  <c r="G13" i="168"/>
  <c r="H50" i="168"/>
  <c r="I46" i="168" s="1"/>
  <c r="E50" i="168"/>
  <c r="D50" i="168"/>
  <c r="H10" i="168"/>
  <c r="F18" i="168"/>
  <c r="BA58" i="167"/>
  <c r="AZ58" i="167"/>
  <c r="D8" i="168"/>
  <c r="B74" i="167"/>
  <c r="B84" i="167" s="1"/>
  <c r="B73" i="167"/>
  <c r="B83" i="167" s="1"/>
  <c r="B72" i="167"/>
  <c r="B82" i="167" s="1"/>
  <c r="B71" i="167"/>
  <c r="B81" i="167" s="1"/>
  <c r="B70" i="167"/>
  <c r="B80" i="167" s="1"/>
  <c r="B69" i="167"/>
  <c r="B79" i="167" s="1"/>
  <c r="B68" i="167"/>
  <c r="B78" i="167" s="1"/>
  <c r="B67" i="167"/>
  <c r="B77" i="167" s="1"/>
  <c r="AZ62" i="167"/>
  <c r="BF19" i="167"/>
  <c r="M7" i="169" s="1"/>
  <c r="J7" i="169"/>
  <c r="BF18" i="167"/>
  <c r="BF17" i="167"/>
  <c r="BF16" i="167"/>
  <c r="Q8" i="168" l="1"/>
  <c r="R8" i="168" s="1"/>
  <c r="BB9" i="167"/>
  <c r="BB6" i="167"/>
  <c r="D90" i="161" s="1"/>
  <c r="D87" i="161"/>
  <c r="D84" i="161" s="1"/>
  <c r="BB10" i="167"/>
  <c r="BB8" i="167"/>
  <c r="I7" i="169"/>
  <c r="D77" i="167"/>
  <c r="C11" i="167"/>
  <c r="C51" i="167"/>
  <c r="G18" i="168"/>
  <c r="C18" i="168"/>
  <c r="C17" i="168" s="1"/>
  <c r="E16" i="169"/>
  <c r="E10" i="169"/>
  <c r="F16" i="169"/>
  <c r="G32" i="168"/>
  <c r="D15" i="169"/>
  <c r="C9" i="169"/>
  <c r="G9" i="169"/>
  <c r="C10" i="169"/>
  <c r="G10" i="169"/>
  <c r="F17" i="168"/>
  <c r="D16" i="169"/>
  <c r="H16" i="169"/>
  <c r="C26" i="168"/>
  <c r="C25" i="168" s="1"/>
  <c r="G26" i="168"/>
  <c r="C32" i="168"/>
  <c r="E22" i="168"/>
  <c r="E24" i="169"/>
  <c r="F9" i="169"/>
  <c r="F10" i="169"/>
  <c r="F26" i="168"/>
  <c r="E26" i="168"/>
  <c r="F36" i="168"/>
  <c r="F28" i="169"/>
  <c r="H8" i="168"/>
  <c r="E15" i="169"/>
  <c r="D9" i="169"/>
  <c r="H9" i="169"/>
  <c r="D26" i="168"/>
  <c r="H26" i="168"/>
  <c r="E33" i="168"/>
  <c r="E28" i="169"/>
  <c r="F20" i="169"/>
  <c r="F33" i="168"/>
  <c r="G28" i="169"/>
  <c r="C25" i="167"/>
  <c r="E10" i="168"/>
  <c r="D22" i="168"/>
  <c r="H22" i="168"/>
  <c r="C23" i="169"/>
  <c r="G23" i="169"/>
  <c r="D33" i="168"/>
  <c r="H33" i="168"/>
  <c r="D28" i="169"/>
  <c r="C6" i="167"/>
  <c r="C53" i="167"/>
  <c r="C52" i="167"/>
  <c r="AZ59" i="167"/>
  <c r="AZ60" i="167" s="1"/>
  <c r="C99" i="161"/>
  <c r="C55" i="167"/>
  <c r="C97" i="161"/>
  <c r="C54" i="167"/>
  <c r="H15" i="169"/>
  <c r="G8" i="168"/>
  <c r="B88" i="167"/>
  <c r="B87" i="167"/>
  <c r="C8" i="168"/>
  <c r="G46" i="168"/>
  <c r="C15" i="169"/>
  <c r="G15" i="169"/>
  <c r="E8" i="168"/>
  <c r="F10" i="168"/>
  <c r="C50" i="168"/>
  <c r="C10" i="168"/>
  <c r="G50" i="168"/>
  <c r="G10" i="168"/>
  <c r="C53" i="168"/>
  <c r="F57" i="168"/>
  <c r="F13" i="168"/>
  <c r="E18" i="168"/>
  <c r="F53" i="168"/>
  <c r="E46" i="168"/>
  <c r="C22" i="169"/>
  <c r="G22" i="169"/>
  <c r="F15" i="169"/>
  <c r="E9" i="169"/>
  <c r="D10" i="169"/>
  <c r="H10" i="169"/>
  <c r="F8" i="168"/>
  <c r="D10" i="168"/>
  <c r="E53" i="168"/>
  <c r="D18" i="168"/>
  <c r="H18" i="168"/>
  <c r="C11" i="169"/>
  <c r="C22" i="168"/>
  <c r="G11" i="169"/>
  <c r="G22" i="168"/>
  <c r="F21" i="169"/>
  <c r="F22" i="168"/>
  <c r="D11" i="169"/>
  <c r="H11" i="169"/>
  <c r="C21" i="169"/>
  <c r="G21" i="169"/>
  <c r="D22" i="169"/>
  <c r="H22" i="169"/>
  <c r="D23" i="169"/>
  <c r="H23" i="169"/>
  <c r="G20" i="169"/>
  <c r="F24" i="169"/>
  <c r="D36" i="168"/>
  <c r="H36" i="168"/>
  <c r="E11" i="169"/>
  <c r="D21" i="169"/>
  <c r="H21" i="169"/>
  <c r="E22" i="169"/>
  <c r="E23" i="169"/>
  <c r="D20" i="169"/>
  <c r="H20" i="169"/>
  <c r="C24" i="169"/>
  <c r="G24" i="169"/>
  <c r="E36" i="168"/>
  <c r="F46" i="168"/>
  <c r="D53" i="168"/>
  <c r="H53" i="168"/>
  <c r="C16" i="169"/>
  <c r="G16" i="169"/>
  <c r="F11" i="169"/>
  <c r="E21" i="169"/>
  <c r="F22" i="169"/>
  <c r="F23" i="169"/>
  <c r="E20" i="169"/>
  <c r="D24" i="169"/>
  <c r="H24" i="169"/>
  <c r="S8" i="168" l="1"/>
  <c r="BB11" i="167"/>
  <c r="BB12" i="167" s="1"/>
  <c r="Q13" i="168"/>
  <c r="R13" i="168" s="1"/>
  <c r="BD37" i="178"/>
  <c r="D39" i="161"/>
  <c r="C39" i="161"/>
  <c r="F50" i="167"/>
  <c r="F54" i="167"/>
  <c r="H25" i="168"/>
  <c r="H17" i="168"/>
  <c r="D25" i="168"/>
  <c r="E25" i="168"/>
  <c r="G17" i="168"/>
  <c r="G25" i="168"/>
  <c r="D17" i="168"/>
  <c r="E17" i="168"/>
  <c r="F25" i="168"/>
  <c r="C50" i="167"/>
  <c r="D14" i="161"/>
  <c r="C14" i="161"/>
  <c r="D83" i="167"/>
  <c r="D78" i="167"/>
  <c r="BC6" i="178"/>
  <c r="BB6" i="178"/>
  <c r="AZ51" i="167"/>
  <c r="BA51" i="167"/>
  <c r="C43" i="167"/>
  <c r="C27" i="167"/>
  <c r="C47" i="167"/>
  <c r="G48" i="168"/>
  <c r="D48" i="168"/>
  <c r="G43" i="168"/>
  <c r="D55" i="168"/>
  <c r="C48" i="168"/>
  <c r="D42" i="168"/>
  <c r="H55" i="168"/>
  <c r="D5" i="169"/>
  <c r="G42" i="168"/>
  <c r="F7" i="169"/>
  <c r="H7" i="169"/>
  <c r="F55" i="168"/>
  <c r="C55" i="168"/>
  <c r="E5" i="169"/>
  <c r="G5" i="169"/>
  <c r="BA63" i="167"/>
  <c r="BA64" i="167" s="1"/>
  <c r="H42" i="168"/>
  <c r="D7" i="169"/>
  <c r="E43" i="168"/>
  <c r="F42" i="168"/>
  <c r="AZ63" i="167"/>
  <c r="AZ64" i="167" s="1"/>
  <c r="C7" i="169"/>
  <c r="F48" i="168"/>
  <c r="F51" i="168" s="1"/>
  <c r="C43" i="168"/>
  <c r="E55" i="168"/>
  <c r="G55" i="168"/>
  <c r="F5" i="169"/>
  <c r="BA59" i="167"/>
  <c r="BA60" i="167" s="1"/>
  <c r="E7" i="169"/>
  <c r="G7" i="169"/>
  <c r="C5" i="169"/>
  <c r="H48" i="168"/>
  <c r="E48" i="168"/>
  <c r="F43" i="168"/>
  <c r="D43" i="168"/>
  <c r="C42" i="168"/>
  <c r="E41" i="168"/>
  <c r="E66" i="168"/>
  <c r="E32" i="169"/>
  <c r="G66" i="168"/>
  <c r="H41" i="168"/>
  <c r="H66" i="168"/>
  <c r="BA67" i="167"/>
  <c r="D66" i="168"/>
  <c r="C32" i="169"/>
  <c r="C66" i="168"/>
  <c r="F66" i="168"/>
  <c r="E17" i="169"/>
  <c r="H17" i="169"/>
  <c r="H32" i="168"/>
  <c r="F17" i="169"/>
  <c r="F32" i="168"/>
  <c r="E32" i="168"/>
  <c r="D32" i="168"/>
  <c r="C17" i="169"/>
  <c r="G17" i="169"/>
  <c r="E42" i="168"/>
  <c r="F8" i="169"/>
  <c r="D17" i="169"/>
  <c r="C26" i="167"/>
  <c r="BB26" i="167" s="1"/>
  <c r="H25" i="169"/>
  <c r="C8" i="169"/>
  <c r="F6" i="169"/>
  <c r="H32" i="169"/>
  <c r="G8" i="169"/>
  <c r="F25" i="169"/>
  <c r="H8" i="169"/>
  <c r="C25" i="169"/>
  <c r="D8" i="169"/>
  <c r="H6" i="169"/>
  <c r="C12" i="167"/>
  <c r="C44" i="167" s="1"/>
  <c r="G25" i="169"/>
  <c r="D32" i="169"/>
  <c r="AZ54" i="167"/>
  <c r="D6" i="169"/>
  <c r="BA53" i="167"/>
  <c r="BA52" i="167"/>
  <c r="BA6" i="167"/>
  <c r="C90" i="161" s="1"/>
  <c r="D41" i="168"/>
  <c r="G53" i="168"/>
  <c r="H46" i="168"/>
  <c r="G32" i="169"/>
  <c r="C46" i="168"/>
  <c r="H5" i="169"/>
  <c r="D25" i="169"/>
  <c r="C6" i="169"/>
  <c r="F41" i="168"/>
  <c r="G41" i="168"/>
  <c r="AZ6" i="167"/>
  <c r="F32" i="169"/>
  <c r="BC62" i="167"/>
  <c r="BC64" i="167" s="1"/>
  <c r="E8" i="169"/>
  <c r="E6" i="169"/>
  <c r="C41" i="168"/>
  <c r="D46" i="168"/>
  <c r="E25" i="169"/>
  <c r="G6" i="169"/>
  <c r="AZ52" i="167"/>
  <c r="T8" i="168" l="1"/>
  <c r="S13" i="168"/>
  <c r="S17" i="169" s="1"/>
  <c r="R17" i="169"/>
  <c r="BB34" i="178"/>
  <c r="BD43" i="178"/>
  <c r="BD57" i="178" s="1"/>
  <c r="BD55" i="178"/>
  <c r="BD53" i="178"/>
  <c r="BB12" i="178"/>
  <c r="BB32" i="178"/>
  <c r="BB31" i="178"/>
  <c r="BB30" i="178"/>
  <c r="BC15" i="178"/>
  <c r="BB33" i="178"/>
  <c r="BC12" i="178"/>
  <c r="BC32" i="178"/>
  <c r="BC29" i="178"/>
  <c r="BC31" i="178"/>
  <c r="BC30" i="178"/>
  <c r="BC33" i="178"/>
  <c r="BC34" i="178"/>
  <c r="BB27" i="167"/>
  <c r="D104" i="161" s="1"/>
  <c r="D40" i="161"/>
  <c r="BB29" i="178"/>
  <c r="J64" i="168"/>
  <c r="BB37" i="178"/>
  <c r="BC37" i="178"/>
  <c r="D84" i="167"/>
  <c r="D79" i="167"/>
  <c r="D20" i="161"/>
  <c r="C50" i="161"/>
  <c r="C51" i="161" s="1"/>
  <c r="F56" i="168"/>
  <c r="F47" i="168"/>
  <c r="F49" i="168" s="1"/>
  <c r="E56" i="168"/>
  <c r="E47" i="168"/>
  <c r="E49" i="168" s="1"/>
  <c r="D56" i="168"/>
  <c r="D47" i="168"/>
  <c r="D49" i="168" s="1"/>
  <c r="C56" i="168"/>
  <c r="C47" i="168"/>
  <c r="C49" i="168" s="1"/>
  <c r="H56" i="168"/>
  <c r="D50" i="161"/>
  <c r="D51" i="161" s="1"/>
  <c r="C58" i="168"/>
  <c r="C51" i="168"/>
  <c r="E51" i="168"/>
  <c r="G51" i="168"/>
  <c r="D58" i="168"/>
  <c r="D44" i="168"/>
  <c r="E43" i="167"/>
  <c r="E77" i="167"/>
  <c r="G56" i="168"/>
  <c r="C44" i="168"/>
  <c r="F58" i="168"/>
  <c r="H58" i="168"/>
  <c r="E58" i="168"/>
  <c r="G44" i="168"/>
  <c r="F44" i="168"/>
  <c r="E44" i="168"/>
  <c r="BA68" i="167"/>
  <c r="BA43" i="167"/>
  <c r="C89" i="161" s="1"/>
  <c r="H44" i="168"/>
  <c r="C39" i="167"/>
  <c r="C13" i="167"/>
  <c r="H51" i="168"/>
  <c r="G58" i="168"/>
  <c r="AZ43" i="167"/>
  <c r="D51" i="168"/>
  <c r="T13" i="168" l="1"/>
  <c r="BC55" i="178"/>
  <c r="BC53" i="178"/>
  <c r="BB55" i="178"/>
  <c r="BB53" i="178"/>
  <c r="BB43" i="178"/>
  <c r="BC43" i="178"/>
  <c r="BC35" i="178"/>
  <c r="BB35" i="178"/>
  <c r="BC21" i="178"/>
  <c r="C88" i="161"/>
  <c r="BB14" i="178"/>
  <c r="BC14" i="178"/>
  <c r="C41" i="161"/>
  <c r="D41" i="161"/>
  <c r="D49" i="161"/>
  <c r="C49" i="161"/>
  <c r="BA54" i="167"/>
  <c r="BB52" i="178"/>
  <c r="BB54" i="178"/>
  <c r="H49" i="168"/>
  <c r="G49" i="168"/>
  <c r="C15" i="161"/>
  <c r="BC44" i="178"/>
  <c r="BB44" i="178"/>
  <c r="C45" i="167"/>
  <c r="D80" i="167"/>
  <c r="C40" i="167"/>
  <c r="C21" i="167"/>
  <c r="BB21" i="167" s="1"/>
  <c r="BB13" i="167" s="1"/>
  <c r="C72" i="168"/>
  <c r="T17" i="169" l="1"/>
  <c r="BB22" i="167"/>
  <c r="BB25" i="167" s="1"/>
  <c r="BB34" i="167" s="1"/>
  <c r="BB30" i="167" s="1"/>
  <c r="D95" i="161"/>
  <c r="BB50" i="178"/>
  <c r="BB57" i="178"/>
  <c r="BC50" i="178"/>
  <c r="BC57" i="178"/>
  <c r="D37" i="161"/>
  <c r="D36" i="161"/>
  <c r="C78" i="161"/>
  <c r="BA12" i="167"/>
  <c r="BA50" i="167"/>
  <c r="D72" i="168"/>
  <c r="F72" i="168"/>
  <c r="C46" i="167"/>
  <c r="D81" i="167"/>
  <c r="BB33" i="167" l="1"/>
  <c r="I36" i="169" s="1"/>
  <c r="BB31" i="167"/>
  <c r="BA13" i="167"/>
  <c r="BA39" i="167"/>
  <c r="D43" i="161"/>
  <c r="C91" i="161"/>
  <c r="D42" i="161"/>
  <c r="BA44" i="167"/>
  <c r="E72" i="168"/>
  <c r="I5" i="169"/>
  <c r="E44" i="167"/>
  <c r="E79" i="167"/>
  <c r="E82" i="167"/>
  <c r="C100" i="161" l="1"/>
  <c r="BA21" i="167"/>
  <c r="C95" i="161"/>
  <c r="C93" i="161"/>
  <c r="C94" i="161" s="1"/>
  <c r="BA40" i="167"/>
  <c r="BA46" i="167" s="1"/>
  <c r="H72" i="168"/>
  <c r="BA45" i="167"/>
  <c r="P16" i="168"/>
  <c r="P16" i="169" s="1"/>
  <c r="BB56" i="178"/>
  <c r="BB49" i="178"/>
  <c r="Q16" i="168" l="1"/>
  <c r="Q28" i="168"/>
  <c r="R28" i="168" s="1"/>
  <c r="Q30" i="168"/>
  <c r="R30" i="168" s="1"/>
  <c r="O64" i="168"/>
  <c r="P23" i="169"/>
  <c r="BC54" i="178"/>
  <c r="BI62" i="167"/>
  <c r="E47" i="167"/>
  <c r="E83" i="167"/>
  <c r="E39" i="167"/>
  <c r="R16" i="168" l="1"/>
  <c r="S30" i="168"/>
  <c r="S28" i="168"/>
  <c r="R23" i="169"/>
  <c r="Q16" i="169"/>
  <c r="P20" i="169"/>
  <c r="Q23" i="169"/>
  <c r="BJ62" i="167"/>
  <c r="Q24" i="168"/>
  <c r="P22" i="169"/>
  <c r="Q29" i="168"/>
  <c r="R29" i="168" s="1"/>
  <c r="P64" i="168"/>
  <c r="P21" i="169"/>
  <c r="BC52" i="178"/>
  <c r="E40" i="167"/>
  <c r="BC56" i="178"/>
  <c r="E45" i="167"/>
  <c r="E80" i="167"/>
  <c r="E84" i="167"/>
  <c r="R24" i="168" l="1"/>
  <c r="L110" i="161"/>
  <c r="T28" i="168"/>
  <c r="T30" i="168"/>
  <c r="S23" i="169"/>
  <c r="S16" i="168"/>
  <c r="S16" i="169" s="1"/>
  <c r="S29" i="168"/>
  <c r="S20" i="169" s="1"/>
  <c r="R20" i="169"/>
  <c r="R22" i="169"/>
  <c r="S24" i="168"/>
  <c r="BL62" i="167"/>
  <c r="R64" i="168"/>
  <c r="R16" i="169"/>
  <c r="BK62" i="167"/>
  <c r="Q64" i="168"/>
  <c r="Q22" i="169"/>
  <c r="Q25" i="168"/>
  <c r="R25" i="168" s="1"/>
  <c r="Q20" i="169"/>
  <c r="D35" i="161"/>
  <c r="E46" i="167"/>
  <c r="P26" i="168"/>
  <c r="E81" i="167"/>
  <c r="T24" i="168" l="1"/>
  <c r="S64" i="168"/>
  <c r="BM62" i="167"/>
  <c r="T29" i="168"/>
  <c r="T23" i="169"/>
  <c r="S25" i="168"/>
  <c r="S26" i="168" s="1"/>
  <c r="R26" i="168"/>
  <c r="T16" i="168"/>
  <c r="S22" i="169"/>
  <c r="Q26" i="168"/>
  <c r="T64" i="168" l="1"/>
  <c r="T25" i="168"/>
  <c r="T20" i="169"/>
  <c r="T22" i="169"/>
  <c r="T16" i="169"/>
  <c r="T26" i="168" l="1"/>
  <c r="AA26" i="167" l="1"/>
  <c r="AA27" i="167"/>
  <c r="F79" i="168" l="1"/>
  <c r="D79" i="168"/>
  <c r="D71" i="168"/>
  <c r="D70" i="168"/>
  <c r="F71" i="168"/>
  <c r="F70" i="168"/>
  <c r="D4" i="169"/>
  <c r="D68" i="168"/>
  <c r="D69" i="168" s="1"/>
  <c r="F68" i="168"/>
  <c r="F69" i="168" s="1"/>
  <c r="F4" i="169"/>
  <c r="AG34" i="167" l="1"/>
  <c r="AG33" i="167"/>
  <c r="F12" i="169"/>
  <c r="D12" i="169"/>
  <c r="D63" i="168"/>
  <c r="F63" i="168"/>
  <c r="AH33" i="167" l="1"/>
  <c r="AH34" i="167"/>
  <c r="AI34" i="167" l="1"/>
  <c r="AI33" i="167"/>
  <c r="AJ33" i="167" l="1"/>
  <c r="AJ34" i="167"/>
  <c r="AK34" i="167" l="1"/>
  <c r="AK33" i="167"/>
  <c r="AL33" i="167" l="1"/>
  <c r="AL34" i="167"/>
  <c r="E79" i="168"/>
  <c r="E4" i="169"/>
  <c r="E71" i="168"/>
  <c r="E68" i="168"/>
  <c r="E69" i="168" s="1"/>
  <c r="E70" i="168"/>
  <c r="AM34" i="167" l="1"/>
  <c r="AM33" i="167"/>
  <c r="E12" i="169"/>
  <c r="E63" i="168"/>
  <c r="AN33" i="167" l="1"/>
  <c r="AN34" i="167"/>
  <c r="AO34" i="167" l="1"/>
  <c r="AO33" i="167"/>
  <c r="AP33" i="167" l="1"/>
  <c r="AP34" i="167"/>
  <c r="AQ34" i="167" l="1"/>
  <c r="AQ33" i="167"/>
  <c r="AR33" i="167" l="1"/>
  <c r="AR34" i="167"/>
  <c r="AS34" i="167" l="1"/>
  <c r="AS33" i="167"/>
  <c r="C79" i="168"/>
  <c r="C4" i="169"/>
  <c r="C12" i="169" s="1"/>
  <c r="C70" i="168"/>
  <c r="C68" i="168"/>
  <c r="C69" i="168" s="1"/>
  <c r="C71" i="168"/>
  <c r="C63" i="168"/>
  <c r="AT33" i="167" l="1"/>
  <c r="AT34" i="167"/>
  <c r="AU34" i="167" l="1"/>
  <c r="AU33" i="167"/>
  <c r="C37" i="168"/>
  <c r="D37" i="168"/>
  <c r="E37" i="168"/>
  <c r="F37" i="168"/>
  <c r="AV33" i="167" l="1"/>
  <c r="AV34" i="167"/>
  <c r="AW34" i="167" l="1"/>
  <c r="AW33" i="167"/>
  <c r="AX34" i="167" l="1"/>
  <c r="AX33" i="167"/>
  <c r="P17" i="168" l="1"/>
  <c r="Q17" i="168" l="1"/>
  <c r="R17" i="168" s="1"/>
  <c r="C28" i="169"/>
  <c r="S17" i="168" l="1"/>
  <c r="T17" i="168" l="1"/>
  <c r="J5" i="169" l="1"/>
  <c r="BF24" i="167" l="1"/>
  <c r="H99" i="161" l="1"/>
  <c r="M5" i="169"/>
  <c r="I99" i="161" l="1"/>
  <c r="BH24" i="167" l="1"/>
  <c r="J99" i="161" l="1"/>
  <c r="O5" i="169"/>
  <c r="AG24" i="167"/>
  <c r="AH24" i="167" l="1"/>
  <c r="BI24" i="167" s="1"/>
  <c r="AI24" i="167" l="1"/>
  <c r="P5" i="169"/>
  <c r="K99" i="161"/>
  <c r="AJ24" i="167" l="1"/>
  <c r="AK24" i="167" l="1"/>
  <c r="BC51" i="178"/>
  <c r="F77" i="167"/>
  <c r="BB51" i="178"/>
  <c r="AL24" i="167" l="1"/>
  <c r="BJ24" i="167"/>
  <c r="F78" i="167"/>
  <c r="F43" i="167"/>
  <c r="AM24" i="167" l="1"/>
  <c r="L99" i="161"/>
  <c r="Q5" i="169"/>
  <c r="D87" i="167"/>
  <c r="F87" i="167"/>
  <c r="BB87" i="167" s="1"/>
  <c r="C87" i="167"/>
  <c r="E87" i="167"/>
  <c r="AN24" i="167" l="1"/>
  <c r="E39" i="161"/>
  <c r="E40" i="161" s="1"/>
  <c r="BD6" i="178"/>
  <c r="BB53" i="167"/>
  <c r="BB52" i="167"/>
  <c r="BB51" i="167"/>
  <c r="I32" i="169"/>
  <c r="I41" i="168"/>
  <c r="I42" i="168"/>
  <c r="I43" i="168"/>
  <c r="BB54" i="167"/>
  <c r="BB67" i="167"/>
  <c r="E14" i="161"/>
  <c r="F79" i="167"/>
  <c r="F44" i="167"/>
  <c r="AO24" i="167" l="1"/>
  <c r="BD32" i="178"/>
  <c r="BD33" i="178"/>
  <c r="BD31" i="178"/>
  <c r="BD30" i="178"/>
  <c r="BD34" i="178"/>
  <c r="BD29" i="178"/>
  <c r="BD15" i="178"/>
  <c r="D88" i="161" s="1"/>
  <c r="BD12" i="178"/>
  <c r="BD50" i="178" s="1"/>
  <c r="BB50" i="167"/>
  <c r="D91" i="161" s="1"/>
  <c r="D92" i="161" s="1"/>
  <c r="I44" i="168"/>
  <c r="E20" i="161"/>
  <c r="BB43" i="167"/>
  <c r="D89" i="161" s="1"/>
  <c r="BB68" i="167"/>
  <c r="F82" i="167"/>
  <c r="AP24" i="167" l="1"/>
  <c r="D93" i="161"/>
  <c r="D96" i="161" s="1"/>
  <c r="BD35" i="178"/>
  <c r="BD21" i="178"/>
  <c r="E41" i="161"/>
  <c r="E42" i="161"/>
  <c r="E49" i="161"/>
  <c r="E43" i="161"/>
  <c r="E44" i="161" s="1"/>
  <c r="H67" i="167"/>
  <c r="I77" i="167"/>
  <c r="I67" i="167"/>
  <c r="BB44" i="167"/>
  <c r="BB69" i="167"/>
  <c r="D97" i="161"/>
  <c r="AQ24" i="167" l="1"/>
  <c r="BK24" i="167"/>
  <c r="D102" i="161"/>
  <c r="D94" i="161"/>
  <c r="E88" i="167"/>
  <c r="F47" i="167"/>
  <c r="F83" i="167"/>
  <c r="C88" i="167"/>
  <c r="M99" i="161" l="1"/>
  <c r="R5" i="169"/>
  <c r="AR24" i="167"/>
  <c r="I50" i="167"/>
  <c r="F88" i="167"/>
  <c r="BB88" i="167" s="1"/>
  <c r="F84" i="167"/>
  <c r="AS24" i="167" l="1"/>
  <c r="E15" i="161"/>
  <c r="AT24" i="167" l="1"/>
  <c r="BL24" i="167"/>
  <c r="I61" i="168"/>
  <c r="BC58" i="167"/>
  <c r="BC60" i="167" s="1"/>
  <c r="S5" i="169" l="1"/>
  <c r="N99" i="161"/>
  <c r="AU24" i="167"/>
  <c r="BD52" i="178"/>
  <c r="D52" i="178"/>
  <c r="I62" i="168"/>
  <c r="AV24" i="167" l="1"/>
  <c r="E52" i="178"/>
  <c r="I67" i="168"/>
  <c r="I66" i="168"/>
  <c r="AW24" i="167" l="1"/>
  <c r="E50" i="178"/>
  <c r="AX24" i="167" l="1"/>
  <c r="H50" i="178"/>
  <c r="BM24" i="167" l="1"/>
  <c r="G67" i="167"/>
  <c r="T5" i="169" l="1"/>
  <c r="O99" i="161"/>
  <c r="H77" i="167"/>
  <c r="G77" i="167"/>
  <c r="G43" i="167" l="1"/>
  <c r="G68" i="167"/>
  <c r="G78" i="167"/>
  <c r="D51" i="178" l="1"/>
  <c r="D44" i="178"/>
  <c r="D56" i="178"/>
  <c r="G69" i="167"/>
  <c r="G44" i="167"/>
  <c r="G79" i="167"/>
  <c r="G82" i="167" l="1"/>
  <c r="G72" i="167"/>
  <c r="G47" i="167" l="1"/>
  <c r="G73" i="167"/>
  <c r="G83" i="167"/>
  <c r="D88" i="167"/>
  <c r="G84" i="167" l="1"/>
  <c r="G74" i="167"/>
  <c r="F39" i="167" l="1"/>
  <c r="I48" i="168" l="1"/>
  <c r="I51" i="168" s="1"/>
  <c r="F45" i="167"/>
  <c r="F40" i="167"/>
  <c r="F80" i="167"/>
  <c r="I6" i="169"/>
  <c r="BB39" i="167"/>
  <c r="I55" i="168"/>
  <c r="D100" i="161" l="1"/>
  <c r="I72" i="168"/>
  <c r="F46" i="167"/>
  <c r="F81" i="167"/>
  <c r="I56" i="168"/>
  <c r="E50" i="161"/>
  <c r="E51" i="161" s="1"/>
  <c r="I58" i="168"/>
  <c r="BB40" i="167"/>
  <c r="BB45" i="167"/>
  <c r="BB70" i="167"/>
  <c r="I49" i="168" l="1"/>
  <c r="BB46" i="167"/>
  <c r="BB71" i="167"/>
  <c r="G39" i="167" l="1"/>
  <c r="G40" i="167" l="1"/>
  <c r="G45" i="167"/>
  <c r="G80" i="167"/>
  <c r="G70" i="167"/>
  <c r="G46" i="167" l="1"/>
  <c r="G71" i="167"/>
  <c r="G81" i="167"/>
  <c r="BB63" i="167" l="1"/>
  <c r="BB64" i="167" s="1"/>
  <c r="BB59" i="167"/>
  <c r="BB60" i="167" s="1"/>
  <c r="BB55" i="167" l="1"/>
  <c r="I70" i="168"/>
  <c r="E45" i="161"/>
  <c r="I79" i="168" l="1"/>
  <c r="I63" i="168"/>
  <c r="E25" i="161"/>
  <c r="I4" i="169"/>
  <c r="E46" i="161"/>
  <c r="BB47" i="167"/>
  <c r="I68" i="168" s="1"/>
  <c r="I71" i="168"/>
  <c r="E29" i="161"/>
  <c r="I37" i="168" l="1"/>
  <c r="I12" i="169"/>
  <c r="I69" i="168"/>
  <c r="E17" i="161"/>
  <c r="E16" i="161" l="1"/>
  <c r="E28" i="161" s="1"/>
  <c r="BD56" i="178" l="1"/>
  <c r="BD44" i="178"/>
  <c r="D98" i="161" l="1"/>
  <c r="F44" i="178" l="1"/>
  <c r="F51" i="178"/>
  <c r="E51" i="178"/>
  <c r="E56" i="178"/>
  <c r="I43" i="167" l="1"/>
  <c r="I68" i="167"/>
  <c r="I78" i="167"/>
  <c r="H78" i="167"/>
  <c r="H68" i="167"/>
  <c r="H43" i="167"/>
  <c r="I79" i="167" l="1"/>
  <c r="I44" i="167"/>
  <c r="I69" i="167"/>
  <c r="I39" i="167"/>
  <c r="H44" i="167"/>
  <c r="H69" i="167"/>
  <c r="H79" i="167"/>
  <c r="H39" i="167"/>
  <c r="H70" i="167" l="1"/>
  <c r="H40" i="167"/>
  <c r="H45" i="167"/>
  <c r="H80" i="167"/>
  <c r="I40" i="167"/>
  <c r="I45" i="167"/>
  <c r="I70" i="167"/>
  <c r="I80" i="167"/>
  <c r="I81" i="167" l="1"/>
  <c r="I46" i="167"/>
  <c r="I71" i="167"/>
  <c r="H46" i="167"/>
  <c r="H71" i="167"/>
  <c r="H81" i="167"/>
  <c r="H72" i="167" l="1"/>
  <c r="H82" i="167"/>
  <c r="H25" i="167" l="1"/>
  <c r="H26" i="167" l="1"/>
  <c r="H27" i="167"/>
  <c r="H83" i="167"/>
  <c r="H47" i="167"/>
  <c r="H73" i="167"/>
  <c r="H84" i="167" l="1"/>
  <c r="H74" i="167"/>
  <c r="I82" i="167" l="1"/>
  <c r="I72" i="167"/>
  <c r="I25" i="167"/>
  <c r="I47" i="167" l="1"/>
  <c r="I73" i="167"/>
  <c r="I83" i="167"/>
  <c r="I26" i="167"/>
  <c r="I27" i="167"/>
  <c r="BC27" i="167" l="1"/>
  <c r="BC26" i="167"/>
  <c r="BC33" i="167" s="1"/>
  <c r="C104" i="161"/>
  <c r="BA74" i="167"/>
  <c r="BB74" i="167"/>
  <c r="I74" i="167"/>
  <c r="I84" i="167"/>
  <c r="BC34" i="167" l="1"/>
  <c r="BC30" i="167" s="1"/>
  <c r="E104" i="161"/>
  <c r="D15" i="161"/>
  <c r="K68" i="167" l="1"/>
  <c r="K43" i="167"/>
  <c r="K67" i="167"/>
  <c r="K50" i="167" l="1"/>
  <c r="K44" i="167" l="1"/>
  <c r="K69" i="167"/>
  <c r="I87" i="167" l="1"/>
  <c r="J67" i="167" l="1"/>
  <c r="H87" i="167"/>
  <c r="J87" i="167"/>
  <c r="BC87" i="167" s="1"/>
  <c r="J77" i="167"/>
  <c r="K77" i="167"/>
  <c r="G87" i="167"/>
  <c r="J32" i="169" l="1"/>
  <c r="J41" i="168"/>
  <c r="F39" i="161"/>
  <c r="F40" i="161" s="1"/>
  <c r="F14" i="161"/>
  <c r="F20" i="161" s="1"/>
  <c r="BC67" i="167"/>
  <c r="J50" i="167"/>
  <c r="J33" i="169"/>
  <c r="J78" i="167"/>
  <c r="K78" i="167"/>
  <c r="J43" i="167"/>
  <c r="J68" i="167"/>
  <c r="BC51" i="167"/>
  <c r="BC52" i="167"/>
  <c r="BC53" i="167"/>
  <c r="BC54" i="167" l="1"/>
  <c r="J69" i="167"/>
  <c r="BC50" i="167"/>
  <c r="E91" i="161" s="1"/>
  <c r="E92" i="161" s="1"/>
  <c r="AU117" i="170" l="1"/>
  <c r="J43" i="168"/>
  <c r="J42" i="168"/>
  <c r="F42" i="161"/>
  <c r="F50" i="161"/>
  <c r="F51" i="161" s="1"/>
  <c r="J39" i="167"/>
  <c r="J40" i="167" s="1"/>
  <c r="J44" i="167"/>
  <c r="J79" i="167"/>
  <c r="K79" i="167"/>
  <c r="J82" i="167"/>
  <c r="J44" i="168" l="1"/>
  <c r="J45" i="167"/>
  <c r="J70" i="167"/>
  <c r="J80" i="167"/>
  <c r="J72" i="167"/>
  <c r="E97" i="161"/>
  <c r="BC43" i="167"/>
  <c r="E89" i="161" s="1"/>
  <c r="E93" i="161" s="1"/>
  <c r="BC68" i="167"/>
  <c r="J46" i="167"/>
  <c r="J71" i="167"/>
  <c r="J81" i="167"/>
  <c r="E94" i="161" l="1"/>
  <c r="E96" i="161"/>
  <c r="E102" i="161" s="1"/>
  <c r="F49" i="161"/>
  <c r="F41" i="161"/>
  <c r="F43" i="161"/>
  <c r="F44" i="161" s="1"/>
  <c r="BC39" i="167"/>
  <c r="BC69" i="167"/>
  <c r="BC44" i="167"/>
  <c r="E100" i="161" l="1"/>
  <c r="G88" i="167"/>
  <c r="J88" i="167"/>
  <c r="BC88" i="167" s="1"/>
  <c r="J73" i="167"/>
  <c r="J47" i="167"/>
  <c r="H88" i="167"/>
  <c r="I88" i="167"/>
  <c r="J83" i="167"/>
  <c r="BC40" i="167"/>
  <c r="BC70" i="167"/>
  <c r="BC45" i="167"/>
  <c r="K39" i="167"/>
  <c r="H49" i="161" l="1"/>
  <c r="J74" i="167"/>
  <c r="J84" i="167"/>
  <c r="BC46" i="167"/>
  <c r="BC71" i="167"/>
  <c r="K70" i="167"/>
  <c r="K40" i="167"/>
  <c r="K45" i="167"/>
  <c r="K80" i="167"/>
  <c r="BC74" i="167" l="1"/>
  <c r="F15" i="161"/>
  <c r="K81" i="167"/>
  <c r="K71" i="167"/>
  <c r="K46" i="167"/>
  <c r="J49" i="161" l="1"/>
  <c r="P44" i="168" l="1"/>
  <c r="L49" i="161" l="1"/>
  <c r="E37" i="161" l="1"/>
  <c r="AZ53" i="167" l="1"/>
  <c r="AZ50" i="167" l="1"/>
  <c r="AZ12" i="167"/>
  <c r="AZ39" i="167" l="1"/>
  <c r="AZ44" i="167"/>
  <c r="C43" i="161"/>
  <c r="D44" i="161" s="1"/>
  <c r="BA69" i="167"/>
  <c r="C42" i="161"/>
  <c r="G72" i="168" l="1"/>
  <c r="AZ40" i="167"/>
  <c r="AZ45" i="167"/>
  <c r="BA70" i="167"/>
  <c r="AZ46" i="167" l="1"/>
  <c r="BA71" i="167"/>
  <c r="F45" i="161" l="1"/>
  <c r="BC72" i="167"/>
  <c r="BC55" i="167"/>
  <c r="J4" i="169" l="1"/>
  <c r="BC73" i="167"/>
  <c r="J37" i="168"/>
  <c r="F46" i="161"/>
  <c r="F47" i="161" s="1"/>
  <c r="BC47" i="167"/>
  <c r="J68" i="168" s="1"/>
  <c r="J12" i="169" l="1"/>
  <c r="J70" i="168" l="1"/>
  <c r="F25" i="161"/>
  <c r="F17" i="161"/>
  <c r="J35" i="169"/>
  <c r="J36" i="169" s="1"/>
  <c r="F53" i="161" l="1"/>
  <c r="J72" i="168"/>
  <c r="J79" i="168"/>
  <c r="F29" i="161"/>
  <c r="F16" i="161"/>
  <c r="F28" i="161" s="1"/>
  <c r="F54" i="161" l="1"/>
  <c r="J61" i="168"/>
  <c r="J1" i="169"/>
  <c r="J63" i="168" l="1"/>
  <c r="J62" i="168"/>
  <c r="J66" i="168" l="1"/>
  <c r="J67" i="168"/>
  <c r="J71" i="168"/>
  <c r="J69" i="168" l="1"/>
  <c r="K82" i="167" l="1"/>
  <c r="K72" i="167"/>
  <c r="K83" i="167" l="1"/>
  <c r="K47" i="167"/>
  <c r="K73" i="167"/>
  <c r="K26" i="167"/>
  <c r="K27" i="167"/>
  <c r="K84" i="167" l="1"/>
  <c r="K74" i="167"/>
  <c r="F56" i="178" l="1"/>
  <c r="BE6" i="178" l="1"/>
  <c r="BE80" i="178" s="1"/>
  <c r="BE31" i="178" l="1"/>
  <c r="BE12" i="178"/>
  <c r="BE32" i="178"/>
  <c r="BE30" i="178"/>
  <c r="BE29" i="178"/>
  <c r="BE34" i="178"/>
  <c r="BE33" i="178"/>
  <c r="BE15" i="178"/>
  <c r="E88" i="161" s="1"/>
  <c r="AX6" i="178"/>
  <c r="BE50" i="178" l="1"/>
  <c r="BE14" i="178"/>
  <c r="AX12" i="178"/>
  <c r="AX50" i="178" s="1"/>
  <c r="AX44" i="178"/>
  <c r="BE35" i="178"/>
  <c r="BE21" i="178"/>
  <c r="H20" i="178" l="1"/>
  <c r="I20" i="178"/>
  <c r="F57" i="178" l="1"/>
  <c r="E57" i="178"/>
  <c r="BF20" i="178" l="1"/>
  <c r="D54" i="178" l="1"/>
  <c r="E36" i="161" l="1"/>
  <c r="BD14" i="178"/>
  <c r="E55" i="178" l="1"/>
  <c r="E54" i="178"/>
  <c r="BD54" i="178"/>
  <c r="E35" i="161" s="1"/>
  <c r="BD51" i="178" l="1"/>
  <c r="G55" i="178" l="1"/>
  <c r="F54" i="178"/>
  <c r="H55" i="178"/>
  <c r="G54" i="178"/>
  <c r="G56" i="178" l="1"/>
  <c r="G57" i="178"/>
  <c r="G52" i="178"/>
  <c r="G44" i="178"/>
  <c r="G51" i="178"/>
  <c r="BE54" i="178" l="1"/>
  <c r="BE56" i="178"/>
  <c r="BE52" i="178"/>
  <c r="BE44" i="178"/>
  <c r="F37" i="161" l="1"/>
  <c r="F35" i="161"/>
  <c r="I29" i="178"/>
  <c r="I15" i="178"/>
  <c r="H44" i="178" l="1"/>
  <c r="H51" i="178"/>
  <c r="H52" i="178"/>
  <c r="H54" i="178"/>
  <c r="H57" i="178"/>
  <c r="L67" i="167"/>
  <c r="L77" i="167"/>
  <c r="BF18" i="178" l="1"/>
  <c r="I54" i="178"/>
  <c r="I44" i="178"/>
  <c r="I52" i="178"/>
  <c r="I51" i="178"/>
  <c r="I57" i="178"/>
  <c r="E98" i="161"/>
  <c r="L50" i="167"/>
  <c r="M48" i="178" l="1"/>
  <c r="L68" i="167"/>
  <c r="L78" i="167"/>
  <c r="L43" i="167"/>
  <c r="M41" i="178" l="1"/>
  <c r="N48" i="178"/>
  <c r="L39" i="167"/>
  <c r="L44" i="167"/>
  <c r="L79" i="167"/>
  <c r="L69" i="167"/>
  <c r="L70" i="167" l="1"/>
  <c r="L40" i="167"/>
  <c r="L80" i="167"/>
  <c r="L45" i="167"/>
  <c r="L82" i="167"/>
  <c r="L72" i="167"/>
  <c r="P41" i="178" l="1"/>
  <c r="Q41" i="178"/>
  <c r="L71" i="167"/>
  <c r="L81" i="167"/>
  <c r="L46" i="167"/>
  <c r="L83" i="167" l="1"/>
  <c r="L27" i="167"/>
  <c r="L74" i="167" s="1"/>
  <c r="L47" i="167"/>
  <c r="L26" i="167"/>
  <c r="L73" i="167"/>
  <c r="L84" i="167" l="1"/>
  <c r="C26" i="161" l="1"/>
  <c r="F26" i="161"/>
  <c r="E19" i="161"/>
  <c r="F19" i="161"/>
  <c r="D19" i="161"/>
  <c r="E26" i="161"/>
  <c r="D26" i="161"/>
  <c r="C19" i="161"/>
  <c r="J29" i="178" l="1"/>
  <c r="J22" i="178"/>
  <c r="J15" i="178"/>
  <c r="J30" i="178"/>
  <c r="F36" i="161" l="1"/>
  <c r="J51" i="178"/>
  <c r="J52" i="178"/>
  <c r="J44" i="178"/>
  <c r="M77" i="167"/>
  <c r="M67" i="167"/>
  <c r="BE51" i="178" l="1"/>
  <c r="M50" i="167"/>
  <c r="M68" i="167"/>
  <c r="M78" i="167"/>
  <c r="M43" i="167"/>
  <c r="M69" i="167" l="1"/>
  <c r="M44" i="167"/>
  <c r="M79" i="167"/>
  <c r="M39" i="167"/>
  <c r="M80" i="167" s="1"/>
  <c r="M72" i="167" l="1"/>
  <c r="M45" i="167"/>
  <c r="M40" i="167"/>
  <c r="M70" i="167"/>
  <c r="M82" i="167"/>
  <c r="M81" i="167" l="1"/>
  <c r="M46" i="167"/>
  <c r="M71" i="167"/>
  <c r="M83" i="167"/>
  <c r="M26" i="167"/>
  <c r="M73" i="167"/>
  <c r="M47" i="167"/>
  <c r="M27" i="167"/>
  <c r="M74" i="167" l="1"/>
  <c r="M84" i="167"/>
  <c r="K22" i="178" l="1"/>
  <c r="K15" i="178"/>
  <c r="K29" i="178"/>
  <c r="BF6" i="178"/>
  <c r="BF80" i="178" l="1"/>
  <c r="AZ6" i="178"/>
  <c r="AZ12" i="178" s="1"/>
  <c r="BF12" i="178"/>
  <c r="BF31" i="178"/>
  <c r="BF29" i="178"/>
  <c r="BF15" i="178"/>
  <c r="BF34" i="178"/>
  <c r="BF32" i="178"/>
  <c r="M87" i="167"/>
  <c r="K87" i="167"/>
  <c r="L87" i="167"/>
  <c r="N67" i="167"/>
  <c r="N77" i="167"/>
  <c r="N87" i="167"/>
  <c r="BD87" i="167" s="1"/>
  <c r="BD4" i="167"/>
  <c r="AV106" i="170" s="1"/>
  <c r="AU107" i="170" s="1"/>
  <c r="BF84" i="178" l="1"/>
  <c r="BG84" i="178"/>
  <c r="BD67" i="167"/>
  <c r="F87" i="161"/>
  <c r="F84" i="161" s="1"/>
  <c r="K32" i="169"/>
  <c r="K66" i="168"/>
  <c r="K41" i="168"/>
  <c r="F88" i="161"/>
  <c r="BF21" i="178"/>
  <c r="BF14" i="178"/>
  <c r="G14" i="161"/>
  <c r="G39" i="161"/>
  <c r="G40" i="161" s="1"/>
  <c r="G19" i="161" l="1"/>
  <c r="G20" i="161"/>
  <c r="BD53" i="167"/>
  <c r="BD54" i="167"/>
  <c r="G36" i="161"/>
  <c r="BD52" i="167"/>
  <c r="G35" i="161"/>
  <c r="AV117" i="170" l="1"/>
  <c r="G37" i="161"/>
  <c r="H35" i="161" l="1"/>
  <c r="H36" i="161"/>
  <c r="H37" i="161" l="1"/>
  <c r="I35" i="161"/>
  <c r="I36" i="161"/>
  <c r="I37" i="161" l="1"/>
  <c r="J36" i="161"/>
  <c r="J35" i="161"/>
  <c r="J37" i="161" l="1"/>
  <c r="K35" i="161"/>
  <c r="K36" i="161"/>
  <c r="K37" i="161" l="1"/>
  <c r="L35" i="161"/>
  <c r="L37" i="161"/>
  <c r="L36" i="161"/>
  <c r="AZ13" i="167" l="1"/>
  <c r="AZ21" i="167" s="1"/>
  <c r="AZ25" i="167"/>
  <c r="AZ55" i="167"/>
  <c r="C45" i="161"/>
  <c r="G70" i="168" l="1"/>
  <c r="C46" i="161"/>
  <c r="G63" i="168"/>
  <c r="G4" i="169"/>
  <c r="AZ47" i="167"/>
  <c r="G68" i="168" s="1"/>
  <c r="G71" i="168"/>
  <c r="G79" i="168"/>
  <c r="G12" i="169" l="1"/>
  <c r="C29" i="161"/>
  <c r="G69" i="168"/>
  <c r="G37" i="168"/>
  <c r="C25" i="161" l="1"/>
  <c r="C17" i="161"/>
  <c r="C16" i="161"/>
  <c r="C28" i="161" s="1"/>
  <c r="H70" i="168"/>
  <c r="H4" i="169"/>
  <c r="H71" i="168"/>
  <c r="H63" i="168"/>
  <c r="BA47" i="167"/>
  <c r="H68" i="168" s="1"/>
  <c r="BA55" i="167"/>
  <c r="BA72" i="167"/>
  <c r="BB72" i="167"/>
  <c r="BA73" i="167"/>
  <c r="BB73" i="167"/>
  <c r="D45" i="161"/>
  <c r="D46" i="161"/>
  <c r="D47" i="161" s="1"/>
  <c r="C96" i="161"/>
  <c r="D29" i="161" l="1"/>
  <c r="H12" i="169"/>
  <c r="E47" i="161"/>
  <c r="C98" i="161"/>
  <c r="C102" i="161"/>
  <c r="H69" i="168"/>
  <c r="H37" i="168"/>
  <c r="H79" i="168"/>
  <c r="D17" i="161" l="1"/>
  <c r="D25" i="161"/>
  <c r="D16" i="161"/>
  <c r="D28" i="161" s="1"/>
  <c r="M139" i="178" l="1"/>
  <c r="O139" i="178"/>
  <c r="S139" i="178" l="1"/>
  <c r="O160" i="178"/>
  <c r="Q139" i="178"/>
  <c r="M160" i="178"/>
  <c r="K23" i="178" l="1"/>
  <c r="K16" i="178"/>
  <c r="K30" i="178"/>
  <c r="U139" i="178"/>
  <c r="Q160" i="178"/>
  <c r="W139" i="178"/>
  <c r="S160" i="178"/>
  <c r="M158" i="178" l="1"/>
  <c r="BF16" i="178"/>
  <c r="BF30" i="178"/>
  <c r="AA139" i="178"/>
  <c r="W160" i="178"/>
  <c r="Y139" i="178"/>
  <c r="U160" i="178"/>
  <c r="Q158" i="178" l="1"/>
  <c r="AE139" i="178"/>
  <c r="AA160" i="178"/>
  <c r="AC139" i="178"/>
  <c r="Y160" i="178"/>
  <c r="Q7" i="178" l="1"/>
  <c r="Q167" i="178" s="1"/>
  <c r="M7" i="178"/>
  <c r="M167" i="178" s="1"/>
  <c r="AG139" i="178"/>
  <c r="AC160" i="178"/>
  <c r="AI139" i="178"/>
  <c r="AE160" i="178"/>
  <c r="AI160" i="178" l="1"/>
  <c r="AM139" i="178"/>
  <c r="AG160" i="178"/>
  <c r="AK139" i="178"/>
  <c r="Q38" i="178"/>
  <c r="R23" i="178"/>
  <c r="Q16" i="178"/>
  <c r="N23" i="178"/>
  <c r="M16" i="178"/>
  <c r="M38" i="178"/>
  <c r="AK160" i="178" l="1"/>
  <c r="AO139" i="178"/>
  <c r="AM160" i="178"/>
  <c r="AQ139" i="178"/>
  <c r="AQ160" i="178" l="1"/>
  <c r="AU139" i="178"/>
  <c r="AU160" i="178" s="1"/>
  <c r="AO160" i="178"/>
  <c r="AS139" i="178"/>
  <c r="AS160" i="178" s="1"/>
  <c r="BE160" i="178" l="1"/>
  <c r="BE139" i="178" l="1"/>
  <c r="P139" i="178" l="1"/>
  <c r="L160" i="178"/>
  <c r="BF160" i="178"/>
  <c r="BF139" i="178" l="1"/>
  <c r="BF150" i="178" s="1"/>
  <c r="BG160" i="178"/>
  <c r="P160" i="178"/>
  <c r="T139" i="178"/>
  <c r="L158" i="178" l="1"/>
  <c r="X139" i="178"/>
  <c r="T160" i="178"/>
  <c r="BH160" i="178"/>
  <c r="BG139" i="178"/>
  <c r="BG150" i="178" s="1"/>
  <c r="P158" i="178" l="1"/>
  <c r="BH139" i="178"/>
  <c r="BH150" i="178" s="1"/>
  <c r="BI160" i="178"/>
  <c r="AB139" i="178"/>
  <c r="X160" i="178"/>
  <c r="T158" i="178" l="1"/>
  <c r="BJ160" i="178"/>
  <c r="BI139" i="178"/>
  <c r="BI150" i="178" s="1"/>
  <c r="L7" i="178"/>
  <c r="AB160" i="178"/>
  <c r="AF139" i="178"/>
  <c r="M8" i="178" l="1"/>
  <c r="L167" i="178"/>
  <c r="AF160" i="178"/>
  <c r="BL160" i="178" s="1"/>
  <c r="AJ139" i="178"/>
  <c r="L38" i="178"/>
  <c r="X158" i="178"/>
  <c r="M23" i="178"/>
  <c r="L23" i="178"/>
  <c r="L16" i="178"/>
  <c r="BJ139" i="178"/>
  <c r="BJ150" i="178" s="1"/>
  <c r="P7" i="178"/>
  <c r="P167" i="178" s="1"/>
  <c r="BK160" i="178"/>
  <c r="AJ160" i="178" l="1"/>
  <c r="BM160" i="178" s="1"/>
  <c r="BM139" i="178" s="1"/>
  <c r="AN139" i="178"/>
  <c r="M176" i="178"/>
  <c r="M170" i="178" s="1"/>
  <c r="N24" i="178"/>
  <c r="M17" i="178"/>
  <c r="M39" i="178"/>
  <c r="M24" i="178"/>
  <c r="Q23" i="178"/>
  <c r="T7" i="178"/>
  <c r="T167" i="178" s="1"/>
  <c r="P16" i="178"/>
  <c r="P38" i="178"/>
  <c r="BK139" i="178"/>
  <c r="BK150" i="178" s="1"/>
  <c r="BL139" i="178"/>
  <c r="BM150" i="178" l="1"/>
  <c r="U7" i="178"/>
  <c r="AN160" i="178"/>
  <c r="BN160" i="178" s="1"/>
  <c r="BN139" i="178" s="1"/>
  <c r="BN150" i="178" s="1"/>
  <c r="AR139" i="178"/>
  <c r="M171" i="178"/>
  <c r="Q170" i="178"/>
  <c r="BL150" i="178"/>
  <c r="X7" i="178"/>
  <c r="T16" i="178"/>
  <c r="T38" i="178"/>
  <c r="U38" i="178" l="1"/>
  <c r="U45" i="178" s="1"/>
  <c r="X167" i="178"/>
  <c r="AR160" i="178"/>
  <c r="BO160" i="178" s="1"/>
  <c r="BO139" i="178" s="1"/>
  <c r="BO150" i="178" s="1"/>
  <c r="U16" i="178"/>
  <c r="U158" i="178"/>
  <c r="U162" i="178" s="1"/>
  <c r="U121" i="178" s="1"/>
  <c r="W7" i="178"/>
  <c r="V23" i="178"/>
  <c r="U23" i="178"/>
  <c r="Q176" i="178"/>
  <c r="Q8" i="178" s="1"/>
  <c r="U170" i="178"/>
  <c r="X16" i="178"/>
  <c r="X38" i="178"/>
  <c r="W38" i="178" l="1"/>
  <c r="W45" i="178" s="1"/>
  <c r="W158" i="178"/>
  <c r="W162" i="178" s="1"/>
  <c r="W121" i="178" s="1"/>
  <c r="U131" i="178"/>
  <c r="U167" i="178"/>
  <c r="U117" i="178"/>
  <c r="U71" i="178" s="1"/>
  <c r="U80" i="178" s="1"/>
  <c r="U176" i="178"/>
  <c r="U8" i="178" s="1"/>
  <c r="Y170" i="178"/>
  <c r="R24" i="178"/>
  <c r="Q24" i="178"/>
  <c r="Q17" i="178"/>
  <c r="Y176" i="178" l="1"/>
  <c r="Y8" i="178" s="1"/>
  <c r="AC170" i="178"/>
  <c r="U17" i="178"/>
  <c r="V24" i="178"/>
  <c r="U24" i="178"/>
  <c r="AC176" i="178" l="1"/>
  <c r="AC8" i="178" s="1"/>
  <c r="AG170" i="178"/>
  <c r="Y17" i="178"/>
  <c r="Z24" i="178"/>
  <c r="Y24" i="178"/>
  <c r="AG176" i="178" l="1"/>
  <c r="AK170" i="178"/>
  <c r="AC17" i="178"/>
  <c r="AC24" i="178"/>
  <c r="AD24" i="178"/>
  <c r="H56" i="178"/>
  <c r="F55" i="178"/>
  <c r="D57" i="178"/>
  <c r="D50" i="178"/>
  <c r="AG8" i="178" l="1"/>
  <c r="AG17" i="178" s="1"/>
  <c r="AH24" i="178"/>
  <c r="AK176" i="178"/>
  <c r="AK8" i="178" s="1"/>
  <c r="AO170" i="178"/>
  <c r="I56" i="178"/>
  <c r="AG24" i="178" l="1"/>
  <c r="AK17" i="178"/>
  <c r="AK24" i="178"/>
  <c r="AL24" i="178"/>
  <c r="AO176" i="178"/>
  <c r="AO8" i="178" s="1"/>
  <c r="AS170" i="178"/>
  <c r="AS176" i="178" s="1"/>
  <c r="AS8" i="178" s="1"/>
  <c r="I55" i="178"/>
  <c r="AO17" i="178" l="1"/>
  <c r="AO24" i="178"/>
  <c r="AP24" i="178"/>
  <c r="AT24" i="178"/>
  <c r="AS17" i="178"/>
  <c r="AS24" i="178"/>
  <c r="K51" i="178"/>
  <c r="BF37" i="178"/>
  <c r="AZ37" i="178" l="1"/>
  <c r="AZ44" i="178" s="1"/>
  <c r="BF54" i="178"/>
  <c r="BF44" i="178"/>
  <c r="N43" i="167"/>
  <c r="N68" i="167"/>
  <c r="N78" i="167"/>
  <c r="BD5" i="167" l="1"/>
  <c r="K43" i="168" l="1"/>
  <c r="K42" i="168"/>
  <c r="BD6" i="167"/>
  <c r="F90" i="161" l="1"/>
  <c r="BD12" i="167"/>
  <c r="K44" i="168"/>
  <c r="BD68" i="167"/>
  <c r="BD43" i="167"/>
  <c r="G49" i="161" l="1"/>
  <c r="G41" i="161"/>
  <c r="F89" i="161"/>
  <c r="BD51" i="167" l="1"/>
  <c r="BD50" i="167" l="1"/>
  <c r="F91" i="161" s="1"/>
  <c r="N50" i="167"/>
  <c r="F92" i="161" l="1"/>
  <c r="F93" i="161"/>
  <c r="G42" i="161"/>
  <c r="N79" i="167"/>
  <c r="N44" i="167"/>
  <c r="N69" i="167"/>
  <c r="BD44" i="167"/>
  <c r="G43" i="161"/>
  <c r="G44" i="161" s="1"/>
  <c r="BD69" i="167"/>
  <c r="F94" i="161" l="1"/>
  <c r="N72" i="167"/>
  <c r="N82" i="167"/>
  <c r="F97" i="161" l="1"/>
  <c r="N47" i="167"/>
  <c r="N83" i="167"/>
  <c r="N88" i="167"/>
  <c r="BD88" i="167" s="1"/>
  <c r="M88" i="167"/>
  <c r="K88" i="167"/>
  <c r="L88" i="167"/>
  <c r="N73" i="167"/>
  <c r="BD26" i="167" l="1"/>
  <c r="N84" i="167"/>
  <c r="N74" i="167"/>
  <c r="BD27" i="167"/>
  <c r="F104" i="161" s="1"/>
  <c r="G15" i="161" l="1"/>
  <c r="BD74" i="167"/>
  <c r="BG19" i="178" l="1"/>
  <c r="J19" i="178" l="1"/>
  <c r="J33" i="178"/>
  <c r="J26" i="178"/>
  <c r="K26" i="178"/>
  <c r="J41" i="178"/>
  <c r="K41" i="178" s="1"/>
  <c r="K48" i="178" s="1"/>
  <c r="K55" i="178" l="1"/>
  <c r="J55" i="178"/>
  <c r="BF19" i="178"/>
  <c r="BF33" i="178"/>
  <c r="BF35" i="178"/>
  <c r="BF48" i="178" l="1"/>
  <c r="BF55" i="178"/>
  <c r="BF182" i="178" l="1"/>
  <c r="BG182" i="178" l="1"/>
  <c r="BD59" i="167"/>
  <c r="BD60" i="167" s="1"/>
  <c r="BD13" i="167"/>
  <c r="F95" i="161" s="1"/>
  <c r="F96" i="161" s="1"/>
  <c r="F102" i="161" s="1"/>
  <c r="BD22" i="167" l="1"/>
  <c r="BD25" i="167" s="1"/>
  <c r="K4" i="169" l="1"/>
  <c r="BD34" i="167"/>
  <c r="BD33" i="167"/>
  <c r="BD31" i="167"/>
  <c r="K71" i="168"/>
  <c r="K70" i="168"/>
  <c r="BD55" i="167"/>
  <c r="BD72" i="167"/>
  <c r="G45" i="161"/>
  <c r="F98" i="161"/>
  <c r="K36" i="169" l="1"/>
  <c r="K63" i="168"/>
  <c r="K37" i="168"/>
  <c r="BD30" i="167"/>
  <c r="C73" i="161"/>
  <c r="BD73" i="167"/>
  <c r="G46" i="161"/>
  <c r="G47" i="161" s="1"/>
  <c r="BD47" i="167"/>
  <c r="K68" i="168" l="1"/>
  <c r="K69" i="168" s="1"/>
  <c r="G17" i="161" l="1"/>
  <c r="G25" i="161"/>
  <c r="G16" i="161" l="1"/>
  <c r="G28" i="161" s="1"/>
  <c r="K79" i="168"/>
  <c r="G26" i="161"/>
  <c r="G53" i="161"/>
  <c r="G29" i="161"/>
  <c r="G54" i="161" l="1"/>
  <c r="BE109" i="167" l="1"/>
  <c r="BE98" i="167" l="1"/>
  <c r="BE108" i="167" l="1"/>
  <c r="BE96" i="167"/>
  <c r="J31" i="178" l="1"/>
  <c r="J17" i="178"/>
  <c r="J24" i="178"/>
  <c r="N17" i="178"/>
  <c r="K8" i="178"/>
  <c r="K39" i="178" s="1"/>
  <c r="BF39" i="178" l="1"/>
  <c r="BF38" i="178" s="1"/>
  <c r="K38" i="178"/>
  <c r="K176" i="178"/>
  <c r="BF176" i="178" s="1"/>
  <c r="K17" i="178"/>
  <c r="K31" i="178"/>
  <c r="L24" i="178"/>
  <c r="K24" i="178"/>
  <c r="J53" i="178"/>
  <c r="BF46" i="178" l="1"/>
  <c r="K170" i="178"/>
  <c r="BF170" i="178" s="1"/>
  <c r="BF173" i="178" s="1"/>
  <c r="K53" i="178"/>
  <c r="AZ39" i="178"/>
  <c r="AZ46" i="178" s="1"/>
  <c r="K45" i="178"/>
  <c r="BF43" i="178" l="1"/>
  <c r="O170" i="178"/>
  <c r="O176" i="178" s="1"/>
  <c r="BF53" i="178"/>
  <c r="AZ38" i="178"/>
  <c r="S170" i="178" l="1"/>
  <c r="S176" i="178" s="1"/>
  <c r="S8" i="178" s="1"/>
  <c r="BG170" i="178"/>
  <c r="BG171" i="178" s="1"/>
  <c r="AZ45" i="178"/>
  <c r="K52" i="178"/>
  <c r="O8" i="178"/>
  <c r="BG176" i="178"/>
  <c r="BF45" i="178"/>
  <c r="BF52" i="178"/>
  <c r="BG173" i="178" l="1"/>
  <c r="BG174" i="178" s="1"/>
  <c r="W170" i="178"/>
  <c r="W176" i="178" s="1"/>
  <c r="BH170" i="178"/>
  <c r="BH171" i="178" s="1"/>
  <c r="BG8" i="178"/>
  <c r="BG7" i="178" s="1"/>
  <c r="P24" i="178"/>
  <c r="O24" i="178"/>
  <c r="O39" i="178"/>
  <c r="O17" i="178"/>
  <c r="BH176" i="178"/>
  <c r="BG39" i="178" l="1"/>
  <c r="BG38" i="178" s="1"/>
  <c r="AA170" i="178"/>
  <c r="AA176" i="178" s="1"/>
  <c r="BI170" i="178"/>
  <c r="BI171" i="178" s="1"/>
  <c r="BH173" i="178"/>
  <c r="BH174" i="178" s="1"/>
  <c r="W8" i="178"/>
  <c r="BI176" i="178"/>
  <c r="BG17" i="178"/>
  <c r="BI8" i="178" l="1"/>
  <c r="W12" i="178"/>
  <c r="O7" i="178"/>
  <c r="O158" i="178" s="1"/>
  <c r="O162" i="178" s="1"/>
  <c r="O121" i="178" s="1"/>
  <c r="BG12" i="178"/>
  <c r="O38" i="178"/>
  <c r="BG46" i="178"/>
  <c r="BJ170" i="178"/>
  <c r="BJ171" i="178" s="1"/>
  <c r="BI173" i="178"/>
  <c r="BI174" i="178" s="1"/>
  <c r="AE170" i="178"/>
  <c r="AE176" i="178" s="1"/>
  <c r="AA8" i="178"/>
  <c r="BJ176" i="178"/>
  <c r="W24" i="178"/>
  <c r="X24" i="178"/>
  <c r="BI12" i="178" l="1"/>
  <c r="O117" i="178"/>
  <c r="BG117" i="178" s="1"/>
  <c r="O167" i="178"/>
  <c r="O45" i="178"/>
  <c r="BG162" i="178"/>
  <c r="BG158" i="178" s="1"/>
  <c r="BJ173" i="178"/>
  <c r="BJ174" i="178" s="1"/>
  <c r="AI170" i="178"/>
  <c r="BK170" i="178"/>
  <c r="BK171" i="178" s="1"/>
  <c r="AE8" i="178"/>
  <c r="BK176" i="178"/>
  <c r="AA24" i="178"/>
  <c r="AA17" i="178"/>
  <c r="AB24" i="178"/>
  <c r="BJ8" i="178"/>
  <c r="BO170" i="178" l="1"/>
  <c r="BN170" i="178"/>
  <c r="BM170" i="178"/>
  <c r="G85" i="161"/>
  <c r="BG146" i="178"/>
  <c r="BG127" i="178"/>
  <c r="AI176" i="178"/>
  <c r="AM170" i="178"/>
  <c r="BL170" i="178"/>
  <c r="BL171" i="178" s="1"/>
  <c r="BK173" i="178"/>
  <c r="BK174" i="178" s="1"/>
  <c r="BJ17" i="178"/>
  <c r="AE24" i="178"/>
  <c r="AE17" i="178"/>
  <c r="BK8" i="178"/>
  <c r="AF24" i="178"/>
  <c r="G86" i="161" l="1"/>
  <c r="BM171" i="178"/>
  <c r="BL176" i="178"/>
  <c r="BL173" i="178" s="1"/>
  <c r="BL174" i="178" s="1"/>
  <c r="BO176" i="178"/>
  <c r="BO173" i="178" s="1"/>
  <c r="BN176" i="178"/>
  <c r="BN173" i="178" s="1"/>
  <c r="BM176" i="178"/>
  <c r="BM173" i="178" s="1"/>
  <c r="BN171" i="178"/>
  <c r="BO171" i="178"/>
  <c r="AI8" i="178"/>
  <c r="AM176" i="178"/>
  <c r="AM8" i="178" s="1"/>
  <c r="AQ170" i="178"/>
  <c r="BK17" i="178"/>
  <c r="BO174" i="178" l="1"/>
  <c r="BM174" i="178"/>
  <c r="BN174" i="178"/>
  <c r="AM17" i="178"/>
  <c r="AI17" i="178"/>
  <c r="BL8" i="178"/>
  <c r="BL17" i="178" s="1"/>
  <c r="AI24" i="178"/>
  <c r="AJ24" i="178"/>
  <c r="AN24" i="178"/>
  <c r="BM8" i="178"/>
  <c r="AM24" i="178"/>
  <c r="AQ176" i="178"/>
  <c r="AQ8" i="178" s="1"/>
  <c r="AU170" i="178"/>
  <c r="AU176" i="178" s="1"/>
  <c r="AU8" i="178" s="1"/>
  <c r="BO8" i="178" s="1"/>
  <c r="J32" i="178"/>
  <c r="J18" i="178"/>
  <c r="J25" i="178"/>
  <c r="J40" i="178"/>
  <c r="K40" i="178" s="1"/>
  <c r="K9" i="178"/>
  <c r="O9" i="178" s="1"/>
  <c r="S9" i="178" s="1"/>
  <c r="W18" i="178" s="1"/>
  <c r="AR24" i="178" l="1"/>
  <c r="BN8" i="178"/>
  <c r="BN17" i="178" s="1"/>
  <c r="BM17" i="178"/>
  <c r="AQ24" i="178"/>
  <c r="AQ17" i="178"/>
  <c r="AU17" i="178"/>
  <c r="AU24" i="178"/>
  <c r="J54" i="178"/>
  <c r="K47" i="178"/>
  <c r="K32" i="178"/>
  <c r="K18" i="178"/>
  <c r="K25" i="178"/>
  <c r="BO17" i="178" l="1"/>
  <c r="K54" i="178"/>
  <c r="M40" i="178" l="1"/>
  <c r="M25" i="178"/>
  <c r="L40" i="178"/>
  <c r="L25" i="178"/>
  <c r="N25" i="178" l="1"/>
  <c r="N40" i="178"/>
  <c r="O40" i="178" s="1"/>
  <c r="O25" i="178"/>
  <c r="O47" i="178" l="1"/>
  <c r="BG18" i="178"/>
  <c r="BG47" i="178" l="1"/>
  <c r="BF158" i="178" l="1"/>
  <c r="AZ158" i="178" l="1"/>
  <c r="O16" i="178" l="1"/>
  <c r="O23" i="178"/>
  <c r="P23" i="178"/>
  <c r="BG16" i="178" l="1"/>
  <c r="BG45" i="178" l="1"/>
  <c r="AZ49" i="178" l="1"/>
  <c r="AZ43" i="178"/>
  <c r="AZ50" i="178" s="1"/>
  <c r="BF56" i="178"/>
  <c r="J27" i="178" l="1"/>
  <c r="J34" i="178"/>
  <c r="J20" i="178"/>
  <c r="J42" i="178"/>
  <c r="J12" i="178"/>
  <c r="K42" i="178" l="1"/>
  <c r="K56" i="178" s="1"/>
  <c r="J43" i="178"/>
  <c r="J14" i="178"/>
  <c r="J56" i="178"/>
  <c r="J21" i="178"/>
  <c r="J28" i="178"/>
  <c r="J35" i="178"/>
  <c r="K49" i="178" l="1"/>
  <c r="K43" i="178"/>
  <c r="K57" i="178" s="1"/>
  <c r="J57" i="178"/>
  <c r="J50" i="178"/>
  <c r="BF57" i="178" l="1"/>
  <c r="BF50" i="178"/>
  <c r="R20" i="178" l="1"/>
  <c r="N20" i="178"/>
  <c r="BF51" i="178"/>
  <c r="K27" i="178" l="1"/>
  <c r="K34" i="178"/>
  <c r="K20" i="178"/>
  <c r="K12" i="178"/>
  <c r="M49" i="178" l="1"/>
  <c r="K28" i="178"/>
  <c r="K14" i="178"/>
  <c r="K35" i="178"/>
  <c r="K21" i="178"/>
  <c r="K50" i="178"/>
  <c r="N49" i="178" l="1"/>
  <c r="N42" i="178" l="1"/>
  <c r="R49" i="178" l="1"/>
  <c r="R42" i="178" l="1"/>
  <c r="M12" i="178" l="1"/>
  <c r="M21" i="178" s="1"/>
  <c r="M20" i="178"/>
  <c r="N27" i="178"/>
  <c r="M42" i="178"/>
  <c r="M43" i="178" s="1"/>
  <c r="L12" i="178" l="1"/>
  <c r="L21" i="178" s="1"/>
  <c r="BA11" i="178"/>
  <c r="Q20" i="178"/>
  <c r="R27" i="178"/>
  <c r="Q42" i="178"/>
  <c r="L20" i="178"/>
  <c r="M27" i="178"/>
  <c r="L27" i="178"/>
  <c r="L42" i="178"/>
  <c r="L43" i="178" s="1"/>
  <c r="L50" i="178" l="1"/>
  <c r="O42" i="178"/>
  <c r="O49" i="178" s="1"/>
  <c r="P49" i="178" s="1"/>
  <c r="P42" i="178" s="1"/>
  <c r="S42" i="178" s="1"/>
  <c r="S49" i="178" s="1"/>
  <c r="T49" i="178" s="1"/>
  <c r="U49" i="178" s="1"/>
  <c r="V49" i="178" s="1"/>
  <c r="L28" i="178"/>
  <c r="L14" i="178"/>
  <c r="O27" i="178"/>
  <c r="O20" i="178"/>
  <c r="BG20" i="178"/>
  <c r="V27" i="178"/>
  <c r="L31" i="178"/>
  <c r="L33" i="178"/>
  <c r="L29" i="178"/>
  <c r="L32" i="178"/>
  <c r="L30" i="178"/>
  <c r="L22" i="178"/>
  <c r="L35" i="178"/>
  <c r="L15" i="178"/>
  <c r="L56" i="178"/>
  <c r="L34" i="178"/>
  <c r="Q27" i="178"/>
  <c r="P27" i="178"/>
  <c r="P20" i="178"/>
  <c r="U42" i="178" l="1"/>
  <c r="V42" i="178"/>
  <c r="W49" i="178"/>
  <c r="X49" i="178" s="1"/>
  <c r="Y49" i="178" s="1"/>
  <c r="Z49" i="178" s="1"/>
  <c r="M28" i="178"/>
  <c r="S27" i="178"/>
  <c r="S20" i="178"/>
  <c r="Z27" i="178"/>
  <c r="BH20" i="178"/>
  <c r="U27" i="178"/>
  <c r="T27" i="178"/>
  <c r="T42" i="178"/>
  <c r="L53" i="178"/>
  <c r="L52" i="178"/>
  <c r="L54" i="178"/>
  <c r="L51" i="178"/>
  <c r="L44" i="178"/>
  <c r="L55" i="178"/>
  <c r="L57" i="178"/>
  <c r="O67" i="167"/>
  <c r="O77" i="167"/>
  <c r="Y42" i="178" l="1"/>
  <c r="AA49" i="178"/>
  <c r="AB49" i="178" s="1"/>
  <c r="AC49" i="178" s="1"/>
  <c r="AD49" i="178" s="1"/>
  <c r="Z42" i="178"/>
  <c r="M31" i="178"/>
  <c r="M32" i="178"/>
  <c r="M15" i="178"/>
  <c r="M30" i="178"/>
  <c r="M29" i="178"/>
  <c r="M33" i="178"/>
  <c r="M34" i="178"/>
  <c r="M22" i="178"/>
  <c r="M14" i="178"/>
  <c r="M35" i="178"/>
  <c r="BG49" i="178"/>
  <c r="O68" i="167"/>
  <c r="O43" i="167"/>
  <c r="O78" i="167"/>
  <c r="Y27" i="178"/>
  <c r="X42" i="178"/>
  <c r="AD27" i="178"/>
  <c r="AC42" i="178" l="1"/>
  <c r="AE49" i="178"/>
  <c r="AF49" i="178" s="1"/>
  <c r="AG49" i="178" s="1"/>
  <c r="AH49" i="178" s="1"/>
  <c r="AD42" i="178"/>
  <c r="W27" i="178"/>
  <c r="X27" i="178"/>
  <c r="W42" i="178"/>
  <c r="BI42" i="178" s="1"/>
  <c r="N34" i="178"/>
  <c r="N31" i="178"/>
  <c r="N29" i="178"/>
  <c r="N15" i="178"/>
  <c r="N32" i="178"/>
  <c r="N30" i="178"/>
  <c r="M44" i="178"/>
  <c r="M54" i="178"/>
  <c r="M52" i="178"/>
  <c r="M56" i="178"/>
  <c r="M55" i="178"/>
  <c r="M51" i="178"/>
  <c r="M53" i="178"/>
  <c r="P67" i="167"/>
  <c r="P77" i="167"/>
  <c r="N22" i="178"/>
  <c r="BH49" i="178"/>
  <c r="AA27" i="178"/>
  <c r="AA42" i="178"/>
  <c r="BJ42" i="178" s="1"/>
  <c r="AB27" i="178"/>
  <c r="AC27" i="178"/>
  <c r="AB42" i="178"/>
  <c r="AH27" i="178"/>
  <c r="AG42" i="178" l="1"/>
  <c r="AI49" i="178"/>
  <c r="AJ49" i="178" s="1"/>
  <c r="AH42" i="178"/>
  <c r="BI20" i="178"/>
  <c r="BI49" i="178"/>
  <c r="BJ20" i="178"/>
  <c r="BG35" i="178"/>
  <c r="O22" i="178"/>
  <c r="P50" i="167"/>
  <c r="Q54" i="167"/>
  <c r="Q53" i="167"/>
  <c r="Q67" i="167"/>
  <c r="Q52" i="167"/>
  <c r="Q77" i="167"/>
  <c r="P43" i="167"/>
  <c r="P68" i="167"/>
  <c r="P78" i="167"/>
  <c r="O15" i="178"/>
  <c r="O30" i="178"/>
  <c r="O32" i="178"/>
  <c r="O31" i="178"/>
  <c r="O29" i="178"/>
  <c r="O34" i="178"/>
  <c r="BG21" i="178"/>
  <c r="AE27" i="178"/>
  <c r="AE42" i="178"/>
  <c r="BK42" i="178" s="1"/>
  <c r="BK11" i="178"/>
  <c r="BJ49" i="178"/>
  <c r="O69" i="167"/>
  <c r="O79" i="167"/>
  <c r="O44" i="167"/>
  <c r="AF27" i="178"/>
  <c r="AG27" i="178"/>
  <c r="AF42" i="178"/>
  <c r="AK49" i="178" l="1"/>
  <c r="AJ42" i="178"/>
  <c r="P87" i="167"/>
  <c r="Q87" i="167"/>
  <c r="O87" i="167"/>
  <c r="BG31" i="178"/>
  <c r="BG32" i="178"/>
  <c r="BG15" i="178"/>
  <c r="BG34" i="178"/>
  <c r="BG29" i="178"/>
  <c r="BG30" i="178"/>
  <c r="P33" i="178"/>
  <c r="P31" i="178"/>
  <c r="P30" i="178"/>
  <c r="P34" i="178"/>
  <c r="P15" i="178"/>
  <c r="P29" i="178"/>
  <c r="R67" i="167"/>
  <c r="R77" i="167"/>
  <c r="R87" i="167"/>
  <c r="BE87" i="167" s="1"/>
  <c r="P22" i="178"/>
  <c r="Q50" i="167"/>
  <c r="BK20" i="178"/>
  <c r="BL11" i="178"/>
  <c r="BM20" i="178" s="1"/>
  <c r="AI27" i="178"/>
  <c r="AI42" i="178"/>
  <c r="BK49" i="178"/>
  <c r="AL49" i="178" l="1"/>
  <c r="AK42" i="178"/>
  <c r="P69" i="167"/>
  <c r="P79" i="167"/>
  <c r="P44" i="167"/>
  <c r="G88" i="161"/>
  <c r="BE52" i="167"/>
  <c r="BE67" i="167"/>
  <c r="G87" i="161"/>
  <c r="G84" i="161" s="1"/>
  <c r="H14" i="161"/>
  <c r="BE53" i="167"/>
  <c r="H39" i="161"/>
  <c r="H40" i="161" s="1"/>
  <c r="BE54" i="167"/>
  <c r="BG14" i="178"/>
  <c r="S77" i="167"/>
  <c r="S67" i="167"/>
  <c r="BL20" i="178"/>
  <c r="BL42" i="178"/>
  <c r="AW117" i="170" l="1"/>
  <c r="AM49" i="178"/>
  <c r="AL42" i="178"/>
  <c r="P72" i="167"/>
  <c r="H20" i="161"/>
  <c r="H19" i="161"/>
  <c r="BE51" i="167"/>
  <c r="BL49" i="178"/>
  <c r="AM42" i="178" l="1"/>
  <c r="BM42" i="178" s="1"/>
  <c r="AN49" i="178"/>
  <c r="P74" i="167"/>
  <c r="H50" i="161"/>
  <c r="H51" i="161" s="1"/>
  <c r="P73" i="167"/>
  <c r="P47" i="167"/>
  <c r="BE50" i="167"/>
  <c r="BM49" i="178" l="1"/>
  <c r="AO49" i="178"/>
  <c r="AN42" i="178"/>
  <c r="G91" i="161"/>
  <c r="H42" i="161"/>
  <c r="AP49" i="178" l="1"/>
  <c r="AO42" i="178"/>
  <c r="G92" i="161"/>
  <c r="AQ49" i="178" l="1"/>
  <c r="AP42" i="178"/>
  <c r="AQ42" i="178" l="1"/>
  <c r="BN42" i="178" s="1"/>
  <c r="AR49" i="178"/>
  <c r="BN49" i="178" l="1"/>
  <c r="AS49" i="178"/>
  <c r="AR42" i="178"/>
  <c r="Q77" i="168"/>
  <c r="AT49" i="178" l="1"/>
  <c r="AS42" i="178"/>
  <c r="AU49" i="178" l="1"/>
  <c r="AU42" i="178" s="1"/>
  <c r="AT42" i="178"/>
  <c r="BD39" i="167"/>
  <c r="K6" i="169"/>
  <c r="K55" i="168"/>
  <c r="N36" i="167"/>
  <c r="BO42" i="178" l="1"/>
  <c r="BO49" i="178" s="1"/>
  <c r="F100" i="161"/>
  <c r="K56" i="168"/>
  <c r="K58" i="168"/>
  <c r="K12" i="169"/>
  <c r="K72" i="168"/>
  <c r="BD70" i="167"/>
  <c r="BD45" i="167"/>
  <c r="BD40" i="167"/>
  <c r="AE21" i="178" l="1"/>
  <c r="BD46" i="167"/>
  <c r="BD71" i="167"/>
  <c r="G50" i="161"/>
  <c r="G51" i="161" s="1"/>
  <c r="K49" i="168"/>
  <c r="AF21" i="178" l="1"/>
  <c r="P39" i="167" l="1"/>
  <c r="P40" i="167" s="1"/>
  <c r="AG21" i="178"/>
  <c r="L77" i="168"/>
  <c r="AH21" i="178" l="1"/>
  <c r="AI21" i="178" l="1"/>
  <c r="AJ21" i="178" s="1"/>
  <c r="AK21" i="178" s="1"/>
  <c r="AL21" i="178" s="1"/>
  <c r="AM21" i="178" s="1"/>
  <c r="AN21" i="178" s="1"/>
  <c r="AO21" i="178" s="1"/>
  <c r="AP21" i="178" s="1"/>
  <c r="AQ21" i="178" s="1"/>
  <c r="AR21" i="178" s="1"/>
  <c r="AS21" i="178" s="1"/>
  <c r="AT21" i="178" s="1"/>
  <c r="AU21" i="178" s="1"/>
  <c r="O45" i="167"/>
  <c r="O70" i="167"/>
  <c r="H62" i="161"/>
  <c r="O46" i="167" l="1"/>
  <c r="O71" i="167"/>
  <c r="P45" i="167"/>
  <c r="P80" i="167"/>
  <c r="P70" i="167"/>
  <c r="P46" i="167" l="1"/>
  <c r="P81" i="167"/>
  <c r="P71" i="167"/>
  <c r="N39" i="167" l="1"/>
  <c r="P53" i="168"/>
  <c r="P55" i="168" l="1"/>
  <c r="N70" i="167"/>
  <c r="N45" i="167"/>
  <c r="N40" i="167"/>
  <c r="N80" i="167"/>
  <c r="O80" i="167"/>
  <c r="N81" i="167" l="1"/>
  <c r="N46" i="167"/>
  <c r="N71" i="167"/>
  <c r="O81" i="167"/>
  <c r="BI37" i="167"/>
  <c r="P14" i="168"/>
  <c r="J77" i="168"/>
  <c r="AF37" i="167" l="1"/>
  <c r="P17" i="169"/>
  <c r="AG37" i="167" l="1"/>
  <c r="Q17" i="169" l="1"/>
  <c r="AH37" i="167"/>
  <c r="N53" i="161" l="1"/>
  <c r="M77" i="168"/>
  <c r="N77" i="168"/>
  <c r="O77" i="168"/>
  <c r="P77" i="168"/>
  <c r="O53" i="161" l="1"/>
  <c r="P53" i="161" s="1"/>
  <c r="O47" i="167" l="1"/>
  <c r="P84" i="167"/>
  <c r="O84" i="167"/>
  <c r="O74" i="167"/>
  <c r="P83" i="167"/>
  <c r="O73" i="167"/>
  <c r="O83" i="167"/>
  <c r="O82" i="167"/>
  <c r="P82" i="167"/>
  <c r="O72" i="167"/>
  <c r="C72" i="161" l="1"/>
  <c r="BE121" i="167" l="1"/>
  <c r="BE124" i="167"/>
  <c r="BE120" i="167" l="1"/>
  <c r="Q82" i="167" l="1"/>
  <c r="Q72" i="167"/>
  <c r="Q83" i="167" l="1"/>
  <c r="Q73" i="167"/>
  <c r="Q47" i="167"/>
  <c r="Q84" i="167" l="1"/>
  <c r="Q74" i="167"/>
  <c r="G99" i="161" l="1"/>
  <c r="Q78" i="167"/>
  <c r="Q43" i="167"/>
  <c r="Q68" i="167"/>
  <c r="N37" i="178"/>
  <c r="BG37" i="178" l="1"/>
  <c r="BG43" i="178" s="1"/>
  <c r="N44" i="178"/>
  <c r="N51" i="178"/>
  <c r="N54" i="178"/>
  <c r="N53" i="178"/>
  <c r="N56" i="178"/>
  <c r="N52" i="178"/>
  <c r="Q44" i="167"/>
  <c r="Q69" i="167"/>
  <c r="Q39" i="167"/>
  <c r="Q79" i="167"/>
  <c r="Q80" i="167" l="1"/>
  <c r="Q70" i="167"/>
  <c r="Q40" i="167"/>
  <c r="Q45" i="167"/>
  <c r="Q71" i="167" l="1"/>
  <c r="Q46" i="167"/>
  <c r="Q81" i="167"/>
  <c r="P34" i="168" l="1"/>
  <c r="Q34" i="168" l="1"/>
  <c r="R34" i="168" s="1"/>
  <c r="S34" i="168" l="1"/>
  <c r="T34" i="168" l="1"/>
  <c r="M50" i="178"/>
  <c r="M57" i="178"/>
  <c r="R78" i="167" l="1"/>
  <c r="R68" i="167"/>
  <c r="R39" i="167" l="1"/>
  <c r="R79" i="167"/>
  <c r="R69" i="167"/>
  <c r="R45" i="167" l="1"/>
  <c r="R72" i="167"/>
  <c r="R82" i="167"/>
  <c r="S68" i="167"/>
  <c r="S78" i="167"/>
  <c r="R40" i="167"/>
  <c r="R46" i="167" s="1"/>
  <c r="R80" i="167"/>
  <c r="R70" i="167"/>
  <c r="G95" i="161" l="1"/>
  <c r="G90" i="161"/>
  <c r="BE43" i="167"/>
  <c r="BE68" i="167"/>
  <c r="S69" i="167"/>
  <c r="S39" i="167"/>
  <c r="S79" i="167"/>
  <c r="R81" i="167"/>
  <c r="R71" i="167"/>
  <c r="S45" i="167" l="1"/>
  <c r="G89" i="161"/>
  <c r="G93" i="161" s="1"/>
  <c r="H41" i="161"/>
  <c r="BE55" i="167"/>
  <c r="BE69" i="167"/>
  <c r="BE44" i="167"/>
  <c r="BE39" i="167"/>
  <c r="L72" i="168" s="1"/>
  <c r="H43" i="161"/>
  <c r="H44" i="161" s="1"/>
  <c r="R88" i="167"/>
  <c r="BE88" i="167" s="1"/>
  <c r="R83" i="167"/>
  <c r="P88" i="167"/>
  <c r="R73" i="167"/>
  <c r="O88" i="167"/>
  <c r="Q88" i="167"/>
  <c r="G97" i="161"/>
  <c r="S40" i="167"/>
  <c r="S46" i="167" s="1"/>
  <c r="S70" i="167"/>
  <c r="S80" i="167"/>
  <c r="R74" i="167" l="1"/>
  <c r="R84" i="167"/>
  <c r="BE70" i="167"/>
  <c r="BE40" i="167"/>
  <c r="G100" i="161"/>
  <c r="BE45" i="167"/>
  <c r="H45" i="161"/>
  <c r="BE72" i="167"/>
  <c r="S81" i="167"/>
  <c r="S71" i="167"/>
  <c r="G96" i="161"/>
  <c r="G102" i="161" s="1"/>
  <c r="G94" i="161"/>
  <c r="G98" i="161" l="1"/>
  <c r="BE46" i="167"/>
  <c r="BE71" i="167"/>
  <c r="BE74" i="167"/>
  <c r="G104" i="161"/>
  <c r="BE73" i="167"/>
  <c r="H46" i="161"/>
  <c r="H47" i="161" s="1"/>
  <c r="BE34" i="167"/>
  <c r="L37" i="168" s="1"/>
  <c r="BE47" i="167"/>
  <c r="BE33" i="167"/>
  <c r="H15" i="161"/>
  <c r="L68" i="168" l="1"/>
  <c r="L69" i="168" s="1"/>
  <c r="L63" i="168"/>
  <c r="L36" i="169"/>
  <c r="BE30" i="167"/>
  <c r="C80" i="161"/>
  <c r="H53" i="161" l="1"/>
  <c r="H26" i="161"/>
  <c r="H61" i="161" l="1"/>
  <c r="H54" i="161"/>
  <c r="S82" i="167" l="1"/>
  <c r="S72" i="167"/>
  <c r="S73" i="167"/>
  <c r="S84" i="167"/>
  <c r="S74" i="167"/>
  <c r="S83" i="167"/>
  <c r="S13" i="167"/>
  <c r="S21" i="167" s="1"/>
  <c r="H25" i="161" l="1"/>
  <c r="H17" i="161"/>
  <c r="BE31" i="167"/>
  <c r="C79" i="161" l="1"/>
  <c r="C74" i="161" s="1"/>
  <c r="C75" i="161" s="1"/>
  <c r="C76" i="161" s="1"/>
  <c r="L79" i="168"/>
  <c r="H29" i="161"/>
  <c r="H16" i="161"/>
  <c r="H28" i="161" s="1"/>
  <c r="H57" i="161" l="1"/>
  <c r="H58" i="161" s="1"/>
  <c r="L57" i="161"/>
  <c r="N57" i="161"/>
  <c r="N58" i="161" s="1"/>
  <c r="O57" i="161"/>
  <c r="O58" i="161" s="1"/>
  <c r="P56" i="161"/>
  <c r="I57" i="161"/>
  <c r="K57" i="161"/>
  <c r="P57" i="161"/>
  <c r="P58" i="161" s="1"/>
  <c r="J57" i="161"/>
  <c r="BF97" i="167" l="1"/>
  <c r="BG97" i="167" l="1"/>
  <c r="BG147" i="167" l="1"/>
  <c r="BG151" i="167" s="1"/>
  <c r="BF146" i="167"/>
  <c r="BF150" i="167" s="1"/>
  <c r="BF154" i="167" s="1"/>
  <c r="BF147" i="167"/>
  <c r="BF151" i="167" s="1"/>
  <c r="BF155" i="167" s="1"/>
  <c r="BG155" i="167" l="1"/>
  <c r="BF145" i="167" l="1"/>
  <c r="BF149" i="167" s="1"/>
  <c r="BF153" i="167" s="1"/>
  <c r="BG121" i="167"/>
  <c r="BF109" i="167"/>
  <c r="BF121" i="167"/>
  <c r="BG145" i="167"/>
  <c r="BG149" i="167" s="1"/>
  <c r="BG146" i="167"/>
  <c r="BG150" i="167" s="1"/>
  <c r="BG154" i="167" s="1"/>
  <c r="BG153" i="167" l="1"/>
  <c r="BF98" i="167"/>
  <c r="BF8" i="167"/>
  <c r="BF91" i="167" s="1"/>
  <c r="BG96" i="167" s="1"/>
  <c r="BF9" i="167"/>
  <c r="BF103" i="167" s="1"/>
  <c r="BF10" i="167"/>
  <c r="BG98" i="167"/>
  <c r="BF95" i="167" l="1"/>
  <c r="BF96" i="167"/>
  <c r="BF115" i="167"/>
  <c r="AX115" i="170"/>
  <c r="BF107" i="167"/>
  <c r="BF108" i="167"/>
  <c r="BG109" i="167"/>
  <c r="BG108" i="167"/>
  <c r="BF119" i="167" l="1"/>
  <c r="BF120" i="167"/>
  <c r="BG120" i="167"/>
  <c r="BF112" i="167"/>
  <c r="BG112" i="167"/>
  <c r="BF100" i="167"/>
  <c r="BG100" i="167"/>
  <c r="Q12" i="178"/>
  <c r="BF124" i="167" l="1"/>
  <c r="BG124" i="167"/>
  <c r="Q21" i="178"/>
  <c r="Q14" i="178"/>
  <c r="P12" i="178" l="1"/>
  <c r="P25" i="178"/>
  <c r="P32" i="178"/>
  <c r="Q25" i="178"/>
  <c r="U32" i="178"/>
  <c r="Q29" i="178"/>
  <c r="Q15" i="178"/>
  <c r="Q33" i="178"/>
  <c r="Q31" i="178"/>
  <c r="Q34" i="178"/>
  <c r="Q30" i="178"/>
  <c r="Q35" i="178"/>
  <c r="Q22" i="178"/>
  <c r="Q32" i="178"/>
  <c r="R25" i="178"/>
  <c r="V25" i="178" l="1"/>
  <c r="P21" i="178"/>
  <c r="BH18" i="178"/>
  <c r="Y25" i="178"/>
  <c r="Q28" i="178"/>
  <c r="P35" i="178"/>
  <c r="T40" i="178"/>
  <c r="U40" i="178" s="1"/>
  <c r="U47" i="178" s="1"/>
  <c r="U25" i="178"/>
  <c r="U29" i="178"/>
  <c r="U31" i="178"/>
  <c r="U15" i="178"/>
  <c r="U34" i="178"/>
  <c r="U30" i="178"/>
  <c r="T77" i="167"/>
  <c r="T67" i="167"/>
  <c r="X40" i="178"/>
  <c r="V40" i="178"/>
  <c r="Q56" i="178"/>
  <c r="Q55" i="178"/>
  <c r="Q53" i="178"/>
  <c r="Q51" i="178"/>
  <c r="Q52" i="178"/>
  <c r="T25" i="178"/>
  <c r="S25" i="178"/>
  <c r="P14" i="178"/>
  <c r="AJ40" i="178" l="1"/>
  <c r="Z25" i="178"/>
  <c r="P55" i="178"/>
  <c r="P53" i="178"/>
  <c r="P52" i="178"/>
  <c r="P44" i="178"/>
  <c r="P56" i="178"/>
  <c r="P51" i="178"/>
  <c r="AD25" i="178"/>
  <c r="AC40" i="178"/>
  <c r="X67" i="167"/>
  <c r="AC25" i="178"/>
  <c r="AB40" i="178"/>
  <c r="T68" i="167"/>
  <c r="T43" i="167"/>
  <c r="T78" i="167"/>
  <c r="AH25" i="178" l="1"/>
  <c r="X68" i="167"/>
  <c r="BH47" i="178"/>
  <c r="AF40" i="178"/>
  <c r="AG25" i="178"/>
  <c r="AD40" i="178"/>
  <c r="X43" i="167"/>
  <c r="T34" i="178"/>
  <c r="T15" i="178"/>
  <c r="T31" i="178"/>
  <c r="T29" i="178"/>
  <c r="T30" i="178"/>
  <c r="U22" i="178"/>
  <c r="T32" i="178"/>
  <c r="AN40" i="178" l="1"/>
  <c r="AR40" i="178"/>
  <c r="AO25" i="178"/>
  <c r="AK40" i="178"/>
  <c r="AK25" i="178"/>
  <c r="P47" i="178"/>
  <c r="X78" i="167"/>
  <c r="W68" i="167"/>
  <c r="T39" i="167"/>
  <c r="T44" i="167"/>
  <c r="T69" i="167"/>
  <c r="T79" i="167"/>
  <c r="W67" i="167"/>
  <c r="X77" i="167"/>
  <c r="AO40" i="178" l="1"/>
  <c r="AS40" i="178"/>
  <c r="AL40" i="178"/>
  <c r="AS25" i="178"/>
  <c r="AL25" i="178"/>
  <c r="Q47" i="178"/>
  <c r="P40" i="178"/>
  <c r="X69" i="167"/>
  <c r="T70" i="167"/>
  <c r="T80" i="167"/>
  <c r="T45" i="167"/>
  <c r="T40" i="167"/>
  <c r="X44" i="167"/>
  <c r="AT40" i="178" l="1"/>
  <c r="AT25" i="178"/>
  <c r="AP25" i="178"/>
  <c r="AP40" i="178"/>
  <c r="P43" i="178"/>
  <c r="P54" i="178"/>
  <c r="R47" i="178"/>
  <c r="Q40" i="178"/>
  <c r="T46" i="167"/>
  <c r="T71" i="167"/>
  <c r="T81" i="167"/>
  <c r="Q43" i="178" l="1"/>
  <c r="Q54" i="178"/>
  <c r="R40" i="178"/>
  <c r="S40" i="178" s="1"/>
  <c r="S47" i="178" s="1"/>
  <c r="P50" i="178"/>
  <c r="P57" i="178"/>
  <c r="W69" i="167"/>
  <c r="X79" i="167"/>
  <c r="Q50" i="178" l="1"/>
  <c r="Q57" i="178"/>
  <c r="W47" i="178"/>
  <c r="Z47" i="178" l="1"/>
  <c r="Y40" i="178"/>
  <c r="N10" i="178"/>
  <c r="O10" i="178"/>
  <c r="O33" i="178" s="1"/>
  <c r="AA47" i="178" l="1"/>
  <c r="AG47" i="178" s="1"/>
  <c r="Z40" i="178"/>
  <c r="O181" i="178"/>
  <c r="P26" i="178"/>
  <c r="O19" i="178"/>
  <c r="O12" i="178"/>
  <c r="N33" i="178"/>
  <c r="N41" i="178"/>
  <c r="N26" i="178"/>
  <c r="N19" i="178"/>
  <c r="O26" i="178"/>
  <c r="N12" i="178"/>
  <c r="N21" i="178" s="1"/>
  <c r="O41" i="178" l="1"/>
  <c r="O43" i="178" s="1"/>
  <c r="O50" i="178" s="1"/>
  <c r="N43" i="178"/>
  <c r="AH47" i="178"/>
  <c r="AG40" i="178"/>
  <c r="O21" i="178"/>
  <c r="O182" i="178"/>
  <c r="O35" i="178"/>
  <c r="P28" i="178"/>
  <c r="O14" i="178"/>
  <c r="N55" i="178"/>
  <c r="N35" i="178"/>
  <c r="O28" i="178"/>
  <c r="N28" i="178"/>
  <c r="N14" i="178"/>
  <c r="O48" i="178" l="1"/>
  <c r="AI47" i="178"/>
  <c r="AH40" i="178"/>
  <c r="R10" i="178"/>
  <c r="N57" i="178"/>
  <c r="N50" i="178"/>
  <c r="S29" i="178"/>
  <c r="T22" i="178"/>
  <c r="S15" i="178"/>
  <c r="S34" i="178"/>
  <c r="S32" i="178"/>
  <c r="BG48" i="178"/>
  <c r="R12" i="178" l="1"/>
  <c r="S10" i="178"/>
  <c r="S26" i="178" s="1"/>
  <c r="V67" i="167"/>
  <c r="W77" i="167"/>
  <c r="O44" i="178"/>
  <c r="O53" i="178"/>
  <c r="O52" i="178"/>
  <c r="O54" i="178"/>
  <c r="O51" i="178"/>
  <c r="O56" i="178"/>
  <c r="O55" i="178"/>
  <c r="R19" i="178"/>
  <c r="R26" i="178"/>
  <c r="R41" i="178"/>
  <c r="BG50" i="178"/>
  <c r="O57" i="178"/>
  <c r="S41" i="178" l="1"/>
  <c r="S48" i="178" s="1"/>
  <c r="R43" i="178"/>
  <c r="R50" i="178" s="1"/>
  <c r="R28" i="178"/>
  <c r="R14" i="178"/>
  <c r="R21" i="178"/>
  <c r="S33" i="178"/>
  <c r="S19" i="178"/>
  <c r="BG53" i="178"/>
  <c r="BG44" i="178"/>
  <c r="BG56" i="178"/>
  <c r="BG52" i="178"/>
  <c r="BG54" i="178"/>
  <c r="BG55" i="178"/>
  <c r="R29" i="178"/>
  <c r="R32" i="178"/>
  <c r="R31" i="178"/>
  <c r="R15" i="178"/>
  <c r="R34" i="178"/>
  <c r="R30" i="178"/>
  <c r="R22" i="178"/>
  <c r="S22" i="178"/>
  <c r="R35" i="178"/>
  <c r="V68" i="167"/>
  <c r="V43" i="167"/>
  <c r="W78" i="167"/>
  <c r="BG57" i="178"/>
  <c r="R55" i="178"/>
  <c r="R33" i="178"/>
  <c r="R13" i="178" l="1"/>
  <c r="Q13" i="178"/>
  <c r="S13" i="178"/>
  <c r="P13" i="178"/>
  <c r="BH33" i="178"/>
  <c r="BH32" i="178"/>
  <c r="BH34" i="178"/>
  <c r="BH15" i="178"/>
  <c r="BH29" i="178"/>
  <c r="V29" i="178"/>
  <c r="V34" i="178"/>
  <c r="V32" i="178"/>
  <c r="V30" i="178"/>
  <c r="V15" i="178"/>
  <c r="V22" i="178"/>
  <c r="V31" i="178"/>
  <c r="BH48" i="178"/>
  <c r="T87" i="167"/>
  <c r="S87" i="167"/>
  <c r="U77" i="167"/>
  <c r="U67" i="167"/>
  <c r="U87" i="167"/>
  <c r="BF4" i="167"/>
  <c r="V87" i="167"/>
  <c r="BF87" i="167" s="1"/>
  <c r="V77" i="167"/>
  <c r="R54" i="178"/>
  <c r="R53" i="178"/>
  <c r="R52" i="178"/>
  <c r="R44" i="178"/>
  <c r="R56" i="178"/>
  <c r="R51" i="178"/>
  <c r="R57" i="178"/>
  <c r="BG51" i="178"/>
  <c r="AX106" i="170" l="1"/>
  <c r="AW107" i="170" s="1"/>
  <c r="BG67" i="167"/>
  <c r="M32" i="169"/>
  <c r="M41" i="168"/>
  <c r="V44" i="167"/>
  <c r="V39" i="167"/>
  <c r="W79" i="167"/>
  <c r="V69" i="167"/>
  <c r="H88" i="161"/>
  <c r="U78" i="167"/>
  <c r="U68" i="167"/>
  <c r="V78" i="167"/>
  <c r="BF67" i="167"/>
  <c r="I39" i="161"/>
  <c r="I40" i="161" s="1"/>
  <c r="BF54" i="167"/>
  <c r="I14" i="161"/>
  <c r="BF53" i="167"/>
  <c r="H87" i="161"/>
  <c r="BF52" i="167"/>
  <c r="Y77" i="167"/>
  <c r="Y67" i="167"/>
  <c r="BF7" i="167"/>
  <c r="AX117" i="170" l="1"/>
  <c r="H84" i="161"/>
  <c r="V72" i="167"/>
  <c r="V45" i="167"/>
  <c r="Y68" i="167"/>
  <c r="V70" i="167"/>
  <c r="V40" i="167"/>
  <c r="V71" i="167" s="1"/>
  <c r="Y78" i="167"/>
  <c r="Y43" i="167"/>
  <c r="BF5" i="167"/>
  <c r="BF51" i="167"/>
  <c r="BF11" i="167"/>
  <c r="I19" i="161"/>
  <c r="I20" i="161"/>
  <c r="M42" i="168" l="1"/>
  <c r="M43" i="168"/>
  <c r="V46" i="167"/>
  <c r="I50" i="161"/>
  <c r="I51" i="161" s="1"/>
  <c r="BF6" i="167"/>
  <c r="BF50" i="167"/>
  <c r="U69" i="167"/>
  <c r="U79" i="167"/>
  <c r="U39" i="167"/>
  <c r="V79" i="167"/>
  <c r="M44" i="168" l="1"/>
  <c r="V73" i="167"/>
  <c r="U45" i="167"/>
  <c r="V74" i="167"/>
  <c r="V47" i="167"/>
  <c r="Y69" i="167"/>
  <c r="U80" i="167"/>
  <c r="U70" i="167"/>
  <c r="U40" i="167"/>
  <c r="U46" i="167" s="1"/>
  <c r="V80" i="167"/>
  <c r="H91" i="161"/>
  <c r="H92" i="161" s="1"/>
  <c r="I42" i="161"/>
  <c r="Y44" i="167"/>
  <c r="Y79" i="167"/>
  <c r="BF43" i="167"/>
  <c r="BF68" i="167"/>
  <c r="H90" i="161"/>
  <c r="BF12" i="167"/>
  <c r="I49" i="161" l="1"/>
  <c r="BF26" i="167"/>
  <c r="H89" i="161"/>
  <c r="H93" i="161" s="1"/>
  <c r="I41" i="161"/>
  <c r="U81" i="167"/>
  <c r="U71" i="167"/>
  <c r="V81" i="167"/>
  <c r="BF69" i="167"/>
  <c r="I43" i="161"/>
  <c r="I44" i="161" s="1"/>
  <c r="BF39" i="167"/>
  <c r="M72" i="168" s="1"/>
  <c r="BF44" i="167"/>
  <c r="H94" i="161" l="1"/>
  <c r="BF70" i="167"/>
  <c r="BF45" i="167"/>
  <c r="H100" i="161"/>
  <c r="BF40" i="167"/>
  <c r="BF71" i="167" l="1"/>
  <c r="BF46" i="167"/>
  <c r="W39" i="167"/>
  <c r="X39" i="167" l="1"/>
  <c r="W45" i="167"/>
  <c r="W70" i="167"/>
  <c r="W80" i="167"/>
  <c r="W40" i="167"/>
  <c r="X45" i="167" l="1"/>
  <c r="X80" i="167"/>
  <c r="X70" i="167"/>
  <c r="X40" i="167"/>
  <c r="W81" i="167"/>
  <c r="W71" i="167"/>
  <c r="W46" i="167"/>
  <c r="Y39" i="167"/>
  <c r="X71" i="167" l="1"/>
  <c r="X81" i="167"/>
  <c r="X46" i="167"/>
  <c r="Y40" i="167"/>
  <c r="Y80" i="167"/>
  <c r="Y45" i="167"/>
  <c r="Y70" i="167"/>
  <c r="Y81" i="167" l="1"/>
  <c r="Y46" i="167"/>
  <c r="Y71" i="167"/>
  <c r="T73" i="167" l="1"/>
  <c r="T72" i="167"/>
  <c r="T82" i="167"/>
  <c r="T83" i="167"/>
  <c r="T47" i="167"/>
  <c r="T27" i="167"/>
  <c r="T84" i="167" s="1"/>
  <c r="T13" i="167"/>
  <c r="T21" i="167" s="1"/>
  <c r="T74" i="167" l="1"/>
  <c r="V82" i="167" l="1"/>
  <c r="U82" i="167"/>
  <c r="U72" i="167"/>
  <c r="U88" i="167"/>
  <c r="U13" i="167"/>
  <c r="U21" i="167" s="1"/>
  <c r="BF23" i="167"/>
  <c r="BG13" i="167" l="1"/>
  <c r="BG22" i="167" s="1"/>
  <c r="BG25" i="167" s="1"/>
  <c r="BF21" i="167"/>
  <c r="H97" i="161"/>
  <c r="V83" i="167"/>
  <c r="U83" i="167"/>
  <c r="T88" i="167"/>
  <c r="U73" i="167"/>
  <c r="V88" i="167"/>
  <c r="BF88" i="167" s="1"/>
  <c r="S88" i="167"/>
  <c r="N4" i="169" l="1"/>
  <c r="N12" i="169" s="1"/>
  <c r="BG34" i="167"/>
  <c r="BG33" i="167"/>
  <c r="BF27" i="167"/>
  <c r="U84" i="167"/>
  <c r="U74" i="167"/>
  <c r="V84" i="167"/>
  <c r="I15" i="161"/>
  <c r="H104" i="161" l="1"/>
  <c r="BF74" i="167"/>
  <c r="M61" i="168" l="1"/>
  <c r="P25" i="169"/>
  <c r="I26" i="161"/>
  <c r="I53" i="161"/>
  <c r="M67" i="168" l="1"/>
  <c r="M66" i="168"/>
  <c r="M62" i="168"/>
  <c r="Q32" i="168"/>
  <c r="I58" i="161"/>
  <c r="I54" i="161"/>
  <c r="R32" i="168" l="1"/>
  <c r="R25" i="169"/>
  <c r="Q25" i="169"/>
  <c r="S32" i="168" l="1"/>
  <c r="T32" i="168" l="1"/>
  <c r="S25" i="169"/>
  <c r="T25" i="169" l="1"/>
  <c r="W72" i="167" l="1"/>
  <c r="W82" i="167"/>
  <c r="X72" i="167" l="1"/>
  <c r="X82" i="167"/>
  <c r="X73" i="167" l="1"/>
  <c r="Y72" i="167"/>
  <c r="Y82" i="167"/>
  <c r="W83" i="167"/>
  <c r="W47" i="167"/>
  <c r="W73" i="167"/>
  <c r="X83" i="167" l="1"/>
  <c r="X47" i="167"/>
  <c r="X84" i="167"/>
  <c r="W84" i="167"/>
  <c r="W74" i="167"/>
  <c r="X74" i="167" l="1"/>
  <c r="Y83" i="167"/>
  <c r="Y73" i="167"/>
  <c r="Y47" i="167"/>
  <c r="Y74" i="167" l="1"/>
  <c r="Y84" i="167"/>
  <c r="S31" i="178" l="1"/>
  <c r="W17" i="178"/>
  <c r="T24" i="178"/>
  <c r="S24" i="178"/>
  <c r="S17" i="178"/>
  <c r="BH8" i="178"/>
  <c r="BH31" i="178" s="1"/>
  <c r="BI17" i="178" l="1"/>
  <c r="BH7" i="178"/>
  <c r="BH17" i="178"/>
  <c r="S7" i="178" l="1"/>
  <c r="S158" i="178" s="1"/>
  <c r="BH38" i="178"/>
  <c r="S38" i="178" s="1"/>
  <c r="BH12" i="178"/>
  <c r="BH16" i="178"/>
  <c r="BH30" i="178"/>
  <c r="S162" i="178" l="1"/>
  <c r="S121" i="178" s="1"/>
  <c r="S167" i="178" s="1"/>
  <c r="S45" i="178"/>
  <c r="BH14" i="178"/>
  <c r="S12" i="178"/>
  <c r="S30" i="178"/>
  <c r="T23" i="178"/>
  <c r="S23" i="178"/>
  <c r="S16" i="178"/>
  <c r="BH35" i="178"/>
  <c r="BH21" i="178"/>
  <c r="S14" i="178" l="1"/>
  <c r="W21" i="178"/>
  <c r="BH162" i="178"/>
  <c r="BH121" i="178"/>
  <c r="S117" i="178"/>
  <c r="BH117" i="178" s="1"/>
  <c r="S28" i="178"/>
  <c r="S35" i="178"/>
  <c r="S21" i="178"/>
  <c r="BH146" i="178" l="1"/>
  <c r="BH157" i="178" s="1"/>
  <c r="H85" i="161"/>
  <c r="BH158" i="178"/>
  <c r="BH141" i="178"/>
  <c r="BH127" i="178"/>
  <c r="S54" i="178"/>
  <c r="S56" i="178"/>
  <c r="S51" i="178"/>
  <c r="S44" i="178"/>
  <c r="BH37" i="178"/>
  <c r="S55" i="178"/>
  <c r="S52" i="178"/>
  <c r="BH45" i="178"/>
  <c r="H86" i="161" l="1"/>
  <c r="BH55" i="178"/>
  <c r="BH54" i="178"/>
  <c r="BH44" i="178"/>
  <c r="BH56" i="178"/>
  <c r="BH52" i="178"/>
  <c r="W23" i="178" l="1"/>
  <c r="X23" i="178"/>
  <c r="W16" i="178"/>
  <c r="BI38" i="178" l="1"/>
  <c r="BI16" i="178"/>
  <c r="BI45" i="178" l="1"/>
  <c r="BH181" i="178" l="1"/>
  <c r="P181" i="178" l="1"/>
  <c r="P179" i="178" s="1"/>
  <c r="BH182" i="178"/>
  <c r="T181" i="178" l="1"/>
  <c r="P180" i="178"/>
  <c r="Q181" i="178"/>
  <c r="U181" i="178" s="1"/>
  <c r="U179" i="178" s="1"/>
  <c r="Y180" i="178" s="1"/>
  <c r="X181" i="178" l="1"/>
  <c r="AB181" i="178" s="1"/>
  <c r="T179" i="178"/>
  <c r="Q182" i="178"/>
  <c r="Q179" i="178"/>
  <c r="R181" i="178"/>
  <c r="R179" i="178" s="1"/>
  <c r="Y181" i="178"/>
  <c r="X184" i="178" l="1"/>
  <c r="X10" i="178" s="1"/>
  <c r="S179" i="178"/>
  <c r="X180" i="178"/>
  <c r="T180" i="178"/>
  <c r="R182" i="178"/>
  <c r="V181" i="178"/>
  <c r="R180" i="178"/>
  <c r="U180" i="178"/>
  <c r="Q180" i="178"/>
  <c r="AF181" i="178"/>
  <c r="AB184" i="178"/>
  <c r="AB10" i="178" s="1"/>
  <c r="AB41" i="178" s="1"/>
  <c r="Y184" i="178"/>
  <c r="AC181" i="178"/>
  <c r="T26" i="178"/>
  <c r="T33" i="178"/>
  <c r="T41" i="178"/>
  <c r="T43" i="178" s="1"/>
  <c r="T19" i="178"/>
  <c r="T12" i="178"/>
  <c r="X41" i="178" l="1"/>
  <c r="X43" i="178" s="1"/>
  <c r="X12" i="178"/>
  <c r="X19" i="178"/>
  <c r="Z181" i="178"/>
  <c r="Z184" i="178" s="1"/>
  <c r="Z10" i="178" s="1"/>
  <c r="V179" i="178"/>
  <c r="U19" i="178"/>
  <c r="U41" i="178"/>
  <c r="U43" i="178" s="1"/>
  <c r="U26" i="178"/>
  <c r="U12" i="178"/>
  <c r="U33" i="178"/>
  <c r="AF184" i="178"/>
  <c r="AF10" i="178" s="1"/>
  <c r="AJ181" i="178"/>
  <c r="V26" i="178"/>
  <c r="T50" i="178"/>
  <c r="Y10" i="178"/>
  <c r="T28" i="178"/>
  <c r="T14" i="178"/>
  <c r="T35" i="178"/>
  <c r="T21" i="178"/>
  <c r="AB19" i="178"/>
  <c r="V41" i="178"/>
  <c r="V43" i="178" s="1"/>
  <c r="V12" i="178"/>
  <c r="AC184" i="178"/>
  <c r="AG181" i="178"/>
  <c r="X21" i="178" l="1"/>
  <c r="U14" i="178"/>
  <c r="Y12" i="178"/>
  <c r="Y7" i="178" s="1"/>
  <c r="X50" i="178"/>
  <c r="AD181" i="178"/>
  <c r="AD184" i="178" s="1"/>
  <c r="AD10" i="178" s="1"/>
  <c r="Z180" i="178"/>
  <c r="V180" i="178"/>
  <c r="U28" i="178"/>
  <c r="U35" i="178"/>
  <c r="U50" i="178"/>
  <c r="U21" i="178"/>
  <c r="AJ184" i="178"/>
  <c r="AJ10" i="178" s="1"/>
  <c r="AN181" i="178"/>
  <c r="AG184" i="178"/>
  <c r="AK181" i="178"/>
  <c r="V33" i="178"/>
  <c r="V19" i="178"/>
  <c r="V50" i="178"/>
  <c r="U55" i="178"/>
  <c r="U44" i="178"/>
  <c r="U52" i="178"/>
  <c r="U54" i="178"/>
  <c r="U51" i="178"/>
  <c r="U53" i="178"/>
  <c r="U56" i="178"/>
  <c r="W28" i="178"/>
  <c r="Z12" i="178"/>
  <c r="Z7" i="178" s="1"/>
  <c r="V21" i="178"/>
  <c r="V35" i="178"/>
  <c r="AF19" i="178"/>
  <c r="AF41" i="178"/>
  <c r="Z41" i="178"/>
  <c r="Z19" i="178"/>
  <c r="U57" i="178"/>
  <c r="X28" i="178"/>
  <c r="AB12" i="178"/>
  <c r="AB7" i="178" s="1"/>
  <c r="AB158" i="178" s="1"/>
  <c r="AB162" i="178" s="1"/>
  <c r="AB121" i="178" s="1"/>
  <c r="V14" i="178"/>
  <c r="AC10" i="178"/>
  <c r="V28" i="178"/>
  <c r="V55" i="178"/>
  <c r="Y26" i="178"/>
  <c r="Z26" i="178"/>
  <c r="Y19" i="178"/>
  <c r="Y41" i="178"/>
  <c r="AB131" i="178" l="1"/>
  <c r="AF121" i="178"/>
  <c r="AB117" i="178"/>
  <c r="AB71" i="178" s="1"/>
  <c r="AB80" i="178" s="1"/>
  <c r="AA7" i="178"/>
  <c r="AA158" i="178" s="1"/>
  <c r="AA162" i="178" s="1"/>
  <c r="AA121" i="178" s="1"/>
  <c r="AA131" i="178" s="1"/>
  <c r="AB167" i="178"/>
  <c r="AB16" i="178"/>
  <c r="AB38" i="178"/>
  <c r="AB43" i="178" s="1"/>
  <c r="AB50" i="178" s="1"/>
  <c r="Y28" i="178"/>
  <c r="Z158" i="178"/>
  <c r="Z162" i="178" s="1"/>
  <c r="Z121" i="178" s="1"/>
  <c r="Z167" i="178" s="1"/>
  <c r="Z16" i="178"/>
  <c r="Z38" i="178"/>
  <c r="Z43" i="178" s="1"/>
  <c r="Z50" i="178" s="1"/>
  <c r="Y158" i="178"/>
  <c r="Z23" i="178"/>
  <c r="Y23" i="178"/>
  <c r="Y16" i="178"/>
  <c r="Y38" i="178"/>
  <c r="Y43" i="178" s="1"/>
  <c r="Y50" i="178" s="1"/>
  <c r="AG10" i="178"/>
  <c r="AG41" i="178" s="1"/>
  <c r="AH181" i="178"/>
  <c r="AL181" i="178" s="1"/>
  <c r="AJ41" i="178"/>
  <c r="AJ19" i="178"/>
  <c r="AC12" i="178"/>
  <c r="AC28" i="178" s="1"/>
  <c r="Y15" i="178"/>
  <c r="Z28" i="178"/>
  <c r="AN184" i="178"/>
  <c r="AN10" i="178" s="1"/>
  <c r="AR181" i="178"/>
  <c r="AR184" i="178" s="1"/>
  <c r="AR10" i="178" s="1"/>
  <c r="AK184" i="178"/>
  <c r="AK10" i="178" s="1"/>
  <c r="AK26" i="178" s="1"/>
  <c r="AO181" i="178"/>
  <c r="AD41" i="178"/>
  <c r="AD19" i="178"/>
  <c r="BI21" i="178"/>
  <c r="V56" i="178"/>
  <c r="V53" i="178"/>
  <c r="V51" i="178"/>
  <c r="V54" i="178"/>
  <c r="V52" i="178"/>
  <c r="V44" i="178"/>
  <c r="X33" i="178"/>
  <c r="X30" i="178"/>
  <c r="X29" i="178"/>
  <c r="X31" i="178"/>
  <c r="X32" i="178"/>
  <c r="X15" i="178"/>
  <c r="X34" i="178"/>
  <c r="X35" i="178"/>
  <c r="X14" i="178"/>
  <c r="AD12" i="178"/>
  <c r="T51" i="178"/>
  <c r="T57" i="178"/>
  <c r="T54" i="178"/>
  <c r="T52" i="178"/>
  <c r="T56" i="178"/>
  <c r="T44" i="178"/>
  <c r="T55" i="178"/>
  <c r="T53" i="178"/>
  <c r="AC26" i="178"/>
  <c r="AC41" i="178"/>
  <c r="AC19" i="178"/>
  <c r="AD26" i="178"/>
  <c r="AF12" i="178"/>
  <c r="AJ12" i="178" s="1"/>
  <c r="V57" i="178"/>
  <c r="AC7" i="178" l="1"/>
  <c r="AC158" i="178" s="1"/>
  <c r="AC162" i="178" s="1"/>
  <c r="AC121" i="178" s="1"/>
  <c r="AJ121" i="178"/>
  <c r="AF162" i="178"/>
  <c r="AF158" i="178" s="1"/>
  <c r="AF7" i="178" s="1"/>
  <c r="AF6" i="178" s="1"/>
  <c r="AF117" i="178"/>
  <c r="AF71" i="178" s="1"/>
  <c r="AG19" i="178"/>
  <c r="AH184" i="178"/>
  <c r="AH10" i="178" s="1"/>
  <c r="Y162" i="178"/>
  <c r="Y121" i="178" s="1"/>
  <c r="AD121" i="178"/>
  <c r="Z117" i="178"/>
  <c r="Z71" i="178" s="1"/>
  <c r="Z80" i="178" s="1"/>
  <c r="AG26" i="178"/>
  <c r="AN12" i="178"/>
  <c r="AN41" i="178"/>
  <c r="Y29" i="178"/>
  <c r="Y33" i="178"/>
  <c r="Y22" i="178"/>
  <c r="AN19" i="178"/>
  <c r="AG12" i="178"/>
  <c r="AK12" i="178" s="1"/>
  <c r="AK28" i="178" s="1"/>
  <c r="Y14" i="178"/>
  <c r="Y30" i="178"/>
  <c r="Y32" i="178"/>
  <c r="Y31" i="178"/>
  <c r="Y35" i="178"/>
  <c r="Y34" i="178"/>
  <c r="AK41" i="178"/>
  <c r="AO184" i="178"/>
  <c r="AO10" i="178" s="1"/>
  <c r="AO26" i="178" s="1"/>
  <c r="AS181" i="178"/>
  <c r="AS184" i="178" s="1"/>
  <c r="AS10" i="178" s="1"/>
  <c r="AS26" i="178" s="1"/>
  <c r="AR41" i="178"/>
  <c r="AR19" i="178"/>
  <c r="AK19" i="178"/>
  <c r="AL184" i="178"/>
  <c r="AL10" i="178" s="1"/>
  <c r="AL26" i="178" s="1"/>
  <c r="AP181" i="178"/>
  <c r="Y52" i="178"/>
  <c r="X56" i="178"/>
  <c r="AD28" i="178"/>
  <c r="Z32" i="178"/>
  <c r="Z30" i="178"/>
  <c r="Z15" i="178"/>
  <c r="Z29" i="178"/>
  <c r="Z31" i="178"/>
  <c r="Z34" i="178"/>
  <c r="Z33" i="178"/>
  <c r="BI19" i="178"/>
  <c r="Z35" i="178"/>
  <c r="AB35" i="178"/>
  <c r="AB31" i="178"/>
  <c r="AB34" i="178"/>
  <c r="AB30" i="178"/>
  <c r="AB29" i="178"/>
  <c r="AB14" i="178"/>
  <c r="AB32" i="178"/>
  <c r="AB33" i="178"/>
  <c r="AB15" i="178"/>
  <c r="Z14" i="178"/>
  <c r="Z22" i="178"/>
  <c r="AH12" i="178"/>
  <c r="AA67" i="167"/>
  <c r="AF80" i="178" l="1"/>
  <c r="AH41" i="178"/>
  <c r="AH19" i="178"/>
  <c r="AC131" i="178"/>
  <c r="AF167" i="178"/>
  <c r="AF38" i="178"/>
  <c r="AF16" i="178"/>
  <c r="AJ162" i="178"/>
  <c r="AJ158" i="178" s="1"/>
  <c r="AJ7" i="178" s="1"/>
  <c r="AJ167" i="178" s="1"/>
  <c r="AJ117" i="178"/>
  <c r="AJ71" i="178" s="1"/>
  <c r="Y167" i="178"/>
  <c r="Y131" i="178"/>
  <c r="AG121" i="178"/>
  <c r="AI121" i="178" s="1"/>
  <c r="Y117" i="178"/>
  <c r="Y71" i="178" s="1"/>
  <c r="Y80" i="178" s="1"/>
  <c r="AH121" i="178"/>
  <c r="AD162" i="178"/>
  <c r="AD158" i="178" s="1"/>
  <c r="AD7" i="178" s="1"/>
  <c r="AD117" i="178"/>
  <c r="AD71" i="178" s="1"/>
  <c r="AH26" i="178"/>
  <c r="AC53" i="167"/>
  <c r="AR12" i="178"/>
  <c r="AO12" i="178"/>
  <c r="AS12" i="178" s="1"/>
  <c r="AG28" i="178"/>
  <c r="AB67" i="167"/>
  <c r="AB77" i="167"/>
  <c r="AO41" i="178"/>
  <c r="AO19" i="178"/>
  <c r="AL41" i="178"/>
  <c r="AL19" i="178"/>
  <c r="AS19" i="178"/>
  <c r="AS41" i="178"/>
  <c r="AP184" i="178"/>
  <c r="AP10" i="178" s="1"/>
  <c r="AP26" i="178" s="1"/>
  <c r="AT181" i="178"/>
  <c r="AT184" i="178" s="1"/>
  <c r="AT10" i="178" s="1"/>
  <c r="AT26" i="178" s="1"/>
  <c r="AH28" i="178"/>
  <c r="AL12" i="178"/>
  <c r="AP12" i="178" s="1"/>
  <c r="AT12" i="178" s="1"/>
  <c r="Y57" i="178"/>
  <c r="Y54" i="178"/>
  <c r="Y53" i="178"/>
  <c r="Y56" i="178"/>
  <c r="Y55" i="178"/>
  <c r="Y51" i="178"/>
  <c r="X55" i="178"/>
  <c r="X57" i="178"/>
  <c r="Y44" i="178"/>
  <c r="X44" i="178"/>
  <c r="X52" i="178"/>
  <c r="X53" i="178"/>
  <c r="X54" i="178"/>
  <c r="X51" i="178"/>
  <c r="AC67" i="167"/>
  <c r="AC77" i="167"/>
  <c r="AF34" i="178"/>
  <c r="AF35" i="178"/>
  <c r="AI4" i="167"/>
  <c r="AI10" i="167" s="1"/>
  <c r="AF32" i="178"/>
  <c r="AF31" i="178"/>
  <c r="AF33" i="178"/>
  <c r="AF29" i="178"/>
  <c r="AF14" i="178"/>
  <c r="AF30" i="178"/>
  <c r="AF15" i="178"/>
  <c r="AE67" i="167"/>
  <c r="AJ16" i="178" l="1"/>
  <c r="AJ38" i="178"/>
  <c r="AJ6" i="178"/>
  <c r="AC117" i="178"/>
  <c r="AC71" i="178" s="1"/>
  <c r="AD23" i="178"/>
  <c r="AD167" i="178"/>
  <c r="AD16" i="178"/>
  <c r="AD38" i="178"/>
  <c r="AD6" i="178"/>
  <c r="AD80" i="178" s="1"/>
  <c r="AL121" i="178"/>
  <c r="AH162" i="178"/>
  <c r="AH158" i="178" s="1"/>
  <c r="AH7" i="178" s="1"/>
  <c r="AH117" i="178"/>
  <c r="AH71" i="178" s="1"/>
  <c r="AG117" i="178"/>
  <c r="AG71" i="178" s="1"/>
  <c r="AK121" i="178"/>
  <c r="AG162" i="178"/>
  <c r="AG158" i="178" s="1"/>
  <c r="AG7" i="178" s="1"/>
  <c r="AI52" i="167"/>
  <c r="AI53" i="167"/>
  <c r="AS28" i="178"/>
  <c r="AT28" i="178"/>
  <c r="AO28" i="178"/>
  <c r="AP28" i="178"/>
  <c r="AP41" i="178"/>
  <c r="AP19" i="178"/>
  <c r="AT19" i="178"/>
  <c r="AT41" i="178"/>
  <c r="AL28" i="178"/>
  <c r="AB78" i="167"/>
  <c r="AB68" i="167"/>
  <c r="AA43" i="167"/>
  <c r="AA68" i="167"/>
  <c r="Z57" i="178"/>
  <c r="AE11" i="167"/>
  <c r="AI7" i="167"/>
  <c r="AI67" i="167"/>
  <c r="AM121" i="178" l="1"/>
  <c r="AM131" i="178" s="1"/>
  <c r="AM4" i="167"/>
  <c r="AJ14" i="178"/>
  <c r="AJ32" i="178"/>
  <c r="AJ80" i="178"/>
  <c r="AJ34" i="178"/>
  <c r="AJ35" i="178"/>
  <c r="AJ31" i="178"/>
  <c r="AJ30" i="178"/>
  <c r="AJ29" i="178"/>
  <c r="AJ15" i="178"/>
  <c r="AJ33" i="178"/>
  <c r="AO131" i="178"/>
  <c r="AP131" i="178" s="1"/>
  <c r="AS131" i="178" s="1"/>
  <c r="AT131" i="178" s="1"/>
  <c r="AN121" i="178"/>
  <c r="AC167" i="178"/>
  <c r="AC23" i="178"/>
  <c r="AC16" i="178"/>
  <c r="AC38" i="178"/>
  <c r="AC43" i="178" s="1"/>
  <c r="AC50" i="178" s="1"/>
  <c r="AL162" i="178"/>
  <c r="AL158" i="178" s="1"/>
  <c r="AL7" i="178" s="1"/>
  <c r="AL117" i="178"/>
  <c r="AL71" i="178" s="1"/>
  <c r="AD14" i="178"/>
  <c r="AD32" i="178"/>
  <c r="AD29" i="178"/>
  <c r="AD33" i="178"/>
  <c r="AG4" i="167"/>
  <c r="AD15" i="178"/>
  <c r="AD35" i="178"/>
  <c r="AD31" i="178"/>
  <c r="AD34" i="178"/>
  <c r="AD30" i="178"/>
  <c r="AH167" i="178"/>
  <c r="AH38" i="178"/>
  <c r="AH16" i="178"/>
  <c r="AH6" i="178"/>
  <c r="AH80" i="178" s="1"/>
  <c r="AG16" i="178"/>
  <c r="AG167" i="178"/>
  <c r="AH23" i="178"/>
  <c r="AG38" i="178"/>
  <c r="AG23" i="178"/>
  <c r="AG6" i="178"/>
  <c r="AG80" i="178" s="1"/>
  <c r="AK162" i="178"/>
  <c r="AK158" i="178" s="1"/>
  <c r="AK7" i="178" s="1"/>
  <c r="AK117" i="178"/>
  <c r="AK71" i="178" s="1"/>
  <c r="Z55" i="178"/>
  <c r="Z51" i="178"/>
  <c r="Z56" i="178"/>
  <c r="Z53" i="178"/>
  <c r="Z52" i="178"/>
  <c r="Z44" i="178"/>
  <c r="Z54" i="178"/>
  <c r="AA69" i="167"/>
  <c r="AA44" i="167"/>
  <c r="AI11" i="167"/>
  <c r="AE50" i="167"/>
  <c r="AC50" i="167"/>
  <c r="AO121" i="178" l="1"/>
  <c r="AS121" i="178" s="1"/>
  <c r="AC22" i="178"/>
  <c r="AC80" i="178"/>
  <c r="AM7" i="167"/>
  <c r="AM53" i="167"/>
  <c r="AM10" i="167"/>
  <c r="AM52" i="167"/>
  <c r="AM67" i="167"/>
  <c r="AP121" i="178"/>
  <c r="AQ121" i="178" s="1"/>
  <c r="AQ131" i="178" s="1"/>
  <c r="AR121" i="178"/>
  <c r="AN162" i="178"/>
  <c r="AN158" i="178" s="1"/>
  <c r="AN7" i="178" s="1"/>
  <c r="AN167" i="178" s="1"/>
  <c r="AN117" i="178"/>
  <c r="AN71" i="178" s="1"/>
  <c r="AC15" i="178"/>
  <c r="AC14" i="178"/>
  <c r="AC30" i="178"/>
  <c r="AC35" i="178"/>
  <c r="AC32" i="178"/>
  <c r="AC34" i="178"/>
  <c r="AC29" i="178"/>
  <c r="AD22" i="178"/>
  <c r="AC31" i="178"/>
  <c r="AC33" i="178"/>
  <c r="AG10" i="167"/>
  <c r="AG53" i="167"/>
  <c r="AG7" i="167"/>
  <c r="AG67" i="167"/>
  <c r="AG52" i="167"/>
  <c r="AL167" i="178"/>
  <c r="AL16" i="178"/>
  <c r="AL38" i="178"/>
  <c r="AL6" i="178"/>
  <c r="AL80" i="178" s="1"/>
  <c r="AK4" i="167"/>
  <c r="AH33" i="178"/>
  <c r="AH35" i="178"/>
  <c r="AH30" i="178"/>
  <c r="AH14" i="178"/>
  <c r="AH34" i="178"/>
  <c r="AH31" i="178"/>
  <c r="AH15" i="178"/>
  <c r="AH29" i="178"/>
  <c r="AH32" i="178"/>
  <c r="AG31" i="178"/>
  <c r="AG32" i="178"/>
  <c r="AG35" i="178"/>
  <c r="AG22" i="178"/>
  <c r="AJ4" i="167"/>
  <c r="AG33" i="178"/>
  <c r="AG34" i="178"/>
  <c r="AG14" i="178"/>
  <c r="AG15" i="178"/>
  <c r="AG30" i="178"/>
  <c r="AH22" i="178"/>
  <c r="AG29" i="178"/>
  <c r="AO162" i="178"/>
  <c r="AO158" i="178" s="1"/>
  <c r="AO7" i="178" s="1"/>
  <c r="AO117" i="178"/>
  <c r="AO71" i="178" s="1"/>
  <c r="AK23" i="178"/>
  <c r="AL23" i="178"/>
  <c r="AK38" i="178"/>
  <c r="AK167" i="178"/>
  <c r="AK16" i="178"/>
  <c r="AK6" i="178"/>
  <c r="AB79" i="167"/>
  <c r="AB69" i="167"/>
  <c r="AC43" i="167"/>
  <c r="AC68" i="167"/>
  <c r="AC78" i="167"/>
  <c r="AD50" i="178"/>
  <c r="AI50" i="167"/>
  <c r="AP117" i="178" l="1"/>
  <c r="AP71" i="178" s="1"/>
  <c r="AP162" i="178"/>
  <c r="AP158" i="178" s="1"/>
  <c r="AP7" i="178" s="1"/>
  <c r="AP23" i="178" s="1"/>
  <c r="AT121" i="178"/>
  <c r="AU121" i="178" s="1"/>
  <c r="AU131" i="178" s="1"/>
  <c r="AM11" i="167"/>
  <c r="AM50" i="167" s="1"/>
  <c r="AK30" i="178"/>
  <c r="AK80" i="178"/>
  <c r="AN16" i="178"/>
  <c r="AN38" i="178"/>
  <c r="AN6" i="178"/>
  <c r="AR162" i="178"/>
  <c r="AR158" i="178" s="1"/>
  <c r="AR7" i="178" s="1"/>
  <c r="AR167" i="178" s="1"/>
  <c r="AR117" i="178"/>
  <c r="AR71" i="178" s="1"/>
  <c r="AG77" i="167"/>
  <c r="AF53" i="167"/>
  <c r="AF67" i="167"/>
  <c r="AF52" i="167"/>
  <c r="AF77" i="167"/>
  <c r="AK10" i="167"/>
  <c r="AK52" i="167"/>
  <c r="AK53" i="167"/>
  <c r="AK7" i="167"/>
  <c r="AK67" i="167"/>
  <c r="AO4" i="167"/>
  <c r="AL15" i="178"/>
  <c r="AL33" i="178"/>
  <c r="AL35" i="178"/>
  <c r="AL31" i="178"/>
  <c r="AL30" i="178"/>
  <c r="AL29" i="178"/>
  <c r="AL14" i="178"/>
  <c r="AL32" i="178"/>
  <c r="AL34" i="178"/>
  <c r="AG11" i="167"/>
  <c r="AG50" i="167" s="1"/>
  <c r="AS117" i="178"/>
  <c r="AS71" i="178" s="1"/>
  <c r="AS162" i="178"/>
  <c r="AS158" i="178" s="1"/>
  <c r="AS7" i="178" s="1"/>
  <c r="AN4" i="167"/>
  <c r="AK34" i="178"/>
  <c r="AK15" i="178"/>
  <c r="AK35" i="178"/>
  <c r="AK22" i="178"/>
  <c r="AK29" i="178"/>
  <c r="AK31" i="178"/>
  <c r="AK32" i="178"/>
  <c r="AK33" i="178"/>
  <c r="AK14" i="178"/>
  <c r="AL22" i="178"/>
  <c r="AO38" i="178"/>
  <c r="AO23" i="178"/>
  <c r="AO167" i="178"/>
  <c r="AO16" i="178"/>
  <c r="AO6" i="178"/>
  <c r="AJ10" i="167"/>
  <c r="AJ52" i="167"/>
  <c r="AJ77" i="167"/>
  <c r="AJ53" i="167"/>
  <c r="AJ7" i="167"/>
  <c r="AJ67" i="167"/>
  <c r="AK77" i="167"/>
  <c r="AC79" i="167"/>
  <c r="AB57" i="178"/>
  <c r="AB55" i="178"/>
  <c r="AB51" i="178"/>
  <c r="AB52" i="178"/>
  <c r="AB54" i="178"/>
  <c r="AB53" i="178"/>
  <c r="AB56" i="178"/>
  <c r="AB44" i="178"/>
  <c r="AC44" i="167"/>
  <c r="AC69" i="167"/>
  <c r="AE50" i="178"/>
  <c r="AD43" i="178"/>
  <c r="AT117" i="178" l="1"/>
  <c r="AT71" i="178" s="1"/>
  <c r="AT162" i="178"/>
  <c r="AT158" i="178" s="1"/>
  <c r="AT7" i="178" s="1"/>
  <c r="AT23" i="178" s="1"/>
  <c r="AP6" i="178"/>
  <c r="AP80" i="178" s="1"/>
  <c r="AP167" i="178"/>
  <c r="AP38" i="178"/>
  <c r="AP16" i="178"/>
  <c r="AN31" i="178"/>
  <c r="AN15" i="178"/>
  <c r="AN29" i="178"/>
  <c r="AN34" i="178"/>
  <c r="AQ4" i="167"/>
  <c r="AN80" i="178"/>
  <c r="AN32" i="178"/>
  <c r="AN33" i="178"/>
  <c r="AN35" i="178"/>
  <c r="AR16" i="178"/>
  <c r="AR38" i="178"/>
  <c r="AR6" i="178"/>
  <c r="AN14" i="178"/>
  <c r="AN30" i="178"/>
  <c r="AP30" i="178"/>
  <c r="AO30" i="178"/>
  <c r="AO80" i="178"/>
  <c r="AF50" i="167"/>
  <c r="AO53" i="167"/>
  <c r="AO7" i="167"/>
  <c r="AO67" i="167"/>
  <c r="AO10" i="167"/>
  <c r="AO52" i="167"/>
  <c r="AK11" i="167"/>
  <c r="AK50" i="167" s="1"/>
  <c r="AJ11" i="167"/>
  <c r="AJ50" i="167" s="1"/>
  <c r="AR4" i="167"/>
  <c r="AO14" i="178"/>
  <c r="AO29" i="178"/>
  <c r="AO32" i="178"/>
  <c r="AO33" i="178"/>
  <c r="AO35" i="178"/>
  <c r="AO34" i="178"/>
  <c r="AO15" i="178"/>
  <c r="AO22" i="178"/>
  <c r="AO31" i="178"/>
  <c r="AN10" i="167"/>
  <c r="AN53" i="167"/>
  <c r="AN52" i="167"/>
  <c r="AO77" i="167"/>
  <c r="AN67" i="167"/>
  <c r="AN7" i="167"/>
  <c r="AN77" i="167"/>
  <c r="AS38" i="178"/>
  <c r="AS23" i="178"/>
  <c r="AS167" i="178"/>
  <c r="AS16" i="178"/>
  <c r="AS6" i="178"/>
  <c r="AC54" i="178"/>
  <c r="AC52" i="178"/>
  <c r="AC51" i="178"/>
  <c r="AC55" i="178"/>
  <c r="AC56" i="178"/>
  <c r="AC53" i="178"/>
  <c r="AC44" i="178"/>
  <c r="AE68" i="167"/>
  <c r="AE43" i="167"/>
  <c r="AE12" i="167"/>
  <c r="AE13" i="167" s="1"/>
  <c r="AD37" i="178"/>
  <c r="AD57" i="178" s="1"/>
  <c r="AC57" i="178"/>
  <c r="AP14" i="178" l="1"/>
  <c r="AP34" i="178"/>
  <c r="AT6" i="178"/>
  <c r="AT80" i="178" s="1"/>
  <c r="AT38" i="178"/>
  <c r="AT16" i="178"/>
  <c r="AP33" i="178"/>
  <c r="AP15" i="178"/>
  <c r="AT167" i="178"/>
  <c r="AP31" i="178"/>
  <c r="AS4" i="167"/>
  <c r="AS10" i="167" s="1"/>
  <c r="AP32" i="178"/>
  <c r="AP29" i="178"/>
  <c r="AP22" i="178"/>
  <c r="AP35" i="178"/>
  <c r="AR32" i="178"/>
  <c r="AR15" i="178"/>
  <c r="AR34" i="178"/>
  <c r="AR80" i="178"/>
  <c r="AR35" i="178"/>
  <c r="AR31" i="178"/>
  <c r="AR33" i="178"/>
  <c r="AU4" i="167"/>
  <c r="AR29" i="178"/>
  <c r="AQ10" i="167"/>
  <c r="AQ52" i="167"/>
  <c r="AQ67" i="167"/>
  <c r="AQ53" i="167"/>
  <c r="AQ7" i="167"/>
  <c r="AR14" i="178"/>
  <c r="AR30" i="178"/>
  <c r="AS30" i="178"/>
  <c r="AS80" i="178"/>
  <c r="AW4" i="167"/>
  <c r="AT15" i="178"/>
  <c r="AT32" i="178"/>
  <c r="AT31" i="178"/>
  <c r="AT14" i="178"/>
  <c r="AT33" i="178"/>
  <c r="AO11" i="167"/>
  <c r="AO50" i="167" s="1"/>
  <c r="AR52" i="167"/>
  <c r="AR77" i="167"/>
  <c r="AR10" i="167"/>
  <c r="AR67" i="167"/>
  <c r="AR7" i="167"/>
  <c r="AR53" i="167"/>
  <c r="AN11" i="167"/>
  <c r="AN50" i="167" s="1"/>
  <c r="AV4" i="167"/>
  <c r="AS35" i="178"/>
  <c r="AS22" i="178"/>
  <c r="AS15" i="178"/>
  <c r="AS29" i="178"/>
  <c r="AS34" i="178"/>
  <c r="AT22" i="178"/>
  <c r="AS33" i="178"/>
  <c r="AS14" i="178"/>
  <c r="AS32" i="178"/>
  <c r="AS31" i="178"/>
  <c r="AD55" i="178"/>
  <c r="AD56" i="178"/>
  <c r="AD52" i="178"/>
  <c r="AD54" i="178"/>
  <c r="AD51" i="178"/>
  <c r="AD53" i="178"/>
  <c r="AD44" i="178"/>
  <c r="AG6" i="167"/>
  <c r="AE69" i="167"/>
  <c r="AE44" i="167"/>
  <c r="AG50" i="178"/>
  <c r="AF43" i="178"/>
  <c r="AF68" i="167"/>
  <c r="AF78" i="167"/>
  <c r="AF12" i="167"/>
  <c r="AT34" i="178" l="1"/>
  <c r="AT35" i="178"/>
  <c r="AT30" i="178"/>
  <c r="AT29" i="178"/>
  <c r="AS67" i="167"/>
  <c r="AS77" i="167"/>
  <c r="AS7" i="167"/>
  <c r="AS11" i="167" s="1"/>
  <c r="AS50" i="167" s="1"/>
  <c r="AS52" i="167"/>
  <c r="AS53" i="167"/>
  <c r="AQ11" i="167"/>
  <c r="AQ50" i="167" s="1"/>
  <c r="AU67" i="167"/>
  <c r="AU7" i="167"/>
  <c r="AU10" i="167"/>
  <c r="AU52" i="167"/>
  <c r="AU53" i="167"/>
  <c r="AF13" i="167"/>
  <c r="AF21" i="167" s="1"/>
  <c r="BJ21" i="167" s="1"/>
  <c r="AW10" i="167"/>
  <c r="AW67" i="167"/>
  <c r="AW52" i="167"/>
  <c r="AW53" i="167"/>
  <c r="AW7" i="167"/>
  <c r="AV10" i="167"/>
  <c r="AV53" i="167"/>
  <c r="AV52" i="167"/>
  <c r="AV7" i="167"/>
  <c r="AV77" i="167"/>
  <c r="AW77" i="167"/>
  <c r="AV67" i="167"/>
  <c r="AR11" i="167"/>
  <c r="AR50" i="167" s="1"/>
  <c r="AG68" i="167"/>
  <c r="AG78" i="167"/>
  <c r="AG43" i="167"/>
  <c r="AG5" i="167"/>
  <c r="AG12" i="167"/>
  <c r="AH50" i="178"/>
  <c r="AG43" i="178"/>
  <c r="AF44" i="167"/>
  <c r="AF79" i="167"/>
  <c r="AF69" i="167"/>
  <c r="AF37" i="178"/>
  <c r="AU11" i="167" l="1"/>
  <c r="AU50" i="167" s="1"/>
  <c r="AW11" i="167"/>
  <c r="AW50" i="167" s="1"/>
  <c r="AV11" i="167"/>
  <c r="AV50" i="167" s="1"/>
  <c r="AF54" i="178"/>
  <c r="AI6" i="167"/>
  <c r="AF44" i="178"/>
  <c r="AF51" i="178"/>
  <c r="AF56" i="178"/>
  <c r="AF53" i="178"/>
  <c r="AF52" i="178"/>
  <c r="AF55" i="178"/>
  <c r="AG44" i="167"/>
  <c r="AG79" i="167"/>
  <c r="AG69" i="167"/>
  <c r="AF57" i="178"/>
  <c r="AG37" i="178"/>
  <c r="AI50" i="178"/>
  <c r="AH43" i="178"/>
  <c r="AG57" i="178" l="1"/>
  <c r="AJ6" i="167"/>
  <c r="AJ50" i="178"/>
  <c r="AI5" i="167"/>
  <c r="AI43" i="167"/>
  <c r="AI12" i="167"/>
  <c r="AI68" i="167"/>
  <c r="AH37" i="178"/>
  <c r="AG53" i="178"/>
  <c r="AG52" i="178"/>
  <c r="AG44" i="178"/>
  <c r="AG51" i="178"/>
  <c r="AG56" i="178"/>
  <c r="AG54" i="178"/>
  <c r="AG55" i="178"/>
  <c r="X25" i="178"/>
  <c r="W40" i="178"/>
  <c r="W25" i="178"/>
  <c r="AH57" i="178" l="1"/>
  <c r="AK6" i="167"/>
  <c r="AN25" i="178"/>
  <c r="AJ43" i="178"/>
  <c r="AK50" i="178"/>
  <c r="AH54" i="178"/>
  <c r="AH53" i="178"/>
  <c r="AH56" i="178"/>
  <c r="AH52" i="178"/>
  <c r="AH51" i="178"/>
  <c r="AH55" i="178"/>
  <c r="AH44" i="178"/>
  <c r="AJ43" i="167"/>
  <c r="AJ5" i="167"/>
  <c r="AJ78" i="167"/>
  <c r="AJ12" i="167"/>
  <c r="AJ68" i="167"/>
  <c r="AI44" i="167"/>
  <c r="AI69" i="167"/>
  <c r="W31" i="178"/>
  <c r="X22" i="178"/>
  <c r="W15" i="178"/>
  <c r="W30" i="178"/>
  <c r="W35" i="178"/>
  <c r="W22" i="178"/>
  <c r="W34" i="178"/>
  <c r="W29" i="178"/>
  <c r="AA40" i="178"/>
  <c r="AA25" i="178"/>
  <c r="AB25" i="178"/>
  <c r="BI18" i="178"/>
  <c r="W32" i="178"/>
  <c r="BI40" i="178"/>
  <c r="AJ25" i="178"/>
  <c r="AM25" i="178" l="1"/>
  <c r="AM40" i="178"/>
  <c r="BM40" i="178" s="1"/>
  <c r="AR25" i="178"/>
  <c r="AJ37" i="178"/>
  <c r="AM6" i="167" s="1"/>
  <c r="AK43" i="178"/>
  <c r="AL50" i="178"/>
  <c r="BJ18" i="178"/>
  <c r="BI32" i="178"/>
  <c r="AJ44" i="167"/>
  <c r="AJ79" i="167"/>
  <c r="AJ69" i="167"/>
  <c r="AK5" i="167"/>
  <c r="AK78" i="167"/>
  <c r="AK43" i="167"/>
  <c r="AK12" i="167"/>
  <c r="AK68" i="167"/>
  <c r="BI33" i="178"/>
  <c r="BI15" i="178"/>
  <c r="I88" i="161" s="1"/>
  <c r="BI29" i="178"/>
  <c r="BI31" i="178"/>
  <c r="BI30" i="178"/>
  <c r="BI34" i="178"/>
  <c r="BI35" i="178"/>
  <c r="BJ40" i="178"/>
  <c r="BL9" i="178"/>
  <c r="BM18" i="178" s="1"/>
  <c r="AI25" i="178"/>
  <c r="AI40" i="178"/>
  <c r="BI47" i="178"/>
  <c r="Z67" i="167"/>
  <c r="X87" i="167"/>
  <c r="Z77" i="167"/>
  <c r="W87" i="167"/>
  <c r="AA77" i="167"/>
  <c r="Z87" i="167"/>
  <c r="BG87" i="167" s="1"/>
  <c r="Y87" i="167"/>
  <c r="AE40" i="178"/>
  <c r="BK9" i="178"/>
  <c r="AE25" i="178"/>
  <c r="AF25" i="178"/>
  <c r="BM47" i="178" l="1"/>
  <c r="AQ40" i="178"/>
  <c r="BN40" i="178" s="1"/>
  <c r="AQ25" i="178"/>
  <c r="AU40" i="178"/>
  <c r="BO40" i="178" s="1"/>
  <c r="AU25" i="178"/>
  <c r="AM50" i="178"/>
  <c r="AL43" i="178"/>
  <c r="AK37" i="178"/>
  <c r="AN6" i="167" s="1"/>
  <c r="AJ51" i="178"/>
  <c r="AJ44" i="178"/>
  <c r="AJ53" i="178"/>
  <c r="AJ52" i="178"/>
  <c r="AJ56" i="178"/>
  <c r="AJ54" i="178"/>
  <c r="AJ55" i="178"/>
  <c r="AJ57" i="178"/>
  <c r="BK18" i="178"/>
  <c r="AK44" i="167"/>
  <c r="AK79" i="167"/>
  <c r="AK69" i="167"/>
  <c r="BK40" i="178"/>
  <c r="BJ47" i="178"/>
  <c r="I87" i="161"/>
  <c r="J14" i="161"/>
  <c r="N47" i="168"/>
  <c r="J39" i="161"/>
  <c r="J40" i="161" s="1"/>
  <c r="BI14" i="178"/>
  <c r="Z68" i="167"/>
  <c r="Z78" i="167"/>
  <c r="AA78" i="167"/>
  <c r="BL40" i="178"/>
  <c r="BL18" i="178"/>
  <c r="AM43" i="167" l="1"/>
  <c r="AM12" i="167"/>
  <c r="AM5" i="167"/>
  <c r="AM68" i="167"/>
  <c r="BO47" i="178"/>
  <c r="AK57" i="178"/>
  <c r="BN47" i="178"/>
  <c r="AN50" i="178"/>
  <c r="AK44" i="178"/>
  <c r="AK53" i="178"/>
  <c r="AK51" i="178"/>
  <c r="AK52" i="178"/>
  <c r="AK56" i="178"/>
  <c r="AK54" i="178"/>
  <c r="AK55" i="178"/>
  <c r="AL37" i="178"/>
  <c r="AO6" i="167" s="1"/>
  <c r="BG43" i="167"/>
  <c r="BG68" i="167"/>
  <c r="I84" i="161"/>
  <c r="K31" i="161"/>
  <c r="BL47" i="178"/>
  <c r="J19" i="161"/>
  <c r="J20" i="161"/>
  <c r="BK47" i="178"/>
  <c r="I90" i="161"/>
  <c r="Z69" i="167"/>
  <c r="Z79" i="167"/>
  <c r="AA79" i="167"/>
  <c r="AN43" i="167" l="1"/>
  <c r="AN12" i="167"/>
  <c r="AN78" i="167"/>
  <c r="AN5" i="167"/>
  <c r="AN68" i="167"/>
  <c r="AM44" i="167"/>
  <c r="AM69" i="167"/>
  <c r="AN43" i="178"/>
  <c r="AO50" i="178"/>
  <c r="AL44" i="178"/>
  <c r="AL53" i="178"/>
  <c r="AL51" i="178"/>
  <c r="AL52" i="178"/>
  <c r="AL56" i="178"/>
  <c r="AL54" i="178"/>
  <c r="AL55" i="178"/>
  <c r="AL57" i="178"/>
  <c r="BG44" i="167"/>
  <c r="BG69" i="167"/>
  <c r="J43" i="161"/>
  <c r="J44" i="161" s="1"/>
  <c r="J41" i="161"/>
  <c r="I89" i="161"/>
  <c r="J50" i="161"/>
  <c r="J51" i="161" s="1"/>
  <c r="AN44" i="167" l="1"/>
  <c r="AN79" i="167"/>
  <c r="AN69" i="167"/>
  <c r="AO78" i="167"/>
  <c r="AO43" i="167"/>
  <c r="AO12" i="167"/>
  <c r="AO5" i="167"/>
  <c r="AO68" i="167"/>
  <c r="AO43" i="178"/>
  <c r="AP50" i="178"/>
  <c r="AN37" i="178"/>
  <c r="AQ6" i="167" s="1"/>
  <c r="I91" i="161"/>
  <c r="I92" i="161" s="1"/>
  <c r="J42" i="161"/>
  <c r="AQ43" i="167" l="1"/>
  <c r="AQ12" i="167"/>
  <c r="AQ5" i="167"/>
  <c r="AQ68" i="167"/>
  <c r="AO79" i="167"/>
  <c r="AO44" i="167"/>
  <c r="AO69" i="167"/>
  <c r="AN51" i="178"/>
  <c r="AN53" i="178"/>
  <c r="AN44" i="178"/>
  <c r="AN52" i="178"/>
  <c r="AN56" i="178"/>
  <c r="AN54" i="178"/>
  <c r="AN55" i="178"/>
  <c r="AN57" i="178"/>
  <c r="AQ50" i="178"/>
  <c r="AP43" i="178"/>
  <c r="AO37" i="178"/>
  <c r="AR6" i="167" s="1"/>
  <c r="I93" i="161"/>
  <c r="AQ44" i="167" l="1"/>
  <c r="AQ69" i="167"/>
  <c r="AR43" i="167"/>
  <c r="AR78" i="167"/>
  <c r="AR12" i="167"/>
  <c r="AR5" i="167"/>
  <c r="AR68" i="167"/>
  <c r="AR50" i="178"/>
  <c r="AO44" i="178"/>
  <c r="AO51" i="178"/>
  <c r="AO53" i="178"/>
  <c r="AO52" i="178"/>
  <c r="AO56" i="178"/>
  <c r="AO54" i="178"/>
  <c r="AO55" i="178"/>
  <c r="AO57" i="178"/>
  <c r="AP37" i="178"/>
  <c r="AS6" i="167" s="1"/>
  <c r="I94" i="161"/>
  <c r="AR44" i="167" l="1"/>
  <c r="AR79" i="167"/>
  <c r="AR69" i="167"/>
  <c r="AP57" i="178"/>
  <c r="AS50" i="178"/>
  <c r="AR43" i="178"/>
  <c r="AP44" i="178"/>
  <c r="AP53" i="178"/>
  <c r="AP51" i="178"/>
  <c r="AP52" i="178"/>
  <c r="AP56" i="178"/>
  <c r="AP54" i="178"/>
  <c r="AP55" i="178"/>
  <c r="AA39" i="167"/>
  <c r="AS78" i="167" l="1"/>
  <c r="AS43" i="167"/>
  <c r="AS12" i="167"/>
  <c r="AS5" i="167"/>
  <c r="AS68" i="167"/>
  <c r="AR37" i="178"/>
  <c r="AU6" i="167" s="1"/>
  <c r="AS43" i="178"/>
  <c r="AT50" i="178"/>
  <c r="AA40" i="167"/>
  <c r="AA45" i="167"/>
  <c r="AA70" i="167"/>
  <c r="AU43" i="167" l="1"/>
  <c r="AU12" i="167"/>
  <c r="AU5" i="167"/>
  <c r="AU68" i="167"/>
  <c r="AS44" i="167"/>
  <c r="AS79" i="167"/>
  <c r="AS69" i="167"/>
  <c r="AS37" i="178"/>
  <c r="AV6" i="167" s="1"/>
  <c r="AR51" i="178"/>
  <c r="AR53" i="178"/>
  <c r="AR44" i="178"/>
  <c r="AR52" i="178"/>
  <c r="AR56" i="178"/>
  <c r="AR54" i="178"/>
  <c r="AR55" i="178"/>
  <c r="AU50" i="178"/>
  <c r="AT43" i="178"/>
  <c r="AR57" i="178"/>
  <c r="AA46" i="167"/>
  <c r="AA71" i="167"/>
  <c r="AV78" i="167" l="1"/>
  <c r="AV43" i="167"/>
  <c r="AV12" i="167"/>
  <c r="AV5" i="167"/>
  <c r="AV68" i="167"/>
  <c r="AU44" i="167"/>
  <c r="AU69" i="167"/>
  <c r="AT37" i="178"/>
  <c r="AW6" i="167" s="1"/>
  <c r="AS44" i="178"/>
  <c r="AS51" i="178"/>
  <c r="AS53" i="178"/>
  <c r="AS52" i="178"/>
  <c r="AS56" i="178"/>
  <c r="AS54" i="178"/>
  <c r="AS55" i="178"/>
  <c r="AS57" i="178"/>
  <c r="AV44" i="167" l="1"/>
  <c r="AV79" i="167"/>
  <c r="AV69" i="167"/>
  <c r="AW78" i="167"/>
  <c r="AW12" i="167"/>
  <c r="AW43" i="167"/>
  <c r="AW5" i="167"/>
  <c r="AW68" i="167"/>
  <c r="AT53" i="178"/>
  <c r="AT51" i="178"/>
  <c r="AT44" i="178"/>
  <c r="AT52" i="178"/>
  <c r="AT56" i="178"/>
  <c r="AT54" i="178"/>
  <c r="AT55" i="178"/>
  <c r="AT57" i="178"/>
  <c r="AW79" i="167" l="1"/>
  <c r="AW44" i="167"/>
  <c r="AW69" i="167"/>
  <c r="S53" i="178" l="1"/>
  <c r="BH53" i="178"/>
  <c r="BH43" i="178"/>
  <c r="BH57" i="178" s="1"/>
  <c r="BH51" i="178" l="1"/>
  <c r="BH50" i="178"/>
  <c r="S43" i="178"/>
  <c r="S57" i="178" l="1"/>
  <c r="S50" i="178"/>
  <c r="BF63" i="167" l="1"/>
  <c r="BF64" i="167" s="1"/>
  <c r="Z72" i="167" l="1"/>
  <c r="Z82" i="167"/>
  <c r="I97" i="161" l="1"/>
  <c r="X88" i="167"/>
  <c r="Y88" i="167"/>
  <c r="BG88" i="167"/>
  <c r="Z83" i="167"/>
  <c r="Z73" i="167"/>
  <c r="W88" i="167"/>
  <c r="Z74" i="167" l="1"/>
  <c r="BG74" i="167"/>
  <c r="Z84" i="167"/>
  <c r="I104" i="161" l="1"/>
  <c r="J15" i="161"/>
  <c r="AA72" i="167" l="1"/>
  <c r="AA82" i="167"/>
  <c r="AB72" i="167" l="1"/>
  <c r="AB82" i="167"/>
  <c r="BH20" i="167" l="1"/>
  <c r="AH20" i="167"/>
  <c r="AI20" i="167" s="1"/>
  <c r="AA47" i="167"/>
  <c r="AA73" i="167"/>
  <c r="AA84" i="167"/>
  <c r="AA83" i="167"/>
  <c r="AJ20" i="167" l="1"/>
  <c r="AK20" i="167" s="1"/>
  <c r="AL20" i="167" s="1"/>
  <c r="AM20" i="167" s="1"/>
  <c r="BI20" i="167"/>
  <c r="AA74" i="167"/>
  <c r="AB83" i="167"/>
  <c r="AB73" i="167"/>
  <c r="BJ20" i="167" l="1"/>
  <c r="AN20" i="167"/>
  <c r="AB74" i="167"/>
  <c r="AB84" i="167"/>
  <c r="AO20" i="167" l="1"/>
  <c r="AP20" i="167" l="1"/>
  <c r="BF59" i="167"/>
  <c r="BF60" i="167" s="1"/>
  <c r="BF13" i="167"/>
  <c r="AQ20" i="167" l="1"/>
  <c r="BK20" i="167"/>
  <c r="H95" i="161"/>
  <c r="H96" i="161" s="1"/>
  <c r="H102" i="161" s="1"/>
  <c r="BF22" i="167"/>
  <c r="BF55" i="167" s="1"/>
  <c r="AR20" i="167" l="1"/>
  <c r="BF25" i="167"/>
  <c r="BF73" i="167" s="1"/>
  <c r="I45" i="161"/>
  <c r="BF72" i="167"/>
  <c r="H98" i="161"/>
  <c r="M70" i="168"/>
  <c r="M79" i="168"/>
  <c r="BF34" i="167" l="1"/>
  <c r="BF30" i="167" s="1"/>
  <c r="I46" i="161"/>
  <c r="I47" i="161" s="1"/>
  <c r="M4" i="169"/>
  <c r="BF47" i="167"/>
  <c r="M68" i="168" s="1"/>
  <c r="AS20" i="167"/>
  <c r="M71" i="168"/>
  <c r="BF33" i="167"/>
  <c r="BF31" i="167"/>
  <c r="I29" i="161"/>
  <c r="M37" i="168"/>
  <c r="I17" i="161"/>
  <c r="I25" i="161"/>
  <c r="M12" i="169" l="1"/>
  <c r="M69" i="168"/>
  <c r="AT20" i="167"/>
  <c r="BL20" i="167" s="1"/>
  <c r="M63" i="168"/>
  <c r="M36" i="169"/>
  <c r="I16" i="161"/>
  <c r="I28" i="161" s="1"/>
  <c r="AU20" i="167" l="1"/>
  <c r="AV20" i="167" l="1"/>
  <c r="AW20" i="167" l="1"/>
  <c r="AX20" i="167" l="1"/>
  <c r="BM20" i="167" l="1"/>
  <c r="N48" i="168" l="1"/>
  <c r="N49" i="168" s="1"/>
  <c r="BG39" i="167"/>
  <c r="N55" i="168"/>
  <c r="N56" i="168" s="1"/>
  <c r="BG45" i="167" l="1"/>
  <c r="BG70" i="167"/>
  <c r="N51" i="168"/>
  <c r="N58" i="168"/>
  <c r="BG40" i="167"/>
  <c r="N72" i="168"/>
  <c r="Z39" i="167"/>
  <c r="I100" i="161"/>
  <c r="Z45" i="167" l="1"/>
  <c r="BG46" i="167"/>
  <c r="BG71" i="167"/>
  <c r="Z70" i="167"/>
  <c r="AA80" i="167"/>
  <c r="Z40" i="167"/>
  <c r="Z80" i="167"/>
  <c r="AA81" i="167" l="1"/>
  <c r="Z46" i="167"/>
  <c r="Z81" i="167"/>
  <c r="Z71" i="167"/>
  <c r="BG59" i="167" l="1"/>
  <c r="BG60" i="167" s="1"/>
  <c r="BG63" i="167"/>
  <c r="BG64" i="167" s="1"/>
  <c r="BI63" i="167" l="1"/>
  <c r="BI15" i="167" s="1"/>
  <c r="BJ63" i="167" l="1"/>
  <c r="BJ15" i="167" s="1"/>
  <c r="AI15" i="167" s="1"/>
  <c r="BK64" i="167"/>
  <c r="BL64" i="167" s="1"/>
  <c r="BM64" i="167" l="1"/>
  <c r="BM63" i="167" s="1"/>
  <c r="BL63" i="167"/>
  <c r="BK63" i="167"/>
  <c r="BK15" i="167" s="1"/>
  <c r="AJ15" i="167"/>
  <c r="AM15" i="167" l="1"/>
  <c r="AN15" i="167" s="1"/>
  <c r="AO15" i="167" s="1"/>
  <c r="BL15" i="167"/>
  <c r="BM15" i="167"/>
  <c r="AG15" i="167"/>
  <c r="AH15" i="167" s="1"/>
  <c r="AK15" i="167"/>
  <c r="AL15" i="167" s="1"/>
  <c r="I95" i="161"/>
  <c r="I96" i="161" s="1"/>
  <c r="I98" i="161" s="1"/>
  <c r="AP15" i="167" l="1"/>
  <c r="AQ15" i="167"/>
  <c r="AR15" i="167" s="1"/>
  <c r="AS15" i="167" s="1"/>
  <c r="AT15" i="167" s="1"/>
  <c r="AU15" i="167"/>
  <c r="I102" i="161"/>
  <c r="AV15" i="167" l="1"/>
  <c r="BG55" i="167"/>
  <c r="J45" i="161"/>
  <c r="BG72" i="167"/>
  <c r="AW15" i="167" l="1"/>
  <c r="AX15" i="167" s="1"/>
  <c r="J46" i="161"/>
  <c r="J47" i="161" s="1"/>
  <c r="N71" i="168"/>
  <c r="BG31" i="167"/>
  <c r="BG73" i="167"/>
  <c r="N70" i="168"/>
  <c r="BG47" i="167"/>
  <c r="N68" i="168" s="1"/>
  <c r="N36" i="169"/>
  <c r="N79" i="168"/>
  <c r="N69" i="168" l="1"/>
  <c r="N63" i="168"/>
  <c r="J29" i="161"/>
  <c r="N37" i="168"/>
  <c r="BG30" i="167"/>
  <c r="J17" i="161" l="1"/>
  <c r="J25" i="161"/>
  <c r="J16" i="161"/>
  <c r="J28" i="161" s="1"/>
  <c r="J26" i="161" l="1"/>
  <c r="J53" i="161"/>
  <c r="J54" i="161" l="1"/>
  <c r="J58" i="161"/>
  <c r="S180" i="178" l="1"/>
  <c r="S181" i="178"/>
  <c r="S182" i="178" s="1"/>
  <c r="W181" i="178" l="1"/>
  <c r="W179" i="178" s="1"/>
  <c r="AA180" i="178" l="1"/>
  <c r="BI179" i="178"/>
  <c r="W180" i="178"/>
  <c r="AA181" i="178"/>
  <c r="AA184" i="178" l="1"/>
  <c r="AE181" i="178"/>
  <c r="BI184" i="178"/>
  <c r="BI181" i="178" s="1"/>
  <c r="AI181" i="178" l="1"/>
  <c r="AE184" i="178"/>
  <c r="BI182" i="178"/>
  <c r="W26" i="178"/>
  <c r="W19" i="178"/>
  <c r="W14" i="178"/>
  <c r="W41" i="178"/>
  <c r="W43" i="178" s="1"/>
  <c r="X26" i="178"/>
  <c r="W33" i="178"/>
  <c r="AA10" i="178"/>
  <c r="BJ184" i="178"/>
  <c r="BJ181" i="178" s="1"/>
  <c r="W50" i="178" l="1"/>
  <c r="BI43" i="178"/>
  <c r="BJ182" i="178"/>
  <c r="BJ10" i="178"/>
  <c r="AA19" i="178"/>
  <c r="AA41" i="178"/>
  <c r="AA26" i="178"/>
  <c r="AB26" i="178"/>
  <c r="BI41" i="178"/>
  <c r="AE10" i="178"/>
  <c r="BK184" i="178"/>
  <c r="BK181" i="178" s="1"/>
  <c r="AI184" i="178"/>
  <c r="AM181" i="178"/>
  <c r="BO184" i="178" l="1"/>
  <c r="BO181" i="178" s="1"/>
  <c r="BM184" i="178"/>
  <c r="BM181" i="178" s="1"/>
  <c r="BN184" i="178"/>
  <c r="BN181" i="178" s="1"/>
  <c r="BN182" i="178" s="1"/>
  <c r="BI50" i="178"/>
  <c r="AM184" i="178"/>
  <c r="AM10" i="178" s="1"/>
  <c r="BM10" i="178" s="1"/>
  <c r="AQ181" i="178"/>
  <c r="W52" i="178"/>
  <c r="W57" i="178"/>
  <c r="W44" i="178"/>
  <c r="W56" i="178"/>
  <c r="W54" i="178"/>
  <c r="W53" i="178"/>
  <c r="BI37" i="178"/>
  <c r="W51" i="178"/>
  <c r="BI48" i="178"/>
  <c r="AI10" i="178"/>
  <c r="BL184" i="178"/>
  <c r="BL181" i="178" s="1"/>
  <c r="BJ19" i="178"/>
  <c r="BK10" i="178"/>
  <c r="AE26" i="178"/>
  <c r="AE19" i="178"/>
  <c r="AE41" i="178"/>
  <c r="AF26" i="178"/>
  <c r="BK182" i="178"/>
  <c r="W55" i="178"/>
  <c r="BJ41" i="178"/>
  <c r="BM182" i="178" l="1"/>
  <c r="BO182" i="178"/>
  <c r="BJ48" i="178"/>
  <c r="BL182" i="178"/>
  <c r="BI56" i="178"/>
  <c r="BI53" i="178"/>
  <c r="BI54" i="178"/>
  <c r="BI57" i="178"/>
  <c r="BI52" i="178"/>
  <c r="BI44" i="178"/>
  <c r="BK41" i="178"/>
  <c r="BK19" i="178"/>
  <c r="BL10" i="178"/>
  <c r="AI19" i="178"/>
  <c r="AI41" i="178"/>
  <c r="AJ26" i="178"/>
  <c r="AI26" i="178"/>
  <c r="AU181" i="178"/>
  <c r="AU184" i="178" s="1"/>
  <c r="AU10" i="178" s="1"/>
  <c r="BO10" i="178" s="1"/>
  <c r="AQ184" i="178"/>
  <c r="AQ10" i="178" s="1"/>
  <c r="BN10" i="178" s="1"/>
  <c r="BI55" i="178"/>
  <c r="AN26" i="178"/>
  <c r="AM26" i="178"/>
  <c r="AM41" i="178"/>
  <c r="BM41" i="178" s="1"/>
  <c r="AM19" i="178"/>
  <c r="BO19" i="178" l="1"/>
  <c r="BM48" i="178"/>
  <c r="BL19" i="178"/>
  <c r="BM19" i="178"/>
  <c r="BN19" i="178"/>
  <c r="BL41" i="178"/>
  <c r="BK48" i="178"/>
  <c r="AU41" i="178"/>
  <c r="BO41" i="178" s="1"/>
  <c r="AU26" i="178"/>
  <c r="AU19" i="178"/>
  <c r="AQ41" i="178"/>
  <c r="BN41" i="178" s="1"/>
  <c r="AQ26" i="178"/>
  <c r="AQ19" i="178"/>
  <c r="AR26" i="178"/>
  <c r="BI51" i="178"/>
  <c r="BO48" i="178" l="1"/>
  <c r="BN48" i="178"/>
  <c r="BL48" i="178"/>
  <c r="BI162" i="178" l="1"/>
  <c r="W131" i="178" l="1"/>
  <c r="BI158" i="178"/>
  <c r="W167" i="178"/>
  <c r="BI121" i="178"/>
  <c r="BI131" i="178" s="1"/>
  <c r="W117" i="178"/>
  <c r="BI117" i="178" l="1"/>
  <c r="W71" i="178"/>
  <c r="W80" i="178" s="1"/>
  <c r="I85" i="161"/>
  <c r="BI146" i="178"/>
  <c r="BI157" i="178" s="1"/>
  <c r="BI127" i="178"/>
  <c r="AA117" i="178"/>
  <c r="BJ121" i="178"/>
  <c r="BJ131" i="178" s="1"/>
  <c r="AE121" i="178"/>
  <c r="AI131" i="178" s="1"/>
  <c r="BI141" i="178"/>
  <c r="BI152" i="178" s="1"/>
  <c r="BJ117" i="178" l="1"/>
  <c r="AA71" i="178"/>
  <c r="AA80" i="178" s="1"/>
  <c r="I86" i="161"/>
  <c r="J85" i="161"/>
  <c r="BJ127" i="178"/>
  <c r="BK121" i="178"/>
  <c r="BK131" i="178" s="1"/>
  <c r="AE162" i="178"/>
  <c r="AE117" i="178"/>
  <c r="BJ162" i="178"/>
  <c r="BJ141" i="178" s="1"/>
  <c r="BJ152" i="178" s="1"/>
  <c r="BK117" i="178" l="1"/>
  <c r="AE71" i="178"/>
  <c r="BJ146" i="178"/>
  <c r="BJ157" i="178" s="1"/>
  <c r="BK162" i="178"/>
  <c r="BK158" i="178" s="1"/>
  <c r="AE158" i="178"/>
  <c r="BJ112" i="178"/>
  <c r="BJ1" i="178"/>
  <c r="BJ75" i="178"/>
  <c r="BJ97" i="178"/>
  <c r="K85" i="161"/>
  <c r="BK71" i="178"/>
  <c r="AI162" i="178"/>
  <c r="BL162" i="178" s="1"/>
  <c r="BL141" i="178" s="1"/>
  <c r="AI117" i="178"/>
  <c r="BM131" i="178"/>
  <c r="BL131" i="178"/>
  <c r="BJ158" i="178"/>
  <c r="AA16" i="178"/>
  <c r="AB23" i="178"/>
  <c r="AA38" i="178"/>
  <c r="AA43" i="178" s="1"/>
  <c r="AA23" i="178"/>
  <c r="AA167" i="178"/>
  <c r="BK127" i="178" l="1"/>
  <c r="BL117" i="178"/>
  <c r="L85" i="161" s="1"/>
  <c r="AI71" i="178"/>
  <c r="BK141" i="178"/>
  <c r="BK152" i="178" s="1"/>
  <c r="BK112" i="178"/>
  <c r="J86" i="161"/>
  <c r="BK1" i="178"/>
  <c r="BJ114" i="178"/>
  <c r="BJ113" i="178"/>
  <c r="BK75" i="178"/>
  <c r="BK97" i="178"/>
  <c r="BK98" i="178"/>
  <c r="AI158" i="178"/>
  <c r="AI7" i="178" s="1"/>
  <c r="BN131" i="178"/>
  <c r="AM117" i="178"/>
  <c r="AM162" i="178"/>
  <c r="BM162" i="178" s="1"/>
  <c r="BM141" i="178" s="1"/>
  <c r="BJ38" i="178"/>
  <c r="AA31" i="178"/>
  <c r="AA34" i="178"/>
  <c r="BJ6" i="178"/>
  <c r="AA22" i="178"/>
  <c r="AA32" i="178"/>
  <c r="AA33" i="178"/>
  <c r="AB22" i="178"/>
  <c r="AA29" i="178"/>
  <c r="AA15" i="178"/>
  <c r="AA30" i="178"/>
  <c r="BJ16" i="178"/>
  <c r="BL158" i="178"/>
  <c r="BL71" i="178" l="1"/>
  <c r="BL127" i="178"/>
  <c r="BL152" i="178"/>
  <c r="BM117" i="178"/>
  <c r="AM71" i="178"/>
  <c r="AM1" i="178"/>
  <c r="BJ80" i="178"/>
  <c r="BJ12" i="178"/>
  <c r="BJ35" i="178" s="1"/>
  <c r="BK113" i="178"/>
  <c r="BK114" i="178"/>
  <c r="BM152" i="178"/>
  <c r="AQ117" i="178"/>
  <c r="AQ162" i="178"/>
  <c r="BN162" i="178" s="1"/>
  <c r="BN141" i="178" s="1"/>
  <c r="BN152" i="178" s="1"/>
  <c r="BO131" i="178"/>
  <c r="AM158" i="178"/>
  <c r="BM158" i="178" s="1"/>
  <c r="BJ30" i="178"/>
  <c r="BJ33" i="178"/>
  <c r="BJ29" i="178"/>
  <c r="BJ32" i="178"/>
  <c r="BJ31" i="178"/>
  <c r="BJ15" i="178"/>
  <c r="J88" i="161" s="1"/>
  <c r="BJ34" i="178"/>
  <c r="BL7" i="178"/>
  <c r="AI23" i="178"/>
  <c r="AI38" i="178"/>
  <c r="AJ23" i="178"/>
  <c r="AI167" i="178"/>
  <c r="BJ45" i="178"/>
  <c r="BH87" i="167"/>
  <c r="AD77" i="167"/>
  <c r="AE77" i="167"/>
  <c r="AD67" i="167"/>
  <c r="BL98" i="178" l="1"/>
  <c r="BL75" i="178"/>
  <c r="BL112" i="178"/>
  <c r="BL113" i="178" s="1"/>
  <c r="BL1" i="178"/>
  <c r="BL97" i="178"/>
  <c r="BM71" i="178"/>
  <c r="BM97" i="178" s="1"/>
  <c r="M85" i="161"/>
  <c r="BL146" i="178"/>
  <c r="BM127" i="178"/>
  <c r="BJ84" i="178"/>
  <c r="BN117" i="178"/>
  <c r="BN127" i="178" s="1"/>
  <c r="AQ71" i="178"/>
  <c r="AA12" i="178"/>
  <c r="AA50" i="178" s="1"/>
  <c r="BJ21" i="178"/>
  <c r="BH10" i="167"/>
  <c r="AQ158" i="178"/>
  <c r="BN158" i="178" s="1"/>
  <c r="AU117" i="178"/>
  <c r="AU162" i="178"/>
  <c r="BO162" i="178" s="1"/>
  <c r="BO141" i="178" s="1"/>
  <c r="BO152" i="178" s="1"/>
  <c r="AM7" i="178"/>
  <c r="BM7" i="178" s="1"/>
  <c r="BH9" i="167"/>
  <c r="BH7" i="167"/>
  <c r="BI9" i="167"/>
  <c r="BI103" i="167" s="1"/>
  <c r="J87" i="161"/>
  <c r="BH67" i="167"/>
  <c r="K14" i="161"/>
  <c r="K39" i="161"/>
  <c r="K40" i="161" s="1"/>
  <c r="BJ14" i="178"/>
  <c r="AE78" i="167"/>
  <c r="AD78" i="167"/>
  <c r="AD43" i="167"/>
  <c r="AD68" i="167"/>
  <c r="BH8" i="167"/>
  <c r="BH91" i="167" s="1"/>
  <c r="BH96" i="167" s="1"/>
  <c r="BL38" i="178"/>
  <c r="BL114" i="178" l="1"/>
  <c r="BM112" i="178"/>
  <c r="BM113" i="178" s="1"/>
  <c r="BM75" i="178"/>
  <c r="BM1" i="178"/>
  <c r="BM98" i="178"/>
  <c r="BL80" i="178"/>
  <c r="BN71" i="178"/>
  <c r="BN1" i="178" s="1"/>
  <c r="L86" i="161"/>
  <c r="BM16" i="178"/>
  <c r="N85" i="161"/>
  <c r="BO117" i="178"/>
  <c r="O85" i="161" s="1"/>
  <c r="AU71" i="178"/>
  <c r="AB28" i="178"/>
  <c r="AA28" i="178"/>
  <c r="AA21" i="178"/>
  <c r="AE12" i="178"/>
  <c r="AA14" i="178"/>
  <c r="AA35" i="178"/>
  <c r="BH115" i="167"/>
  <c r="BH120" i="167" s="1"/>
  <c r="BH103" i="167"/>
  <c r="BH108" i="167" s="1"/>
  <c r="BM114" i="178"/>
  <c r="AQ7" i="178"/>
  <c r="BN7" i="178" s="1"/>
  <c r="AM23" i="178"/>
  <c r="AM167" i="178"/>
  <c r="AM16" i="178"/>
  <c r="BH5" i="167"/>
  <c r="AU158" i="178"/>
  <c r="BO158" i="178" s="1"/>
  <c r="AM38" i="178"/>
  <c r="BM38" i="178" s="1"/>
  <c r="BM45" i="178" s="1"/>
  <c r="AN23" i="178"/>
  <c r="BM146" i="178"/>
  <c r="BL45" i="178"/>
  <c r="AE79" i="167"/>
  <c r="AD44" i="167"/>
  <c r="AD79" i="167"/>
  <c r="AD69" i="167"/>
  <c r="O33" i="169"/>
  <c r="BI8" i="167"/>
  <c r="BI91" i="167" s="1"/>
  <c r="BI96" i="167" s="1"/>
  <c r="J84" i="161"/>
  <c r="BH54" i="167"/>
  <c r="BH52" i="167"/>
  <c r="K19" i="161"/>
  <c r="K20" i="161"/>
  <c r="BH11" i="167"/>
  <c r="BH53" i="167"/>
  <c r="Y1" i="178"/>
  <c r="BH51" i="167"/>
  <c r="BH6" i="167" l="1"/>
  <c r="BH68" i="167" s="1"/>
  <c r="O42" i="168"/>
  <c r="O43" i="168"/>
  <c r="BN98" i="178"/>
  <c r="BN75" i="178"/>
  <c r="BN97" i="178"/>
  <c r="BN112" i="178"/>
  <c r="BN114" i="178" s="1"/>
  <c r="BO71" i="178"/>
  <c r="BO127" i="178"/>
  <c r="BN146" i="178"/>
  <c r="BM157" i="178"/>
  <c r="BJ43" i="178"/>
  <c r="AA57" i="178"/>
  <c r="AI12" i="178"/>
  <c r="AF28" i="178"/>
  <c r="AE28" i="178"/>
  <c r="BK12" i="178"/>
  <c r="AE43" i="178"/>
  <c r="BI108" i="167"/>
  <c r="AR23" i="178"/>
  <c r="AQ38" i="178"/>
  <c r="BN38" i="178" s="1"/>
  <c r="BN45" i="178" s="1"/>
  <c r="AQ16" i="178"/>
  <c r="AQ167" i="178"/>
  <c r="AQ23" i="178"/>
  <c r="BN16" i="178"/>
  <c r="J90" i="161"/>
  <c r="BH43" i="167"/>
  <c r="AU7" i="178"/>
  <c r="BO7" i="178" s="1"/>
  <c r="M86" i="161"/>
  <c r="BM80" i="178"/>
  <c r="BM84" i="178" s="1"/>
  <c r="BK9" i="167"/>
  <c r="BK8" i="167"/>
  <c r="BJ9" i="167"/>
  <c r="BH50" i="167"/>
  <c r="BH12" i="167"/>
  <c r="P46" i="168"/>
  <c r="P48" i="168" s="1"/>
  <c r="P11" i="168" s="1"/>
  <c r="K50" i="161"/>
  <c r="K51" i="161" s="1"/>
  <c r="AD25" i="167"/>
  <c r="AD72" i="167"/>
  <c r="BJ8" i="167"/>
  <c r="BJ91" i="167" s="1"/>
  <c r="BJ96" i="167" s="1"/>
  <c r="O44" i="168" l="1"/>
  <c r="K49" i="161" s="1"/>
  <c r="BO75" i="178"/>
  <c r="BO98" i="178"/>
  <c r="BO97" i="178"/>
  <c r="BO1" i="178"/>
  <c r="BN113" i="178"/>
  <c r="BO112" i="178"/>
  <c r="BO113" i="178" s="1"/>
  <c r="BN80" i="178"/>
  <c r="BN84" i="178" s="1"/>
  <c r="N86" i="161"/>
  <c r="BN157" i="178"/>
  <c r="AM12" i="178"/>
  <c r="AJ28" i="178"/>
  <c r="BL12" i="178"/>
  <c r="BL21" i="178" s="1"/>
  <c r="AI28" i="178"/>
  <c r="AI43" i="178"/>
  <c r="AI6" i="178"/>
  <c r="BK43" i="178"/>
  <c r="AA52" i="178"/>
  <c r="BJ37" i="178"/>
  <c r="BJ57" i="178" s="1"/>
  <c r="AA53" i="178"/>
  <c r="AA56" i="178"/>
  <c r="AA51" i="178"/>
  <c r="AA54" i="178"/>
  <c r="AA44" i="178"/>
  <c r="AA55" i="178"/>
  <c r="BK21" i="178"/>
  <c r="BJ50" i="178"/>
  <c r="BO16" i="178"/>
  <c r="J89" i="161"/>
  <c r="BK103" i="167"/>
  <c r="AU38" i="178"/>
  <c r="BO38" i="178" s="1"/>
  <c r="BO45" i="178" s="1"/>
  <c r="K41" i="161"/>
  <c r="AU167" i="178"/>
  <c r="AU23" i="178"/>
  <c r="AU16" i="178"/>
  <c r="BO146" i="178"/>
  <c r="BJ103" i="167"/>
  <c r="BJ108" i="167" s="1"/>
  <c r="BK91" i="167"/>
  <c r="BK96" i="167" s="1"/>
  <c r="BL9" i="167"/>
  <c r="BL8" i="167"/>
  <c r="BM8" i="167"/>
  <c r="AD47" i="167"/>
  <c r="AD73" i="167"/>
  <c r="AD26" i="167"/>
  <c r="AD27" i="167"/>
  <c r="BH88" i="167"/>
  <c r="BH69" i="167"/>
  <c r="BH44" i="167"/>
  <c r="K43" i="161"/>
  <c r="K44" i="161" s="1"/>
  <c r="J91" i="161"/>
  <c r="J92" i="161" s="1"/>
  <c r="K42" i="161"/>
  <c r="BO114" i="178" l="1"/>
  <c r="BO157" i="178"/>
  <c r="AI35" i="178"/>
  <c r="AI80" i="178"/>
  <c r="AI14" i="178"/>
  <c r="BL43" i="178"/>
  <c r="AI37" i="178"/>
  <c r="AI57" i="178" s="1"/>
  <c r="BK50" i="178"/>
  <c r="BJ44" i="178"/>
  <c r="BJ52" i="178"/>
  <c r="BJ55" i="178"/>
  <c r="BJ54" i="178"/>
  <c r="BJ53" i="178"/>
  <c r="BJ56" i="178"/>
  <c r="AQ12" i="178"/>
  <c r="AN28" i="178"/>
  <c r="AM28" i="178"/>
  <c r="BM12" i="178"/>
  <c r="BM21" i="178" s="1"/>
  <c r="AM43" i="178"/>
  <c r="AM6" i="178"/>
  <c r="AL4" i="167"/>
  <c r="BL6" i="178"/>
  <c r="BL35" i="178" s="1"/>
  <c r="AI22" i="178"/>
  <c r="AI34" i="178"/>
  <c r="AJ22" i="178"/>
  <c r="AI33" i="178"/>
  <c r="AI29" i="178"/>
  <c r="AI30" i="178"/>
  <c r="AI31" i="178"/>
  <c r="AI32" i="178"/>
  <c r="BO80" i="178"/>
  <c r="BO84" i="178" s="1"/>
  <c r="O86" i="161"/>
  <c r="BM103" i="167"/>
  <c r="BL103" i="167"/>
  <c r="BL108" i="167" s="1"/>
  <c r="BK108" i="167"/>
  <c r="BL91" i="167"/>
  <c r="BL96" i="167" s="1"/>
  <c r="BM91" i="167"/>
  <c r="AD74" i="167"/>
  <c r="BI36" i="167"/>
  <c r="J93" i="161"/>
  <c r="AM14" i="178" l="1"/>
  <c r="AM80" i="178"/>
  <c r="AM35" i="178"/>
  <c r="BJ51" i="178"/>
  <c r="BL34" i="178"/>
  <c r="BL31" i="178"/>
  <c r="BL29" i="178"/>
  <c r="BL30" i="178"/>
  <c r="BL32" i="178"/>
  <c r="BL33" i="178"/>
  <c r="AL10" i="167"/>
  <c r="AL52" i="167"/>
  <c r="AL53" i="167"/>
  <c r="BJ4" i="167"/>
  <c r="AM77" i="167"/>
  <c r="AL7" i="167"/>
  <c r="AL77" i="167"/>
  <c r="AU12" i="178"/>
  <c r="AR28" i="178"/>
  <c r="BN12" i="178"/>
  <c r="BN21" i="178" s="1"/>
  <c r="AQ28" i="178"/>
  <c r="AQ43" i="178"/>
  <c r="AQ6" i="178"/>
  <c r="AQ80" i="178" s="1"/>
  <c r="BL37" i="178"/>
  <c r="AI56" i="178"/>
  <c r="AI52" i="178"/>
  <c r="AI44" i="178"/>
  <c r="AL6" i="167"/>
  <c r="AI54" i="178"/>
  <c r="AI51" i="178"/>
  <c r="AI55" i="178"/>
  <c r="AI53" i="178"/>
  <c r="AM30" i="178"/>
  <c r="AN22" i="178"/>
  <c r="AM31" i="178"/>
  <c r="AM33" i="178"/>
  <c r="AM32" i="178"/>
  <c r="AM22" i="178"/>
  <c r="AM29" i="178"/>
  <c r="AP4" i="167"/>
  <c r="AM15" i="178"/>
  <c r="AM34" i="178"/>
  <c r="BM6" i="178"/>
  <c r="BM15" i="178" s="1"/>
  <c r="M88" i="161" s="1"/>
  <c r="BL50" i="178"/>
  <c r="BM43" i="178"/>
  <c r="AM37" i="178"/>
  <c r="BM96" i="167"/>
  <c r="BM108" i="167"/>
  <c r="P6" i="169"/>
  <c r="J94" i="161"/>
  <c r="BM50" i="178" l="1"/>
  <c r="BN43" i="178"/>
  <c r="AQ37" i="178"/>
  <c r="AQ57" i="178" s="1"/>
  <c r="BM35" i="178"/>
  <c r="AP6" i="167"/>
  <c r="AP5" i="167" s="1"/>
  <c r="AM44" i="178"/>
  <c r="AM55" i="178"/>
  <c r="AM56" i="178"/>
  <c r="AM54" i="178"/>
  <c r="AM53" i="178"/>
  <c r="AM52" i="178"/>
  <c r="BM37" i="178"/>
  <c r="BM57" i="178" s="1"/>
  <c r="AM51" i="178"/>
  <c r="BL56" i="178"/>
  <c r="BL55" i="178"/>
  <c r="BL54" i="178"/>
  <c r="BL52" i="178"/>
  <c r="BL44" i="178"/>
  <c r="BL53" i="178"/>
  <c r="BL57" i="178"/>
  <c r="AQ77" i="167"/>
  <c r="AP67" i="167"/>
  <c r="AP77" i="167"/>
  <c r="AP53" i="167"/>
  <c r="AP52" i="167"/>
  <c r="AP7" i="167"/>
  <c r="BK4" i="167"/>
  <c r="AP10" i="167"/>
  <c r="AL43" i="167"/>
  <c r="AL78" i="167"/>
  <c r="AM78" i="167"/>
  <c r="AL5" i="167"/>
  <c r="L87" i="161"/>
  <c r="M14" i="161"/>
  <c r="Q14" i="169"/>
  <c r="BJ53" i="167"/>
  <c r="BJ52" i="167"/>
  <c r="BL14" i="178"/>
  <c r="AQ29" i="178"/>
  <c r="AQ22" i="178"/>
  <c r="AQ31" i="178"/>
  <c r="AQ33" i="178"/>
  <c r="AT4" i="167"/>
  <c r="AQ34" i="178"/>
  <c r="BN6" i="178"/>
  <c r="BN15" i="178" s="1"/>
  <c r="N88" i="161" s="1"/>
  <c r="AQ30" i="178"/>
  <c r="AR22" i="178"/>
  <c r="AQ32" i="178"/>
  <c r="AQ15" i="178"/>
  <c r="AQ14" i="178"/>
  <c r="AL11" i="167"/>
  <c r="BJ7" i="167"/>
  <c r="AM57" i="178"/>
  <c r="BM32" i="178"/>
  <c r="BM34" i="178"/>
  <c r="BM30" i="178"/>
  <c r="BM31" i="178"/>
  <c r="BM29" i="178"/>
  <c r="BM33" i="178"/>
  <c r="AQ35" i="178"/>
  <c r="BO12" i="178"/>
  <c r="BO21" i="178" s="1"/>
  <c r="AU28" i="178"/>
  <c r="AU43" i="178"/>
  <c r="AU6" i="178"/>
  <c r="AU80" i="178" s="1"/>
  <c r="BJ10" i="167"/>
  <c r="AB39" i="167"/>
  <c r="AF36" i="167"/>
  <c r="AE39" i="167"/>
  <c r="K77" i="168"/>
  <c r="AX4" i="167" l="1"/>
  <c r="AU32" i="178"/>
  <c r="AU15" i="178"/>
  <c r="AU31" i="178"/>
  <c r="AU33" i="178"/>
  <c r="AU29" i="178"/>
  <c r="AU22" i="178"/>
  <c r="AU34" i="178"/>
  <c r="AU30" i="178"/>
  <c r="BO6" i="178"/>
  <c r="BO15" i="178" s="1"/>
  <c r="O88" i="161" s="1"/>
  <c r="Q33" i="169"/>
  <c r="Q18" i="169"/>
  <c r="Q47" i="168"/>
  <c r="P87" i="161"/>
  <c r="L84" i="161"/>
  <c r="BO43" i="178"/>
  <c r="AU37" i="178"/>
  <c r="AU57" i="178" s="1"/>
  <c r="AT10" i="167"/>
  <c r="BL4" i="167"/>
  <c r="AT77" i="167"/>
  <c r="AT67" i="167"/>
  <c r="AT53" i="167"/>
  <c r="AU77" i="167"/>
  <c r="AT52" i="167"/>
  <c r="AT7" i="167"/>
  <c r="BJ54" i="167"/>
  <c r="BJ115" i="167"/>
  <c r="AC1" i="178"/>
  <c r="BJ5" i="167"/>
  <c r="BK5" i="167"/>
  <c r="BK6" i="167" s="1"/>
  <c r="AT6" i="167"/>
  <c r="AT5" i="167" s="1"/>
  <c r="AQ52" i="178"/>
  <c r="AQ44" i="178"/>
  <c r="AQ54" i="178"/>
  <c r="AQ53" i="178"/>
  <c r="BN37" i="178"/>
  <c r="BN57" i="178" s="1"/>
  <c r="AQ55" i="178"/>
  <c r="AQ56" i="178"/>
  <c r="AQ51" i="178"/>
  <c r="BJ51" i="167"/>
  <c r="BK10" i="167"/>
  <c r="BN50" i="178"/>
  <c r="AU14" i="178"/>
  <c r="BJ11" i="167"/>
  <c r="AL50" i="167"/>
  <c r="R14" i="169"/>
  <c r="BK67" i="167"/>
  <c r="BK52" i="167"/>
  <c r="M87" i="161"/>
  <c r="AD1" i="178"/>
  <c r="BK53" i="167"/>
  <c r="BM55" i="178"/>
  <c r="BM56" i="178"/>
  <c r="BM44" i="178"/>
  <c r="BM52" i="178"/>
  <c r="BM53" i="178"/>
  <c r="BM54" i="178"/>
  <c r="AU35" i="178"/>
  <c r="BN35" i="178"/>
  <c r="BN29" i="178"/>
  <c r="BN30" i="178"/>
  <c r="BN33" i="178"/>
  <c r="BN34" i="178"/>
  <c r="BN31" i="178"/>
  <c r="BN32" i="178"/>
  <c r="M19" i="161"/>
  <c r="AL12" i="167"/>
  <c r="BK7" i="167"/>
  <c r="AP11" i="167"/>
  <c r="AP12" i="167" s="1"/>
  <c r="BL51" i="178"/>
  <c r="AP68" i="167"/>
  <c r="AP78" i="167"/>
  <c r="AP43" i="167"/>
  <c r="AQ78" i="167"/>
  <c r="AD39" i="167"/>
  <c r="AE80" i="167" s="1"/>
  <c r="AC39" i="167"/>
  <c r="AB45" i="167"/>
  <c r="AB40" i="167"/>
  <c r="AB70" i="167"/>
  <c r="AB80" i="167"/>
  <c r="AF39" i="167"/>
  <c r="AG36" i="167"/>
  <c r="AH36" i="167" s="1"/>
  <c r="AE40" i="167"/>
  <c r="AE70" i="167"/>
  <c r="AE45" i="167"/>
  <c r="AT68" i="167" l="1"/>
  <c r="BM51" i="178"/>
  <c r="BL5" i="167"/>
  <c r="BL6" i="167" s="1"/>
  <c r="BL68" i="167" s="1"/>
  <c r="AP44" i="167"/>
  <c r="AP79" i="167"/>
  <c r="AQ79" i="167"/>
  <c r="BL67" i="167"/>
  <c r="AE1" i="178"/>
  <c r="S14" i="169"/>
  <c r="N87" i="161"/>
  <c r="N84" i="161" s="1"/>
  <c r="BL52" i="167"/>
  <c r="BL53" i="167"/>
  <c r="AL79" i="167"/>
  <c r="AM79" i="167"/>
  <c r="AL44" i="167"/>
  <c r="AP69" i="167"/>
  <c r="M84" i="161"/>
  <c r="R18" i="169"/>
  <c r="R47" i="168"/>
  <c r="R33" i="169"/>
  <c r="BJ6" i="167"/>
  <c r="BL10" i="167"/>
  <c r="BO35" i="178"/>
  <c r="BO34" i="178"/>
  <c r="BO29" i="178"/>
  <c r="BO32" i="178"/>
  <c r="BO33" i="178"/>
  <c r="BO31" i="178"/>
  <c r="BO30" i="178"/>
  <c r="AT78" i="167"/>
  <c r="AU78" i="167"/>
  <c r="AT43" i="167"/>
  <c r="BK43" i="167"/>
  <c r="M89" i="161" s="1"/>
  <c r="M90" i="161" s="1"/>
  <c r="BK54" i="167"/>
  <c r="BK115" i="167"/>
  <c r="BK120" i="167" s="1"/>
  <c r="BN54" i="178"/>
  <c r="BN55" i="178"/>
  <c r="BN53" i="178"/>
  <c r="BN52" i="178"/>
  <c r="BN56" i="178"/>
  <c r="BN44" i="178"/>
  <c r="AX6" i="167"/>
  <c r="AU44" i="178"/>
  <c r="BO37" i="178"/>
  <c r="BO57" i="178" s="1"/>
  <c r="AU54" i="178"/>
  <c r="AU52" i="178"/>
  <c r="AU55" i="178"/>
  <c r="AU51" i="178"/>
  <c r="AU56" i="178"/>
  <c r="AU53" i="178"/>
  <c r="BK11" i="167"/>
  <c r="BK50" i="167" s="1"/>
  <c r="M91" i="161" s="1"/>
  <c r="M122" i="161" s="1"/>
  <c r="AP50" i="167"/>
  <c r="BK51" i="167"/>
  <c r="BJ50" i="167"/>
  <c r="BL7" i="167"/>
  <c r="AT11" i="167"/>
  <c r="AT12" i="167" s="1"/>
  <c r="AT69" i="167" s="1"/>
  <c r="BO50" i="178"/>
  <c r="AX10" i="167"/>
  <c r="AX52" i="167"/>
  <c r="AX7" i="167"/>
  <c r="AX77" i="167"/>
  <c r="BM4" i="167"/>
  <c r="AX53" i="167"/>
  <c r="AX67" i="167"/>
  <c r="AC70" i="167"/>
  <c r="AC40" i="167"/>
  <c r="AC45" i="167"/>
  <c r="AC80" i="167"/>
  <c r="AB46" i="167"/>
  <c r="AB71" i="167"/>
  <c r="AB81" i="167"/>
  <c r="AD40" i="167"/>
  <c r="AE81" i="167" s="1"/>
  <c r="AD70" i="167"/>
  <c r="AD80" i="167"/>
  <c r="AD45" i="167"/>
  <c r="AG39" i="167"/>
  <c r="AF70" i="167"/>
  <c r="AF45" i="167"/>
  <c r="AF40" i="167"/>
  <c r="AF80" i="167"/>
  <c r="AE46" i="167"/>
  <c r="AE71" i="167"/>
  <c r="M93" i="161" l="1"/>
  <c r="M94" i="161" s="1"/>
  <c r="BN51" i="178"/>
  <c r="AX11" i="167"/>
  <c r="BM7" i="167"/>
  <c r="AT50" i="167"/>
  <c r="BL11" i="167"/>
  <c r="BL50" i="167" s="1"/>
  <c r="N91" i="161" s="1"/>
  <c r="L91" i="161"/>
  <c r="BO56" i="178"/>
  <c r="BO54" i="178"/>
  <c r="BO53" i="178"/>
  <c r="BO52" i="178"/>
  <c r="BO55" i="178"/>
  <c r="BO44" i="178"/>
  <c r="S18" i="169"/>
  <c r="S33" i="169"/>
  <c r="S47" i="168"/>
  <c r="BL51" i="167"/>
  <c r="BM10" i="167"/>
  <c r="AX5" i="167"/>
  <c r="AX43" i="167"/>
  <c r="AX78" i="167"/>
  <c r="BK12" i="167"/>
  <c r="AU79" i="167"/>
  <c r="AT79" i="167"/>
  <c r="AT44" i="167"/>
  <c r="AX68" i="167"/>
  <c r="BL54" i="167"/>
  <c r="BL115" i="167"/>
  <c r="BL120" i="167" s="1"/>
  <c r="AF1" i="178"/>
  <c r="BM53" i="167"/>
  <c r="O87" i="161"/>
  <c r="O84" i="161" s="1"/>
  <c r="O81" i="161" s="1"/>
  <c r="T14" i="169"/>
  <c r="BM52" i="167"/>
  <c r="BM67" i="167"/>
  <c r="BL43" i="167"/>
  <c r="N89" i="161" s="1"/>
  <c r="N90" i="161" s="1"/>
  <c r="BJ43" i="167"/>
  <c r="L89" i="161" s="1"/>
  <c r="L90" i="161"/>
  <c r="BJ12" i="167"/>
  <c r="BK68" i="167"/>
  <c r="AC46" i="167"/>
  <c r="AC71" i="167"/>
  <c r="AC81" i="167"/>
  <c r="AD71" i="167"/>
  <c r="AD81" i="167"/>
  <c r="AD46" i="167"/>
  <c r="AG45" i="167"/>
  <c r="AG70" i="167"/>
  <c r="AG40" i="167"/>
  <c r="AG80" i="167"/>
  <c r="AF81" i="167"/>
  <c r="AF71" i="167"/>
  <c r="AF46" i="167"/>
  <c r="BL12" i="167" l="1"/>
  <c r="BL44" i="167" s="1"/>
  <c r="L93" i="161"/>
  <c r="L94" i="161" s="1"/>
  <c r="R16" i="161" s="1"/>
  <c r="S16" i="161" s="1"/>
  <c r="BO51" i="178"/>
  <c r="BM5" i="167"/>
  <c r="AX12" i="167"/>
  <c r="BM11" i="167"/>
  <c r="AX50" i="167"/>
  <c r="M92" i="161"/>
  <c r="BK69" i="167"/>
  <c r="BK44" i="167"/>
  <c r="BM54" i="167"/>
  <c r="BM115" i="167"/>
  <c r="BM120" i="167" s="1"/>
  <c r="BJ44" i="167"/>
  <c r="N92" i="161"/>
  <c r="N122" i="161"/>
  <c r="N93" i="161" s="1"/>
  <c r="N94" i="161" s="1"/>
  <c r="T47" i="168"/>
  <c r="T18" i="169"/>
  <c r="T33" i="169"/>
  <c r="BM51" i="167"/>
  <c r="AG46" i="167"/>
  <c r="AG71" i="167"/>
  <c r="AG81" i="167"/>
  <c r="BL69" i="167" l="1"/>
  <c r="BM6" i="167"/>
  <c r="BM50" i="167"/>
  <c r="O91" i="161" s="1"/>
  <c r="AX79" i="167"/>
  <c r="AX44" i="167"/>
  <c r="AX69" i="167"/>
  <c r="BM12" i="167" l="1"/>
  <c r="BM43" i="167"/>
  <c r="BM68" i="167"/>
  <c r="O92" i="161"/>
  <c r="O122" i="161"/>
  <c r="O89" i="161" l="1"/>
  <c r="O90" i="161" s="1"/>
  <c r="O93" i="161" s="1"/>
  <c r="O94" i="161" s="1"/>
  <c r="Z24" i="161" s="1"/>
  <c r="Y24" i="161" s="1"/>
  <c r="BM44" i="167"/>
  <c r="BM69" i="167"/>
  <c r="BH23" i="167" l="1"/>
  <c r="AD82" i="167"/>
  <c r="AC27" i="167"/>
  <c r="AC82" i="167"/>
  <c r="AC72" i="167"/>
  <c r="AC74" i="167" l="1"/>
  <c r="AC84" i="167"/>
  <c r="AD84" i="167"/>
  <c r="BH27" i="167"/>
  <c r="J97" i="161"/>
  <c r="AC26" i="167"/>
  <c r="AC47" i="167"/>
  <c r="AD83" i="167"/>
  <c r="AC73" i="167"/>
  <c r="AC83" i="167"/>
  <c r="BH74" i="167" l="1"/>
  <c r="J104" i="161"/>
  <c r="BH26" i="167"/>
  <c r="K15" i="161" l="1"/>
  <c r="K22" i="161" s="1"/>
  <c r="BH21" i="167"/>
  <c r="BH13" i="167" l="1"/>
  <c r="J95" i="161"/>
  <c r="J96" i="161" s="1"/>
  <c r="J98" i="161" s="1"/>
  <c r="BH22" i="167"/>
  <c r="BH25" i="167" s="1"/>
  <c r="BH31" i="167" s="1"/>
  <c r="BI31" i="167" s="1"/>
  <c r="BJ31" i="167" s="1"/>
  <c r="BK31" i="167" s="1"/>
  <c r="BL31" i="167" s="1"/>
  <c r="BM31" i="167" s="1"/>
  <c r="BH34" i="167" l="1"/>
  <c r="O37" i="168" s="1"/>
  <c r="O4" i="169"/>
  <c r="J102" i="161"/>
  <c r="BH73" i="167"/>
  <c r="K46" i="161"/>
  <c r="K47" i="161" s="1"/>
  <c r="BH55" i="167"/>
  <c r="BH72" i="167"/>
  <c r="BH47" i="167"/>
  <c r="O68" i="168" s="1"/>
  <c r="K45" i="161"/>
  <c r="BH33" i="167"/>
  <c r="BH30" i="167" l="1"/>
  <c r="P19" i="169"/>
  <c r="K17" i="161" l="1"/>
  <c r="K25" i="161"/>
  <c r="O35" i="169"/>
  <c r="K26" i="161" s="1"/>
  <c r="O70" i="168"/>
  <c r="P26" i="169"/>
  <c r="K16" i="161" l="1"/>
  <c r="K28" i="161" s="1"/>
  <c r="K53" i="161"/>
  <c r="K58" i="161" s="1"/>
  <c r="O36" i="169"/>
  <c r="K29" i="161"/>
  <c r="O79" i="168"/>
  <c r="O61" i="168"/>
  <c r="BI58" i="167"/>
  <c r="BI59" i="167" s="1"/>
  <c r="BI14" i="167" s="1"/>
  <c r="K54" i="161" l="1"/>
  <c r="O62" i="168"/>
  <c r="O63" i="168"/>
  <c r="O66" i="168" l="1"/>
  <c r="O67" i="168"/>
  <c r="O71" i="168"/>
  <c r="AE72" i="167" l="1"/>
  <c r="AE82" i="167"/>
  <c r="AG14" i="167"/>
  <c r="O69" i="168"/>
  <c r="AE25" i="167" l="1"/>
  <c r="AF82" i="167"/>
  <c r="AF72" i="167"/>
  <c r="AG13" i="167"/>
  <c r="AG22" i="167" s="1"/>
  <c r="AH14" i="167"/>
  <c r="AF25" i="167" l="1"/>
  <c r="AG23" i="167"/>
  <c r="AG25" i="167" s="1"/>
  <c r="AG72" i="167"/>
  <c r="AG82" i="167"/>
  <c r="AH13" i="167"/>
  <c r="AE26" i="167"/>
  <c r="AE47" i="167"/>
  <c r="AE83" i="167"/>
  <c r="AE73" i="167"/>
  <c r="AE27" i="167"/>
  <c r="AG47" i="167" l="1"/>
  <c r="AG83" i="167"/>
  <c r="AG26" i="167"/>
  <c r="AG27" i="167"/>
  <c r="AG73" i="167"/>
  <c r="AF26" i="167"/>
  <c r="AF73" i="167"/>
  <c r="AF47" i="167"/>
  <c r="AF83" i="167"/>
  <c r="AF27" i="167"/>
  <c r="AE74" i="167"/>
  <c r="AE84" i="167"/>
  <c r="AF84" i="167" l="1"/>
  <c r="AF74" i="167"/>
  <c r="AG74" i="167"/>
  <c r="AG84" i="167"/>
  <c r="Q56" i="168" l="1"/>
  <c r="R56" i="168" s="1"/>
  <c r="S56" i="168" s="1"/>
  <c r="T56" i="168" s="1"/>
  <c r="P57" i="168" l="1"/>
  <c r="Q53" i="168" s="1"/>
  <c r="Q55" i="168" s="1"/>
  <c r="BH39" i="167"/>
  <c r="O6" i="169"/>
  <c r="P15" i="168" l="1"/>
  <c r="Q14" i="168"/>
  <c r="BJ37" i="167"/>
  <c r="O12" i="169"/>
  <c r="BH70" i="167"/>
  <c r="O72" i="168"/>
  <c r="BH40" i="167"/>
  <c r="BH45" i="167"/>
  <c r="J100" i="161"/>
  <c r="Q57" i="168"/>
  <c r="R53" i="168" l="1"/>
  <c r="Q15" i="168"/>
  <c r="AI37" i="167"/>
  <c r="BH71" i="167"/>
  <c r="BH46" i="167"/>
  <c r="R55" i="168" l="1"/>
  <c r="R57" i="168" s="1"/>
  <c r="AJ37" i="167"/>
  <c r="S53" i="168" l="1"/>
  <c r="R15" i="168"/>
  <c r="BK37" i="167"/>
  <c r="R14" i="168"/>
  <c r="AK37" i="167"/>
  <c r="AM37" i="167" l="1"/>
  <c r="AL37" i="167"/>
  <c r="S55" i="168"/>
  <c r="BL37" i="167" s="1"/>
  <c r="S57" i="168" l="1"/>
  <c r="T53" i="168" s="1"/>
  <c r="S14" i="168"/>
  <c r="AQ37" i="167"/>
  <c r="AN37" i="167"/>
  <c r="S15" i="168" l="1"/>
  <c r="T55" i="168"/>
  <c r="AO37" i="167"/>
  <c r="AP37" i="167" s="1"/>
  <c r="AR37" i="167"/>
  <c r="AS37" i="167" l="1"/>
  <c r="AT37" i="167" s="1"/>
  <c r="BM37" i="167"/>
  <c r="T14" i="168"/>
  <c r="T57" i="168"/>
  <c r="T15" i="168" s="1"/>
  <c r="AU37" i="167" l="1"/>
  <c r="AV37" i="167" l="1"/>
  <c r="AW37" i="167" l="1"/>
  <c r="AX37" i="167" s="1"/>
  <c r="AE21" i="167" l="1"/>
  <c r="BI21" i="167"/>
  <c r="BI13" i="167" l="1"/>
  <c r="K95" i="161" l="1"/>
  <c r="AE7" i="178" l="1"/>
  <c r="AE167" i="178" s="1"/>
  <c r="BK7" i="178" l="1"/>
  <c r="AF23" i="178"/>
  <c r="AE38" i="178"/>
  <c r="AE6" i="178"/>
  <c r="AI16" i="178"/>
  <c r="AE16" i="178"/>
  <c r="AE23" i="178"/>
  <c r="BK146" i="178" l="1"/>
  <c r="AE14" i="178"/>
  <c r="AE80" i="178"/>
  <c r="BL157" i="178"/>
  <c r="BK16" i="178"/>
  <c r="K86" i="161"/>
  <c r="BL16" i="178"/>
  <c r="AE30" i="178"/>
  <c r="AE32" i="178"/>
  <c r="AE22" i="178"/>
  <c r="AH4" i="167"/>
  <c r="AE35" i="178"/>
  <c r="AI15" i="178"/>
  <c r="AE31" i="178"/>
  <c r="AE33" i="178"/>
  <c r="AF22" i="178"/>
  <c r="BK6" i="178"/>
  <c r="AE29" i="178"/>
  <c r="AE34" i="178"/>
  <c r="AE15" i="178"/>
  <c r="AE37" i="178"/>
  <c r="AE52" i="178" s="1"/>
  <c r="BK38" i="178"/>
  <c r="BK157" i="178" l="1"/>
  <c r="BK80" i="178"/>
  <c r="BL84" i="178" s="1"/>
  <c r="BK15" i="178"/>
  <c r="K88" i="161" s="1"/>
  <c r="BK31" i="178"/>
  <c r="BK34" i="178"/>
  <c r="BL15" i="178"/>
  <c r="L88" i="161" s="1"/>
  <c r="BK32" i="178"/>
  <c r="BK29" i="178"/>
  <c r="BK33" i="178"/>
  <c r="BK35" i="178"/>
  <c r="BK30" i="178"/>
  <c r="AL67" i="167"/>
  <c r="AI77" i="167"/>
  <c r="AH7" i="167"/>
  <c r="AH53" i="167"/>
  <c r="AH77" i="167"/>
  <c r="AH10" i="167"/>
  <c r="AH67" i="167"/>
  <c r="BI4" i="167"/>
  <c r="AH52" i="167"/>
  <c r="AE55" i="178"/>
  <c r="AE57" i="178"/>
  <c r="AE51" i="178"/>
  <c r="BK37" i="178"/>
  <c r="BK52" i="178" s="1"/>
  <c r="AH6" i="167"/>
  <c r="AH5" i="167" s="1"/>
  <c r="AE44" i="178"/>
  <c r="AE56" i="178"/>
  <c r="AE54" i="178"/>
  <c r="AE53" i="178"/>
  <c r="BK45" i="178"/>
  <c r="BK84" i="178" l="1"/>
  <c r="BI5" i="167"/>
  <c r="BI6" i="167" s="1"/>
  <c r="L39" i="161"/>
  <c r="L40" i="161" s="1"/>
  <c r="K87" i="161"/>
  <c r="K84" i="161" s="1"/>
  <c r="BJ67" i="167"/>
  <c r="L14" i="161"/>
  <c r="P14" i="169"/>
  <c r="Z1" i="178"/>
  <c r="BI67" i="167"/>
  <c r="BI53" i="167"/>
  <c r="BI52" i="167"/>
  <c r="P6" i="168"/>
  <c r="BK14" i="178"/>
  <c r="AI78" i="167"/>
  <c r="AH43" i="167"/>
  <c r="AH68" i="167"/>
  <c r="AH78" i="167"/>
  <c r="AL68" i="167"/>
  <c r="BI7" i="167"/>
  <c r="AH11" i="167"/>
  <c r="AH12" i="167" s="1"/>
  <c r="BK56" i="178"/>
  <c r="BK53" i="178"/>
  <c r="BK54" i="178"/>
  <c r="BK57" i="178"/>
  <c r="BK55" i="178"/>
  <c r="BK44" i="178"/>
  <c r="BI10" i="167"/>
  <c r="BK51" i="178" l="1"/>
  <c r="BI115" i="167"/>
  <c r="BI54" i="167"/>
  <c r="BI51" i="167"/>
  <c r="BI68" i="167"/>
  <c r="BI43" i="167"/>
  <c r="K90" i="161"/>
  <c r="BJ68" i="167"/>
  <c r="AA1" i="178"/>
  <c r="AB1" i="178"/>
  <c r="P47" i="168"/>
  <c r="P18" i="169"/>
  <c r="P33" i="169"/>
  <c r="P10" i="168"/>
  <c r="AH44" i="167"/>
  <c r="AI79" i="167"/>
  <c r="AL69" i="167"/>
  <c r="AH22" i="167"/>
  <c r="AH39" i="167"/>
  <c r="AH79" i="167"/>
  <c r="AH69" i="167"/>
  <c r="L19" i="161"/>
  <c r="L20" i="161"/>
  <c r="M20" i="161"/>
  <c r="P20" i="168"/>
  <c r="P7" i="168"/>
  <c r="P9" i="169"/>
  <c r="Q6" i="168"/>
  <c r="Q9" i="169" s="1"/>
  <c r="BI11" i="167"/>
  <c r="AH50" i="167"/>
  <c r="M31" i="161"/>
  <c r="AH82" i="167" l="1"/>
  <c r="AH72" i="167"/>
  <c r="AH23" i="167"/>
  <c r="Q10" i="168"/>
  <c r="P12" i="168"/>
  <c r="K89" i="161"/>
  <c r="L41" i="161"/>
  <c r="R6" i="168"/>
  <c r="R9" i="169" s="1"/>
  <c r="BJ120" i="167"/>
  <c r="BI120" i="167"/>
  <c r="BI50" i="167"/>
  <c r="Q7" i="168"/>
  <c r="Q10" i="169" s="1"/>
  <c r="P10" i="169"/>
  <c r="Q20" i="168"/>
  <c r="P11" i="169"/>
  <c r="AH80" i="167"/>
  <c r="AH70" i="167"/>
  <c r="AH40" i="167"/>
  <c r="AH45" i="167"/>
  <c r="P50" i="168"/>
  <c r="Q46" i="168" s="1"/>
  <c r="L50" i="161"/>
  <c r="L51" i="161" s="1"/>
  <c r="BI12" i="167"/>
  <c r="P8" i="169" l="1"/>
  <c r="BI23" i="167"/>
  <c r="Q48" i="168"/>
  <c r="R7" i="168"/>
  <c r="R10" i="169" s="1"/>
  <c r="BI22" i="167"/>
  <c r="BI44" i="167"/>
  <c r="BJ69" i="167"/>
  <c r="L43" i="161"/>
  <c r="L44" i="161" s="1"/>
  <c r="BI69" i="167"/>
  <c r="BI39" i="167"/>
  <c r="AH71" i="167"/>
  <c r="AH46" i="167"/>
  <c r="AH81" i="167"/>
  <c r="S6" i="168"/>
  <c r="S9" i="169" s="1"/>
  <c r="AH25" i="167"/>
  <c r="R20" i="168"/>
  <c r="Q11" i="169"/>
  <c r="Q8" i="169" s="1"/>
  <c r="P18" i="168"/>
  <c r="K91" i="161"/>
  <c r="K93" i="161" s="1"/>
  <c r="L42" i="161"/>
  <c r="R10" i="168"/>
  <c r="K96" i="161" l="1"/>
  <c r="K94" i="161"/>
  <c r="BJ36" i="167"/>
  <c r="Q11" i="168"/>
  <c r="K92" i="161"/>
  <c r="L92" i="161"/>
  <c r="K100" i="161"/>
  <c r="K101" i="161" s="1"/>
  <c r="BI40" i="167"/>
  <c r="BI45" i="167"/>
  <c r="BI70" i="167"/>
  <c r="Q50" i="168"/>
  <c r="R46" i="168" s="1"/>
  <c r="R11" i="169"/>
  <c r="R8" i="169" s="1"/>
  <c r="S20" i="168"/>
  <c r="S10" i="168"/>
  <c r="BI72" i="167"/>
  <c r="BI25" i="167"/>
  <c r="L45" i="161"/>
  <c r="S7" i="168"/>
  <c r="S10" i="169" s="1"/>
  <c r="AH83" i="167"/>
  <c r="AH73" i="167"/>
  <c r="AH27" i="167"/>
  <c r="AH47" i="167"/>
  <c r="AH26" i="167"/>
  <c r="BI26" i="167" s="1"/>
  <c r="T6" i="168"/>
  <c r="BI55" i="167"/>
  <c r="K97" i="161"/>
  <c r="K98" i="161" l="1"/>
  <c r="Q12" i="168"/>
  <c r="BI29" i="167"/>
  <c r="BI47" i="167"/>
  <c r="P68" i="168" s="1"/>
  <c r="BI73" i="167"/>
  <c r="P4" i="169"/>
  <c r="BI33" i="167"/>
  <c r="L46" i="161"/>
  <c r="L47" i="161" s="1"/>
  <c r="T10" i="168"/>
  <c r="R48" i="168"/>
  <c r="BK36" i="167" s="1"/>
  <c r="BJ39" i="167"/>
  <c r="Q6" i="169"/>
  <c r="AI36" i="167"/>
  <c r="K102" i="161"/>
  <c r="K103" i="161" s="1"/>
  <c r="BI71" i="167"/>
  <c r="BI46" i="167"/>
  <c r="T9" i="169"/>
  <c r="T7" i="168"/>
  <c r="T10" i="169" s="1"/>
  <c r="BI27" i="167"/>
  <c r="BI34" i="167" s="1"/>
  <c r="AH74" i="167"/>
  <c r="AH84" i="167"/>
  <c r="S11" i="169"/>
  <c r="S8" i="169" s="1"/>
  <c r="T20" i="168"/>
  <c r="L15" i="161"/>
  <c r="R11" i="168" l="1"/>
  <c r="R12" i="168" s="1"/>
  <c r="R50" i="168"/>
  <c r="S46" i="168" s="1"/>
  <c r="S48" i="168" s="1"/>
  <c r="BL36" i="167" s="1"/>
  <c r="P13" i="169"/>
  <c r="BJ40" i="167"/>
  <c r="BJ45" i="167"/>
  <c r="L100" i="161"/>
  <c r="BJ70" i="167"/>
  <c r="P22" i="168"/>
  <c r="Q19" i="169"/>
  <c r="BI30" i="167"/>
  <c r="Q18" i="168"/>
  <c r="L23" i="161"/>
  <c r="L22" i="161"/>
  <c r="BK39" i="167"/>
  <c r="BK70" i="167" s="1"/>
  <c r="AM36" i="167"/>
  <c r="R6" i="169"/>
  <c r="T11" i="169"/>
  <c r="T8" i="169" s="1"/>
  <c r="AI39" i="167"/>
  <c r="AJ36" i="167"/>
  <c r="R14" i="161"/>
  <c r="K104" i="161"/>
  <c r="BI74" i="167"/>
  <c r="P31" i="168"/>
  <c r="AK36" i="167" l="1"/>
  <c r="AJ39" i="167"/>
  <c r="S50" i="168"/>
  <c r="T46" i="168" s="1"/>
  <c r="BJ46" i="167"/>
  <c r="BJ71" i="167"/>
  <c r="AQ36" i="167"/>
  <c r="BL39" i="167"/>
  <c r="BL70" i="167" s="1"/>
  <c r="S6" i="169"/>
  <c r="S11" i="168"/>
  <c r="AI80" i="167"/>
  <c r="AI70" i="167"/>
  <c r="AI40" i="167"/>
  <c r="AI45" i="167"/>
  <c r="L17" i="161"/>
  <c r="L25" i="161"/>
  <c r="AN36" i="167"/>
  <c r="AM39" i="167"/>
  <c r="Q26" i="169"/>
  <c r="M100" i="161"/>
  <c r="M101" i="161" s="1"/>
  <c r="BK40" i="167"/>
  <c r="BK71" i="167" s="1"/>
  <c r="BK45" i="167"/>
  <c r="P35" i="169"/>
  <c r="P28" i="169"/>
  <c r="P33" i="168"/>
  <c r="P23" i="168"/>
  <c r="L101" i="161"/>
  <c r="R18" i="168"/>
  <c r="W7" i="161" l="1"/>
  <c r="W8" i="161"/>
  <c r="AJ80" i="167"/>
  <c r="AJ45" i="167"/>
  <c r="AJ70" i="167"/>
  <c r="AJ40" i="167"/>
  <c r="AI81" i="167"/>
  <c r="AI46" i="167"/>
  <c r="AI71" i="167"/>
  <c r="BL40" i="167"/>
  <c r="BL71" i="167" s="1"/>
  <c r="N100" i="161"/>
  <c r="N101" i="161" s="1"/>
  <c r="BL45" i="167"/>
  <c r="AK39" i="167"/>
  <c r="L53" i="161"/>
  <c r="L26" i="161"/>
  <c r="P36" i="169"/>
  <c r="P4" i="168"/>
  <c r="BK46" i="167"/>
  <c r="AM40" i="167"/>
  <c r="AM45" i="167"/>
  <c r="AQ39" i="167"/>
  <c r="AQ70" i="167" s="1"/>
  <c r="AR36" i="167"/>
  <c r="AO36" i="167"/>
  <c r="AN39" i="167"/>
  <c r="S12" i="168"/>
  <c r="T48" i="168"/>
  <c r="BM36" i="167" s="1"/>
  <c r="P37" i="168"/>
  <c r="P35" i="168"/>
  <c r="P70" i="168"/>
  <c r="P27" i="168"/>
  <c r="AM70" i="167"/>
  <c r="AL36" i="167"/>
  <c r="T50" i="168" l="1"/>
  <c r="L29" i="161"/>
  <c r="S18" i="168"/>
  <c r="AO39" i="167"/>
  <c r="AO70" i="167" s="1"/>
  <c r="AP36" i="167"/>
  <c r="AJ46" i="167"/>
  <c r="AJ81" i="167"/>
  <c r="AJ71" i="167"/>
  <c r="P9" i="168"/>
  <c r="P61" i="168"/>
  <c r="BJ58" i="167"/>
  <c r="BJ59" i="167" s="1"/>
  <c r="BJ14" i="167" s="1"/>
  <c r="P36" i="168"/>
  <c r="P72" i="168"/>
  <c r="P79" i="168"/>
  <c r="AQ40" i="167"/>
  <c r="AQ71" i="167" s="1"/>
  <c r="AQ45" i="167"/>
  <c r="T11" i="168"/>
  <c r="AN40" i="167"/>
  <c r="AN80" i="167"/>
  <c r="AN45" i="167"/>
  <c r="L16" i="161"/>
  <c r="L28" i="161" s="1"/>
  <c r="AL39" i="167"/>
  <c r="AM46" i="167"/>
  <c r="L58" i="161"/>
  <c r="H60" i="161" s="1"/>
  <c r="H63" i="161" s="1"/>
  <c r="H64" i="161" s="1"/>
  <c r="H65" i="161" s="1"/>
  <c r="L54" i="161"/>
  <c r="BL46" i="167"/>
  <c r="AM71" i="167"/>
  <c r="BM39" i="167"/>
  <c r="T6" i="169"/>
  <c r="AU36" i="167"/>
  <c r="AR39" i="167"/>
  <c r="AS36" i="167"/>
  <c r="AK80" i="167"/>
  <c r="AK40" i="167"/>
  <c r="AK45" i="167"/>
  <c r="AK70" i="167"/>
  <c r="AN70" i="167"/>
  <c r="AL80" i="167" l="1"/>
  <c r="AL40" i="167"/>
  <c r="AL45" i="167"/>
  <c r="AL70" i="167"/>
  <c r="AM80" i="167"/>
  <c r="AP39" i="167"/>
  <c r="AP70" i="167" s="1"/>
  <c r="AN81" i="167"/>
  <c r="AN46" i="167"/>
  <c r="AQ46" i="167"/>
  <c r="P63" i="168"/>
  <c r="P62" i="168"/>
  <c r="P19" i="168"/>
  <c r="AK81" i="167"/>
  <c r="AK46" i="167"/>
  <c r="AK71" i="167"/>
  <c r="AR80" i="167"/>
  <c r="AR45" i="167"/>
  <c r="AR40" i="167"/>
  <c r="AR71" i="167" s="1"/>
  <c r="T12" i="168"/>
  <c r="AN71" i="167"/>
  <c r="AO40" i="167"/>
  <c r="AO71" i="167" s="1"/>
  <c r="AO80" i="167"/>
  <c r="AO45" i="167"/>
  <c r="AS39" i="167"/>
  <c r="AS70" i="167" s="1"/>
  <c r="BM40" i="167"/>
  <c r="BM45" i="167"/>
  <c r="O100" i="161"/>
  <c r="X8" i="161" s="1"/>
  <c r="BM70" i="167"/>
  <c r="AT36" i="167"/>
  <c r="AV36" i="167"/>
  <c r="AU39" i="167"/>
  <c r="AR70" i="167"/>
  <c r="BJ13" i="167"/>
  <c r="AI14" i="167"/>
  <c r="T18" i="168" l="1"/>
  <c r="P67" i="168"/>
  <c r="P66" i="168"/>
  <c r="P71" i="168"/>
  <c r="AT39" i="167"/>
  <c r="AU80" i="167" s="1"/>
  <c r="BM46" i="167"/>
  <c r="BM71" i="167"/>
  <c r="AL46" i="167"/>
  <c r="AL81" i="167"/>
  <c r="AL71" i="167"/>
  <c r="AM81" i="167"/>
  <c r="AR81" i="167"/>
  <c r="AR46" i="167"/>
  <c r="AU40" i="167"/>
  <c r="AU45" i="167"/>
  <c r="AU70" i="167"/>
  <c r="L95" i="161"/>
  <c r="L96" i="161" s="1"/>
  <c r="BJ22" i="167"/>
  <c r="AJ14" i="167"/>
  <c r="AI13" i="167"/>
  <c r="AI22" i="167" s="1"/>
  <c r="O101" i="161"/>
  <c r="X7" i="161" s="1"/>
  <c r="X6" i="161" s="1"/>
  <c r="P100" i="161"/>
  <c r="AP40" i="167"/>
  <c r="AP45" i="167"/>
  <c r="AP80" i="167"/>
  <c r="AQ80" i="167"/>
  <c r="AV39" i="167"/>
  <c r="AW36" i="167"/>
  <c r="AX36" i="167" s="1"/>
  <c r="AS40" i="167"/>
  <c r="AS71" i="167" s="1"/>
  <c r="AS80" i="167"/>
  <c r="AS45" i="167"/>
  <c r="AO46" i="167"/>
  <c r="AO81" i="167"/>
  <c r="AT70" i="167" l="1"/>
  <c r="AU46" i="167"/>
  <c r="AU71" i="167"/>
  <c r="AS81" i="167"/>
  <c r="AS46" i="167"/>
  <c r="AV45" i="167"/>
  <c r="AV40" i="167"/>
  <c r="AV80" i="167"/>
  <c r="AV70" i="167"/>
  <c r="AP81" i="167"/>
  <c r="AP46" i="167"/>
  <c r="AQ81" i="167"/>
  <c r="AP71" i="167"/>
  <c r="O107" i="161"/>
  <c r="Q101" i="161"/>
  <c r="R101" i="161" s="1"/>
  <c r="P69" i="168"/>
  <c r="AX39" i="167"/>
  <c r="AX70" i="167" s="1"/>
  <c r="AJ13" i="167"/>
  <c r="AJ22" i="167" s="1"/>
  <c r="AK14" i="167"/>
  <c r="AL14" i="167" s="1"/>
  <c r="AT80" i="167"/>
  <c r="AT40" i="167"/>
  <c r="AT45" i="167"/>
  <c r="AI82" i="167"/>
  <c r="AI23" i="167"/>
  <c r="AI72" i="167"/>
  <c r="AW39" i="167"/>
  <c r="BJ72" i="167"/>
  <c r="O108" i="161" l="1"/>
  <c r="AL13" i="167"/>
  <c r="AL22" i="167" s="1"/>
  <c r="AJ82" i="167"/>
  <c r="AJ72" i="167"/>
  <c r="AJ23" i="167"/>
  <c r="AW80" i="167"/>
  <c r="AW40" i="167"/>
  <c r="AW45" i="167"/>
  <c r="AW70" i="167"/>
  <c r="AI25" i="167"/>
  <c r="AV46" i="167"/>
  <c r="AV81" i="167"/>
  <c r="AV71" i="167"/>
  <c r="AK13" i="167"/>
  <c r="AK22" i="167" s="1"/>
  <c r="AX40" i="167"/>
  <c r="AX71" i="167" s="1"/>
  <c r="AX45" i="167"/>
  <c r="AX80" i="167"/>
  <c r="AT81" i="167"/>
  <c r="AT46" i="167"/>
  <c r="AT71" i="167"/>
  <c r="AU81" i="167"/>
  <c r="L109" i="161" l="1"/>
  <c r="Q108" i="161"/>
  <c r="Q109" i="161"/>
  <c r="AK23" i="167"/>
  <c r="AK72" i="167"/>
  <c r="AK82" i="167"/>
  <c r="AX46" i="167"/>
  <c r="AX81" i="167"/>
  <c r="AJ25" i="167"/>
  <c r="AL82" i="167"/>
  <c r="AL23" i="167"/>
  <c r="AL72" i="167"/>
  <c r="AW81" i="167"/>
  <c r="AW46" i="167"/>
  <c r="AW71" i="167"/>
  <c r="AI83" i="167"/>
  <c r="AI73" i="167"/>
  <c r="AI26" i="167"/>
  <c r="AI27" i="167"/>
  <c r="AI47" i="167"/>
  <c r="K114" i="161" l="1"/>
  <c r="O114" i="161"/>
  <c r="L114" i="161"/>
  <c r="N114" i="161"/>
  <c r="M114" i="161"/>
  <c r="AK25" i="167"/>
  <c r="AK27" i="167" s="1"/>
  <c r="AL25" i="167"/>
  <c r="AL27" i="167" s="1"/>
  <c r="AI74" i="167"/>
  <c r="AI84" i="167"/>
  <c r="AJ83" i="167"/>
  <c r="AJ27" i="167"/>
  <c r="AJ47" i="167"/>
  <c r="AJ73" i="167"/>
  <c r="AJ26" i="167"/>
  <c r="BJ23" i="167"/>
  <c r="AK73" i="167" l="1"/>
  <c r="AL47" i="167"/>
  <c r="AK47" i="167"/>
  <c r="AK26" i="167"/>
  <c r="AK83" i="167"/>
  <c r="AL83" i="167"/>
  <c r="AL73" i="167"/>
  <c r="AL26" i="167"/>
  <c r="AJ84" i="167"/>
  <c r="AJ74" i="167"/>
  <c r="AL84" i="167"/>
  <c r="AL74" i="167"/>
  <c r="AK84" i="167"/>
  <c r="AK74" i="167"/>
  <c r="BJ55" i="167"/>
  <c r="L97" i="161"/>
  <c r="BJ25" i="167"/>
  <c r="BJ27" i="167"/>
  <c r="BJ26" i="167" l="1"/>
  <c r="M15" i="161" s="1"/>
  <c r="M22" i="161" s="1"/>
  <c r="L104" i="161"/>
  <c r="BJ74" i="167"/>
  <c r="L98" i="161"/>
  <c r="Q102" i="161"/>
  <c r="L102" i="161"/>
  <c r="Q4" i="169"/>
  <c r="BJ47" i="167"/>
  <c r="Q68" i="168" s="1"/>
  <c r="BJ34" i="167"/>
  <c r="BJ29" i="167"/>
  <c r="BJ73" i="167"/>
  <c r="M23" i="161" l="1"/>
  <c r="M24" i="161" s="1"/>
  <c r="BJ33" i="167"/>
  <c r="Q13" i="169"/>
  <c r="R19" i="169"/>
  <c r="BJ30" i="167"/>
  <c r="Q22" i="168"/>
  <c r="L103" i="161"/>
  <c r="Q31" i="168"/>
  <c r="M17" i="161" l="1"/>
  <c r="M25" i="161"/>
  <c r="R26" i="169"/>
  <c r="Q33" i="168"/>
  <c r="R15" i="161"/>
  <c r="L105" i="161"/>
  <c r="Q23" i="168"/>
  <c r="Q35" i="169"/>
  <c r="Q28" i="169"/>
  <c r="Q36" i="169" l="1"/>
  <c r="M26" i="161"/>
  <c r="S15" i="161"/>
  <c r="R17" i="161"/>
  <c r="Q37" i="168"/>
  <c r="Q35" i="168"/>
  <c r="Q70" i="168"/>
  <c r="Q27" i="168"/>
  <c r="Q4" i="168"/>
  <c r="L111" i="161" l="1"/>
  <c r="W6" i="161" s="1"/>
  <c r="M29" i="161"/>
  <c r="Q36" i="168"/>
  <c r="Q72" i="168"/>
  <c r="Q79" i="168"/>
  <c r="M16" i="161"/>
  <c r="M28" i="161" s="1"/>
  <c r="BK58" i="167"/>
  <c r="BK59" i="167" s="1"/>
  <c r="BK14" i="167" s="1"/>
  <c r="Q9" i="168"/>
  <c r="Q61" i="168"/>
  <c r="W9" i="161" l="1"/>
  <c r="M124" i="161"/>
  <c r="N124" i="161" s="1"/>
  <c r="L112" i="161"/>
  <c r="Q19" i="168"/>
  <c r="BK13" i="167"/>
  <c r="AM14" i="167"/>
  <c r="Q63" i="168"/>
  <c r="Q62" i="168"/>
  <c r="K115" i="161" l="1"/>
  <c r="L113" i="161"/>
  <c r="L115" i="161"/>
  <c r="M95" i="161"/>
  <c r="M96" i="161" s="1"/>
  <c r="BK22" i="167"/>
  <c r="AM13" i="167"/>
  <c r="AM22" i="167" s="1"/>
  <c r="AN14" i="167"/>
  <c r="Q67" i="168"/>
  <c r="Q66" i="168"/>
  <c r="Q71" i="168"/>
  <c r="C10" i="161" l="1"/>
  <c r="X1" i="178"/>
  <c r="C8" i="161"/>
  <c r="Q119" i="161"/>
  <c r="Q106" i="161"/>
  <c r="S14" i="161"/>
  <c r="S17" i="161" s="1"/>
  <c r="Q69" i="168"/>
  <c r="AO14" i="167"/>
  <c r="AN13" i="167"/>
  <c r="AN22" i="167" s="1"/>
  <c r="AM82" i="167"/>
  <c r="AM23" i="167"/>
  <c r="AM25" i="167" s="1"/>
  <c r="AM72" i="167"/>
  <c r="BK72" i="167"/>
  <c r="C9" i="161" l="1"/>
  <c r="F9" i="161"/>
  <c r="AO13" i="167"/>
  <c r="AO22" i="167" s="1"/>
  <c r="AP14" i="167"/>
  <c r="AM26" i="167"/>
  <c r="AM47" i="167"/>
  <c r="AM27" i="167"/>
  <c r="AM83" i="167"/>
  <c r="AM73" i="167"/>
  <c r="AN82" i="167"/>
  <c r="AN23" i="167"/>
  <c r="AN72" i="167"/>
  <c r="AM84" i="167" l="1"/>
  <c r="AM74" i="167"/>
  <c r="AP13" i="167"/>
  <c r="AP22" i="167" s="1"/>
  <c r="AO23" i="167"/>
  <c r="AO82" i="167"/>
  <c r="AO72" i="167"/>
  <c r="AN25" i="167"/>
  <c r="AP23" i="167" l="1"/>
  <c r="AP82" i="167"/>
  <c r="AP72" i="167"/>
  <c r="AN47" i="167"/>
  <c r="AN26" i="167"/>
  <c r="AN27" i="167"/>
  <c r="AN83" i="167"/>
  <c r="AN73" i="167"/>
  <c r="AO25" i="167"/>
  <c r="BK23" i="167" l="1"/>
  <c r="AN84" i="167"/>
  <c r="AN74" i="167"/>
  <c r="AO26" i="167"/>
  <c r="AO47" i="167"/>
  <c r="AO27" i="167"/>
  <c r="AO83" i="167"/>
  <c r="AO73" i="167"/>
  <c r="AP25" i="167"/>
  <c r="BK25" i="167" l="1"/>
  <c r="BK55" i="167"/>
  <c r="M97" i="161"/>
  <c r="M98" i="161" s="1"/>
  <c r="AO84" i="167"/>
  <c r="AO74" i="167"/>
  <c r="AP47" i="167"/>
  <c r="AP83" i="167"/>
  <c r="AP27" i="167"/>
  <c r="AP26" i="167"/>
  <c r="BK26" i="167" s="1"/>
  <c r="AP73" i="167"/>
  <c r="BK29" i="167" l="1"/>
  <c r="R31" i="168" s="1"/>
  <c r="BK73" i="167"/>
  <c r="BK47" i="167"/>
  <c r="R68" i="168" s="1"/>
  <c r="R4" i="169"/>
  <c r="R13" i="169" s="1"/>
  <c r="M102" i="161"/>
  <c r="M103" i="161" s="1"/>
  <c r="BK33" i="167"/>
  <c r="AP84" i="167"/>
  <c r="AP74" i="167"/>
  <c r="BK27" i="167"/>
  <c r="P116" i="161" l="1"/>
  <c r="R22" i="168"/>
  <c r="R33" i="168"/>
  <c r="R35" i="168" s="1"/>
  <c r="S19" i="169"/>
  <c r="S26" i="169" s="1"/>
  <c r="M115" i="161"/>
  <c r="R35" i="169"/>
  <c r="R36" i="169" s="1"/>
  <c r="R28" i="169"/>
  <c r="AH1" i="178"/>
  <c r="BK74" i="167"/>
  <c r="BK34" i="167"/>
  <c r="R37" i="168" l="1"/>
  <c r="R23" i="168"/>
  <c r="R27" i="168" s="1"/>
  <c r="R70" i="168"/>
  <c r="R72" i="168"/>
  <c r="R79" i="168"/>
  <c r="BK30" i="167"/>
  <c r="R4" i="168"/>
  <c r="R9" i="168" l="1"/>
  <c r="BL58" i="167"/>
  <c r="BL59" i="167" s="1"/>
  <c r="BL14" i="167" s="1"/>
  <c r="R61" i="168"/>
  <c r="R36" i="168"/>
  <c r="R19" i="168" l="1"/>
  <c r="BL13" i="167"/>
  <c r="AQ14" i="167"/>
  <c r="R63" i="168"/>
  <c r="R62" i="168"/>
  <c r="AR14" i="167" l="1"/>
  <c r="AQ13" i="167"/>
  <c r="AQ22" i="167" s="1"/>
  <c r="R66" i="168"/>
  <c r="R67" i="168"/>
  <c r="R71" i="168"/>
  <c r="N95" i="161"/>
  <c r="N96" i="161" s="1"/>
  <c r="BL22" i="167"/>
  <c r="AQ82" i="167" l="1"/>
  <c r="AQ23" i="167"/>
  <c r="AQ72" i="167"/>
  <c r="R69" i="168"/>
  <c r="AS14" i="167"/>
  <c r="AR13" i="167"/>
  <c r="AR22" i="167" s="1"/>
  <c r="BL72" i="167"/>
  <c r="AR23" i="167" l="1"/>
  <c r="AR82" i="167"/>
  <c r="AR72" i="167"/>
  <c r="AS13" i="167"/>
  <c r="AS22" i="167" s="1"/>
  <c r="AT14" i="167"/>
  <c r="AQ25" i="167"/>
  <c r="AS82" i="167" l="1"/>
  <c r="AS23" i="167"/>
  <c r="AS72" i="167"/>
  <c r="AR25" i="167"/>
  <c r="AQ83" i="167"/>
  <c r="AQ27" i="167"/>
  <c r="AQ47" i="167"/>
  <c r="AQ26" i="167"/>
  <c r="AQ73" i="167"/>
  <c r="AT13" i="167"/>
  <c r="AT22" i="167" s="1"/>
  <c r="AS25" i="167" l="1"/>
  <c r="AS73" i="167" s="1"/>
  <c r="AQ84" i="167"/>
  <c r="AQ74" i="167"/>
  <c r="AR83" i="167"/>
  <c r="AR26" i="167"/>
  <c r="AR27" i="167"/>
  <c r="AR47" i="167"/>
  <c r="AR73" i="167"/>
  <c r="AT23" i="167"/>
  <c r="AT25" i="167" s="1"/>
  <c r="AT82" i="167"/>
  <c r="AT72" i="167"/>
  <c r="AS47" i="167" l="1"/>
  <c r="AS83" i="167"/>
  <c r="AS27" i="167"/>
  <c r="AS84" i="167" s="1"/>
  <c r="AS26" i="167"/>
  <c r="AT83" i="167"/>
  <c r="AT26" i="167"/>
  <c r="AT27" i="167"/>
  <c r="AT47" i="167"/>
  <c r="AT73" i="167"/>
  <c r="AR84" i="167"/>
  <c r="AR74" i="167"/>
  <c r="BL23" i="167"/>
  <c r="BL26" i="167" l="1"/>
  <c r="AS74" i="167"/>
  <c r="N97" i="161"/>
  <c r="BL55" i="167"/>
  <c r="BL25" i="167"/>
  <c r="AT84" i="167"/>
  <c r="AT74" i="167"/>
  <c r="BL27" i="167"/>
  <c r="BL29" i="167" l="1"/>
  <c r="S31" i="168" s="1"/>
  <c r="BL34" i="167"/>
  <c r="BL33" i="167"/>
  <c r="S4" i="169"/>
  <c r="BL47" i="167"/>
  <c r="S68" i="168" s="1"/>
  <c r="BL73" i="167"/>
  <c r="BL74" i="167"/>
  <c r="N98" i="161"/>
  <c r="N102" i="161"/>
  <c r="S13" i="169" l="1"/>
  <c r="N103" i="161"/>
  <c r="N115" i="161"/>
  <c r="S33" i="168"/>
  <c r="T19" i="169"/>
  <c r="BL30" i="167"/>
  <c r="S22" i="168"/>
  <c r="AI1" i="178" l="1"/>
  <c r="T26" i="169"/>
  <c r="S35" i="169"/>
  <c r="S36" i="169" s="1"/>
  <c r="S28" i="169"/>
  <c r="S23" i="168"/>
  <c r="S37" i="168"/>
  <c r="S35" i="168"/>
  <c r="S70" i="168"/>
  <c r="S27" i="168" l="1"/>
  <c r="S4" i="168"/>
  <c r="S72" i="168"/>
  <c r="S79" i="168"/>
  <c r="S9" i="168" l="1"/>
  <c r="BM58" i="167"/>
  <c r="BM59" i="167" s="1"/>
  <c r="BM14" i="167" s="1"/>
  <c r="S61" i="168"/>
  <c r="S36" i="168"/>
  <c r="S63" i="168" l="1"/>
  <c r="S62" i="168"/>
  <c r="AU14" i="167"/>
  <c r="BM13" i="167"/>
  <c r="S19" i="168"/>
  <c r="BM22" i="167" l="1"/>
  <c r="O95" i="161"/>
  <c r="O96" i="161" s="1"/>
  <c r="S66" i="168"/>
  <c r="S67" i="168"/>
  <c r="S71" i="168"/>
  <c r="AU13" i="167"/>
  <c r="AU22" i="167" s="1"/>
  <c r="AV14" i="167"/>
  <c r="S69" i="168" l="1"/>
  <c r="AW14" i="167"/>
  <c r="AV13" i="167"/>
  <c r="AV22" i="167" s="1"/>
  <c r="BM72" i="167"/>
  <c r="AU82" i="167"/>
  <c r="AU23" i="167"/>
  <c r="AU72" i="167"/>
  <c r="AW13" i="167" l="1"/>
  <c r="AW22" i="167" s="1"/>
  <c r="AU25" i="167"/>
  <c r="AX14" i="167"/>
  <c r="AV23" i="167"/>
  <c r="AV82" i="167"/>
  <c r="AV72" i="167"/>
  <c r="AV25" i="167" l="1"/>
  <c r="AX13" i="167"/>
  <c r="AX22" i="167" s="1"/>
  <c r="AW82" i="167"/>
  <c r="AW23" i="167"/>
  <c r="AW72" i="167"/>
  <c r="AU26" i="167"/>
  <c r="AU83" i="167"/>
  <c r="AU27" i="167"/>
  <c r="AU47" i="167"/>
  <c r="AU73" i="167"/>
  <c r="AX82" i="167" l="1"/>
  <c r="AX23" i="167"/>
  <c r="AX72" i="167"/>
  <c r="AU84" i="167"/>
  <c r="AU74" i="167"/>
  <c r="AV27" i="167"/>
  <c r="AV83" i="167"/>
  <c r="AV26" i="167"/>
  <c r="AV47" i="167"/>
  <c r="AV73" i="167"/>
  <c r="AW25" i="167"/>
  <c r="AW83" i="167" l="1"/>
  <c r="AW26" i="167"/>
  <c r="AW47" i="167"/>
  <c r="AW27" i="167"/>
  <c r="AW73" i="167"/>
  <c r="BM23" i="167"/>
  <c r="AV84" i="167"/>
  <c r="AV74" i="167"/>
  <c r="AX25" i="167"/>
  <c r="O97" i="161" l="1"/>
  <c r="BM55" i="167"/>
  <c r="BM25" i="167"/>
  <c r="AX27" i="167"/>
  <c r="AX47" i="167"/>
  <c r="AX26" i="167"/>
  <c r="BM26" i="167" s="1"/>
  <c r="AX83" i="167"/>
  <c r="AX73" i="167"/>
  <c r="AW84" i="167"/>
  <c r="AW74" i="167"/>
  <c r="AX84" i="167" l="1"/>
  <c r="AX74" i="167"/>
  <c r="BM27" i="167"/>
  <c r="BM34" i="167" s="1"/>
  <c r="BM33" i="167"/>
  <c r="BM47" i="167"/>
  <c r="T68" i="168" s="1"/>
  <c r="T4" i="169"/>
  <c r="BM29" i="167"/>
  <c r="BM73" i="167"/>
  <c r="O98" i="161"/>
  <c r="O102" i="161"/>
  <c r="Y22" i="161" s="1"/>
  <c r="O103" i="161" l="1"/>
  <c r="O115" i="161"/>
  <c r="BM30" i="167"/>
  <c r="T22" i="168"/>
  <c r="Q111" i="161"/>
  <c r="Q120" i="161"/>
  <c r="BM74" i="167"/>
  <c r="T31" i="168"/>
  <c r="T13" i="169"/>
  <c r="P115" i="161" l="1"/>
  <c r="T33" i="168"/>
  <c r="AJ1" i="178"/>
  <c r="Z22" i="161"/>
  <c r="T23" i="168"/>
  <c r="T35" i="169"/>
  <c r="T36" i="169" s="1"/>
  <c r="T28" i="169"/>
  <c r="Z23" i="161"/>
  <c r="Y23" i="161" s="1"/>
  <c r="Y25" i="161" s="1"/>
  <c r="T27" i="168" l="1"/>
  <c r="T4" i="168"/>
  <c r="T35" i="168"/>
  <c r="T37" i="168"/>
  <c r="T70" i="168"/>
  <c r="Z25" i="161"/>
  <c r="T36" i="168" l="1"/>
  <c r="T72" i="168"/>
  <c r="T79" i="168"/>
  <c r="T61" i="168"/>
  <c r="T9" i="168"/>
  <c r="T19" i="168" l="1"/>
  <c r="T62" i="168"/>
  <c r="T63" i="168"/>
  <c r="T66" i="168" l="1"/>
  <c r="T67" i="168"/>
  <c r="T71" i="168"/>
  <c r="T69" i="168" l="1"/>
</calcChain>
</file>

<file path=xl/sharedStrings.xml><?xml version="1.0" encoding="utf-8"?>
<sst xmlns="http://schemas.openxmlformats.org/spreadsheetml/2006/main" count="1481" uniqueCount="792">
  <si>
    <t>Check</t>
  </si>
  <si>
    <t>Cash and equivalents</t>
  </si>
  <si>
    <t>(Increase)/decrease in working capital :</t>
  </si>
  <si>
    <t>EBITDA margin</t>
  </si>
  <si>
    <t>Other long-term assets</t>
  </si>
  <si>
    <t>Other common equity</t>
  </si>
  <si>
    <t>Other current liabilities</t>
  </si>
  <si>
    <t>Net income</t>
  </si>
  <si>
    <t>EBIT margin</t>
  </si>
  <si>
    <t xml:space="preserve">Gross intangibles </t>
  </si>
  <si>
    <t>Total assets</t>
  </si>
  <si>
    <t>Current liabilities</t>
  </si>
  <si>
    <t xml:space="preserve">Total liabilities   </t>
  </si>
  <si>
    <t>Preferred shares</t>
  </si>
  <si>
    <t>Treasury stock</t>
  </si>
  <si>
    <t>Retained earnings</t>
  </si>
  <si>
    <t>Total common equity</t>
  </si>
  <si>
    <t>Total liabilities and equity</t>
  </si>
  <si>
    <t>Minority interest add-back</t>
  </si>
  <si>
    <t>Depreciation and amortization add-back</t>
  </si>
  <si>
    <t>Accounts receivable</t>
  </si>
  <si>
    <t>Other operating cash flow items</t>
  </si>
  <si>
    <t>Other investment cash flow items</t>
  </si>
  <si>
    <t>Cash flow from investing</t>
  </si>
  <si>
    <t>Other financing cash flow items</t>
  </si>
  <si>
    <t>Cash flow from financing</t>
  </si>
  <si>
    <t>CNY</t>
  </si>
  <si>
    <t>Ticker</t>
  </si>
  <si>
    <t>Interest expense</t>
  </si>
  <si>
    <t>Net intangibles</t>
  </si>
  <si>
    <t>Less accumulated depreciation</t>
  </si>
  <si>
    <t>Inventory days</t>
  </si>
  <si>
    <t>Inventory</t>
  </si>
  <si>
    <t>Others</t>
  </si>
  <si>
    <t>EPS</t>
  </si>
  <si>
    <t>Depreciation</t>
  </si>
  <si>
    <t>Amortization</t>
  </si>
  <si>
    <t>Interest income</t>
  </si>
  <si>
    <t>PEG</t>
  </si>
  <si>
    <t>Rating</t>
  </si>
  <si>
    <t>EBITDA</t>
  </si>
  <si>
    <t>Current assets</t>
  </si>
  <si>
    <t>Capital expenditure</t>
  </si>
  <si>
    <t>Other current assets</t>
  </si>
  <si>
    <t>Accounts payable</t>
  </si>
  <si>
    <t>DPS</t>
  </si>
  <si>
    <t>BVPS</t>
  </si>
  <si>
    <t>COGS</t>
  </si>
  <si>
    <t>Minority interest (balance sheet)</t>
  </si>
  <si>
    <t>Change in minority interest</t>
  </si>
  <si>
    <t>Gross PP&amp;E/Fixed assets</t>
  </si>
  <si>
    <t>Short-term debt and current portion of long-term debt</t>
  </si>
  <si>
    <t>Long-term debt</t>
  </si>
  <si>
    <t>Other long-term liabilities/creditors</t>
  </si>
  <si>
    <t>Net PP&amp;E/Fixed assets</t>
  </si>
  <si>
    <t>Increase/(decrease) in preferred shares</t>
  </si>
  <si>
    <t>非流动负债：</t>
  </si>
  <si>
    <t>非流动资产：</t>
  </si>
  <si>
    <t>汇率变动对现金的影响</t>
  </si>
  <si>
    <t>报表类型</t>
  </si>
  <si>
    <t>合并报表</t>
  </si>
  <si>
    <t>流动资产：</t>
  </si>
  <si>
    <t>流动负债：</t>
  </si>
  <si>
    <t>所有者权益(或股东权益)：</t>
  </si>
  <si>
    <t>补充资料：</t>
  </si>
  <si>
    <t>2020E</t>
  </si>
  <si>
    <t>Cash conversion cycle</t>
  </si>
  <si>
    <t>M&amp;A probability (1 = high, 3 = low)</t>
  </si>
  <si>
    <t>1Q19</t>
  </si>
  <si>
    <t>R&amp;D</t>
  </si>
  <si>
    <t>Net margin</t>
  </si>
  <si>
    <t>Ratios</t>
  </si>
  <si>
    <t>Greater China Technology Team</t>
  </si>
  <si>
    <t>Target Price/ Target price period/ Upside/downside to target price</t>
  </si>
  <si>
    <t>Current shares outstanding (mn):</t>
  </si>
  <si>
    <t>Currency:</t>
  </si>
  <si>
    <t>Current Publication Date:</t>
  </si>
  <si>
    <t>Previous Publication Date:</t>
  </si>
  <si>
    <t xml:space="preserve">Team Contacts: </t>
  </si>
  <si>
    <t>Primary Analyst</t>
  </si>
  <si>
    <t>2021E</t>
  </si>
  <si>
    <t>Balance sheet</t>
  </si>
  <si>
    <t>Revenue</t>
  </si>
  <si>
    <t>Dupont analysis</t>
  </si>
  <si>
    <t>Asset turnover</t>
  </si>
  <si>
    <t>ROE</t>
  </si>
  <si>
    <t>ROA</t>
  </si>
  <si>
    <t>公告日期</t>
  </si>
  <si>
    <t>利率类型</t>
  </si>
  <si>
    <t>转换汇率</t>
  </si>
  <si>
    <t>原始币种</t>
  </si>
  <si>
    <t>显示币种</t>
  </si>
  <si>
    <t>　　归属于母公司普通股东综合收益总额</t>
  </si>
  <si>
    <t>　　减：归属于少数股东的综合收益总额</t>
  </si>
  <si>
    <t>综合收益总额</t>
  </si>
  <si>
    <t>　　加：其他综合收益</t>
  </si>
  <si>
    <t>　　归属于母公司所有者的净利润</t>
  </si>
  <si>
    <t>　　减：少数股东损益</t>
  </si>
  <si>
    <t>净利润</t>
  </si>
  <si>
    <t>　　减：所得税</t>
  </si>
  <si>
    <t>利润总额</t>
  </si>
  <si>
    <t>　　　　其中：非流动资产处置净损失</t>
  </si>
  <si>
    <t>　　减：营业外支出</t>
  </si>
  <si>
    <t>　　加：营业外收入</t>
  </si>
  <si>
    <t>营业利润</t>
  </si>
  <si>
    <t>　　　　其中：对联营企业和合营企业的投资收益</t>
  </si>
  <si>
    <t>　　投资净收益</t>
  </si>
  <si>
    <t>　　公允价值变动净收益</t>
  </si>
  <si>
    <t>　　资产减值损失</t>
  </si>
  <si>
    <t>　　财务费用</t>
  </si>
  <si>
    <t>　　管理费用</t>
  </si>
  <si>
    <t>　　销售费用</t>
  </si>
  <si>
    <t>　　营业成本</t>
  </si>
  <si>
    <t>营业总成本</t>
  </si>
  <si>
    <t>　　营业收入</t>
  </si>
  <si>
    <t>营业总收入</t>
  </si>
  <si>
    <t>第三季度</t>
  </si>
  <si>
    <t>第二季度</t>
  </si>
  <si>
    <t>第一季度</t>
  </si>
  <si>
    <t>第四季度</t>
  </si>
  <si>
    <t>报告期</t>
  </si>
  <si>
    <t>2018-06-30</t>
  </si>
  <si>
    <t>2017-12-31</t>
  </si>
  <si>
    <t>2017-06-30</t>
  </si>
  <si>
    <t>2016-12-31</t>
  </si>
  <si>
    <t>2015-12-31</t>
  </si>
  <si>
    <t>2014-12-31</t>
  </si>
  <si>
    <t>2014-03-31</t>
  </si>
  <si>
    <t>数据来源</t>
  </si>
  <si>
    <t>审计意见(境内)</t>
  </si>
  <si>
    <t>　　稀释每股收益</t>
  </si>
  <si>
    <t>　　基本每股收益</t>
  </si>
  <si>
    <t>每股收益：</t>
  </si>
  <si>
    <t>　　税金及附加</t>
  </si>
  <si>
    <t>年报</t>
  </si>
  <si>
    <t>2013-12-31</t>
  </si>
  <si>
    <t>2012-12-31</t>
  </si>
  <si>
    <t>2011-12-31</t>
  </si>
  <si>
    <t>负债和所有者权益总计</t>
  </si>
  <si>
    <t>　　实收资本(或股本)</t>
  </si>
  <si>
    <t>资产总计</t>
  </si>
  <si>
    <t>现金及现金等价物净增加额</t>
  </si>
  <si>
    <t>筹资活动产生的现金流量：</t>
  </si>
  <si>
    <t>投资活动产生的现金流量：</t>
  </si>
  <si>
    <t>经营活动产生的现金流量：</t>
  </si>
  <si>
    <t>Net change in cash</t>
  </si>
  <si>
    <t>Additional data</t>
  </si>
  <si>
    <t>2022E</t>
  </si>
  <si>
    <t>2023E</t>
  </si>
  <si>
    <t>Upside</t>
  </si>
  <si>
    <t>PE</t>
  </si>
  <si>
    <t>PB</t>
  </si>
  <si>
    <t>Margins</t>
  </si>
  <si>
    <t>2018-12-31</t>
  </si>
  <si>
    <t>　　持续经营净利润</t>
  </si>
  <si>
    <t>　　资产处置收益</t>
  </si>
  <si>
    <t>　　固定资产-累计折旧</t>
  </si>
  <si>
    <t>　　无形资产-累计摊销</t>
  </si>
  <si>
    <t>期末汇率</t>
  </si>
  <si>
    <t>Sales tax</t>
  </si>
  <si>
    <t>Net debt</t>
  </si>
  <si>
    <t>Dividends paid</t>
  </si>
  <si>
    <t>Beta</t>
  </si>
  <si>
    <t>Risk-free rate</t>
  </si>
  <si>
    <t>YoY</t>
  </si>
  <si>
    <t>QoQ</t>
  </si>
  <si>
    <t>GM</t>
  </si>
  <si>
    <t>Opex</t>
  </si>
  <si>
    <t>Revenues</t>
  </si>
  <si>
    <t>OPM</t>
  </si>
  <si>
    <t>汇兑损益</t>
  </si>
  <si>
    <t>OP income</t>
  </si>
  <si>
    <t>Pretax income</t>
  </si>
  <si>
    <t>Tax</t>
  </si>
  <si>
    <t>Minority</t>
  </si>
  <si>
    <t>Tax rate</t>
  </si>
  <si>
    <t>Opex ratio</t>
  </si>
  <si>
    <t>2019-03-31</t>
  </si>
  <si>
    <t>2011-03-31</t>
  </si>
  <si>
    <t>2011-06-30</t>
  </si>
  <si>
    <t>2011-09-30</t>
  </si>
  <si>
    <t>2012-03-31</t>
  </si>
  <si>
    <t>2012-06-30</t>
  </si>
  <si>
    <t>2012-09-30</t>
  </si>
  <si>
    <t>2013-03-31</t>
  </si>
  <si>
    <t>2013-06-30</t>
  </si>
  <si>
    <t>2013-09-30</t>
  </si>
  <si>
    <t>Assumption</t>
  </si>
  <si>
    <t>Company</t>
  </si>
  <si>
    <t>EPS YoY</t>
  </si>
  <si>
    <t>Div yields</t>
  </si>
  <si>
    <t>P&amp;L</t>
  </si>
  <si>
    <t>Gross profits</t>
  </si>
  <si>
    <t>Selling</t>
  </si>
  <si>
    <t>G&amp;A</t>
  </si>
  <si>
    <t>Non-OP</t>
  </si>
  <si>
    <t>FX (net)</t>
  </si>
  <si>
    <t>Investment income (net)</t>
  </si>
  <si>
    <t>Government subsidies</t>
  </si>
  <si>
    <t>Disposal (net)</t>
  </si>
  <si>
    <t>Impairment loss (net)</t>
  </si>
  <si>
    <t>EPS (basic)</t>
  </si>
  <si>
    <t>EPS (diluted)</t>
  </si>
  <si>
    <t>Cash div</t>
  </si>
  <si>
    <t>Div per share</t>
  </si>
  <si>
    <t>Payout</t>
  </si>
  <si>
    <t>Shares (basic)</t>
  </si>
  <si>
    <t>Shares (diluted)</t>
  </si>
  <si>
    <t>EBIT / OP income</t>
  </si>
  <si>
    <t>Selling ratio</t>
  </si>
  <si>
    <t>G&amp;A ratio</t>
  </si>
  <si>
    <t>R&amp;D ratio</t>
  </si>
  <si>
    <t>Interests</t>
  </si>
  <si>
    <t>Cash (Beginning)</t>
  </si>
  <si>
    <t>Rate</t>
  </si>
  <si>
    <t>Debt (Beginning)</t>
  </si>
  <si>
    <t>Quarterly %</t>
  </si>
  <si>
    <t>Short-term investments</t>
  </si>
  <si>
    <t>Net receivables</t>
  </si>
  <si>
    <t>Less accumulated amortization</t>
  </si>
  <si>
    <t>Long term investments</t>
  </si>
  <si>
    <t>Long term assets</t>
  </si>
  <si>
    <t>Long term liabilities</t>
  </si>
  <si>
    <t>Common stock (par value, capital surplus)</t>
  </si>
  <si>
    <t>Total equity</t>
  </si>
  <si>
    <t>Net receivable days</t>
  </si>
  <si>
    <t>Net payable days</t>
  </si>
  <si>
    <t>Beginning fixed asset</t>
  </si>
  <si>
    <t>Capex</t>
  </si>
  <si>
    <t>Disposal or others</t>
  </si>
  <si>
    <t>Ending fixed asset</t>
  </si>
  <si>
    <t>Beginning intangibles</t>
  </si>
  <si>
    <t>Add</t>
  </si>
  <si>
    <t>Ending intangibles</t>
  </si>
  <si>
    <t>Net debt to total equity / gearing ratios</t>
  </si>
  <si>
    <t>Net cash per share</t>
  </si>
  <si>
    <t>Leverage (assets to equity)</t>
  </si>
  <si>
    <t>ROE (total equity)</t>
  </si>
  <si>
    <t>ROE (common equity)</t>
  </si>
  <si>
    <t>Cash flow</t>
  </si>
  <si>
    <t>Net loss/(gain) on asset sales</t>
  </si>
  <si>
    <t>Cash flow from operating</t>
  </si>
  <si>
    <t>Change in short term investments</t>
  </si>
  <si>
    <t>Change in long term investments</t>
  </si>
  <si>
    <t>Change in common stock</t>
  </si>
  <si>
    <t>Increase/(decrease) in short-term debt</t>
  </si>
  <si>
    <t>Increase/(decrease) in long-term debt</t>
  </si>
  <si>
    <t>Free cash flow</t>
  </si>
  <si>
    <t>　　研发费用</t>
  </si>
  <si>
    <t>　　　　其中：利息费用</t>
  </si>
  <si>
    <t>　　　　　　　减：利息收入</t>
  </si>
  <si>
    <t>　　信用减值损失</t>
  </si>
  <si>
    <t>税率</t>
  </si>
  <si>
    <t>税率说明</t>
  </si>
  <si>
    <t>调整原因</t>
  </si>
  <si>
    <t>调整说明</t>
  </si>
  <si>
    <t>　　固定资产-原值</t>
  </si>
  <si>
    <t>　　固定资产-净值</t>
  </si>
  <si>
    <t>　　固定资产-减值准备</t>
  </si>
  <si>
    <t>　　固定资产-净额</t>
  </si>
  <si>
    <t>　　无形资产-原值</t>
  </si>
  <si>
    <t>股数（基本）</t>
  </si>
  <si>
    <t>股数（摊薄）</t>
  </si>
  <si>
    <t>摊销（半年报）</t>
  </si>
  <si>
    <t>折旧（半年报）</t>
  </si>
  <si>
    <t>折旧（单季）</t>
  </si>
  <si>
    <t>摊销（单季）</t>
  </si>
  <si>
    <t>现金分红</t>
  </si>
  <si>
    <t>每股股息</t>
  </si>
  <si>
    <t>限制性银行存款</t>
  </si>
  <si>
    <t>研发费用（半年报）</t>
  </si>
  <si>
    <t>利息收入（半年报）</t>
  </si>
  <si>
    <t>利息费用（半年报）</t>
  </si>
  <si>
    <t>合并报表(调整)</t>
  </si>
  <si>
    <t>　　加：其他收益</t>
  </si>
  <si>
    <t>汇兑净收益（单季）</t>
  </si>
  <si>
    <t>汇兑净收益（半年报）</t>
  </si>
  <si>
    <t>毛利</t>
  </si>
  <si>
    <t>毛利率(%)</t>
  </si>
  <si>
    <t>数据来源：Wind</t>
  </si>
  <si>
    <t>Remark</t>
  </si>
  <si>
    <t>Verena Jeng, verena.jeng@gs.com,  +852 2978 1681  Goldman Sachs (Asia) L.L.C.</t>
  </si>
  <si>
    <t>Allen Chang, allen.k.chang@gs.com,  +852 2978 2930  Goldman Sachs (Asia) L.L.C.</t>
  </si>
  <si>
    <t>Rmb m</t>
  </si>
  <si>
    <t>Assumption summary</t>
  </si>
  <si>
    <t>Mix</t>
  </si>
  <si>
    <t>FX</t>
  </si>
  <si>
    <t>Rmb / USD</t>
  </si>
  <si>
    <t>Lookup</t>
  </si>
  <si>
    <t>2019-06-30</t>
  </si>
  <si>
    <t>合并报表(单季度调整)</t>
  </si>
  <si>
    <t>理财产品</t>
  </si>
  <si>
    <t>无形资产情况 - 本期增加额</t>
  </si>
  <si>
    <t>政府补助</t>
  </si>
  <si>
    <t>政府补助 - 其他收益</t>
  </si>
  <si>
    <t>政府补助 - 营业外收入</t>
  </si>
  <si>
    <t>2Q19</t>
  </si>
  <si>
    <t>人工</t>
  </si>
  <si>
    <t>营业成本构成</t>
  </si>
  <si>
    <t>其中:材料</t>
  </si>
  <si>
    <t>制造费用</t>
  </si>
  <si>
    <t>相关费用</t>
  </si>
  <si>
    <t>2019-09-30</t>
  </si>
  <si>
    <t>3Q19</t>
  </si>
  <si>
    <t>Revenues (Rmb m)</t>
  </si>
  <si>
    <t>Rev YoY</t>
  </si>
  <si>
    <t>Market risk premium</t>
  </si>
  <si>
    <t>OP</t>
  </si>
  <si>
    <t>GP</t>
  </si>
  <si>
    <t>Rmb mn</t>
  </si>
  <si>
    <t>PS</t>
  </si>
  <si>
    <t>Unearned revenue</t>
  </si>
  <si>
    <t>Impairment loss to pretax income</t>
  </si>
  <si>
    <t>Depreciation as % of beginning fixed assets</t>
  </si>
  <si>
    <t>Amortization as % of beginning intangible assets</t>
  </si>
  <si>
    <t>Ratio</t>
  </si>
  <si>
    <t>Capex to revenue</t>
  </si>
  <si>
    <t>2024E</t>
  </si>
  <si>
    <t>2025E</t>
  </si>
  <si>
    <t>Capex to revenues</t>
  </si>
  <si>
    <t>2026E</t>
  </si>
  <si>
    <t>Key assumption</t>
  </si>
  <si>
    <t>FCF yields</t>
  </si>
  <si>
    <t>TP (Rmb)</t>
  </si>
  <si>
    <t>Current shareprice (Rmb)</t>
  </si>
  <si>
    <t>Labor costs breakdown</t>
  </si>
  <si>
    <t>Revenue YoY</t>
  </si>
  <si>
    <t>Change</t>
  </si>
  <si>
    <t>Non-op</t>
  </si>
  <si>
    <t>Pretax profit</t>
  </si>
  <si>
    <t>Net profit</t>
  </si>
  <si>
    <t>NP YoY</t>
  </si>
  <si>
    <t xml:space="preserve">COE </t>
  </si>
  <si>
    <t>For Chart</t>
  </si>
  <si>
    <t>2019-12-31</t>
  </si>
  <si>
    <t>2020-03-31</t>
  </si>
  <si>
    <t>4Q19</t>
  </si>
  <si>
    <t>1Q20</t>
  </si>
  <si>
    <t>ROIC (system)</t>
  </si>
  <si>
    <t>ROIC (calculated)</t>
  </si>
  <si>
    <t>CROCI (EDBITA/total equity)</t>
  </si>
  <si>
    <t>2020-06-31</t>
  </si>
  <si>
    <t>2Q20</t>
  </si>
  <si>
    <t>3Q20</t>
  </si>
  <si>
    <t>2020-09-30</t>
  </si>
  <si>
    <t>车载信息娱乐系统</t>
  </si>
  <si>
    <t>车身信息与控制系统</t>
  </si>
  <si>
    <t>驾驶信息显示系统</t>
  </si>
  <si>
    <t>Shipment (k units)</t>
  </si>
  <si>
    <t>ASP (Rmb)</t>
  </si>
  <si>
    <t>2020-06-30</t>
  </si>
  <si>
    <t>三季报</t>
  </si>
  <si>
    <t>中报</t>
  </si>
  <si>
    <t>收入</t>
  </si>
  <si>
    <t>成本</t>
  </si>
  <si>
    <t>业务收入比例(%)</t>
  </si>
  <si>
    <t>车载娱乐系统</t>
  </si>
  <si>
    <t>车载信息系统</t>
  </si>
  <si>
    <t>车载空调控制器</t>
  </si>
  <si>
    <t>EMS</t>
  </si>
  <si>
    <t>其他主营业务</t>
  </si>
  <si>
    <t>其他业务</t>
  </si>
  <si>
    <t>中国大陆</t>
  </si>
  <si>
    <t>国外</t>
  </si>
  <si>
    <t>其他业务(地区)</t>
  </si>
  <si>
    <t>1</t>
  </si>
  <si>
    <t>汇率类型</t>
  </si>
  <si>
    <t>单位 : 元 , CNY</t>
  </si>
  <si>
    <t>3Q26E</t>
  </si>
  <si>
    <t>4Q26E</t>
  </si>
  <si>
    <t>1H20</t>
  </si>
  <si>
    <t>Implied 2022E P/E</t>
  </si>
  <si>
    <t>Market cap (US$m)</t>
  </si>
  <si>
    <t>Market cap (Rmb m)</t>
  </si>
  <si>
    <t>CCC</t>
  </si>
  <si>
    <t>Desay SV APA China market share</t>
  </si>
  <si>
    <t>Desay SV OTA China market share</t>
  </si>
  <si>
    <t>Desay SV DMS China market share</t>
  </si>
  <si>
    <t>DCF</t>
  </si>
  <si>
    <t>2027E</t>
  </si>
  <si>
    <t>2028E</t>
  </si>
  <si>
    <t>2029E</t>
  </si>
  <si>
    <t>2030E</t>
  </si>
  <si>
    <t xml:space="preserve">OP income </t>
  </si>
  <si>
    <t>Terminal growth</t>
  </si>
  <si>
    <t>Terminal value</t>
  </si>
  <si>
    <t>Discount factor</t>
  </si>
  <si>
    <t>Present value of FCF</t>
  </si>
  <si>
    <t>Debt</t>
  </si>
  <si>
    <t>Value per share (Rmb)</t>
  </si>
  <si>
    <t>Risk free rate</t>
  </si>
  <si>
    <t xml:space="preserve"> </t>
  </si>
  <si>
    <t>Cost of equity</t>
  </si>
  <si>
    <t>BB: 11.8%</t>
  </si>
  <si>
    <t>Cost of debt</t>
  </si>
  <si>
    <t>Debt / (debt+equity)</t>
  </si>
  <si>
    <t>WACC</t>
  </si>
  <si>
    <t>BB: 11.5%</t>
  </si>
  <si>
    <t>Enterprise value 2022E (Rmb m)</t>
  </si>
  <si>
    <t>WACC (2022E)</t>
  </si>
  <si>
    <t>Equity value in 2022E (Rmb m)</t>
  </si>
  <si>
    <t>Equity / (debt+equity)</t>
  </si>
  <si>
    <t>Total debt (2022E)</t>
  </si>
  <si>
    <t>Total equity (2022E)</t>
  </si>
  <si>
    <t>Number of shares (2022E)</t>
  </si>
  <si>
    <t>Revenue (Rmb m)</t>
  </si>
  <si>
    <t>4Q20</t>
  </si>
  <si>
    <t>2020-12-31</t>
  </si>
  <si>
    <t>标准无保留意见</t>
  </si>
  <si>
    <t>公司公告值</t>
  </si>
  <si>
    <t>1Q21</t>
  </si>
  <si>
    <t>2021-03-31</t>
  </si>
  <si>
    <t>2H20</t>
  </si>
  <si>
    <t>2Q21</t>
  </si>
  <si>
    <t>2021-06-30</t>
  </si>
  <si>
    <t>1H21</t>
  </si>
  <si>
    <t>3Q21</t>
  </si>
  <si>
    <t>Cambricon (688256.SS)</t>
  </si>
  <si>
    <t>Cambricon</t>
  </si>
  <si>
    <t>688256.SS</t>
  </si>
  <si>
    <t>15.0000</t>
  </si>
  <si>
    <t>点击浏览</t>
  </si>
  <si>
    <t>2021-04-27</t>
  </si>
  <si>
    <t>2021-10-30</t>
  </si>
  <si>
    <t>2021-09-30</t>
  </si>
  <si>
    <t>合并报表(单季度)</t>
  </si>
  <si>
    <t>Selling (Rmb m)</t>
  </si>
  <si>
    <t>Business operation expenses</t>
  </si>
  <si>
    <t>Labor costs</t>
  </si>
  <si>
    <t>Travelling</t>
  </si>
  <si>
    <t>D &amp; office &amp; others</t>
  </si>
  <si>
    <t>G&amp;A (Rmb m)</t>
  </si>
  <si>
    <t>Stock compensation</t>
  </si>
  <si>
    <t>Labor costs (Rmb m)</t>
  </si>
  <si>
    <t># of labors</t>
  </si>
  <si>
    <t>Compensation (Rmb, per person)</t>
  </si>
  <si>
    <t>Mly payment (Rmb, per person)</t>
  </si>
  <si>
    <t>R&amp;D (Rmb m)</t>
  </si>
  <si>
    <t>Tech, testing, material, IP</t>
  </si>
  <si>
    <t>Travelling &amp; Others</t>
  </si>
  <si>
    <t>D&amp;A, rent, others</t>
  </si>
  <si>
    <t>1Q27E</t>
  </si>
  <si>
    <t>2Q27E</t>
  </si>
  <si>
    <t>3Q27E</t>
  </si>
  <si>
    <t>4Q27E</t>
  </si>
  <si>
    <t>Edge chips and accelerator</t>
  </si>
  <si>
    <t>Intelligent computing cluster systems</t>
  </si>
  <si>
    <t>Quarterly distribution</t>
  </si>
  <si>
    <t>COGS - company report</t>
  </si>
  <si>
    <t>No. of projects (units)</t>
  </si>
  <si>
    <t>Average $$ per project (Rmb m)</t>
  </si>
  <si>
    <t>MLU100 (2018 launched, 16nm)</t>
  </si>
  <si>
    <t>MLU270 (2019 launched, 16nm)</t>
  </si>
  <si>
    <t>MLU370 (2021 launched, 7nm)</t>
  </si>
  <si>
    <t>2022-04-16</t>
  </si>
  <si>
    <t>2021-12-31</t>
  </si>
  <si>
    <t>4Q21</t>
  </si>
  <si>
    <t>Cloud - Training machine</t>
  </si>
  <si>
    <t>Cloud - Chips and accelerator</t>
  </si>
  <si>
    <t>2H21</t>
  </si>
  <si>
    <t>SD 5223 (L2+ AV chips)</t>
  </si>
  <si>
    <t>SD 5226 (L4 AV chips)</t>
  </si>
  <si>
    <t>AI processor IP &amp; basic system software</t>
  </si>
  <si>
    <t>Shipments (units)</t>
  </si>
  <si>
    <t>Cash</t>
  </si>
  <si>
    <t>Target EV/EBITDA (sector EV/EBITDA)</t>
  </si>
  <si>
    <t>EBITDA YoY</t>
  </si>
  <si>
    <t>FCF yield</t>
  </si>
  <si>
    <t>2022-03-31</t>
  </si>
  <si>
    <t>1Q22</t>
  </si>
  <si>
    <t>NVIDIA</t>
  </si>
  <si>
    <t>NVDA</t>
  </si>
  <si>
    <t>Neutral</t>
  </si>
  <si>
    <t>Cambricon P/S multiple</t>
  </si>
  <si>
    <t>2Q22</t>
  </si>
  <si>
    <t>2022-06-30</t>
  </si>
  <si>
    <t>2022-09-30</t>
  </si>
  <si>
    <t>3Q22</t>
  </si>
  <si>
    <t>4Q22</t>
  </si>
  <si>
    <t>MLU-590 (4Q22 launched, 5nm)</t>
  </si>
  <si>
    <t>CHG</t>
  </si>
  <si>
    <t>2023-03-31</t>
  </si>
  <si>
    <t>2022-12-31</t>
  </si>
  <si>
    <t>1Q23</t>
  </si>
  <si>
    <t>Old TP</t>
  </si>
  <si>
    <t>NVIDIA PSG chart</t>
  </si>
  <si>
    <t>2Q23</t>
  </si>
  <si>
    <t>3Q23</t>
  </si>
  <si>
    <t>2023-09-30</t>
  </si>
  <si>
    <t>4Q23</t>
  </si>
  <si>
    <t>2023-12-31</t>
  </si>
  <si>
    <t>2024-03-31</t>
  </si>
  <si>
    <t>2024-06-30</t>
  </si>
  <si>
    <t>2024-09-30</t>
  </si>
  <si>
    <t>2024-04-30</t>
  </si>
  <si>
    <t>1Q24</t>
  </si>
  <si>
    <t>2Q24</t>
  </si>
  <si>
    <t>3Q24</t>
  </si>
  <si>
    <t>Rev</t>
  </si>
  <si>
    <t>Cambricon revenues (US$m)</t>
  </si>
  <si>
    <t>Target EV/EBITDA x 2030 EBITDA</t>
  </si>
  <si>
    <t>AMD</t>
  </si>
  <si>
    <t>Jingjia Micro</t>
  </si>
  <si>
    <t>Peers avg.</t>
  </si>
  <si>
    <t>Hygon</t>
  </si>
  <si>
    <t>688041.SS</t>
  </si>
  <si>
    <t>Implied EV/Sales</t>
  </si>
  <si>
    <t>1H24</t>
  </si>
  <si>
    <t>Inventory (Rmb m)</t>
  </si>
  <si>
    <t>Raw material</t>
  </si>
  <si>
    <t>Finished goods</t>
  </si>
  <si>
    <t>Contract liability</t>
  </si>
  <si>
    <t>as a % of Rev (n+1)</t>
  </si>
  <si>
    <t>Cambricon 12M forward EV/Sales</t>
  </si>
  <si>
    <t>NVDA 12M forward EV/Sales</t>
  </si>
  <si>
    <t>Invention patents</t>
  </si>
  <si>
    <t>Engineers avg. compensation (US$)</t>
  </si>
  <si>
    <t># of engineers (RHS)</t>
  </si>
  <si>
    <t>SMIC</t>
  </si>
  <si>
    <t>Montage</t>
  </si>
  <si>
    <t>Naura</t>
  </si>
  <si>
    <t>688981.SS</t>
  </si>
  <si>
    <t>688008.SS</t>
  </si>
  <si>
    <t>002371.SZ</t>
  </si>
  <si>
    <t>Piotech</t>
  </si>
  <si>
    <t>688072.SS</t>
  </si>
  <si>
    <t>NSIG</t>
  </si>
  <si>
    <t>688126.SS</t>
  </si>
  <si>
    <t>Kingsemi</t>
  </si>
  <si>
    <t>688037.SS</t>
  </si>
  <si>
    <t>Empyrean</t>
  </si>
  <si>
    <t>301269.SZ</t>
  </si>
  <si>
    <t>4Q24</t>
  </si>
  <si>
    <t>1Q25</t>
  </si>
  <si>
    <t>Additionaldata</t>
  </si>
  <si>
    <t>政府补助-其他收益</t>
  </si>
  <si>
    <t>政府补助-营业外收入</t>
  </si>
  <si>
    <t>政府补助-其他收益（半年报）</t>
  </si>
  <si>
    <t>政府补助-营业外收入（半年报）</t>
  </si>
  <si>
    <t>Impairmentlosstopretaxincome</t>
  </si>
  <si>
    <t>Quarterlyinventorylevel</t>
  </si>
  <si>
    <t>inventorydays</t>
  </si>
  <si>
    <t>营业收入</t>
  </si>
  <si>
    <t>营业成本</t>
  </si>
  <si>
    <t>税金及附加</t>
  </si>
  <si>
    <t>销售费用</t>
  </si>
  <si>
    <t>管理费用</t>
  </si>
  <si>
    <t>研发费用</t>
  </si>
  <si>
    <t>财务费用</t>
  </si>
  <si>
    <t>其中：利息费用</t>
  </si>
  <si>
    <t>减：利息收入</t>
  </si>
  <si>
    <t>资产减值损失</t>
  </si>
  <si>
    <t>信用减值损失</t>
  </si>
  <si>
    <t>其他收益</t>
  </si>
  <si>
    <t>投资净收益</t>
  </si>
  <si>
    <t>其中：对联营企业和合营企业的投资收益</t>
  </si>
  <si>
    <t>公允价值变动净收益</t>
  </si>
  <si>
    <t>资产处置收益</t>
  </si>
  <si>
    <t>加：营业外收入</t>
  </si>
  <si>
    <t>减：营业外支出</t>
  </si>
  <si>
    <t>其中：非流动资产处置净损失</t>
  </si>
  <si>
    <t>减：所得税</t>
  </si>
  <si>
    <t>持续经营净利润</t>
  </si>
  <si>
    <t>终止经营净利润</t>
  </si>
  <si>
    <t>减：少数股东损益</t>
  </si>
  <si>
    <t>归属于母公司所有者的净利润</t>
  </si>
  <si>
    <t>加：其他综合收益</t>
  </si>
  <si>
    <t>减：归属于少数股东的综合收益总额</t>
  </si>
  <si>
    <t>归属于母公司普通股东综合收益总额</t>
  </si>
  <si>
    <t>基本每股收益</t>
  </si>
  <si>
    <t>稀释每股收益</t>
  </si>
  <si>
    <t>2025-03-31</t>
  </si>
  <si>
    <t>一季报</t>
  </si>
  <si>
    <t>2024-12-31</t>
  </si>
  <si>
    <t>销售商品、提供劳务收到的现金</t>
  </si>
  <si>
    <t>收到的税费返还</t>
  </si>
  <si>
    <t>收到其他与经营活动有关的现金</t>
  </si>
  <si>
    <t>经营活动现金流入小计</t>
  </si>
  <si>
    <t>购买商品、接受劳务支付的现金</t>
  </si>
  <si>
    <t>支付给职工以及为职工支付的现金</t>
  </si>
  <si>
    <t>支付的各项税费</t>
  </si>
  <si>
    <t>支付其他与经营活动有关的现金</t>
  </si>
  <si>
    <t>经营活动现金流出小计</t>
  </si>
  <si>
    <t>经营活动产生的现金流量净额</t>
  </si>
  <si>
    <t>收回投资收到的现金</t>
  </si>
  <si>
    <t>取得投资收益收到的现金</t>
  </si>
  <si>
    <t>处置固定资产、无形资产和其他长期资产收回的现金净额</t>
  </si>
  <si>
    <t>处置子公司及其他营业单位收到的现金净额</t>
  </si>
  <si>
    <t>收到其他与投资活动有关的现金</t>
  </si>
  <si>
    <t>投资活动现金流入小计</t>
  </si>
  <si>
    <t>购建固定资产、无形资产和其他长期资产支付的现金</t>
  </si>
  <si>
    <t>投资支付的现金</t>
  </si>
  <si>
    <t>取得子公司及其他营业单位支付的现金净额</t>
  </si>
  <si>
    <t>支付其他与投资活动有关的现金</t>
  </si>
  <si>
    <t>投资活动现金流出小计</t>
  </si>
  <si>
    <t>投资活动产生的现金流量净额</t>
  </si>
  <si>
    <t>吸收投资收到的现金</t>
  </si>
  <si>
    <t>其中：子公司吸收少数股东投资收到的现金</t>
  </si>
  <si>
    <t>取得借款收到的现金</t>
  </si>
  <si>
    <t>收到其他与筹资活动有关的现金</t>
  </si>
  <si>
    <t>发行债券收到的现金</t>
  </si>
  <si>
    <t>筹资活动现金流入小计</t>
  </si>
  <si>
    <t>偿还债务支付的现金</t>
  </si>
  <si>
    <t>分配股利、利润或偿付利息支付的现金</t>
  </si>
  <si>
    <t>其中：子公司支付给少数股东的股利、利润</t>
  </si>
  <si>
    <t>支付其他与筹资活动有关的现金</t>
  </si>
  <si>
    <t>筹资活动现金流出小计</t>
  </si>
  <si>
    <t>筹资活动产生的现金流量净额</t>
  </si>
  <si>
    <t>期初现金及现金等价物余额</t>
  </si>
  <si>
    <t>期末现金及现金等价物余额</t>
  </si>
  <si>
    <t>加：资产减值准备</t>
  </si>
  <si>
    <t>固定资产折旧、油气资产折耗、生产性生物资产折旧</t>
  </si>
  <si>
    <t>无形资产摊销</t>
  </si>
  <si>
    <t>长期待摊费用摊销</t>
  </si>
  <si>
    <t>处置固定资产、无形资产和其他长期资产的损失</t>
  </si>
  <si>
    <t>固定资产报废损失</t>
  </si>
  <si>
    <t>公允价值变动损失</t>
  </si>
  <si>
    <t>投资损失</t>
  </si>
  <si>
    <t>递延所得税资产减少</t>
  </si>
  <si>
    <t>递延所得税负债增加</t>
  </si>
  <si>
    <t>存货的减少</t>
  </si>
  <si>
    <t>经营性应收项目的减少</t>
  </si>
  <si>
    <t>经营性应付项目的增加</t>
  </si>
  <si>
    <t>其他</t>
  </si>
  <si>
    <t>间接法-经营活动产生的现金流量净额</t>
  </si>
  <si>
    <t>现金的期末余额</t>
  </si>
  <si>
    <t>减：现金的期初余额</t>
  </si>
  <si>
    <t>间接法-现金及现金等价物净增加额</t>
  </si>
  <si>
    <t>货币资金</t>
  </si>
  <si>
    <t>交易性金融资产</t>
  </si>
  <si>
    <t>应收票据及应收账款</t>
  </si>
  <si>
    <t>应收票据</t>
  </si>
  <si>
    <t>应收账款</t>
  </si>
  <si>
    <t>预付款项</t>
  </si>
  <si>
    <t>其他应收款(合计)</t>
  </si>
  <si>
    <t>应收利息</t>
  </si>
  <si>
    <t>其他应收款</t>
  </si>
  <si>
    <t>存货</t>
  </si>
  <si>
    <t>划分为持有待售的资产</t>
  </si>
  <si>
    <t>一年内到期的非流动资产</t>
  </si>
  <si>
    <t>其他流动资产</t>
  </si>
  <si>
    <t>流动资产合计</t>
  </si>
  <si>
    <t>可供出售金融资产</t>
  </si>
  <si>
    <t>长期应收款</t>
  </si>
  <si>
    <t>长期股权投资</t>
  </si>
  <si>
    <t>固定资产(合计)</t>
  </si>
  <si>
    <t>固定资产</t>
  </si>
  <si>
    <t>在建工程(合计)</t>
  </si>
  <si>
    <t>在建工程</t>
  </si>
  <si>
    <t>无形资产</t>
  </si>
  <si>
    <t>开发支出</t>
  </si>
  <si>
    <t>商誉</t>
  </si>
  <si>
    <t>长期待摊费用</t>
  </si>
  <si>
    <t>递延所得税资产</t>
  </si>
  <si>
    <t>其他非流动资产</t>
  </si>
  <si>
    <t>非流动资产合计</t>
  </si>
  <si>
    <t>短期借款</t>
  </si>
  <si>
    <t>交易性金融负债</t>
  </si>
  <si>
    <t>应付票据及应付账款</t>
  </si>
  <si>
    <t>应付票据</t>
  </si>
  <si>
    <t>应付账款</t>
  </si>
  <si>
    <t>预收款项</t>
  </si>
  <si>
    <t>合同负债</t>
  </si>
  <si>
    <t>应付职工薪酬</t>
  </si>
  <si>
    <t>应交税费</t>
  </si>
  <si>
    <t>其他应付款(合计)</t>
  </si>
  <si>
    <t>应付利息</t>
  </si>
  <si>
    <t>应付股利</t>
  </si>
  <si>
    <t>其他应付款</t>
  </si>
  <si>
    <t>一年内到期的非流动负债</t>
  </si>
  <si>
    <t>流动负债合计</t>
  </si>
  <si>
    <t>长期借款</t>
  </si>
  <si>
    <t>应付债券</t>
  </si>
  <si>
    <t>长期应付款(合计)</t>
  </si>
  <si>
    <t>长期应付款</t>
  </si>
  <si>
    <t>专项应付款</t>
  </si>
  <si>
    <t>预计负债</t>
  </si>
  <si>
    <t>递延所得税负债</t>
  </si>
  <si>
    <t>递延收益-非流动负债</t>
  </si>
  <si>
    <t>非流动负债合计</t>
  </si>
  <si>
    <t>负债合计</t>
  </si>
  <si>
    <t>实收资本(或股本)</t>
  </si>
  <si>
    <t>其它权益工具</t>
  </si>
  <si>
    <t>其中：优先股</t>
  </si>
  <si>
    <t>永续债</t>
  </si>
  <si>
    <t>资本公积金</t>
  </si>
  <si>
    <t>减：库存股</t>
  </si>
  <si>
    <t>其它综合收益</t>
  </si>
  <si>
    <t>专项储备</t>
  </si>
  <si>
    <t>盈余公积金</t>
  </si>
  <si>
    <t>未分配利润</t>
  </si>
  <si>
    <t>外币报表折算差额</t>
  </si>
  <si>
    <t>归属于母公司所有者权益合计</t>
  </si>
  <si>
    <t>少数股东权益</t>
  </si>
  <si>
    <t>所有者权益合计</t>
  </si>
  <si>
    <t>2025-04-19</t>
  </si>
  <si>
    <t>1Q28E</t>
  </si>
  <si>
    <t>2Q28E</t>
  </si>
  <si>
    <t>3Q28E</t>
  </si>
  <si>
    <t>4Q28E</t>
  </si>
  <si>
    <t>1Q29E</t>
  </si>
  <si>
    <t>2Q29E</t>
  </si>
  <si>
    <t>3Q29E</t>
  </si>
  <si>
    <t>4Q29E</t>
  </si>
  <si>
    <t>1Q30E</t>
  </si>
  <si>
    <t>2Q30E</t>
  </si>
  <si>
    <t>3Q30E</t>
  </si>
  <si>
    <t>4Q30E</t>
  </si>
  <si>
    <t>ASP (US$)</t>
  </si>
  <si>
    <t>Buy</t>
  </si>
  <si>
    <t>Cambricon cloud chips ASP (US$)</t>
  </si>
  <si>
    <t>Cambricon cloud chips (k units)</t>
  </si>
  <si>
    <t>Rmb k</t>
  </si>
  <si>
    <t># of R&amp;D engineers</t>
  </si>
  <si>
    <t>Revenues per R&amp;D (RHS)</t>
  </si>
  <si>
    <t>2027E OPM</t>
  </si>
  <si>
    <t>SICC</t>
  </si>
  <si>
    <t>Vanchip</t>
  </si>
  <si>
    <t>688234.SS</t>
  </si>
  <si>
    <t>688153.SS</t>
  </si>
  <si>
    <t>2Q25</t>
  </si>
  <si>
    <t>Cross check - Shipment and ASP</t>
  </si>
  <si>
    <t>Cross check - Shipment, IDC</t>
  </si>
  <si>
    <t>AI chips in China (k units), IDC</t>
  </si>
  <si>
    <t>Global suppliers</t>
  </si>
  <si>
    <t>Local suppliers</t>
  </si>
  <si>
    <t>Cambricon's market share in China</t>
  </si>
  <si>
    <t>Cambricon's market share in China local suppliers</t>
  </si>
  <si>
    <t>Cross check - Shipment, SMIC capacity</t>
  </si>
  <si>
    <t>7nm and advanced capacity (wpm)</t>
  </si>
  <si>
    <t>as a % for AI chips</t>
  </si>
  <si>
    <t>Capacity for AI chips (wpm)</t>
  </si>
  <si>
    <t># of die per wafer (Units)</t>
  </si>
  <si>
    <t>Yield rate</t>
  </si>
  <si>
    <t>Huawei training</t>
  </si>
  <si>
    <t>Huawei inferencing</t>
  </si>
  <si>
    <t># of die post yield rate</t>
  </si>
  <si>
    <t>AI chips shipment (k units, die)</t>
  </si>
  <si>
    <t>Huawei + Cambricon S/D</t>
  </si>
  <si>
    <t>Cambricon S/D</t>
  </si>
  <si>
    <t>Implied P/E</t>
  </si>
  <si>
    <t>2026E P/E</t>
  </si>
  <si>
    <t>2027E NI YoY</t>
  </si>
  <si>
    <t>2030E P/E</t>
  </si>
  <si>
    <t>2030E NI YoY</t>
  </si>
  <si>
    <t>2030E OPM</t>
  </si>
  <si>
    <t>Kematek</t>
  </si>
  <si>
    <t>Verisilicon</t>
  </si>
  <si>
    <t>Starpower</t>
  </si>
  <si>
    <t>301611.SZ</t>
  </si>
  <si>
    <t>688521.SS</t>
  </si>
  <si>
    <t>Shareprie</t>
  </si>
  <si>
    <t>TP</t>
  </si>
  <si>
    <t>Centec</t>
  </si>
  <si>
    <t>688702.SS</t>
  </si>
  <si>
    <t>300474.SS</t>
  </si>
  <si>
    <t>TP implied</t>
  </si>
  <si>
    <t>603290.SS</t>
  </si>
  <si>
    <t>JCET</t>
  </si>
  <si>
    <t>600584.SS</t>
  </si>
  <si>
    <t>688729.SS</t>
  </si>
  <si>
    <t>CR Micro</t>
  </si>
  <si>
    <t>688396.SS</t>
  </si>
  <si>
    <t>SG Micro</t>
  </si>
  <si>
    <t>300661.SZ</t>
  </si>
  <si>
    <t>ACMR</t>
  </si>
  <si>
    <t>Peers avg. (A-share)</t>
  </si>
  <si>
    <t>1347.HK</t>
  </si>
  <si>
    <t>Hua Hong</t>
  </si>
  <si>
    <t>2025-06-30</t>
  </si>
  <si>
    <t>3Q25</t>
  </si>
  <si>
    <t>4Q25</t>
  </si>
  <si>
    <t>2025-09-30</t>
  </si>
  <si>
    <t>2025-12-31</t>
  </si>
  <si>
    <t>2026-03-13</t>
  </si>
  <si>
    <t>1Q26</t>
  </si>
  <si>
    <t>MLU-690</t>
  </si>
  <si>
    <t>MLU-790</t>
  </si>
  <si>
    <t>TP implied 2027E PE</t>
  </si>
  <si>
    <t>Enterprise value (Rmb, 2027E)</t>
  </si>
  <si>
    <t>Equity value (Rmb, 2027E)</t>
  </si>
  <si>
    <t>Value per share (Rmb, 2027E); Target Price</t>
  </si>
  <si>
    <t>Biren</t>
  </si>
  <si>
    <t>981.HK</t>
  </si>
  <si>
    <t>2Q26</t>
  </si>
  <si>
    <t>2027E EV/EBITDA</t>
  </si>
  <si>
    <t>2027-28E EBITDA YoY</t>
  </si>
  <si>
    <t>2027-28E EBITDA margin</t>
  </si>
  <si>
    <t>NC</t>
  </si>
  <si>
    <t>v</t>
  </si>
  <si>
    <t>1,841/ 12 Month/ 90%</t>
  </si>
  <si>
    <r>
      <t xml:space="preserve">Market Cap (US$ mn) </t>
    </r>
    <r>
      <rPr>
        <sz val="10"/>
        <rFont val="Helvetica"/>
        <family val="2"/>
      </rPr>
      <t>(</t>
    </r>
    <r>
      <rPr>
        <i/>
        <sz val="9"/>
        <color theme="1"/>
        <rFont val="Calibri"/>
        <family val="2"/>
      </rPr>
      <t>price as of Aug 24, 2026</t>
    </r>
    <r>
      <rPr>
        <sz val="10"/>
        <rFont val="Helvetica"/>
        <family val="2"/>
      </rPr>
      <t>)</t>
    </r>
    <r>
      <rPr>
        <b/>
        <sz val="10.5"/>
        <color theme="1"/>
        <rFont val="Calibri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</si>
</sst>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5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￥&quot;#,##0.00;[Red]&quot;￥&quot;\-#,##0.00"/>
    <numFmt numFmtId="165" formatCode="_ &quot;￥&quot;* #,##0_ ;_ &quot;￥&quot;* \-#,##0_ ;_ &quot;￥&quot;* &quot;-&quot;_ ;_ @_ "/>
    <numFmt numFmtId="166" formatCode="_ * #,##0_ ;_ * \-#,##0_ ;_ * &quot;-&quot;_ ;_ @_ "/>
    <numFmt numFmtId="167" formatCode="_ &quot;￥&quot;* #,##0.00_ ;_ &quot;￥&quot;* \-#,##0.00_ ;_ &quot;￥&quot;* &quot;-&quot;??_ ;_ @_ "/>
    <numFmt numFmtId="168" formatCode="_ * #,##0.00_ ;_ * \-#,##0.00_ ;_ * &quot;-&quot;??_ ;_ @_ "/>
    <numFmt numFmtId="169" formatCode="_(* #,##0.0_);_(* \(#,##0.0\);_(* &quot;-&quot;??_);_(@_)"/>
    <numFmt numFmtId="170" formatCode="0.0%"/>
    <numFmt numFmtId="171" formatCode="0.0"/>
    <numFmt numFmtId="172" formatCode="#,##0.0"/>
    <numFmt numFmtId="173" formatCode="#,##0;[Red]\(#,##0\)"/>
    <numFmt numFmtId="174" formatCode="#,##0;\(#,##0\)"/>
    <numFmt numFmtId="175" formatCode="#,##0.0_);\(#,##0.0\)"/>
    <numFmt numFmtId="176" formatCode=";;;"/>
    <numFmt numFmtId="177" formatCode="0.00_);\(0.00\)"/>
    <numFmt numFmtId="178" formatCode="&quot;C&quot;\ &quot;´&quot;&quot;´&quot;&quot;´&quot;&quot;´&quot;\ &quot;≫&quot;&quot;≫&quot;&quot;≫&quot;&quot;≫&quot;"/>
    <numFmt numFmtId="179" formatCode="&quot;Ç&quot;\ &quot;´&quot;&quot;´&quot;&quot;´&quot;&quot;´&quot;\ &quot;»&quot;&quot;»&quot;&quot;»&quot;&quot;»&quot;"/>
    <numFmt numFmtId="180" formatCode="0.0\x"/>
    <numFmt numFmtId="181" formatCode="_(* #,##0.0_);_(* \(#,##0.0\);_(* &quot;-&quot;_);_(@_)"/>
    <numFmt numFmtId="182" formatCode="#,##0.0_);[Red]\(#,##0.0\)"/>
    <numFmt numFmtId="183" formatCode="0_ "/>
    <numFmt numFmtId="184" formatCode="#,##0.000_);\(#,##0.000\)"/>
    <numFmt numFmtId="185" formatCode="0.000%"/>
    <numFmt numFmtId="186" formatCode="#,##0.00_ "/>
    <numFmt numFmtId="187" formatCode="_-#,##0_-;\(#,##0\);_-\ \ &quot;-&quot;_-;_-@_-"/>
    <numFmt numFmtId="188" formatCode="_-#,##0.00_-;\(#,##0.00\);_-\ \ &quot;-&quot;_-;_-@_-"/>
    <numFmt numFmtId="189" formatCode="mmm/dd/yyyy;_-\ &quot;N/A&quot;_-;_-\ &quot;-&quot;_-"/>
    <numFmt numFmtId="190" formatCode="mmm/yyyy;_-\ &quot;N/A&quot;_-;_-\ &quot;-&quot;_-"/>
    <numFmt numFmtId="191" formatCode="_-#,##0%_-;\(#,##0%\);_-\ &quot;-&quot;_-"/>
    <numFmt numFmtId="192" formatCode="_-#,###,_-;\(#,###,\);_-\ \ &quot;-&quot;_-;_-@_-"/>
    <numFmt numFmtId="193" formatCode="_-#,###.00,_-;\(#,###.00,\);_-\ \ &quot;-&quot;_-;_-@_-"/>
    <numFmt numFmtId="194" formatCode="_-#0&quot;.&quot;0,_-;\(#0&quot;.&quot;0,\);_-\ \ &quot;-&quot;_-;_-@_-"/>
    <numFmt numFmtId="195" formatCode="_-#0&quot;.&quot;0000_-;\(#0&quot;.&quot;0000\);_-\ \ &quot;-&quot;_-;_-@_-"/>
    <numFmt numFmtId="196" formatCode="_([$€-2]* #,##0.00_);_([$€-2]* \(#,##0.00\);_([$€-2]* &quot;-&quot;??_)"/>
    <numFmt numFmtId="197" formatCode="#,##0\x_);\(#,##0\x\)"/>
    <numFmt numFmtId="198" formatCode="#,##0.0_ "/>
    <numFmt numFmtId="199" formatCode="_(* #,##0.0%_);_(* \(#,##0.0%\);_(* &quot;-&quot;_);_(@_)"/>
    <numFmt numFmtId="200" formatCode="#,##0.00;\(#,##0.00\)"/>
    <numFmt numFmtId="201" formatCode="&quot;&quot;\ #,##0_);[Red]\(&quot;&quot;\ #,##0\)"/>
    <numFmt numFmtId="202" formatCode="&quot;&quot;\ #,##0_);[Red]\(&quot;&quot;\ #,##0\)"/>
    <numFmt numFmtId="203" formatCode="0.0_)\%;\(0.0\)\%;0.0_)\%;@_)_%"/>
    <numFmt numFmtId="204" formatCode="#,##0.0_)_%;\(#,##0.0\)_%;0.0_)_%;@_)_%"/>
    <numFmt numFmtId="205" formatCode="\+#,##0.0;\-0.0"/>
    <numFmt numFmtId="206" formatCode="#,###&quot;—&quot;_);\(#,###&quot;—&quot;\)"/>
    <numFmt numFmtId="207" formatCode="#,##0.0_);\(#,##0.0\);#,##0.0_);@_)"/>
    <numFmt numFmtId="208" formatCode="&quot;$&quot;_(#,##0.00_);&quot;$&quot;\(#,##0.00\);&quot;$&quot;_(0.00_);@_)"/>
    <numFmt numFmtId="209" formatCode="#,##0.00_);\(#,##0.00\);0.00_);@_)"/>
    <numFmt numFmtId="210" formatCode="&quot;MR&quot;#,##0.00_);\(&quot;$&quot;#,##0.00\)"/>
    <numFmt numFmtId="211" formatCode="&quot;€&quot;_(#,##0.00_);&quot;€&quot;\(#,##0.00\);&quot;€&quot;_(0.00_);@_)"/>
    <numFmt numFmtId="212" formatCode="&quot;ß&quot;\&amp;\,\&amp;\&amp;0.00_);\(&quot;ß&quot;\&amp;\,\&amp;\&amp;0.00\)"/>
    <numFmt numFmtId="213" formatCode="\+#,##0;\-#,##0"/>
    <numFmt numFmtId="214" formatCode="\+#,##0.00;\-#,##0.00"/>
    <numFmt numFmtId="215" formatCode="#,##0_)\x;\(#,##0\)\x;0_)\x;@_)_x"/>
    <numFmt numFmtId="216" formatCode="#,##0.0_)_x;\(#,##0.0\)_x"/>
    <numFmt numFmtId="217" formatCode="&quot;£&quot;\ #,##0_);[Red]\(&quot;£&quot;\ #,##0\)"/>
    <numFmt numFmtId="218" formatCode="&quot;￥&quot;\ #,##0_);[Red]\(&quot;￥&quot;\ #,##0\)"/>
    <numFmt numFmtId="219" formatCode="0\A"/>
    <numFmt numFmtId="220" formatCode="&quot;•&quot;\ \ @"/>
    <numFmt numFmtId="221" formatCode="\ \ _•&quot;–&quot;\ \ \ \ @"/>
    <numFmt numFmtId="222" formatCode="0.0&quot;  &quot;"/>
    <numFmt numFmtId="223" formatCode="_-* #,##0_-;\(#,##0\);_-* &quot;–&quot;_-;_-@_-"/>
    <numFmt numFmtId="224" formatCode="#,##0;\(#,##0\);&quot;–&quot;;@"/>
    <numFmt numFmtId="225" formatCode="0.0000000"/>
    <numFmt numFmtId="226" formatCode="0.000000"/>
    <numFmt numFmtId="227" formatCode="0.00000000"/>
    <numFmt numFmtId="228" formatCode="_(* #,##0_);[Red]_(* \(#,##0\);_(* &quot;-&quot;??_)"/>
    <numFmt numFmtId="229" formatCode="&quot;C&quot;\ &quot;´&quot;&quot;´&quot;&quot;´&quot;&quot;´&quot;\ &quot;?&quot;&quot;?&quot;&quot;?&quot;&quot;?&quot;"/>
    <numFmt numFmtId="230" formatCode="_ &quot;\&quot;* #,##0_ ;_ &quot;\&quot;* \-#,##0_ ;_ &quot;\&quot;* &quot;-&quot;_ ;_ @_ "/>
    <numFmt numFmtId="231" formatCode="&quot;s&quot;#,##0.00_);[Red]\(&quot;s&quot;#,##0.00\)"/>
    <numFmt numFmtId="232" formatCode="_(* #,##0.00%_);_(* \(#,##0.00%\);_(* &quot;-&quot;_);_(@_)"/>
    <numFmt numFmtId="233" formatCode="&quot;$&quot;_(#,##0.00_);&quot;$&quot;\(#,##0.00\)"/>
    <numFmt numFmtId="234" formatCode="&quot;\&quot;_(#,##0.00_);&quot;\&quot;\(#,##0.00\);&quot;\&quot;_(0.00_);@_)"/>
    <numFmt numFmtId="235" formatCode="#,##0.000000000000"/>
    <numFmt numFmtId="236" formatCode="#,##0_ ;\-#,##0\ "/>
    <numFmt numFmtId="237" formatCode="&quot;\&quot;_(#,##0.00_);&quot;\&quot;\(#,##0.00\)"/>
    <numFmt numFmtId="238" formatCode="#,##0.00000000000"/>
    <numFmt numFmtId="239" formatCode="0.000000%"/>
    <numFmt numFmtId="240" formatCode="&quot;ß&quot;#,##0.00_);[Red]\(&quot;ß&quot;#,##0.00\)"/>
    <numFmt numFmtId="241" formatCode="_ &quot;$&quot;* #,##0_ ;_ &quot;$&quot;* \-#,##0_ ;_ &quot;$&quot;* &quot;-&quot;_ ;_ @_ "/>
    <numFmt numFmtId="242" formatCode="_(* #,##0.0000000000_);_(* \(#,##0.0000000000\);_(* &quot;-&quot;??_);_(@_)"/>
    <numFmt numFmtId="243" formatCode="0.000_)"/>
    <numFmt numFmtId="244" formatCode="#,##0.000_);\(&quot;$&quot;#,##0.000\)"/>
    <numFmt numFmtId="245" formatCode="_(* #,##0.000_);_(* \(#,##0.000\);_(* &quot;-&quot;??_);_(@_)"/>
    <numFmt numFmtId="246" formatCode="#,###&quot;—&quot;;#,###&quot;—&quot;"/>
    <numFmt numFmtId="247" formatCode="0.0%;[Red]\(0.0\)%"/>
    <numFmt numFmtId="248" formatCode="mmmm\-yy"/>
    <numFmt numFmtId="249" formatCode="0_)"/>
    <numFmt numFmtId="250" formatCode="#,##0.00000"/>
    <numFmt numFmtId="251" formatCode="_-* #,##0_-;\-* #,##0_-;_-* &quot;-&quot;?_-;_-@_-"/>
    <numFmt numFmtId="252" formatCode="dd\-mmmm"/>
    <numFmt numFmtId="253" formatCode="_-&quot;$&quot;* #,##0_-;\-&quot;$&quot;* #,##0_-;_-&quot;$&quot;* &quot;-&quot;_-;_-@_-"/>
    <numFmt numFmtId="254" formatCode="_-&quot;$&quot;* #,##0.00_-;\-&quot;$&quot;* #,##0.00_-;_-&quot;$&quot;* &quot;-&quot;??_-;_-@_-"/>
    <numFmt numFmtId="255" formatCode="_-&quot;£&quot;* #,##0.00_-;\-&quot;£&quot;* #,##0.00_-;_-&quot;£&quot;* &quot;-&quot;??_-;_-@_-"/>
    <numFmt numFmtId="256" formatCode="&quot;昞&quot;\ \ @"/>
    <numFmt numFmtId="257" formatCode="d\.m\.yy\ h:mm"/>
    <numFmt numFmtId="258" formatCode="&quot;\&quot;#,##0;[Red]&quot;\&quot;&quot;\&quot;&quot;\&quot;&quot;\&quot;&quot;\&quot;&quot;\&quot;&quot;\&quot;\-#,##0"/>
    <numFmt numFmtId="259" formatCode="0.00_);\(0.00\);0.00"/>
    <numFmt numFmtId="260" formatCode="\$#,##0.00;\(\$#,##0.00\)"/>
    <numFmt numFmtId="261" formatCode="_(* #,##0.0_);_(* \(#,##0.0\);_(* &quot;-&quot;?_);_(@_)"/>
    <numFmt numFmtId="262" formatCode="\$#,##0;\(\$#,##0\)"/>
    <numFmt numFmtId="263" formatCode="0%\);[Red]\(0%"/>
    <numFmt numFmtId="264" formatCode="&quot;$&quot;#,##0_);[Red]&quot;\&quot;&quot;\&quot;\(&quot;$&quot;#,##0&quot;\&quot;&quot;\&quot;\)"/>
    <numFmt numFmtId="265" formatCode="0.00_)"/>
    <numFmt numFmtId="266" formatCode="0.00\%;\-0.00\%;0.00\%"/>
    <numFmt numFmtId="267" formatCode="0.00\x;\-0.00\x;0.00\x"/>
    <numFmt numFmtId="268" formatCode="##0.00000"/>
    <numFmt numFmtId="269" formatCode="0%\);[Red]\(0%\)"/>
    <numFmt numFmtId="270" formatCode="&quot;$&quot;#,##0;[Red]\-&quot;$&quot;#,##0"/>
    <numFmt numFmtId="271" formatCode="dd/mmm/yyyy"/>
    <numFmt numFmtId="272" formatCode="_(* #,##0.00_);_(* \(#,##0.00\);_(* &quot;-&quot;_);_(@_)"/>
    <numFmt numFmtId="273" formatCode="0.0%_);\(0.0%\)"/>
    <numFmt numFmtId="274" formatCode="_-* #,##0.00_-;\-* #,##0.00_-;_-* &quot;-&quot;??_-;_-@_-"/>
    <numFmt numFmtId="275" formatCode="#,###\—_);\(#,###\—\)"/>
    <numFmt numFmtId="276" formatCode="_-* #,##0_-;\-* #,##0_-;_-* &quot;-&quot;_-;_-@_-"/>
    <numFmt numFmtId="277" formatCode="0.0%;\(0.0\)%"/>
    <numFmt numFmtId="278" formatCode="0.000"/>
    <numFmt numFmtId="279" formatCode="#,##0.0;\(#,##0.0\)"/>
    <numFmt numFmtId="280" formatCode="#,##0_%_);\(#,##0\)_%;#,##0_%_);@_%_)"/>
    <numFmt numFmtId="281" formatCode="&quot;$&quot;#,##0_%_);\(&quot;$&quot;#,##0\)_%;&quot;$&quot;#,##0_%_);@_%_)"/>
    <numFmt numFmtId="282" formatCode="&quot;$&quot;#,##0.00_%_);\(&quot;$&quot;#,##0.00\)_%;&quot;$&quot;#,##0.00_%_);@_%_)"/>
    <numFmt numFmtId="283" formatCode="m/d/yy_%_)"/>
    <numFmt numFmtId="284" formatCode="0.0%;\(0.0%\)"/>
    <numFmt numFmtId="285" formatCode="0_%_);\(0\)_%;0_%_);@_%_)"/>
    <numFmt numFmtId="286" formatCode="#,##0.00;\(#,##0.00\);\-"/>
    <numFmt numFmtId="287" formatCode="0.00%;\(0.00%\)"/>
    <numFmt numFmtId="288" formatCode="0.0\%_);\(0.0\%\);0.0\%_);@_%_)"/>
    <numFmt numFmtId="289" formatCode="0.000000_)"/>
    <numFmt numFmtId="290" formatCode="&quot;$&quot;#,##0.0\);\(&quot;$&quot;#,##0.0\)"/>
    <numFmt numFmtId="291" formatCode="0.00000_)"/>
    <numFmt numFmtId="292" formatCode="0.0000000_)"/>
    <numFmt numFmtId="293" formatCode="0.0\x_)_);&quot;NM&quot;_x_)_);0.0\x_)_);@_%_)"/>
    <numFmt numFmtId="294" formatCode="#,##0.0\ \ \ ;\(#,##0.0\)\ \ "/>
    <numFmt numFmtId="295" formatCode="#,##0;\(#,##0\);\-"/>
    <numFmt numFmtId="296" formatCode="\$\ #,##0;&quot;£&quot;\ \-#,##0"/>
    <numFmt numFmtId="297" formatCode="#,##0.00_)\ \x;\(#,##0.00\)\ \x"/>
    <numFmt numFmtId="298" formatCode="&quot;£&quot;#,##0;[Red]\-&quot;£&quot;#,##0"/>
    <numFmt numFmtId="299" formatCode="&quot;£&quot;#,##0.00;[Red]\-&quot;£&quot;#,##0.00"/>
    <numFmt numFmtId="300" formatCode="#,##0.0_)\x;\(#,##0.0\)\x"/>
    <numFmt numFmtId="301" formatCode="#,##0.0_)\x;\(#,##0.0\)\x;0.0_)\x;@_)_x"/>
    <numFmt numFmtId="302" formatCode="#,##0_)_x;\(#,##0\)_x;0_)_x;@_)_x"/>
    <numFmt numFmtId="303" formatCode="#,##0.0_)_x;\(#,##0.0\)_x;0.0_)_x;@_)_x"/>
    <numFmt numFmtId="304" formatCode="0\p"/>
    <numFmt numFmtId="305" formatCode="#,##0.00;;;[White]General"/>
    <numFmt numFmtId="306" formatCode="#,##0.000_);[Red]\(#,##0.000\)"/>
    <numFmt numFmtId="307" formatCode="&quot;$&quot;0.0"/>
    <numFmt numFmtId="308" formatCode="_(&quot;CHF&quot;* #,##0.0_);_(&quot;CHF&quot;* \(#,##0.0\);_(&quot;CHF&quot;* &quot;-&quot;??_);_(@_)"/>
    <numFmt numFmtId="309" formatCode="&quot;$&quot;#,##0.00"/>
    <numFmt numFmtId="310" formatCode="_(* #,##0_);_(* \(#,##0\);_(* &quot;-&quot;??_);_(@_)"/>
    <numFmt numFmtId="311" formatCode="&quot;£&quot;_(#,##0.00_);&quot;£&quot;\(#,##0.00\);&quot;£&quot;_(0.00_);@_)"/>
    <numFmt numFmtId="312" formatCode="\€_(#,##0.00_);\€\(#,##0.00\);\€_(0.00_);@_)"/>
    <numFmt numFmtId="313" formatCode="0.0;\(0.0\)"/>
    <numFmt numFmtId="314" formatCode="m/d"/>
    <numFmt numFmtId="315" formatCode="yyyy"/>
    <numFmt numFmtId="316" formatCode="#,##0.00000;\(#,##0.00000\)"/>
    <numFmt numFmtId="317" formatCode="&quot;$&quot;#,##0.00&quot;A&quot;;[Red]\(&quot;$&quot;#,##0.00\)&quot;A&quot;"/>
    <numFmt numFmtId="318" formatCode="&quot;$&quot;#,##0.00&quot;E&quot;;[Red]\(&quot;$&quot;#,##0.00\)&quot;E&quot;"/>
    <numFmt numFmtId="319" formatCode="&quot;£&quot;0.00\b\n"/>
    <numFmt numFmtId="320" formatCode="0.0%_);[Red]\(0.0%\)"/>
    <numFmt numFmtId="321" formatCode="[$-409]d/mmm/yy;@"/>
    <numFmt numFmtId="322" formatCode="&quot;MR&quot;#,##0.00_);\(&quot;￥&quot;#,##0.00\)"/>
    <numFmt numFmtId="323" formatCode="\$#,##0_);[Red]\(\$#,##0\)"/>
    <numFmt numFmtId="324" formatCode="&quot;113-&quot;@"/>
    <numFmt numFmtId="325" formatCode="#,##0.0\ ;\(#,##0.0\)"/>
    <numFmt numFmtId="326" formatCode="\C&quot;$&quot;\ #,##0.00_);\C&quot;$&quot;\ \(#,##0.00\);\C&quot;$&quot;\ 0.00_)"/>
    <numFmt numFmtId="327" formatCode="&quot;$&quot;#,##0.000\ ;\(&quot;$&quot;#,##0.000\)"/>
    <numFmt numFmtId="328" formatCode="_(&quot;$&quot;#,##0_)&quot;millions&quot;;\(&quot;$&quot;#,##0\)&quot; millions&quot;"/>
    <numFmt numFmtId="329" formatCode="&quot;$&quot;#,##0.00_)\ \ \ ;\(&quot;$&quot;#,##0.00\)\ \ \ "/>
    <numFmt numFmtId="330" formatCode="&quot;$&quot;#,##0.00&quot;*&quot;\ \ ;\(&quot;$&quot;#,##0.00\)&quot;*&quot;\ \ "/>
    <numFmt numFmtId="331" formatCode="&quot;$&quot;#,##0.00\A_)\ ;\(&quot;$&quot;#,##0.00\A\)\ \ "/>
    <numFmt numFmtId="332" formatCode="_(* #,##0%_);_(* \(#,##0%\);_(* &quot;-&quot;_);_(@_)"/>
    <numFmt numFmtId="333" formatCode="_(* #,##0.0\X_);_(* \(#,##0.0\X\);_(* &quot;-&quot;_);_(@_)"/>
    <numFmt numFmtId="334" formatCode="&quot;$&quot;#,##0.00;[Red]\-&quot;$&quot;#,##0.00"/>
    <numFmt numFmtId="335" formatCode="0.0_)"/>
    <numFmt numFmtId="336" formatCode="General_)"/>
    <numFmt numFmtId="337" formatCode="&quot;￡m&quot;\ 0"/>
    <numFmt numFmtId="338" formatCode="&quot;£m&quot;\ 0"/>
    <numFmt numFmtId="339" formatCode="0.0000%"/>
    <numFmt numFmtId="340" formatCode="_(* #,##0.0_);_(* \(#,##0.0\);\-??_);_(* @_)_)"/>
    <numFmt numFmtId="341" formatCode="_(* #,##0.00_);_(* \(#,##0.00\);\-??_);_(* @_)_)"/>
    <numFmt numFmtId="342" formatCode="[Red][&gt;0]_(* #,##0.00_);[Red][&lt;0]_(* \(#,##0.00\);\-??_)"/>
    <numFmt numFmtId="343" formatCode="#,##0.00000000"/>
    <numFmt numFmtId="344" formatCode="#,##0_%_);\(#,##0\)_%"/>
    <numFmt numFmtId="345" formatCode=";;;* @_)"/>
    <numFmt numFmtId="346" formatCode="#,##0_);\-#,##0_)"/>
    <numFmt numFmtId="347" formatCode="&quot;$&quot;#,##0.0_%_);\(&quot;$&quot;#,##0.0\)_%;&quot;$&quot;#,##0.0_%_);@_%_)"/>
    <numFmt numFmtId="348" formatCode="&quot;$&quot;#,##0_%_);\(&quot;$&quot;#,##0\)_%;&quot;$&quot;#,##0_%_);@_$_)"/>
    <numFmt numFmtId="349" formatCode="&quot;$&quot;#,##0.0_%_);\(&quot;$&quot;#,##0.0\)_%"/>
    <numFmt numFmtId="351" formatCode="0\ &quot;Years&quot;_%_)"/>
    <numFmt numFmtId="352" formatCode="#,##0.00_);\(&quot;$&quot;#,##0.00\)"/>
    <numFmt numFmtId="353" formatCode="###,##0.00_ "/>
    <numFmt numFmtId="354" formatCode="###,##0.0000_ "/>
    <numFmt numFmtId="355" formatCode="_(* #,##0.0000_);_(* \(#,##0.0000\);_(* &quot;-&quot;??_);_(@_)"/>
    <numFmt numFmtId="357" formatCode="#,##0.0000"/>
    <numFmt numFmtId="358" formatCode="0&quot;E&quot;"/>
    <numFmt numFmtId="359" formatCode="0\x"/>
    <numFmt numFmtId="360" formatCode="#,##0.0000_ "/>
    <numFmt numFmtId="361" formatCode="_(* #,##0_);* \(#,##0\);_(* &quot;-&quot;_)"/>
    <numFmt numFmtId="362" formatCode="@&quot;E&quot;"/>
    <numFmt numFmtId="363" formatCode="###,##0.0000"/>
    <numFmt numFmtId="364" formatCode="###,##0"/>
  </numFmts>
  <fonts count="358">
    <font>
      <sz val="10"/>
      <name val="Helvetic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Helvetic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u/>
      <sz val="9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name val="Helvetica"/>
      <family val="2"/>
    </font>
    <font>
      <sz val="8"/>
      <name val="Helv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sz val="10"/>
      <color indexed="52"/>
      <name val="Arial"/>
      <family val="2"/>
    </font>
    <font>
      <sz val="10"/>
      <color indexed="17"/>
      <name val="Arial"/>
      <family val="2"/>
    </font>
    <font>
      <sz val="10"/>
      <color indexed="8"/>
      <name val="MS Sans Serif"/>
      <family val="2"/>
    </font>
    <font>
      <b/>
      <sz val="10"/>
      <color indexed="52"/>
      <name val="Arial"/>
      <family val="2"/>
    </font>
    <font>
      <b/>
      <sz val="12"/>
      <name val="宋体"/>
      <family val="3"/>
      <charset val="134"/>
    </font>
    <font>
      <sz val="8"/>
      <color indexed="8"/>
      <name val="Arial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10"/>
      <name val="Arial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0"/>
      <color indexed="20"/>
      <name val="Arial"/>
      <family val="2"/>
    </font>
    <font>
      <i/>
      <sz val="10"/>
      <color indexed="23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1"/>
    </font>
    <font>
      <sz val="11"/>
      <name val="돋움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63"/>
      <name val="Calibri"/>
      <family val="2"/>
    </font>
    <font>
      <sz val="11"/>
      <color indexed="17"/>
      <name val="Calibri"/>
      <family val="2"/>
    </font>
    <font>
      <sz val="11"/>
      <color theme="1"/>
      <name val="Arial"/>
      <family val="3"/>
      <charset val="134"/>
      <scheme val="minor"/>
    </font>
    <font>
      <sz val="12"/>
      <name val="新細明體"/>
      <family val="1"/>
      <charset val="136"/>
    </font>
    <font>
      <sz val="9"/>
      <color indexed="8"/>
      <name val="Arial"/>
      <family val="2"/>
    </font>
    <font>
      <sz val="12"/>
      <name val="????"/>
      <family val="2"/>
    </font>
    <font>
      <sz val="10"/>
      <name val="?? ?????"/>
      <family val="2"/>
      <charset val="128"/>
    </font>
    <font>
      <sz val="12"/>
      <name val="???"/>
      <family val="1"/>
      <charset val="136"/>
    </font>
    <font>
      <sz val="10"/>
      <name val="Times New Roman"/>
      <family val="1"/>
    </font>
    <font>
      <i/>
      <sz val="12"/>
      <name val="Lucida Sans"/>
      <family val="2"/>
    </font>
    <font>
      <sz val="9"/>
      <name val="Lucida Sans"/>
      <family val="2"/>
    </font>
    <font>
      <sz val="11"/>
      <color indexed="10"/>
      <name val="Arial"/>
      <family val="2"/>
    </font>
    <font>
      <sz val="10"/>
      <name val="Helv"/>
      <family val="2"/>
    </font>
    <font>
      <sz val="11"/>
      <name val="?? ?????"/>
      <family val="3"/>
      <charset val="128"/>
    </font>
    <font>
      <b/>
      <sz val="22"/>
      <color indexed="18"/>
      <name val="Arial"/>
      <family val="2"/>
    </font>
    <font>
      <sz val="10"/>
      <name val="Geneva"/>
      <family val="2"/>
    </font>
    <font>
      <b/>
      <sz val="14"/>
      <color indexed="18"/>
      <name val="Arial"/>
      <family val="2"/>
    </font>
    <font>
      <b/>
      <u val="singleAccounting"/>
      <sz val="10"/>
      <color indexed="18"/>
      <name val="Arial"/>
      <family val="2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10"/>
      <name val="Courier"/>
      <family val="3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Times"/>
      <family val="1"/>
    </font>
    <font>
      <sz val="10"/>
      <color indexed="18"/>
      <name val="GS TheSans"/>
      <family val="2"/>
    </font>
    <font>
      <sz val="9"/>
      <color indexed="9"/>
      <name val="Times New Roman"/>
      <family val="1"/>
    </font>
    <font>
      <sz val="9"/>
      <color indexed="12"/>
      <name val="Tms Rm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sz val="10"/>
      <name val="GS TheSans"/>
      <family val="2"/>
    </font>
    <font>
      <b/>
      <sz val="8.5"/>
      <color indexed="17"/>
      <name val="Arial"/>
      <family val="2"/>
    </font>
    <font>
      <sz val="9"/>
      <name val="Tms Rmn"/>
      <family val="1"/>
    </font>
    <font>
      <b/>
      <sz val="14"/>
      <color indexed="8"/>
      <name val="Helv"/>
      <family val="2"/>
    </font>
    <font>
      <sz val="7"/>
      <name val="Arial"/>
      <family val="2"/>
    </font>
    <font>
      <b/>
      <sz val="7"/>
      <color indexed="17"/>
      <name val="Arial"/>
      <family val="2"/>
    </font>
    <font>
      <sz val="8.5"/>
      <color indexed="8"/>
      <name val="Arial"/>
      <family val="2"/>
    </font>
    <font>
      <sz val="10"/>
      <color indexed="10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i/>
      <sz val="16"/>
      <name val="Helv"/>
      <family val="2"/>
    </font>
    <font>
      <i/>
      <sz val="10"/>
      <name val="Helv"/>
      <family val="2"/>
    </font>
    <font>
      <b/>
      <sz val="14"/>
      <name val="Times New Roman"/>
      <family val="1"/>
    </font>
    <font>
      <sz val="8"/>
      <name val="Times New Roman"/>
      <family val="1"/>
    </font>
    <font>
      <sz val="12"/>
      <name val="Helvetica"/>
      <family val="2"/>
    </font>
    <font>
      <b/>
      <sz val="8"/>
      <name val="HelveticaNeue Condensed"/>
      <family val="2"/>
    </font>
    <font>
      <sz val="8"/>
      <name val="HelveticaNeue LightCond"/>
      <family val="2"/>
    </font>
    <font>
      <b/>
      <sz val="7"/>
      <name val="HelveticaNeue Condensed"/>
      <family val="2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8.5"/>
      <color indexed="8"/>
      <name val="Arial"/>
      <family val="2"/>
    </font>
    <font>
      <b/>
      <sz val="10"/>
      <name val="Times New Roman"/>
      <family val="1"/>
    </font>
    <font>
      <sz val="8"/>
      <name val="华文楷体"/>
      <family val="3"/>
      <charset val="134"/>
    </font>
    <font>
      <u/>
      <sz val="8"/>
      <color indexed="36"/>
      <name val="Arial"/>
      <family val="2"/>
    </font>
    <font>
      <sz val="9"/>
      <name val="华文楷体"/>
      <family val="3"/>
      <charset val="134"/>
    </font>
    <font>
      <sz val="10"/>
      <name val="ＭＳ Ｐゴシック"/>
      <family val="2"/>
      <charset val="128"/>
    </font>
    <font>
      <sz val="9"/>
      <name val="Times New Roman"/>
      <family val="1"/>
    </font>
    <font>
      <u/>
      <sz val="8"/>
      <color indexed="12"/>
      <name val="Arial"/>
      <family val="2"/>
    </font>
    <font>
      <sz val="11"/>
      <name val="蹈框"/>
      <family val="2"/>
      <charset val="134"/>
    </font>
    <font>
      <sz val="11"/>
      <color theme="1"/>
      <name val="Univers LT Std 55"/>
      <family val="2"/>
    </font>
    <font>
      <sz val="11"/>
      <color indexed="8"/>
      <name val="Univers LT Std 55"/>
      <family val="2"/>
    </font>
    <font>
      <sz val="12"/>
      <name val="宋体"/>
      <family val="3"/>
      <charset val="134"/>
    </font>
    <font>
      <sz val="11"/>
      <color rgb="FF3F3F76"/>
      <name val="Arial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新細明體"/>
      <family val="1"/>
      <charset val="136"/>
    </font>
    <font>
      <sz val="12"/>
      <name val="·s²Ó©úÅé"/>
      <family val="1"/>
    </font>
    <font>
      <sz val="11"/>
      <color indexed="9"/>
      <name val="新細明體"/>
      <family val="1"/>
      <charset val="136"/>
    </font>
    <font>
      <u/>
      <sz val="10"/>
      <color indexed="20"/>
      <name val="Arial"/>
      <family val="2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0"/>
      <name val="Helv"/>
      <family val="2"/>
    </font>
    <font>
      <b/>
      <sz val="11"/>
      <color indexed="9"/>
      <name val="新細明體"/>
      <family val="1"/>
      <charset val="136"/>
    </font>
    <font>
      <sz val="12"/>
      <name val="楷体_GB2312"/>
      <family val="3"/>
      <charset val="134"/>
    </font>
    <font>
      <sz val="24"/>
      <name val="MS Sans Serif"/>
      <family val="2"/>
    </font>
    <font>
      <sz val="12"/>
      <name val="Tms Rmn"/>
      <family val="1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2"/>
      <name val="Helv"/>
      <family val="2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i/>
      <sz val="10"/>
      <color indexed="58"/>
      <name val="Times New Roman"/>
      <family val="1"/>
    </font>
    <font>
      <sz val="11"/>
      <color indexed="52"/>
      <name val="新細明體"/>
      <family val="1"/>
      <charset val="136"/>
    </font>
    <font>
      <sz val="12"/>
      <color indexed="17"/>
      <name val="Times New Roman"/>
      <family val="1"/>
    </font>
    <font>
      <b/>
      <sz val="11"/>
      <name val="Helv"/>
      <family val="2"/>
    </font>
    <font>
      <sz val="11"/>
      <color indexed="60"/>
      <name val="新細明體"/>
      <family val="1"/>
      <charset val="136"/>
    </font>
    <font>
      <sz val="8"/>
      <name val="MS Sans Serif"/>
      <family val="2"/>
    </font>
    <font>
      <b/>
      <sz val="11"/>
      <color indexed="63"/>
      <name val="新細明體"/>
      <family val="1"/>
      <charset val="136"/>
    </font>
    <font>
      <sz val="11"/>
      <color indexed="8"/>
      <name val="Times New Roman"/>
      <family val="1"/>
    </font>
    <font>
      <sz val="10"/>
      <color indexed="12"/>
      <name val="MS Sans Serif"/>
      <family val="2"/>
    </font>
    <font>
      <b/>
      <sz val="18"/>
      <color indexed="56"/>
      <name val="新細明體"/>
      <family val="1"/>
      <charset val="136"/>
    </font>
    <font>
      <sz val="11"/>
      <color indexed="10"/>
      <name val="新細明體"/>
      <family val="1"/>
      <charset val="136"/>
    </font>
    <font>
      <u/>
      <sz val="12"/>
      <color indexed="12"/>
      <name val="穝灿砰"/>
      <charset val="134"/>
    </font>
    <font>
      <u/>
      <sz val="12"/>
      <color indexed="36"/>
      <name val="穝灿砰"/>
      <charset val="134"/>
    </font>
    <font>
      <sz val="14"/>
      <name val="Times New Roman"/>
      <family val="1"/>
    </font>
    <font>
      <sz val="12"/>
      <color indexed="39"/>
      <name val="宋体"/>
      <family val="3"/>
      <charset val="134"/>
    </font>
    <font>
      <sz val="11"/>
      <color theme="1"/>
      <name val="Arial"/>
      <family val="2"/>
      <charset val="134"/>
      <scheme val="minor"/>
    </font>
    <font>
      <sz val="8"/>
      <color indexed="49"/>
      <name val="Times New Roman"/>
      <family val="1"/>
    </font>
    <font>
      <sz val="8"/>
      <name val="Helv"/>
    </font>
    <font>
      <sz val="10"/>
      <name val="Helv"/>
    </font>
    <font>
      <sz val="9"/>
      <color indexed="12"/>
      <name val="Tms Rmn"/>
    </font>
    <font>
      <b/>
      <sz val="8"/>
      <color indexed="32"/>
      <name val="Arial"/>
      <family val="2"/>
    </font>
    <font>
      <sz val="8"/>
      <color indexed="12"/>
      <name val="Helv"/>
    </font>
    <font>
      <sz val="8"/>
      <name val="Palatino"/>
      <family val="1"/>
    </font>
    <font>
      <b/>
      <sz val="8"/>
      <name val="Times New Roman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0"/>
      <color indexed="10"/>
      <name val="Helv"/>
    </font>
    <font>
      <sz val="10"/>
      <name val="Tms Rmn"/>
    </font>
    <font>
      <sz val="10"/>
      <name val="Palatino"/>
      <family val="1"/>
    </font>
    <font>
      <sz val="11"/>
      <name val="Arial Narrow"/>
      <family val="2"/>
    </font>
    <font>
      <i/>
      <sz val="10"/>
      <name val="Helv"/>
    </font>
    <font>
      <sz val="10"/>
      <color indexed="16"/>
      <name val="Helvetica-Black"/>
    </font>
    <font>
      <b/>
      <sz val="10"/>
      <name val="Helv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9"/>
      <color indexed="8"/>
      <name val="Helv"/>
    </font>
    <font>
      <sz val="10"/>
      <name val="MS Serif"/>
      <family val="1"/>
    </font>
    <font>
      <sz val="8"/>
      <name val="Tahoma"/>
      <family val="2"/>
    </font>
    <font>
      <b/>
      <sz val="12"/>
      <name val="Tms Rmn"/>
    </font>
    <font>
      <b/>
      <i/>
      <sz val="8"/>
      <name val="Arial"/>
      <family val="2"/>
    </font>
    <font>
      <b/>
      <sz val="10"/>
      <name val="Bookman"/>
      <family val="1"/>
    </font>
    <font>
      <b/>
      <sz val="14"/>
      <name val="Book Antiqua"/>
      <family val="1"/>
    </font>
    <font>
      <sz val="11"/>
      <color indexed="12"/>
      <name val="Book Antiqua"/>
      <family val="1"/>
    </font>
    <font>
      <sz val="10"/>
      <name val="Book Antiqua"/>
      <family val="1"/>
    </font>
    <font>
      <b/>
      <sz val="8"/>
      <name val="Book Antiqua"/>
      <family val="1"/>
    </font>
    <font>
      <b/>
      <sz val="10"/>
      <name val="Palatino"/>
      <family val="1"/>
    </font>
    <font>
      <sz val="8"/>
      <name val="Book Antiqua"/>
      <family val="1"/>
    </font>
    <font>
      <i/>
      <sz val="7"/>
      <name val="Book Antiqua"/>
      <family val="1"/>
    </font>
    <font>
      <sz val="8"/>
      <color indexed="9"/>
      <name val="Arial"/>
      <family val="2"/>
    </font>
    <font>
      <sz val="10"/>
      <color indexed="72"/>
      <name val="System"/>
      <family val="2"/>
    </font>
    <font>
      <b/>
      <u/>
      <sz val="14"/>
      <name val="Book Antiqua"/>
      <family val="1"/>
    </font>
    <font>
      <b/>
      <sz val="10"/>
      <name val="Book Antiqua"/>
      <family val="1"/>
    </font>
    <font>
      <b/>
      <sz val="7"/>
      <name val="Arial"/>
      <family val="2"/>
    </font>
    <font>
      <b/>
      <sz val="11"/>
      <color theme="1"/>
      <name val="Calibri"/>
      <family val="2"/>
    </font>
    <font>
      <sz val="12"/>
      <name val="宋体"/>
      <charset val="134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9C0006"/>
      <name val="Arial"/>
      <family val="2"/>
      <scheme val="minor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7"/>
      <name val="GillSans"/>
      <family val="2"/>
    </font>
    <font>
      <i/>
      <sz val="11"/>
      <color indexed="23"/>
      <name val="Calibri"/>
      <family val="2"/>
    </font>
    <font>
      <sz val="11"/>
      <color rgb="FF006100"/>
      <name val="Arial"/>
      <family val="2"/>
      <scheme val="minor"/>
    </font>
    <font>
      <i/>
      <sz val="8"/>
      <color indexed="17"/>
      <name val="Times New Roman"/>
      <family val="1"/>
    </font>
    <font>
      <sz val="8"/>
      <color indexed="2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8"/>
      <color indexed="18"/>
      <name val="Times New Roman"/>
      <family val="1"/>
    </font>
    <font>
      <sz val="11"/>
      <color rgb="FF9C6500"/>
      <name val="Arial"/>
      <family val="2"/>
      <scheme val="minor"/>
    </font>
    <font>
      <sz val="11"/>
      <color indexed="60"/>
      <name val="Calibri"/>
      <family val="2"/>
    </font>
    <font>
      <b/>
      <sz val="11"/>
      <color rgb="FF3F3F3F"/>
      <name val="Arial"/>
      <family val="2"/>
      <scheme val="minor"/>
    </font>
    <font>
      <sz val="10"/>
      <name val="GillSans Light"/>
      <family val="2"/>
    </font>
    <font>
      <sz val="8"/>
      <color indexed="12"/>
      <name val="Arial"/>
      <family val="2"/>
    </font>
    <font>
      <sz val="12"/>
      <name val="宋体"/>
    </font>
    <font>
      <u/>
      <sz val="11"/>
      <color theme="10"/>
      <name val="Arial"/>
      <family val="2"/>
      <scheme val="minor"/>
    </font>
    <font>
      <sz val="11"/>
      <name val="돋움"/>
      <family val="3"/>
      <charset val="129"/>
    </font>
    <font>
      <sz val="12"/>
      <name val="바탕체"/>
      <family val="3"/>
      <charset val="129"/>
    </font>
    <font>
      <b/>
      <sz val="11"/>
      <color theme="1"/>
      <name val="Arial"/>
      <family val="2"/>
      <scheme val="minor"/>
    </font>
    <font>
      <sz val="11"/>
      <name val="ＭＳ Ｐゴシック"/>
      <family val="2"/>
      <charset val="128"/>
    </font>
    <font>
      <sz val="12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name val="Tahoma"/>
      <family val="2"/>
    </font>
    <font>
      <b/>
      <i/>
      <sz val="11"/>
      <name val="Tahoma"/>
      <family val="2"/>
    </font>
    <font>
      <sz val="11"/>
      <name val="Tahoma"/>
      <family val="2"/>
    </font>
    <font>
      <sz val="10.5"/>
      <color theme="1"/>
      <name val="Calibri"/>
      <family val="2"/>
    </font>
    <font>
      <b/>
      <sz val="11.5"/>
      <color theme="0"/>
      <name val="Calibri"/>
      <family val="2"/>
    </font>
    <font>
      <b/>
      <sz val="10.5"/>
      <color theme="1"/>
      <name val="Calibri"/>
      <family val="2"/>
    </font>
    <font>
      <i/>
      <sz val="9"/>
      <color theme="1"/>
      <name val="Calibri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GillSans"/>
      <family val="2"/>
    </font>
    <font>
      <sz val="10"/>
      <color indexed="12"/>
      <name val="Helv"/>
      <family val="2"/>
    </font>
    <font>
      <sz val="8"/>
      <color indexed="12"/>
      <name val="Times New Roman"/>
      <family val="1"/>
    </font>
    <font>
      <b/>
      <i/>
      <sz val="8"/>
      <color indexed="8"/>
      <name val="Times New Roman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  <family val="2"/>
    </font>
    <font>
      <sz val="8"/>
      <color indexed="8"/>
      <name val="Times New Roman"/>
      <family val="1"/>
    </font>
    <font>
      <sz val="6"/>
      <color indexed="23"/>
      <name val="Helvetica-Black"/>
      <family val="2"/>
    </font>
    <font>
      <sz val="9.5"/>
      <color indexed="23"/>
      <name val="Helvetica-Black"/>
      <family val="2"/>
    </font>
    <font>
      <sz val="12"/>
      <name val="Helv"/>
      <family val="2"/>
    </font>
    <font>
      <sz val="6"/>
      <name val="Palatino"/>
      <family val="1"/>
    </font>
    <font>
      <sz val="6"/>
      <color indexed="12"/>
      <name val="Palatino"/>
      <family val="1"/>
    </font>
    <font>
      <sz val="10"/>
      <name val="Helvetica-Black"/>
      <family val="2"/>
    </font>
    <font>
      <sz val="28"/>
      <name val="Helvetica-Black"/>
      <family val="2"/>
    </font>
    <font>
      <sz val="18"/>
      <name val="Palatino"/>
      <family val="1"/>
    </font>
    <font>
      <i/>
      <sz val="14"/>
      <name val="Palatino"/>
      <family val="1"/>
    </font>
    <font>
      <sz val="8"/>
      <color indexed="16"/>
      <name val="Palatino"/>
      <family val="1"/>
    </font>
    <font>
      <sz val="8"/>
      <color theme="1"/>
      <name val="Arial"/>
      <family val="2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0000FF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u/>
      <sz val="10"/>
      <color rgb="FF0000FF"/>
      <name val="Arial"/>
      <family val="2"/>
      <scheme val="minor"/>
    </font>
    <font>
      <b/>
      <sz val="10"/>
      <color rgb="FF0000FF"/>
      <name val="Arial"/>
      <family val="2"/>
      <scheme val="minor"/>
    </font>
    <font>
      <i/>
      <sz val="10"/>
      <color theme="0" tint="-0.499984740745262"/>
      <name val="Arial"/>
      <family val="2"/>
      <scheme val="minor"/>
    </font>
    <font>
      <sz val="10"/>
      <name val="Calibri"/>
      <family val="2"/>
    </font>
    <font>
      <i/>
      <sz val="10"/>
      <color theme="0" tint="-0.499984740745262"/>
      <name val="Calibri"/>
      <family val="2"/>
    </font>
    <font>
      <b/>
      <sz val="10"/>
      <color theme="0"/>
      <name val="Calibri"/>
      <family val="2"/>
    </font>
    <font>
      <b/>
      <u/>
      <sz val="10"/>
      <name val="Calibri"/>
      <family val="2"/>
    </font>
    <font>
      <sz val="10"/>
      <color rgb="FF0000FF"/>
      <name val="Calibri"/>
      <family val="2"/>
    </font>
    <font>
      <sz val="10"/>
      <color rgb="FFFF0000"/>
      <name val="Calibri"/>
      <family val="2"/>
    </font>
    <font>
      <sz val="10"/>
      <color rgb="FF008000"/>
      <name val="Calibri"/>
      <family val="2"/>
    </font>
    <font>
      <i/>
      <sz val="10"/>
      <color rgb="FFFF0000"/>
      <name val="Calibri"/>
      <family val="2"/>
    </font>
    <font>
      <b/>
      <u/>
      <sz val="10"/>
      <color rgb="FF008000"/>
      <name val="Calibri"/>
      <family val="2"/>
    </font>
    <font>
      <b/>
      <u/>
      <sz val="10"/>
      <color rgb="FFFF0000"/>
      <name val="Calibri"/>
      <family val="2"/>
    </font>
    <font>
      <b/>
      <u/>
      <sz val="10"/>
      <color rgb="FF0000FF"/>
      <name val="Calibri"/>
      <family val="2"/>
    </font>
    <font>
      <u/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u/>
      <sz val="10"/>
      <color theme="0"/>
      <name val="Calibri"/>
      <family val="2"/>
    </font>
    <font>
      <b/>
      <sz val="10"/>
      <color theme="0"/>
      <name val="Helvetica"/>
    </font>
    <font>
      <sz val="10"/>
      <color theme="0"/>
      <name val="Arial"/>
      <family val="2"/>
      <scheme val="minor"/>
    </font>
    <font>
      <b/>
      <u/>
      <sz val="10"/>
      <name val="Arial"/>
      <family val="2"/>
      <scheme val="minor"/>
    </font>
    <font>
      <sz val="10"/>
      <color theme="1"/>
      <name val="Arial"/>
      <family val="2"/>
    </font>
    <font>
      <sz val="10"/>
      <color theme="0" tint="-0.499984740745262"/>
      <name val="Calibri"/>
      <family val="2"/>
    </font>
    <font>
      <i/>
      <sz val="10"/>
      <name val="Calibri"/>
      <family val="2"/>
    </font>
    <font>
      <i/>
      <sz val="10"/>
      <color rgb="FF008000"/>
      <name val="Calibri"/>
      <family val="2"/>
    </font>
    <font>
      <b/>
      <i/>
      <u/>
      <sz val="10"/>
      <name val="Calibri"/>
      <family val="2"/>
    </font>
    <font>
      <b/>
      <u/>
      <sz val="10"/>
      <color theme="0" tint="-0.499984740745262"/>
      <name val="Calibri"/>
      <family val="2"/>
    </font>
    <font>
      <b/>
      <sz val="10"/>
      <color theme="0" tint="-0.499984740745262"/>
      <name val="Calibri"/>
      <family val="2"/>
    </font>
    <font>
      <b/>
      <sz val="10"/>
      <name val="Arial"/>
      <family val="2"/>
      <scheme val="minor"/>
    </font>
    <font>
      <u/>
      <sz val="10"/>
      <color theme="1"/>
      <name val="Calibri"/>
      <family val="2"/>
    </font>
    <font>
      <u/>
      <sz val="10"/>
      <color theme="0"/>
      <name val="Calibri"/>
      <family val="2"/>
    </font>
    <font>
      <i/>
      <sz val="10"/>
      <color theme="8"/>
      <name val="Calibri"/>
      <family val="2"/>
    </font>
    <font>
      <sz val="10"/>
      <color rgb="FFC00000"/>
      <name val="Calibri"/>
      <family val="2"/>
    </font>
    <font>
      <i/>
      <sz val="10"/>
      <color theme="0"/>
      <name val="Calibri"/>
      <family val="2"/>
    </font>
    <font>
      <b/>
      <sz val="10"/>
      <color rgb="FFC00000"/>
      <name val="Calibri"/>
      <family val="2"/>
    </font>
    <font>
      <i/>
      <sz val="10"/>
      <color rgb="FFC00000"/>
      <name val="Calibri"/>
      <family val="2"/>
    </font>
    <font>
      <i/>
      <sz val="10"/>
      <color rgb="FF0000FF"/>
      <name val="Calibri"/>
      <family val="2"/>
    </font>
    <font>
      <b/>
      <u/>
      <sz val="10"/>
      <color rgb="FF0033CC"/>
      <name val="Calibri"/>
      <family val="2"/>
    </font>
    <font>
      <sz val="10"/>
      <color theme="0"/>
      <name val="Helvetica"/>
      <family val="2"/>
    </font>
    <font>
      <sz val="11"/>
      <color theme="0"/>
      <name val="Calibri"/>
      <family val="2"/>
    </font>
    <font>
      <sz val="11"/>
      <color theme="0"/>
      <name val="宋体"/>
    </font>
    <font>
      <b/>
      <sz val="10"/>
      <color theme="0"/>
      <name val="Helvetica"/>
      <family val="2"/>
    </font>
    <font>
      <sz val="9"/>
      <color theme="0"/>
      <name val="Arial"/>
      <family val="2"/>
    </font>
    <font>
      <b/>
      <u/>
      <sz val="10"/>
      <color theme="0"/>
      <name val="Arial"/>
      <family val="2"/>
      <scheme val="minor"/>
    </font>
    <font>
      <sz val="11"/>
      <color theme="0"/>
      <name val="Arial"/>
      <family val="2"/>
      <charset val="134"/>
      <scheme val="minor"/>
    </font>
    <font>
      <b/>
      <i/>
      <sz val="10"/>
      <color theme="0"/>
      <name val="Calibri"/>
      <family val="2"/>
    </font>
  </fonts>
  <fills count="131">
    <fill>
      <patternFill patternType="none"/>
    </fill>
    <fill>
      <patternFill patternType="gray125"/>
    </fill>
    <fill>
      <patternFill patternType="solid">
        <fgColor indexed="30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44"/>
        <bgColor indexed="44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15"/>
        <bgColor indexed="15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fgColor indexed="10"/>
        <bgColor indexed="9"/>
      </patternFill>
    </fill>
    <fill>
      <patternFill patternType="lightGray">
        <fgColor indexed="14"/>
        <bgColor indexed="9"/>
      </patternFill>
    </fill>
    <fill>
      <patternFill patternType="lightGray">
        <fgColor indexed="12"/>
        <bgColor indexed="9"/>
      </patternFill>
    </fill>
    <fill>
      <patternFill patternType="solid">
        <fgColor indexed="11"/>
        <bgColor indexed="9"/>
      </patternFill>
    </fill>
    <fill>
      <patternFill patternType="solid">
        <fgColor indexed="13"/>
      </patternFill>
    </fill>
    <fill>
      <patternFill patternType="lightGray">
        <fgColor indexed="22"/>
        <bgColor indexed="9"/>
      </patternFill>
    </fill>
    <fill>
      <patternFill patternType="solid">
        <fgColor rgb="FFFFCC99"/>
      </patternFill>
    </fill>
    <fill>
      <patternFill patternType="lightGray">
        <fgColor indexed="12"/>
      </patternFill>
    </fill>
    <fill>
      <patternFill patternType="solid">
        <fgColor indexed="1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gray0625"/>
    </fill>
    <fill>
      <patternFill patternType="lightGray">
        <fgColor indexed="1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mediumGray">
        <fgColor indexed="9"/>
        <bgColor indexed="43"/>
      </patternFill>
    </fill>
    <fill>
      <patternFill patternType="mediumGray">
        <fgColor indexed="9"/>
        <bgColor indexed="41"/>
      </patternFill>
    </fill>
    <fill>
      <patternFill patternType="solid">
        <fgColor theme="5" tint="-0.74999237037263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23"/>
      </left>
      <right style="dashed">
        <color indexed="9"/>
      </right>
      <top/>
      <bottom style="dashed">
        <color indexed="9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9"/>
      </left>
      <right style="thick">
        <color indexed="9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1353">
    <xf numFmtId="0" fontId="0" fillId="0" borderId="0"/>
    <xf numFmtId="0" fontId="21" fillId="0" borderId="0"/>
    <xf numFmtId="178" fontId="37" fillId="0" borderId="0"/>
    <xf numFmtId="0" fontId="21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64" fillId="0" borderId="0"/>
    <xf numFmtId="0" fontId="21" fillId="0" borderId="0"/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41" fillId="30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27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20" borderId="0" applyNumberFormat="0" applyBorder="0" applyAlignment="0" applyProtection="0"/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7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0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0" borderId="0" applyNumberFormat="0" applyBorder="0" applyAlignment="0" applyProtection="0"/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19" borderId="0" applyNumberFormat="0" applyBorder="0" applyAlignment="0" applyProtection="0"/>
    <xf numFmtId="0" fontId="79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1" borderId="0" applyNumberFormat="0" applyBorder="0" applyAlignment="0" applyProtection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2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7" borderId="0" applyNumberFormat="0" applyBorder="0" applyAlignment="0" applyProtection="0"/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64" fillId="10" borderId="0" applyNumberFormat="0" applyBorder="0" applyAlignment="0">
      <protection locked="0"/>
    </xf>
    <xf numFmtId="0" fontId="47" fillId="40" borderId="1" applyNumberFormat="0" applyAlignment="0" applyProtection="0">
      <alignment vertical="center"/>
    </xf>
    <xf numFmtId="0" fontId="31" fillId="41" borderId="2" applyNumberFormat="0" applyAlignment="0" applyProtection="0">
      <alignment vertical="center"/>
    </xf>
    <xf numFmtId="43" fontId="3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98" fillId="0" borderId="0" applyFont="0" applyFill="0" applyBorder="0" applyAlignment="0" applyProtection="0"/>
    <xf numFmtId="16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43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72" fillId="0" borderId="3" applyNumberFormat="0" applyFill="0" applyAlignment="0" applyProtection="0">
      <alignment vertical="center"/>
    </xf>
    <xf numFmtId="0" fontId="73" fillId="0" borderId="4" applyNumberFormat="0" applyFill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9" borderId="1" applyNumberFormat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76" fillId="47" borderId="0" applyNumberFormat="0" applyBorder="0" applyAlignment="0" applyProtection="0">
      <alignment vertical="center"/>
    </xf>
    <xf numFmtId="0" fontId="98" fillId="0" borderId="0"/>
    <xf numFmtId="0" fontId="98" fillId="0" borderId="0"/>
    <xf numFmtId="0" fontId="21" fillId="0" borderId="0"/>
    <xf numFmtId="0" fontId="21" fillId="0" borderId="0"/>
    <xf numFmtId="0" fontId="64" fillId="14" borderId="7" applyNumberFormat="0" applyFont="0" applyAlignment="0" applyProtection="0">
      <alignment vertical="center"/>
    </xf>
    <xf numFmtId="0" fontId="77" fillId="40" borderId="8" applyNumberFormat="0" applyAlignment="0" applyProtection="0">
      <alignment vertical="center"/>
    </xf>
    <xf numFmtId="9" fontId="2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26" fillId="7" borderId="12" applyNumberFormat="0">
      <protection locked="0"/>
    </xf>
    <xf numFmtId="0" fontId="33" fillId="52" borderId="13" applyBorder="0"/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2" fillId="56" borderId="14" applyNumberFormat="0" applyProtection="0">
      <alignment vertical="center"/>
    </xf>
    <xf numFmtId="4" fontId="84" fillId="14" borderId="10" applyNumberFormat="0" applyProtection="0">
      <alignment vertical="center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0" fontId="26" fillId="59" borderId="14"/>
    <xf numFmtId="0" fontId="26" fillId="59" borderId="14"/>
    <xf numFmtId="0" fontId="26" fillId="59" borderId="14"/>
    <xf numFmtId="0" fontId="26" fillId="59" borderId="14"/>
    <xf numFmtId="0" fontId="26" fillId="59" borderId="14"/>
    <xf numFmtId="0" fontId="26" fillId="59" borderId="14"/>
    <xf numFmtId="0" fontId="26" fillId="59" borderId="14"/>
    <xf numFmtId="0" fontId="26" fillId="59" borderId="14"/>
    <xf numFmtId="0" fontId="26" fillId="59" borderId="14"/>
    <xf numFmtId="0" fontId="26" fillId="59" borderId="14"/>
    <xf numFmtId="0" fontId="26" fillId="59" borderId="14"/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1" fillId="0" borderId="0">
      <alignment vertical="top"/>
    </xf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65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8" fillId="0" borderId="0"/>
    <xf numFmtId="168" fontId="64" fillId="0" borderId="0" applyFont="0" applyFill="0" applyBorder="0" applyAlignment="0" applyProtection="0"/>
    <xf numFmtId="0" fontId="56" fillId="6" borderId="0" applyNumberFormat="0" applyBorder="0" applyAlignment="0" applyProtection="0">
      <alignment vertical="center"/>
    </xf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56" fillId="50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26" fillId="60" borderId="0"/>
    <xf numFmtId="0" fontId="26" fillId="60" borderId="0"/>
    <xf numFmtId="0" fontId="26" fillId="60" borderId="0"/>
    <xf numFmtId="0" fontId="26" fillId="60" borderId="0"/>
    <xf numFmtId="0" fontId="26" fillId="60" borderId="0"/>
    <xf numFmtId="0" fontId="26" fillId="60" borderId="0"/>
    <xf numFmtId="0" fontId="26" fillId="60" borderId="0"/>
    <xf numFmtId="0" fontId="26" fillId="60" borderId="0"/>
    <xf numFmtId="0" fontId="26" fillId="6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50" fillId="0" borderId="0">
      <alignment vertical="center"/>
    </xf>
    <xf numFmtId="0" fontId="26" fillId="60" borderId="0"/>
    <xf numFmtId="0" fontId="26" fillId="6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50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26" fillId="60" borderId="0"/>
    <xf numFmtId="0" fontId="51" fillId="24" borderId="0" applyNumberFormat="0" applyBorder="0" applyAlignment="0" applyProtection="0">
      <alignment vertical="center"/>
    </xf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51" fillId="30" borderId="0" applyNumberFormat="0" applyBorder="0" applyAlignment="0" applyProtection="0">
      <alignment vertical="center"/>
    </xf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51" fillId="35" borderId="0" applyNumberFormat="0" applyBorder="0" applyAlignment="0" applyProtection="0">
      <alignment vertical="center"/>
    </xf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80" fillId="63" borderId="0" applyNumberFormat="0" applyBorder="0" applyAlignment="0" applyProtection="0"/>
    <xf numFmtId="0" fontId="51" fillId="15" borderId="0" applyNumberFormat="0" applyBorder="0" applyAlignment="0" applyProtection="0">
      <alignment vertical="center"/>
    </xf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80" fillId="64" borderId="0" applyNumberFormat="0" applyBorder="0" applyAlignment="0" applyProtection="0"/>
    <xf numFmtId="0" fontId="51" fillId="16" borderId="0" applyNumberFormat="0" applyBorder="0" applyAlignment="0" applyProtection="0">
      <alignment vertical="center"/>
    </xf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51" fillId="39" borderId="0" applyNumberFormat="0" applyBorder="0" applyAlignment="0" applyProtection="0">
      <alignment vertical="center"/>
    </xf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80" fillId="65" borderId="0" applyNumberFormat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67" fillId="0" borderId="4" applyNumberFormat="0" applyFill="0" applyAlignment="0" applyProtection="0">
      <alignment vertical="center"/>
    </xf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68" fillId="0" borderId="5" applyNumberFormat="0" applyFill="0" applyAlignment="0" applyProtection="0">
      <alignment vertical="center"/>
    </xf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68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4" fillId="41" borderId="2" applyNumberFormat="0" applyAlignment="0" applyProtection="0">
      <alignment vertical="center"/>
    </xf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92" fillId="64" borderId="2" applyNumberFormat="0" applyAlignment="0" applyProtection="0"/>
    <xf numFmtId="0" fontId="60" fillId="0" borderId="15" applyNumberFormat="0" applyFill="0" applyAlignment="0" applyProtection="0">
      <alignment vertical="center"/>
    </xf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81" fillId="0" borderId="19" applyNumberFormat="0" applyFill="0" applyAlignment="0" applyProtection="0"/>
    <xf numFmtId="0" fontId="64" fillId="14" borderId="7" applyNumberFormat="0" applyFont="0" applyAlignment="0" applyProtection="0">
      <alignment vertical="center"/>
    </xf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26" fillId="36" borderId="9" applyNumberFormat="0" applyFont="0" applyAlignment="0" applyProtection="0"/>
    <xf numFmtId="0" fontId="55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53" fillId="40" borderId="1" applyNumberFormat="0" applyAlignment="0" applyProtection="0">
      <alignment vertical="center"/>
    </xf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94" fillId="66" borderId="9" applyNumberFormat="0" applyAlignment="0" applyProtection="0"/>
    <xf numFmtId="0" fontId="57" fillId="9" borderId="1" applyNumberFormat="0" applyAlignment="0" applyProtection="0">
      <alignment vertical="center"/>
    </xf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95" fillId="37" borderId="9" applyNumberFormat="0" applyAlignment="0" applyProtection="0"/>
    <xf numFmtId="0" fontId="69" fillId="40" borderId="8" applyNumberFormat="0" applyAlignment="0" applyProtection="0">
      <alignment vertical="center"/>
    </xf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96" fillId="66" borderId="8" applyNumberFormat="0" applyAlignment="0" applyProtection="0"/>
    <xf numFmtId="0" fontId="59" fillId="47" borderId="0" applyNumberFormat="0" applyBorder="0" applyAlignment="0" applyProtection="0">
      <alignment vertical="center"/>
    </xf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58" fillId="0" borderId="6" applyNumberFormat="0" applyFill="0" applyAlignment="0" applyProtection="0">
      <alignment vertical="center"/>
    </xf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97" fillId="0" borderId="20" applyNumberFormat="0" applyFill="0" applyAlignment="0" applyProtection="0"/>
    <xf numFmtId="0" fontId="37" fillId="0" borderId="0"/>
    <xf numFmtId="170" fontId="21" fillId="0" borderId="0" applyFill="0" applyBorder="0" applyProtection="0"/>
    <xf numFmtId="37" fontId="37" fillId="0" borderId="0"/>
    <xf numFmtId="0" fontId="37" fillId="0" borderId="0"/>
    <xf numFmtId="0" fontId="46" fillId="0" borderId="0" applyNumberFormat="0" applyFont="0" applyFill="0" applyBorder="0" applyAlignment="0" applyProtection="0"/>
    <xf numFmtId="229" fontId="37" fillId="0" borderId="0"/>
    <xf numFmtId="0" fontId="101" fillId="0" borderId="0"/>
    <xf numFmtId="166" fontId="102" fillId="0" borderId="0" applyFont="0" applyFill="0" applyBorder="0" applyAlignment="0" applyProtection="0"/>
    <xf numFmtId="41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230" fontId="103" fillId="0" borderId="0" applyFont="0" applyFill="0" applyBorder="0" applyAlignment="0" applyProtection="0"/>
    <xf numFmtId="3" fontId="78" fillId="0" borderId="0"/>
    <xf numFmtId="178" fontId="37" fillId="0" borderId="0"/>
    <xf numFmtId="231" fontId="37" fillId="0" borderId="0"/>
    <xf numFmtId="0" fontId="25" fillId="0" borderId="0"/>
    <xf numFmtId="0" fontId="37" fillId="0" borderId="0"/>
    <xf numFmtId="0" fontId="25" fillId="0" borderId="0"/>
    <xf numFmtId="231" fontId="37" fillId="0" borderId="0"/>
    <xf numFmtId="229" fontId="37" fillId="0" borderId="0"/>
    <xf numFmtId="178" fontId="37" fillId="0" borderId="0"/>
    <xf numFmtId="0" fontId="37" fillId="0" borderId="0"/>
    <xf numFmtId="178" fontId="37" fillId="0" borderId="0"/>
    <xf numFmtId="178" fontId="37" fillId="0" borderId="0"/>
    <xf numFmtId="229" fontId="37" fillId="0" borderId="0"/>
    <xf numFmtId="178" fontId="37" fillId="0" borderId="0"/>
    <xf numFmtId="0" fontId="37" fillId="0" borderId="0"/>
    <xf numFmtId="178" fontId="37" fillId="0" borderId="0"/>
    <xf numFmtId="178" fontId="37" fillId="0" borderId="0"/>
    <xf numFmtId="229" fontId="37" fillId="0" borderId="0"/>
    <xf numFmtId="178" fontId="37" fillId="0" borderId="0"/>
    <xf numFmtId="0" fontId="37" fillId="0" borderId="0"/>
    <xf numFmtId="178" fontId="37" fillId="0" borderId="0"/>
    <xf numFmtId="178" fontId="37" fillId="0" borderId="0"/>
    <xf numFmtId="229" fontId="37" fillId="0" borderId="0"/>
    <xf numFmtId="178" fontId="37" fillId="0" borderId="0"/>
    <xf numFmtId="0" fontId="37" fillId="0" borderId="0"/>
    <xf numFmtId="178" fontId="37" fillId="0" borderId="0"/>
    <xf numFmtId="178" fontId="37" fillId="0" borderId="0"/>
    <xf numFmtId="229" fontId="37" fillId="0" borderId="0"/>
    <xf numFmtId="178" fontId="37" fillId="0" borderId="0"/>
    <xf numFmtId="0" fontId="37" fillId="0" borderId="0"/>
    <xf numFmtId="178" fontId="37" fillId="0" borderId="0"/>
    <xf numFmtId="178" fontId="37" fillId="0" borderId="0"/>
    <xf numFmtId="229" fontId="37" fillId="0" borderId="0"/>
    <xf numFmtId="178" fontId="37" fillId="0" borderId="0"/>
    <xf numFmtId="0" fontId="37" fillId="0" borderId="0"/>
    <xf numFmtId="178" fontId="37" fillId="0" borderId="0"/>
    <xf numFmtId="178" fontId="37" fillId="0" borderId="0"/>
    <xf numFmtId="178" fontId="37" fillId="0" borderId="0"/>
    <xf numFmtId="178" fontId="37" fillId="0" borderId="0"/>
    <xf numFmtId="1" fontId="133" fillId="0" borderId="0" applyNumberFormat="0">
      <alignment horizontal="right"/>
    </xf>
    <xf numFmtId="201" fontId="78" fillId="0" borderId="0" applyFont="0" applyFill="0" applyBorder="0" applyAlignment="0" applyProtection="0"/>
    <xf numFmtId="202" fontId="78" fillId="0" borderId="0" applyFont="0" applyFill="0" applyBorder="0" applyAlignment="0" applyProtection="0"/>
    <xf numFmtId="0" fontId="25" fillId="0" borderId="0"/>
    <xf numFmtId="0" fontId="25" fillId="0" borderId="0"/>
    <xf numFmtId="49" fontId="104" fillId="0" borderId="0" applyProtection="0">
      <alignment horizontal="left"/>
    </xf>
    <xf numFmtId="199" fontId="105" fillId="0" borderId="0" applyFont="0" applyFill="0" applyBorder="0" applyAlignment="0" applyProtection="0">
      <alignment vertical="center"/>
    </xf>
    <xf numFmtId="181" fontId="106" fillId="0" borderId="0" applyFont="0" applyFill="0" applyBorder="0" applyAlignment="0" applyProtection="0">
      <alignment vertical="center"/>
    </xf>
    <xf numFmtId="232" fontId="106" fillId="0" borderId="7" applyFont="0" applyFill="0" applyBorder="0" applyAlignment="0" applyProtection="0">
      <alignment vertical="center"/>
    </xf>
    <xf numFmtId="41" fontId="99" fillId="0" borderId="0" applyFont="0" applyFill="0" applyBorder="0" applyAlignment="0" applyProtection="0">
      <alignment vertical="center"/>
    </xf>
    <xf numFmtId="203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10" fontId="25" fillId="0" borderId="0"/>
    <xf numFmtId="0" fontId="37" fillId="0" borderId="0"/>
    <xf numFmtId="0" fontId="101" fillId="0" borderId="0"/>
    <xf numFmtId="0" fontId="37" fillId="0" borderId="0"/>
    <xf numFmtId="3" fontId="25" fillId="0" borderId="0"/>
    <xf numFmtId="37" fontId="107" fillId="57" borderId="28">
      <alignment horizontal="right"/>
    </xf>
    <xf numFmtId="206" fontId="37" fillId="0" borderId="0"/>
    <xf numFmtId="0" fontId="21" fillId="0" borderId="0"/>
    <xf numFmtId="3" fontId="25" fillId="0" borderId="0"/>
    <xf numFmtId="210" fontId="25" fillId="0" borderId="0"/>
    <xf numFmtId="210" fontId="25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205" fontId="37" fillId="0" borderId="0"/>
    <xf numFmtId="0" fontId="108" fillId="0" borderId="0">
      <protection locked="0"/>
    </xf>
    <xf numFmtId="0" fontId="108" fillId="0" borderId="0">
      <protection locked="0"/>
    </xf>
    <xf numFmtId="206" fontId="37" fillId="0" borderId="0"/>
    <xf numFmtId="0" fontId="108" fillId="0" borderId="0">
      <protection locked="0"/>
    </xf>
    <xf numFmtId="206" fontId="37" fillId="0" borderId="0"/>
    <xf numFmtId="0" fontId="108" fillId="0" borderId="0">
      <protection locked="0"/>
    </xf>
    <xf numFmtId="0" fontId="21" fillId="0" borderId="0"/>
    <xf numFmtId="0" fontId="37" fillId="0" borderId="0"/>
    <xf numFmtId="3" fontId="25" fillId="0" borderId="0"/>
    <xf numFmtId="210" fontId="25" fillId="0" borderId="0"/>
    <xf numFmtId="0" fontId="21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08" fillId="0" borderId="0"/>
    <xf numFmtId="0" fontId="108" fillId="0" borderId="0"/>
    <xf numFmtId="0" fontId="108" fillId="0" borderId="0"/>
    <xf numFmtId="0" fontId="21" fillId="0" borderId="0"/>
    <xf numFmtId="3" fontId="25" fillId="0" borderId="0"/>
    <xf numFmtId="210" fontId="25" fillId="0" borderId="0"/>
    <xf numFmtId="0" fontId="21" fillId="0" borderId="0"/>
    <xf numFmtId="0" fontId="21" fillId="0" borderId="0" applyNumberFormat="0" applyFill="0" applyBorder="0" applyAlignment="0" applyProtection="0"/>
    <xf numFmtId="179" fontId="37" fillId="0" borderId="0"/>
    <xf numFmtId="206" fontId="37" fillId="0" borderId="0"/>
    <xf numFmtId="206" fontId="37" fillId="0" borderId="0"/>
    <xf numFmtId="0" fontId="21" fillId="0" borderId="0"/>
    <xf numFmtId="0" fontId="21" fillId="0" borderId="0"/>
    <xf numFmtId="0" fontId="21" fillId="0" borderId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3" fontId="25" fillId="0" borderId="0"/>
    <xf numFmtId="0" fontId="21" fillId="0" borderId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3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35" fontId="21" fillId="0" borderId="0" applyFont="0" applyFill="0" applyBorder="0" applyAlignment="0" applyProtection="0"/>
    <xf numFmtId="236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35" fontId="21" fillId="0" borderId="0" applyFont="0" applyFill="0" applyBorder="0" applyAlignment="0" applyProtection="0"/>
    <xf numFmtId="236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37" fontId="109" fillId="0" borderId="0" applyFont="0" applyFill="0" applyBorder="0" applyAlignment="0" applyProtection="0"/>
    <xf numFmtId="208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35" fontId="21" fillId="0" borderId="0" applyFont="0" applyFill="0" applyBorder="0" applyAlignment="0" applyProtection="0"/>
    <xf numFmtId="236" fontId="21" fillId="0" borderId="0" applyFont="0" applyFill="0" applyBorder="0" applyAlignment="0" applyProtection="0"/>
    <xf numFmtId="235" fontId="21" fillId="0" borderId="0" applyFont="0" applyFill="0" applyBorder="0" applyAlignment="0" applyProtection="0"/>
    <xf numFmtId="236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35" fontId="21" fillId="0" borderId="0" applyFont="0" applyFill="0" applyBorder="0" applyAlignment="0" applyProtection="0"/>
    <xf numFmtId="236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0" fontId="21" fillId="0" borderId="0"/>
    <xf numFmtId="3" fontId="25" fillId="0" borderId="0"/>
    <xf numFmtId="43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238" fontId="21" fillId="0" borderId="0" applyFont="0" applyFill="0" applyBorder="0" applyAlignment="0" applyProtection="0"/>
    <xf numFmtId="239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210" fontId="25" fillId="0" borderId="0"/>
    <xf numFmtId="0" fontId="21" fillId="0" borderId="0" applyFont="0" applyFill="0" applyBorder="0" applyAlignment="0" applyProtection="0"/>
    <xf numFmtId="206" fontId="37" fillId="0" borderId="0"/>
    <xf numFmtId="206" fontId="37" fillId="0" borderId="0"/>
    <xf numFmtId="3" fontId="25" fillId="0" borderId="0"/>
    <xf numFmtId="0" fontId="37" fillId="0" borderId="0"/>
    <xf numFmtId="0" fontId="37" fillId="0" borderId="0"/>
    <xf numFmtId="0" fontId="37" fillId="0" borderId="0"/>
    <xf numFmtId="206" fontId="37" fillId="0" borderId="0"/>
    <xf numFmtId="206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0" fontId="25" fillId="0" borderId="0"/>
    <xf numFmtId="0" fontId="25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24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240" fontId="37" fillId="0" borderId="0"/>
    <xf numFmtId="240" fontId="37" fillId="0" borderId="0"/>
    <xf numFmtId="0" fontId="25" fillId="0" borderId="0"/>
    <xf numFmtId="0" fontId="25" fillId="0" borderId="0"/>
    <xf numFmtId="240" fontId="37" fillId="0" borderId="0"/>
    <xf numFmtId="0" fontId="25" fillId="0" borderId="0"/>
    <xf numFmtId="0" fontId="25" fillId="0" borderId="0"/>
    <xf numFmtId="24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06" fontId="37" fillId="0" borderId="0"/>
    <xf numFmtId="206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210" fontId="25" fillId="0" borderId="0"/>
    <xf numFmtId="0" fontId="25" fillId="0" borderId="0"/>
    <xf numFmtId="210" fontId="25" fillId="0" borderId="0"/>
    <xf numFmtId="21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25" fillId="0" borderId="0"/>
    <xf numFmtId="0" fontId="25" fillId="0" borderId="0"/>
    <xf numFmtId="21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0" fontId="25" fillId="0" borderId="0"/>
    <xf numFmtId="0" fontId="25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24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240" fontId="37" fillId="0" borderId="0"/>
    <xf numFmtId="240" fontId="37" fillId="0" borderId="0"/>
    <xf numFmtId="0" fontId="25" fillId="0" borderId="0"/>
    <xf numFmtId="0" fontId="25" fillId="0" borderId="0"/>
    <xf numFmtId="240" fontId="37" fillId="0" borderId="0"/>
    <xf numFmtId="0" fontId="25" fillId="0" borderId="0"/>
    <xf numFmtId="0" fontId="25" fillId="0" borderId="0"/>
    <xf numFmtId="24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210" fontId="25" fillId="0" borderId="0"/>
    <xf numFmtId="21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11" fontId="21" fillId="0" borderId="0" applyFont="0" applyFill="0" applyBorder="0" applyAlignment="0" applyProtection="0"/>
    <xf numFmtId="211" fontId="21" fillId="0" borderId="0" applyFont="0" applyFill="0" applyBorder="0" applyAlignment="0" applyProtection="0"/>
    <xf numFmtId="211" fontId="21" fillId="0" borderId="0" applyFont="0" applyFill="0" applyBorder="0" applyAlignment="0" applyProtection="0"/>
    <xf numFmtId="211" fontId="21" fillId="0" borderId="0" applyFont="0" applyFill="0" applyBorder="0" applyAlignment="0" applyProtection="0"/>
    <xf numFmtId="0" fontId="108" fillId="0" borderId="0"/>
    <xf numFmtId="0" fontId="108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179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179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179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179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212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179" fontId="37" fillId="0" borderId="0"/>
    <xf numFmtId="179" fontId="37" fillId="0" borderId="0"/>
    <xf numFmtId="212" fontId="37" fillId="0" borderId="0"/>
    <xf numFmtId="212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110" fillId="0" borderId="0" applyNumberFormat="0" applyFill="0" applyBorder="0" applyAlignment="0" applyProtection="0"/>
    <xf numFmtId="0" fontId="21" fillId="47" borderId="0" applyNumberFormat="0" applyFont="0" applyAlignment="0" applyProtection="0"/>
    <xf numFmtId="0" fontId="37" fillId="0" borderId="0"/>
    <xf numFmtId="213" fontId="37" fillId="0" borderId="0"/>
    <xf numFmtId="213" fontId="37" fillId="0" borderId="0"/>
    <xf numFmtId="0" fontId="21" fillId="0" borderId="0"/>
    <xf numFmtId="214" fontId="21" fillId="0" borderId="0"/>
    <xf numFmtId="214" fontId="21" fillId="0" borderId="0"/>
    <xf numFmtId="214" fontId="21" fillId="0" borderId="0"/>
    <xf numFmtId="214" fontId="21" fillId="0" borderId="0"/>
    <xf numFmtId="214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14" fontId="21" fillId="0" borderId="0"/>
    <xf numFmtId="214" fontId="21" fillId="0" borderId="0"/>
    <xf numFmtId="214" fontId="21" fillId="0" borderId="0"/>
    <xf numFmtId="214" fontId="21" fillId="0" borderId="0"/>
    <xf numFmtId="213" fontId="37" fillId="0" borderId="0"/>
    <xf numFmtId="213" fontId="37" fillId="0" borderId="0"/>
    <xf numFmtId="213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13" fontId="37" fillId="0" borderId="0"/>
    <xf numFmtId="213" fontId="37" fillId="0" borderId="0"/>
    <xf numFmtId="213" fontId="37" fillId="0" borderId="0"/>
    <xf numFmtId="213" fontId="37" fillId="0" borderId="0"/>
    <xf numFmtId="0" fontId="108" fillId="0" borderId="0">
      <protection locked="0"/>
    </xf>
    <xf numFmtId="0" fontId="108" fillId="0" borderId="0">
      <protection locked="0"/>
    </xf>
    <xf numFmtId="0" fontId="101" fillId="0" borderId="0"/>
    <xf numFmtId="215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0" fontId="21" fillId="0" borderId="0"/>
    <xf numFmtId="3" fontId="25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0" fontId="37" fillId="0" borderId="0"/>
    <xf numFmtId="0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0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0" fontId="37" fillId="0" borderId="0"/>
    <xf numFmtId="0" fontId="101" fillId="0" borderId="0"/>
    <xf numFmtId="0" fontId="21" fillId="0" borderId="0"/>
    <xf numFmtId="0" fontId="101" fillId="0" borderId="0"/>
    <xf numFmtId="0" fontId="25" fillId="0" borderId="0"/>
    <xf numFmtId="0" fontId="25" fillId="0" borderId="0"/>
    <xf numFmtId="0" fontId="37" fillId="0" borderId="0"/>
    <xf numFmtId="179" fontId="37" fillId="0" borderId="0"/>
    <xf numFmtId="179" fontId="37" fillId="0" borderId="0"/>
    <xf numFmtId="212" fontId="37" fillId="0" borderId="0"/>
    <xf numFmtId="212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0" fontId="37" fillId="0" borderId="0"/>
    <xf numFmtId="0" fontId="111" fillId="0" borderId="0"/>
    <xf numFmtId="0" fontId="111" fillId="0" borderId="0"/>
    <xf numFmtId="206" fontId="37" fillId="0" borderId="0"/>
    <xf numFmtId="206" fontId="37" fillId="0" borderId="0"/>
    <xf numFmtId="0" fontId="78" fillId="0" borderId="0"/>
    <xf numFmtId="0" fontId="112" fillId="0" borderId="0" applyNumberFormat="0" applyFill="0" applyBorder="0" applyProtection="0">
      <alignment vertical="top"/>
    </xf>
    <xf numFmtId="0" fontId="100" fillId="0" borderId="29" applyNumberFormat="0" applyFill="0" applyAlignment="0" applyProtection="0"/>
    <xf numFmtId="0" fontId="36" fillId="0" borderId="30" applyNumberFormat="0" applyFill="0" applyProtection="0">
      <alignment horizontal="center"/>
    </xf>
    <xf numFmtId="0" fontId="36" fillId="0" borderId="0" applyNumberFormat="0" applyFill="0" applyBorder="0" applyProtection="0">
      <alignment horizontal="left"/>
    </xf>
    <xf numFmtId="0" fontId="113" fillId="0" borderId="0" applyNumberFormat="0" applyFill="0" applyBorder="0" applyProtection="0">
      <alignment horizontal="centerContinuous"/>
    </xf>
    <xf numFmtId="3" fontId="25" fillId="0" borderId="0"/>
    <xf numFmtId="0" fontId="21" fillId="0" borderId="0"/>
    <xf numFmtId="0" fontId="101" fillId="0" borderId="0"/>
    <xf numFmtId="187" fontId="104" fillId="0" borderId="0" applyFill="0" applyBorder="0" applyProtection="0">
      <alignment horizontal="right"/>
    </xf>
    <xf numFmtId="188" fontId="104" fillId="0" borderId="0" applyFill="0" applyBorder="0" applyProtection="0">
      <alignment horizontal="right"/>
    </xf>
    <xf numFmtId="189" fontId="114" fillId="0" borderId="0" applyFill="0" applyBorder="0" applyProtection="0">
      <alignment horizontal="center"/>
    </xf>
    <xf numFmtId="190" fontId="114" fillId="0" borderId="0" applyFill="0" applyBorder="0" applyProtection="0">
      <alignment horizontal="center"/>
    </xf>
    <xf numFmtId="191" fontId="115" fillId="0" borderId="0" applyFill="0" applyBorder="0" applyProtection="0">
      <alignment horizontal="right"/>
    </xf>
    <xf numFmtId="192" fontId="104" fillId="0" borderId="0" applyFill="0" applyBorder="0" applyProtection="0">
      <alignment horizontal="right"/>
    </xf>
    <xf numFmtId="193" fontId="104" fillId="0" borderId="0" applyFill="0" applyBorder="0" applyProtection="0">
      <alignment horizontal="right"/>
    </xf>
    <xf numFmtId="194" fontId="104" fillId="0" borderId="0" applyFill="0" applyBorder="0" applyProtection="0">
      <alignment horizontal="right"/>
    </xf>
    <xf numFmtId="195" fontId="104" fillId="0" borderId="0" applyFill="0" applyBorder="0" applyProtection="0">
      <alignment horizontal="right"/>
    </xf>
    <xf numFmtId="217" fontId="78" fillId="0" borderId="0" applyFont="0" applyFill="0" applyBorder="0" applyAlignment="0" applyProtection="0"/>
    <xf numFmtId="218" fontId="7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11" fillId="0" borderId="0"/>
    <xf numFmtId="0" fontId="38" fillId="0" borderId="0" applyFont="0" applyFill="0" applyBorder="0" applyAlignment="0" applyProtection="0"/>
    <xf numFmtId="1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3" fontId="37" fillId="0" borderId="0"/>
    <xf numFmtId="0" fontId="37" fillId="0" borderId="0" applyBorder="0"/>
    <xf numFmtId="39" fontId="116" fillId="0" borderId="0" applyFont="0" applyFill="0" applyBorder="0" applyAlignment="0" applyProtection="0"/>
    <xf numFmtId="0" fontId="116" fillId="0" borderId="0" applyFont="0" applyFill="0" applyBorder="0" applyAlignment="0" applyProtection="0"/>
    <xf numFmtId="0" fontId="117" fillId="0" borderId="0"/>
    <xf numFmtId="0" fontId="117" fillId="0" borderId="0"/>
    <xf numFmtId="174" fontId="118" fillId="70" borderId="0" applyNumberFormat="0" applyFont="0" applyBorder="0" applyAlignment="0">
      <alignment horizontal="right"/>
    </xf>
    <xf numFmtId="219" fontId="119" fillId="70" borderId="21" applyFont="0">
      <alignment horizontal="right"/>
    </xf>
    <xf numFmtId="0" fontId="26" fillId="0" borderId="0" applyNumberFormat="0" applyFill="0" applyBorder="0" applyAlignment="0" applyProtection="0"/>
    <xf numFmtId="0" fontId="120" fillId="0" borderId="0"/>
    <xf numFmtId="10" fontId="121" fillId="0" borderId="0" applyNumberFormat="0" applyFill="0" applyBorder="0" applyAlignment="0" applyProtection="0">
      <alignment horizontal="right"/>
    </xf>
    <xf numFmtId="0" fontId="122" fillId="0" borderId="0" applyNumberFormat="0" applyFill="0" applyBorder="0" applyAlignment="0"/>
    <xf numFmtId="0" fontId="123" fillId="0" borderId="0" applyNumberFormat="0" applyFill="0" applyBorder="0" applyAlignment="0" applyProtection="0"/>
    <xf numFmtId="0" fontId="124" fillId="0" borderId="24" applyNumberFormat="0" applyFill="0" applyAlignment="0" applyProtection="0"/>
    <xf numFmtId="220" fontId="78" fillId="0" borderId="0" applyFont="0" applyFill="0" applyBorder="0" applyAlignment="0" applyProtection="0"/>
    <xf numFmtId="2" fontId="26" fillId="71" borderId="0" applyNumberFormat="0" applyFont="0" applyBorder="0" applyAlignment="0" applyProtection="0"/>
    <xf numFmtId="38" fontId="21" fillId="0" borderId="0">
      <alignment horizontal="center"/>
      <protection locked="0"/>
    </xf>
    <xf numFmtId="0" fontId="125" fillId="0" borderId="0" applyNumberFormat="0" applyFill="0" applyBorder="0">
      <alignment horizontal="right"/>
    </xf>
    <xf numFmtId="221" fontId="78" fillId="0" borderId="0" applyFont="0" applyFill="0" applyBorder="0" applyAlignment="0" applyProtection="0"/>
    <xf numFmtId="175" fontId="126" fillId="0" borderId="26" applyFont="0" applyFill="0" applyBorder="0" applyProtection="0">
      <alignment horizontal="right"/>
    </xf>
    <xf numFmtId="0" fontId="38" fillId="0" borderId="0"/>
    <xf numFmtId="0" fontId="126" fillId="0" borderId="0"/>
    <xf numFmtId="38" fontId="21" fillId="68" borderId="0" applyNumberFormat="0" applyFont="0" applyBorder="0" applyAlignment="0" applyProtection="0">
      <alignment vertical="center"/>
    </xf>
    <xf numFmtId="196" fontId="104" fillId="0" borderId="0" applyFont="0" applyFill="0" applyBorder="0" applyAlignment="0" applyProtection="0"/>
    <xf numFmtId="222" fontId="26" fillId="72" borderId="25" applyNumberFormat="0" applyFont="0" applyBorder="0" applyAlignment="0" applyProtection="0">
      <alignment horizontal="right"/>
    </xf>
    <xf numFmtId="0" fontId="25" fillId="0" borderId="0" applyFont="0" applyFill="0" applyBorder="0" applyAlignment="0" applyProtection="0"/>
    <xf numFmtId="1" fontId="26" fillId="0" borderId="0" applyNumberFormat="0" applyBorder="0" applyAlignment="0" applyProtection="0"/>
    <xf numFmtId="37" fontId="40" fillId="0" borderId="0" applyNumberFormat="0" applyFill="0" applyBorder="0" applyAlignment="0" applyProtection="0">
      <alignment vertical="center"/>
    </xf>
    <xf numFmtId="223" fontId="127" fillId="0" borderId="0">
      <alignment vertical="center"/>
    </xf>
    <xf numFmtId="0" fontId="128" fillId="0" borderId="0"/>
    <xf numFmtId="200" fontId="129" fillId="12" borderId="31" applyNumberFormat="0" applyFont="0" applyBorder="0" applyAlignment="0">
      <protection locked="0"/>
    </xf>
    <xf numFmtId="38" fontId="26" fillId="68" borderId="0" applyNumberFormat="0" applyBorder="0" applyAlignment="0" applyProtection="0"/>
    <xf numFmtId="49" fontId="130" fillId="0" borderId="0">
      <alignment horizontal="right"/>
    </xf>
    <xf numFmtId="49" fontId="130" fillId="0" borderId="0">
      <alignment horizontal="right"/>
    </xf>
    <xf numFmtId="49" fontId="131" fillId="0" borderId="0">
      <alignment horizontal="right"/>
    </xf>
    <xf numFmtId="223" fontId="132" fillId="0" borderId="0">
      <alignment vertical="center"/>
    </xf>
    <xf numFmtId="0" fontId="28" fillId="0" borderId="0"/>
    <xf numFmtId="0" fontId="21" fillId="0" borderId="0" applyNumberFormat="0" applyFont="0" applyFill="0" applyBorder="0" applyAlignment="0">
      <alignment horizontal="left"/>
    </xf>
    <xf numFmtId="1" fontId="133" fillId="0" borderId="0" applyNumberFormat="0">
      <alignment horizontal="right"/>
    </xf>
    <xf numFmtId="10" fontId="26" fillId="57" borderId="14" applyNumberFormat="0" applyBorder="0" applyAlignment="0" applyProtection="0"/>
    <xf numFmtId="0" fontId="134" fillId="73" borderId="0" applyNumberFormat="0" applyFont="0" applyBorder="0" applyAlignment="0" applyProtection="0"/>
    <xf numFmtId="0" fontId="39" fillId="0" borderId="0" applyNumberFormat="0" applyFill="0" applyBorder="0" applyAlignment="0">
      <protection locked="0"/>
    </xf>
    <xf numFmtId="0" fontId="135" fillId="74" borderId="11">
      <alignment horizontal="left" vertical="center" wrapText="1"/>
    </xf>
    <xf numFmtId="0" fontId="29" fillId="0" borderId="0"/>
    <xf numFmtId="197" fontId="104" fillId="0" borderId="0" applyFont="0" applyFill="0" applyBorder="0" applyAlignment="0" applyProtection="0"/>
    <xf numFmtId="0" fontId="25" fillId="0" borderId="0" applyFont="0" applyFill="0" applyBorder="0" applyAlignment="0" applyProtection="0"/>
    <xf numFmtId="37" fontId="126" fillId="0" borderId="0" applyFont="0" applyFill="0" applyBorder="0" applyProtection="0">
      <alignment horizontal="right"/>
    </xf>
    <xf numFmtId="0" fontId="136" fillId="0" borderId="0"/>
    <xf numFmtId="2" fontId="134" fillId="0" borderId="0" applyBorder="0" applyProtection="0"/>
    <xf numFmtId="0" fontId="137" fillId="0" borderId="32"/>
    <xf numFmtId="0" fontId="38" fillId="0" borderId="0"/>
    <xf numFmtId="0" fontId="138" fillId="0" borderId="0" applyNumberFormat="0" applyFill="0" applyBorder="0">
      <alignment horizontal="left"/>
    </xf>
    <xf numFmtId="10" fontId="126" fillId="0" borderId="0" applyFont="0" applyFill="0" applyBorder="0" applyProtection="0">
      <alignment horizontal="right"/>
    </xf>
    <xf numFmtId="10" fontId="21" fillId="0" borderId="0" applyFont="0" applyFill="0" applyBorder="0" applyAlignment="0" applyProtection="0"/>
    <xf numFmtId="0" fontId="139" fillId="0" borderId="0" applyFill="0" applyBorder="0" applyAlignment="0" applyProtection="0"/>
    <xf numFmtId="0" fontId="140" fillId="0" borderId="0"/>
    <xf numFmtId="171" fontId="134" fillId="30" borderId="33" applyNumberFormat="0" applyFont="0" applyBorder="0" applyAlignment="0" applyProtection="0">
      <alignment horizontal="center"/>
    </xf>
    <xf numFmtId="1" fontId="140" fillId="75" borderId="0" applyNumberFormat="0" applyFont="0" applyBorder="0" applyAlignment="0">
      <alignment horizontal="left"/>
    </xf>
    <xf numFmtId="0" fontId="139" fillId="0" borderId="0"/>
    <xf numFmtId="224" fontId="141" fillId="0" borderId="0" applyNumberFormat="0" applyFill="0" applyBorder="0" applyAlignment="0" applyProtection="0">
      <alignment horizontal="right" vertical="center" wrapText="1"/>
    </xf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>
      <protection locked="0"/>
    </xf>
    <xf numFmtId="0" fontId="144" fillId="0" borderId="25" applyNumberFormat="0" applyFill="0" applyProtection="0">
      <alignment horizontal="right"/>
    </xf>
    <xf numFmtId="0" fontId="144" fillId="0" borderId="34" applyNumberFormat="0" applyProtection="0">
      <alignment horizontal="right"/>
    </xf>
    <xf numFmtId="0" fontId="145" fillId="0" borderId="24" applyNumberFormat="0" applyFill="0" applyProtection="0"/>
    <xf numFmtId="3" fontId="27" fillId="0" borderId="0" applyNumberFormat="0"/>
    <xf numFmtId="0" fontId="146" fillId="0" borderId="0">
      <alignment vertical="center"/>
    </xf>
    <xf numFmtId="0" fontId="127" fillId="0" borderId="0">
      <alignment vertical="center"/>
    </xf>
    <xf numFmtId="0" fontId="132" fillId="0" borderId="0">
      <alignment vertical="center"/>
    </xf>
    <xf numFmtId="0" fontId="134" fillId="0" borderId="0" applyBorder="0"/>
    <xf numFmtId="0" fontId="38" fillId="0" borderId="35" applyNumberFormat="0" applyFont="0" applyFill="0" applyAlignment="0" applyProtection="0"/>
    <xf numFmtId="0" fontId="25" fillId="0" borderId="0"/>
    <xf numFmtId="0" fontId="25" fillId="0" borderId="0"/>
    <xf numFmtId="1" fontId="147" fillId="0" borderId="21" applyFill="0" applyProtection="0">
      <alignment horizontal="right"/>
    </xf>
    <xf numFmtId="0" fontId="148" fillId="0" borderId="0">
      <alignment vertical="center"/>
    </xf>
    <xf numFmtId="0" fontId="135" fillId="0" borderId="0" applyNumberFormat="0" applyFill="0" applyBorder="0" applyAlignment="0" applyProtection="0"/>
    <xf numFmtId="166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166" fontId="104" fillId="0" borderId="0" applyFont="0" applyFill="0" applyBorder="0" applyAlignment="0" applyProtection="0"/>
    <xf numFmtId="168" fontId="104" fillId="0" borderId="0" applyFont="0" applyFill="0" applyBorder="0" applyAlignment="0" applyProtection="0"/>
    <xf numFmtId="0" fontId="149" fillId="0" borderId="0" applyNumberFormat="0" applyFill="0" applyBorder="0" applyAlignment="0" applyProtection="0">
      <alignment vertical="top"/>
      <protection locked="0"/>
    </xf>
    <xf numFmtId="0" fontId="64" fillId="0" borderId="0"/>
    <xf numFmtId="228" fontId="148" fillId="0" borderId="0">
      <alignment vertical="center"/>
    </xf>
    <xf numFmtId="198" fontId="148" fillId="0" borderId="0">
      <alignment vertical="center"/>
    </xf>
    <xf numFmtId="186" fontId="148" fillId="0" borderId="0">
      <alignment vertical="center"/>
    </xf>
    <xf numFmtId="9" fontId="150" fillId="0" borderId="0">
      <alignment vertical="center"/>
    </xf>
    <xf numFmtId="170" fontId="150" fillId="0" borderId="0">
      <alignment vertical="center"/>
    </xf>
    <xf numFmtId="10" fontId="150" fillId="0" borderId="0">
      <alignment vertical="center"/>
    </xf>
    <xf numFmtId="0" fontId="104" fillId="0" borderId="0"/>
    <xf numFmtId="0" fontId="151" fillId="0" borderId="0"/>
    <xf numFmtId="226" fontId="78" fillId="0" borderId="0" applyFont="0" applyFill="0" applyBorder="0" applyAlignment="0" applyProtection="0"/>
    <xf numFmtId="227" fontId="78" fillId="0" borderId="0" applyFont="0" applyFill="0" applyBorder="0" applyAlignment="0" applyProtection="0"/>
    <xf numFmtId="0" fontId="152" fillId="0" borderId="0">
      <alignment vertical="center"/>
    </xf>
    <xf numFmtId="165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0" fontId="153" fillId="0" borderId="0" applyNumberFormat="0" applyFill="0" applyBorder="0" applyAlignment="0" applyProtection="0">
      <alignment vertical="top"/>
      <protection locked="0"/>
    </xf>
    <xf numFmtId="0" fontId="154" fillId="0" borderId="0"/>
    <xf numFmtId="225" fontId="78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55" fillId="0" borderId="0"/>
    <xf numFmtId="9" fontId="156" fillId="0" borderId="0" applyFont="0" applyFill="0" applyBorder="0" applyAlignment="0" applyProtection="0"/>
    <xf numFmtId="9" fontId="21" fillId="0" borderId="0" applyFont="0" applyFill="0" applyBorder="0" applyAlignment="0" applyProtection="0"/>
    <xf numFmtId="41" fontId="99" fillId="0" borderId="0" applyFont="0" applyFill="0" applyBorder="0" applyAlignment="0" applyProtection="0">
      <alignment vertical="center"/>
    </xf>
    <xf numFmtId="0" fontId="21" fillId="0" borderId="0"/>
    <xf numFmtId="0" fontId="64" fillId="0" borderId="0"/>
    <xf numFmtId="0" fontId="21" fillId="0" borderId="0"/>
    <xf numFmtId="9" fontId="37" fillId="0" borderId="0" applyFont="0" applyFill="0" applyBorder="0" applyAlignment="0" applyProtection="0"/>
    <xf numFmtId="1" fontId="133" fillId="0" borderId="0" applyNumberFormat="0">
      <alignment horizontal="right"/>
    </xf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64" fillId="0" borderId="0">
      <alignment vertical="center"/>
    </xf>
    <xf numFmtId="168" fontId="64" fillId="0" borderId="0" applyFont="0" applyFill="0" applyBorder="0" applyAlignment="0" applyProtection="0">
      <alignment vertical="center"/>
    </xf>
    <xf numFmtId="173" fontId="130" fillId="0" borderId="0" applyBorder="0" applyAlignment="0"/>
    <xf numFmtId="0" fontId="157" fillId="0" borderId="0">
      <alignment vertical="center"/>
    </xf>
    <xf numFmtId="168" fontId="64" fillId="0" borderId="0" applyFont="0" applyFill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0" fontId="158" fillId="76" borderId="37" applyNumberForma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158" fillId="76" borderId="37" applyNumberFormat="0" applyAlignment="0" applyProtection="0">
      <alignment vertical="center"/>
    </xf>
    <xf numFmtId="0" fontId="158" fillId="76" borderId="37" applyNumberForma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159" fillId="0" borderId="0"/>
    <xf numFmtId="9" fontId="64" fillId="0" borderId="0" applyFont="0" applyFill="0" applyBorder="0" applyAlignment="0" applyProtection="0">
      <alignment vertical="center"/>
    </xf>
    <xf numFmtId="0" fontId="98" fillId="0" borderId="0">
      <alignment vertical="center"/>
    </xf>
    <xf numFmtId="168" fontId="64" fillId="0" borderId="0" applyFont="0" applyFill="0" applyBorder="0" applyAlignment="0" applyProtection="0">
      <alignment vertical="center"/>
    </xf>
    <xf numFmtId="0" fontId="159" fillId="0" borderId="0"/>
    <xf numFmtId="9" fontId="64" fillId="0" borderId="0" applyFont="0" applyFill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0" fontId="160" fillId="0" borderId="0"/>
    <xf numFmtId="9" fontId="160" fillId="0" borderId="0" applyFont="0" applyFill="0" applyBorder="0" applyAlignment="0" applyProtection="0">
      <alignment vertical="center"/>
    </xf>
    <xf numFmtId="168" fontId="160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0" fontId="161" fillId="0" borderId="0"/>
    <xf numFmtId="241" fontId="37" fillId="0" borderId="0"/>
    <xf numFmtId="0" fontId="21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1" fillId="0" borderId="0"/>
    <xf numFmtId="49" fontId="104" fillId="0" borderId="0" applyProtection="0">
      <alignment horizontal="left"/>
    </xf>
    <xf numFmtId="0" fontId="21" fillId="0" borderId="0"/>
    <xf numFmtId="0" fontId="21" fillId="0" borderId="0"/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206" fontId="37" fillId="0" borderId="0"/>
    <xf numFmtId="241" fontId="37" fillId="0" borderId="0"/>
    <xf numFmtId="0" fontId="21" fillId="0" borderId="0" applyFill="0" applyBorder="0" applyProtection="0">
      <protection locked="0"/>
    </xf>
    <xf numFmtId="241" fontId="37" fillId="0" borderId="0"/>
    <xf numFmtId="242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06" fontId="37" fillId="0" borderId="0"/>
    <xf numFmtId="206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43" fontId="37" fillId="0" borderId="0"/>
    <xf numFmtId="242" fontId="37" fillId="0" borderId="0"/>
    <xf numFmtId="242" fontId="37" fillId="0" borderId="0"/>
    <xf numFmtId="242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4" fontId="37" fillId="0" borderId="0"/>
    <xf numFmtId="242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2" fontId="37" fillId="0" borderId="0"/>
    <xf numFmtId="244" fontId="37" fillId="0" borderId="0"/>
    <xf numFmtId="242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4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0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2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244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0" fontId="21" fillId="0" borderId="0" applyFill="0" applyBorder="0" applyProtection="0">
      <protection locked="0"/>
    </xf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135" fillId="0" borderId="0" applyNumberForma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21" fillId="0" borderId="0"/>
    <xf numFmtId="0" fontId="21" fillId="0" borderId="0"/>
    <xf numFmtId="243" fontId="37" fillId="0" borderId="0"/>
    <xf numFmtId="241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06" fontId="37" fillId="0" borderId="0"/>
    <xf numFmtId="243" fontId="37" fillId="0" borderId="0"/>
    <xf numFmtId="245" fontId="126" fillId="0" borderId="0"/>
    <xf numFmtId="245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5" fontId="126" fillId="0" borderId="0"/>
    <xf numFmtId="245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5" fontId="126" fillId="0" borderId="0"/>
    <xf numFmtId="245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64" fillId="0" borderId="0" applyFont="0" applyFill="0" applyBorder="0" applyAlignment="0" applyProtection="0">
      <alignment vertical="center"/>
    </xf>
    <xf numFmtId="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1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06" fontId="37" fillId="0" borderId="0"/>
    <xf numFmtId="0" fontId="25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1" fontId="37" fillId="0" borderId="0"/>
    <xf numFmtId="250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0" fontId="37" fillId="0" borderId="0"/>
    <xf numFmtId="251" fontId="37" fillId="0" borderId="0"/>
    <xf numFmtId="25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1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0" fontId="21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0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251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48" fontId="37" fillId="0" borderId="0"/>
    <xf numFmtId="248" fontId="37" fillId="0" borderId="0"/>
    <xf numFmtId="249" fontId="37" fillId="0" borderId="0"/>
    <xf numFmtId="248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8" fontId="37" fillId="0" borderId="0"/>
    <xf numFmtId="249" fontId="37" fillId="0" borderId="0"/>
    <xf numFmtId="248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9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0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8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24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 applyNumberFormat="0" applyFill="0" applyBorder="0" applyAlignment="0" applyProtection="0"/>
    <xf numFmtId="0" fontId="21" fillId="0" borderId="0"/>
    <xf numFmtId="245" fontId="126" fillId="0" borderId="0"/>
    <xf numFmtId="245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5" fontId="126" fillId="0" borderId="0"/>
    <xf numFmtId="245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6" fontId="126" fillId="0" borderId="0"/>
    <xf numFmtId="245" fontId="126" fillId="0" borderId="0"/>
    <xf numFmtId="245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5" fontId="126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0" fontId="21" fillId="0" borderId="0" applyNumberFormat="0" applyFill="0" applyBorder="0" applyAlignment="0" applyProtection="0"/>
    <xf numFmtId="241" fontId="37" fillId="0" borderId="0"/>
    <xf numFmtId="243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0" fontId="21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82" fontId="37" fillId="0" borderId="0"/>
    <xf numFmtId="182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182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17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6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247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 applyFill="0" applyBorder="0" applyProtection="0">
      <protection locked="0"/>
    </xf>
    <xf numFmtId="0" fontId="21" fillId="0" borderId="0"/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21" fillId="0" borderId="0"/>
    <xf numFmtId="0" fontId="21" fillId="0" borderId="0" applyNumberFormat="0" applyFill="0" applyBorder="0" applyAlignment="0" applyProtection="0"/>
    <xf numFmtId="206" fontId="37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241" fontId="37" fillId="0" borderId="0"/>
    <xf numFmtId="0" fontId="25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1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243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5" fillId="0" borderId="0" applyNumberFormat="0" applyFill="0" applyBorder="0" applyAlignment="0" applyProtection="0"/>
    <xf numFmtId="0" fontId="21" fillId="0" borderId="0"/>
    <xf numFmtId="0" fontId="21" fillId="0" borderId="0" applyFill="0" applyBorder="0" applyProtection="0">
      <protection locked="0"/>
    </xf>
    <xf numFmtId="0" fontId="21" fillId="0" borderId="0"/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3" fontId="134" fillId="0" borderId="14"/>
    <xf numFmtId="0" fontId="37" fillId="0" borderId="0"/>
    <xf numFmtId="0" fontId="37" fillId="0" borderId="0"/>
    <xf numFmtId="0" fontId="40" fillId="0" borderId="0" applyNumberFormat="0" applyFill="0" applyBorder="0" applyAlignment="0" applyProtection="0">
      <alignment vertical="top"/>
      <protection locked="0"/>
    </xf>
    <xf numFmtId="9" fontId="37" fillId="0" borderId="0" applyFont="0" applyFill="0" applyBorder="0" applyAlignment="0" applyProtection="0"/>
    <xf numFmtId="0" fontId="78" fillId="0" borderId="0"/>
    <xf numFmtId="0" fontId="78" fillId="0" borderId="0"/>
    <xf numFmtId="170" fontId="37" fillId="0" borderId="0" applyFont="0" applyFill="0" applyBorder="0" applyAlignment="0" applyProtection="0"/>
    <xf numFmtId="10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252" fontId="37" fillId="0" borderId="0" applyBorder="0"/>
    <xf numFmtId="0" fontId="162" fillId="3" borderId="0" applyNumberFormat="0" applyBorder="0" applyAlignment="0" applyProtection="0">
      <alignment vertical="center"/>
    </xf>
    <xf numFmtId="0" fontId="162" fillId="5" borderId="0" applyNumberFormat="0" applyBorder="0" applyAlignment="0" applyProtection="0">
      <alignment vertical="center"/>
    </xf>
    <xf numFmtId="0" fontId="162" fillId="6" borderId="0" applyNumberFormat="0" applyBorder="0" applyAlignment="0" applyProtection="0">
      <alignment vertical="center"/>
    </xf>
    <xf numFmtId="0" fontId="162" fillId="8" borderId="0" applyNumberFormat="0" applyBorder="0" applyAlignment="0" applyProtection="0">
      <alignment vertical="center"/>
    </xf>
    <xf numFmtId="0" fontId="162" fillId="4" borderId="0" applyNumberFormat="0" applyBorder="0" applyAlignment="0" applyProtection="0">
      <alignment vertical="center"/>
    </xf>
    <xf numFmtId="0" fontId="162" fillId="9" borderId="0" applyNumberFormat="0" applyBorder="0" applyAlignment="0" applyProtection="0">
      <alignment vertical="center"/>
    </xf>
    <xf numFmtId="184" fontId="116" fillId="0" borderId="0" applyFont="0" applyFill="0" applyBorder="0" applyAlignment="0" applyProtection="0"/>
    <xf numFmtId="0" fontId="78" fillId="0" borderId="0"/>
    <xf numFmtId="253" fontId="163" fillId="0" borderId="0" applyFont="0" applyFill="0" applyBorder="0" applyAlignment="0" applyProtection="0"/>
    <xf numFmtId="254" fontId="163" fillId="0" borderId="0" applyFont="0" applyFill="0" applyBorder="0" applyAlignment="0" applyProtection="0"/>
    <xf numFmtId="0" fontId="162" fillId="10" borderId="0" applyNumberFormat="0" applyBorder="0" applyAlignment="0" applyProtection="0">
      <alignment vertical="center"/>
    </xf>
    <xf numFmtId="0" fontId="162" fillId="11" borderId="0" applyNumberFormat="0" applyBorder="0" applyAlignment="0" applyProtection="0">
      <alignment vertical="center"/>
    </xf>
    <xf numFmtId="0" fontId="162" fillId="12" borderId="0" applyNumberFormat="0" applyBorder="0" applyAlignment="0" applyProtection="0">
      <alignment vertical="center"/>
    </xf>
    <xf numFmtId="0" fontId="162" fillId="8" borderId="0" applyNumberFormat="0" applyBorder="0" applyAlignment="0" applyProtection="0">
      <alignment vertical="center"/>
    </xf>
    <xf numFmtId="0" fontId="162" fillId="10" borderId="0" applyNumberFormat="0" applyBorder="0" applyAlignment="0" applyProtection="0">
      <alignment vertical="center"/>
    </xf>
    <xf numFmtId="0" fontId="162" fillId="13" borderId="0" applyNumberFormat="0" applyBorder="0" applyAlignment="0" applyProtection="0">
      <alignment vertical="center"/>
    </xf>
    <xf numFmtId="0" fontId="164" fillId="2" borderId="0" applyNumberFormat="0" applyBorder="0" applyAlignment="0" applyProtection="0">
      <alignment vertical="center"/>
    </xf>
    <xf numFmtId="0" fontId="164" fillId="11" borderId="0" applyNumberFormat="0" applyBorder="0" applyAlignment="0" applyProtection="0">
      <alignment vertical="center"/>
    </xf>
    <xf numFmtId="0" fontId="164" fillId="12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17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39" borderId="0" applyNumberFormat="0" applyBorder="0" applyAlignment="0" applyProtection="0">
      <alignment vertical="center"/>
    </xf>
    <xf numFmtId="255" fontId="37" fillId="70" borderId="21" applyFont="0">
      <alignment horizontal="right"/>
    </xf>
    <xf numFmtId="0" fontId="21" fillId="0" borderId="0"/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175" fontId="39" fillId="0" borderId="0" applyNumberFormat="0" applyFill="0" applyBorder="0" applyAlignment="0" applyProtection="0"/>
    <xf numFmtId="0" fontId="166" fillId="5" borderId="0" applyNumberFormat="0" applyBorder="0" applyAlignment="0" applyProtection="0">
      <alignment vertical="center"/>
    </xf>
    <xf numFmtId="256" fontId="78" fillId="0" borderId="0" applyFont="0" applyFill="0" applyBorder="0" applyAlignment="0" applyProtection="0"/>
    <xf numFmtId="0" fontId="119" fillId="0" borderId="0"/>
    <xf numFmtId="257" fontId="21" fillId="0" borderId="0" applyFill="0" applyBorder="0" applyAlignment="0"/>
    <xf numFmtId="0" fontId="167" fillId="40" borderId="1" applyNumberFormat="0" applyAlignment="0" applyProtection="0">
      <alignment vertical="center"/>
    </xf>
    <xf numFmtId="0" fontId="168" fillId="0" borderId="0"/>
    <xf numFmtId="3" fontId="134" fillId="0" borderId="14"/>
    <xf numFmtId="0" fontId="169" fillId="41" borderId="2" applyNumberFormat="0" applyAlignment="0" applyProtection="0">
      <alignment vertical="center"/>
    </xf>
    <xf numFmtId="49" fontId="170" fillId="0" borderId="0" applyNumberFormat="0" applyFill="0" applyBorder="0" applyProtection="0"/>
    <xf numFmtId="0" fontId="134" fillId="0" borderId="0">
      <alignment horizontal="center" wrapText="1"/>
      <protection hidden="1"/>
    </xf>
    <xf numFmtId="0" fontId="48" fillId="0" borderId="0" applyNumberFormat="0" applyFill="0" applyBorder="0" applyAlignment="0" applyProtection="0"/>
    <xf numFmtId="258" fontId="21" fillId="0" borderId="0"/>
    <xf numFmtId="258" fontId="21" fillId="0" borderId="0"/>
    <xf numFmtId="258" fontId="21" fillId="0" borderId="0"/>
    <xf numFmtId="258" fontId="21" fillId="0" borderId="0"/>
    <xf numFmtId="258" fontId="21" fillId="0" borderId="0"/>
    <xf numFmtId="258" fontId="21" fillId="0" borderId="0"/>
    <xf numFmtId="258" fontId="21" fillId="0" borderId="0"/>
    <xf numFmtId="258" fontId="21" fillId="0" borderId="0"/>
    <xf numFmtId="174" fontId="104" fillId="0" borderId="0"/>
    <xf numFmtId="0" fontId="171" fillId="77" borderId="0">
      <alignment horizontal="center" vertical="center" wrapText="1"/>
    </xf>
    <xf numFmtId="0" fontId="171" fillId="77" borderId="0">
      <alignment horizontal="center" vertical="center" wrapText="1"/>
    </xf>
    <xf numFmtId="259" fontId="134" fillId="0" borderId="0" applyFill="0" applyBorder="0">
      <alignment horizontal="right"/>
      <protection locked="0"/>
    </xf>
    <xf numFmtId="260" fontId="104" fillId="0" borderId="0"/>
    <xf numFmtId="261" fontId="37" fillId="0" borderId="0" applyFont="0" applyFill="0" applyBorder="0" applyAlignment="0" applyProtection="0">
      <alignment horizontal="right"/>
    </xf>
    <xf numFmtId="262" fontId="104" fillId="0" borderId="0"/>
    <xf numFmtId="0" fontId="172" fillId="0" borderId="0" applyNumberFormat="0" applyFill="0" applyBorder="0" applyAlignment="0" applyProtection="0"/>
    <xf numFmtId="0" fontId="26" fillId="67" borderId="14"/>
    <xf numFmtId="0" fontId="173" fillId="0" borderId="0" applyNumberFormat="0" applyFill="0" applyBorder="0" applyAlignment="0" applyProtection="0">
      <alignment vertical="center"/>
    </xf>
    <xf numFmtId="263" fontId="37" fillId="72" borderId="25" applyNumberFormat="0" applyFont="0" applyBorder="0" applyAlignment="0" applyProtection="0">
      <alignment horizontal="right"/>
    </xf>
    <xf numFmtId="0" fontId="21" fillId="0" borderId="0" applyFill="0" applyBorder="0" applyProtection="0">
      <protection locked="0"/>
    </xf>
    <xf numFmtId="0" fontId="174" fillId="6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49" fontId="130" fillId="0" borderId="0">
      <alignment horizontal="right"/>
    </xf>
    <xf numFmtId="0" fontId="175" fillId="0" borderId="0">
      <alignment horizontal="left"/>
    </xf>
    <xf numFmtId="0" fontId="28" fillId="0" borderId="27" applyNumberFormat="0" applyAlignment="0" applyProtection="0">
      <alignment horizontal="left" vertical="center"/>
    </xf>
    <xf numFmtId="0" fontId="28" fillId="0" borderId="21">
      <alignment horizontal="left" vertical="center"/>
    </xf>
    <xf numFmtId="0" fontId="176" fillId="0" borderId="3" applyNumberFormat="0" applyFill="0" applyAlignment="0" applyProtection="0">
      <alignment vertical="center"/>
    </xf>
    <xf numFmtId="0" fontId="177" fillId="0" borderId="4" applyNumberFormat="0" applyFill="0" applyAlignment="0" applyProtection="0">
      <alignment vertical="center"/>
    </xf>
    <xf numFmtId="0" fontId="178" fillId="0" borderId="5" applyNumberFormat="0" applyFill="0" applyAlignment="0" applyProtection="0">
      <alignment vertical="center"/>
    </xf>
    <xf numFmtId="0" fontId="178" fillId="0" borderId="0" applyNumberFormat="0" applyFill="0" applyBorder="0" applyAlignment="0" applyProtection="0">
      <alignment vertical="center"/>
    </xf>
    <xf numFmtId="172" fontId="37" fillId="0" borderId="0" applyNumberFormat="0" applyFont="0" applyFill="0" applyBorder="0" applyAlignment="0">
      <alignment horizontal="left"/>
    </xf>
    <xf numFmtId="1" fontId="133" fillId="0" borderId="0" applyNumberFormat="0">
      <alignment horizontal="right"/>
    </xf>
    <xf numFmtId="0" fontId="26" fillId="56" borderId="14" applyNumberFormat="0" applyBorder="0" applyAlignment="0" applyProtection="0"/>
    <xf numFmtId="168" fontId="64" fillId="0" borderId="0" applyFont="0" applyFill="0" applyBorder="0" applyAlignment="0" applyProtection="0">
      <alignment vertical="center"/>
    </xf>
    <xf numFmtId="0" fontId="134" fillId="0" borderId="0" applyFill="0" applyBorder="0">
      <alignment horizontal="right"/>
      <protection locked="0"/>
    </xf>
    <xf numFmtId="170" fontId="179" fillId="0" borderId="0">
      <alignment horizontal="right"/>
    </xf>
    <xf numFmtId="177" fontId="134" fillId="0" borderId="0" applyFill="0" applyBorder="0">
      <alignment horizontal="right"/>
      <protection locked="0"/>
    </xf>
    <xf numFmtId="0" fontId="180" fillId="0" borderId="6" applyNumberFormat="0" applyFill="0" applyAlignment="0" applyProtection="0">
      <alignment vertical="center"/>
    </xf>
    <xf numFmtId="38" fontId="181" fillId="0" borderId="0" applyNumberFormat="0" applyFill="0" applyBorder="0" applyAlignment="0" applyProtection="0">
      <alignment vertical="center"/>
    </xf>
    <xf numFmtId="0" fontId="182" fillId="0" borderId="36"/>
    <xf numFmtId="0" fontId="183" fillId="47" borderId="0" applyNumberFormat="0" applyBorder="0" applyAlignment="0" applyProtection="0">
      <alignment vertical="center"/>
    </xf>
    <xf numFmtId="264" fontId="21" fillId="0" borderId="0" applyFont="0" applyFill="0" applyBorder="0" applyAlignment="0" applyProtection="0"/>
    <xf numFmtId="265" fontId="136" fillId="0" borderId="0"/>
    <xf numFmtId="1" fontId="184" fillId="0" borderId="0"/>
    <xf numFmtId="184" fontId="21" fillId="0" borderId="0"/>
    <xf numFmtId="0" fontId="46" fillId="0" borderId="0"/>
    <xf numFmtId="0" fontId="161" fillId="14" borderId="7" applyNumberFormat="0" applyFont="0" applyAlignment="0" applyProtection="0">
      <alignment vertical="center"/>
    </xf>
    <xf numFmtId="0" fontId="37" fillId="0" borderId="0"/>
    <xf numFmtId="0" fontId="185" fillId="40" borderId="8" applyNumberFormat="0" applyAlignment="0" applyProtection="0">
      <alignment vertical="center"/>
    </xf>
    <xf numFmtId="40" fontId="186" fillId="57" borderId="0">
      <alignment horizontal="right"/>
    </xf>
    <xf numFmtId="10" fontId="161" fillId="0" borderId="0" applyFont="0" applyFill="0" applyBorder="0" applyAlignment="0" applyProtection="0"/>
    <xf numFmtId="266" fontId="134" fillId="0" borderId="0" applyFill="0" applyBorder="0">
      <alignment horizontal="right"/>
      <protection locked="0"/>
    </xf>
    <xf numFmtId="0" fontId="26" fillId="68" borderId="14"/>
    <xf numFmtId="267" fontId="134" fillId="0" borderId="0">
      <alignment horizontal="right"/>
      <protection locked="0"/>
    </xf>
    <xf numFmtId="170" fontId="21" fillId="0" borderId="0"/>
    <xf numFmtId="0" fontId="48" fillId="0" borderId="0" applyNumberFormat="0" applyFill="0" applyBorder="0" applyAlignment="0" applyProtection="0"/>
    <xf numFmtId="0" fontId="117" fillId="0" borderId="38">
      <alignment horizontal="centerContinuous"/>
    </xf>
    <xf numFmtId="175" fontId="117" fillId="0" borderId="0"/>
    <xf numFmtId="0" fontId="117" fillId="0" borderId="38">
      <protection locked="0"/>
    </xf>
    <xf numFmtId="268" fontId="187" fillId="0" borderId="0" applyFill="0" applyBorder="0" applyProtection="0">
      <alignment horizontal="right"/>
      <protection hidden="1"/>
    </xf>
    <xf numFmtId="269" fontId="37" fillId="0" borderId="0" applyNumberFormat="0" applyFill="0" applyBorder="0" applyAlignment="0" applyProtection="0">
      <alignment horizontal="right" vertical="center" wrapText="1"/>
    </xf>
    <xf numFmtId="168" fontId="64" fillId="0" borderId="0" applyFont="0" applyFill="0" applyBorder="0" applyAlignment="0" applyProtection="0">
      <alignment vertical="center"/>
    </xf>
    <xf numFmtId="0" fontId="182" fillId="0" borderId="0"/>
    <xf numFmtId="0" fontId="146" fillId="0" borderId="0">
      <alignment vertical="center"/>
    </xf>
    <xf numFmtId="0" fontId="188" fillId="0" borderId="0" applyNumberFormat="0" applyFill="0" applyBorder="0" applyAlignment="0" applyProtection="0">
      <alignment vertical="center"/>
    </xf>
    <xf numFmtId="0" fontId="37" fillId="0" borderId="35" applyNumberFormat="0" applyFont="0" applyFill="0" applyAlignment="0" applyProtection="0"/>
    <xf numFmtId="21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2" fontId="170" fillId="0" borderId="24" applyFont="0" applyFill="0" applyAlignment="0" applyProtection="0">
      <alignment vertical="center"/>
    </xf>
    <xf numFmtId="0" fontId="189" fillId="0" borderId="0" applyNumberFormat="0" applyFill="0" applyBorder="0" applyAlignment="0" applyProtection="0">
      <alignment vertical="center"/>
    </xf>
    <xf numFmtId="41" fontId="21" fillId="0" borderId="0">
      <alignment wrapText="1"/>
    </xf>
    <xf numFmtId="0" fontId="21" fillId="0" borderId="0" applyFill="0" applyBorder="0" applyProtection="0">
      <protection locked="0"/>
    </xf>
    <xf numFmtId="9" fontId="161" fillId="0" borderId="0" applyFont="0" applyFill="0" applyBorder="0" applyAlignment="0" applyProtection="0">
      <alignment vertical="center"/>
    </xf>
    <xf numFmtId="9" fontId="16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>
      <protection locked="0"/>
    </xf>
    <xf numFmtId="0" fontId="37" fillId="0" borderId="0"/>
    <xf numFmtId="0" fontId="78" fillId="0" borderId="0">
      <alignment horizontal="center" wrapText="1" shrinkToFit="1"/>
    </xf>
    <xf numFmtId="0" fontId="190" fillId="0" borderId="0" applyNumberFormat="0" applyFill="0" applyBorder="0" applyAlignment="0" applyProtection="0">
      <alignment vertical="top"/>
      <protection locked="0"/>
    </xf>
    <xf numFmtId="42" fontId="161" fillId="0" borderId="0" applyFont="0" applyFill="0" applyBorder="0" applyAlignment="0" applyProtection="0"/>
    <xf numFmtId="270" fontId="161" fillId="0" borderId="0" applyFont="0" applyFill="0" applyBorder="0" applyAlignment="0" applyProtection="0"/>
    <xf numFmtId="44" fontId="161" fillId="0" borderId="0" applyFont="0" applyFill="0" applyBorder="0" applyAlignment="0" applyProtection="0"/>
    <xf numFmtId="38" fontId="161" fillId="0" borderId="0" applyFont="0" applyFill="0" applyBorder="0" applyAlignment="0" applyProtection="0"/>
    <xf numFmtId="40" fontId="161" fillId="0" borderId="0" applyFont="0" applyFill="0" applyBorder="0" applyAlignment="0" applyProtection="0"/>
    <xf numFmtId="0" fontId="161" fillId="0" borderId="0" applyFont="0" applyFill="0" applyBorder="0" applyAlignment="0" applyProtection="0"/>
    <xf numFmtId="0" fontId="161" fillId="0" borderId="0" applyFont="0" applyFill="0" applyBorder="0" applyAlignment="0" applyProtection="0"/>
    <xf numFmtId="253" fontId="161" fillId="0" borderId="0" applyFont="0" applyFill="0" applyBorder="0" applyAlignment="0" applyProtection="0"/>
    <xf numFmtId="254" fontId="161" fillId="0" borderId="0" applyFont="0" applyFill="0" applyBorder="0" applyAlignment="0" applyProtection="0"/>
    <xf numFmtId="0" fontId="64" fillId="0" borderId="0"/>
    <xf numFmtId="166" fontId="161" fillId="0" borderId="0" applyFont="0" applyFill="0" applyBorder="0" applyAlignment="0" applyProtection="0"/>
    <xf numFmtId="168" fontId="161" fillId="0" borderId="0" applyFont="0" applyFill="0" applyBorder="0" applyAlignment="0" applyProtection="0"/>
    <xf numFmtId="168" fontId="161" fillId="0" borderId="0" applyFont="0" applyFill="0" applyBorder="0" applyAlignment="0" applyProtection="0">
      <alignment vertical="center"/>
    </xf>
    <xf numFmtId="168" fontId="16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91" fillId="0" borderId="0" applyNumberFormat="0" applyFill="0" applyBorder="0" applyAlignment="0" applyProtection="0">
      <alignment vertical="top"/>
      <protection locked="0"/>
    </xf>
    <xf numFmtId="271" fontId="192" fillId="0" borderId="0">
      <alignment horizontal="center" vertical="top" shrinkToFit="1"/>
    </xf>
    <xf numFmtId="0" fontId="21" fillId="0" borderId="0"/>
    <xf numFmtId="0" fontId="21" fillId="0" borderId="0"/>
    <xf numFmtId="183" fontId="193" fillId="0" borderId="0">
      <alignment horizontal="center" vertical="top"/>
    </xf>
    <xf numFmtId="0" fontId="21" fillId="0" borderId="0" applyFill="0" applyBorder="0" applyProtection="0">
      <protection locked="0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/>
    <xf numFmtId="0" fontId="21" fillId="0" borderId="0"/>
    <xf numFmtId="41" fontId="161" fillId="0" borderId="0" applyFont="0" applyFill="0" applyBorder="0" applyAlignment="0" applyProtection="0"/>
    <xf numFmtId="43" fontId="161" fillId="0" borderId="0" applyFont="0" applyFill="0" applyBorder="0" applyAlignment="0" applyProtection="0"/>
    <xf numFmtId="1" fontId="133" fillId="0" borderId="0" applyNumberFormat="0">
      <alignment horizontal="right"/>
    </xf>
    <xf numFmtId="1" fontId="133" fillId="0" borderId="0" applyNumberFormat="0">
      <alignment horizontal="right"/>
    </xf>
    <xf numFmtId="261" fontId="37" fillId="0" borderId="0" applyFont="0" applyFill="0" applyBorder="0" applyAlignment="0" applyProtection="0">
      <alignment horizontal="right"/>
    </xf>
    <xf numFmtId="261" fontId="37" fillId="0" borderId="0" applyFont="0" applyFill="0" applyBorder="0" applyAlignment="0" applyProtection="0">
      <alignment horizontal="right"/>
    </xf>
    <xf numFmtId="0" fontId="21" fillId="0" borderId="0" applyFill="0" applyBorder="0" applyProtection="0">
      <protection locked="0"/>
    </xf>
    <xf numFmtId="210" fontId="25" fillId="0" borderId="0"/>
    <xf numFmtId="0" fontId="21" fillId="0" borderId="0" applyFill="0" applyBorder="0" applyProtection="0">
      <protection locked="0"/>
    </xf>
    <xf numFmtId="210" fontId="25" fillId="0" borderId="0"/>
    <xf numFmtId="168" fontId="64" fillId="0" borderId="0" applyFont="0" applyFill="0" applyBorder="0" applyAlignment="0" applyProtection="0">
      <alignment vertical="center"/>
    </xf>
    <xf numFmtId="0" fontId="21" fillId="0" borderId="0" applyFill="0" applyBorder="0" applyProtection="0">
      <protection locked="0"/>
    </xf>
    <xf numFmtId="210" fontId="25" fillId="0" borderId="0"/>
    <xf numFmtId="0" fontId="164" fillId="39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39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37" fillId="0" borderId="0"/>
    <xf numFmtId="0" fontId="21" fillId="0" borderId="0" applyFill="0" applyBorder="0" applyProtection="0">
      <protection locked="0"/>
    </xf>
    <xf numFmtId="210" fontId="25" fillId="0" borderId="0"/>
    <xf numFmtId="0" fontId="37" fillId="0" borderId="0"/>
    <xf numFmtId="9" fontId="64" fillId="0" borderId="0" applyFont="0" applyFill="0" applyBorder="0" applyAlignment="0" applyProtection="0">
      <alignment vertical="center"/>
    </xf>
    <xf numFmtId="0" fontId="37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" fontId="133" fillId="0" borderId="0" applyNumberFormat="0">
      <alignment horizontal="right"/>
    </xf>
    <xf numFmtId="1" fontId="133" fillId="0" borderId="0" applyNumberFormat="0">
      <alignment horizontal="right"/>
    </xf>
    <xf numFmtId="1" fontId="133" fillId="0" borderId="0" applyNumberFormat="0">
      <alignment horizontal="right"/>
    </xf>
    <xf numFmtId="261" fontId="37" fillId="0" borderId="0" applyFont="0" applyFill="0" applyBorder="0" applyAlignment="0" applyProtection="0">
      <alignment horizontal="right"/>
    </xf>
    <xf numFmtId="261" fontId="37" fillId="0" borderId="0" applyFont="0" applyFill="0" applyBorder="0" applyAlignment="0" applyProtection="0">
      <alignment horizontal="right"/>
    </xf>
    <xf numFmtId="261" fontId="37" fillId="0" borderId="0" applyFont="0" applyFill="0" applyBorder="0" applyAlignment="0" applyProtection="0">
      <alignment horizontal="right"/>
    </xf>
    <xf numFmtId="0" fontId="164" fillId="39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39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39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39" borderId="0" applyNumberFormat="0" applyBorder="0" applyAlignment="0" applyProtection="0">
      <alignment vertical="center"/>
    </xf>
    <xf numFmtId="261" fontId="37" fillId="0" borderId="0" applyFont="0" applyFill="0" applyBorder="0" applyAlignment="0" applyProtection="0">
      <alignment horizontal="right"/>
    </xf>
    <xf numFmtId="1" fontId="133" fillId="0" borderId="0" applyNumberFormat="0">
      <alignment horizontal="right"/>
    </xf>
    <xf numFmtId="9" fontId="64" fillId="0" borderId="0" applyFont="0" applyFill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39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39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39" borderId="0" applyNumberFormat="0" applyBorder="0" applyAlignment="0" applyProtection="0">
      <alignment vertical="center"/>
    </xf>
    <xf numFmtId="0" fontId="164" fillId="24" borderId="0" applyNumberFormat="0" applyBorder="0" applyAlignment="0" applyProtection="0">
      <alignment vertical="center"/>
    </xf>
    <xf numFmtId="0" fontId="164" fillId="30" borderId="0" applyNumberFormat="0" applyBorder="0" applyAlignment="0" applyProtection="0">
      <alignment vertical="center"/>
    </xf>
    <xf numFmtId="0" fontId="164" fillId="35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164" fillId="16" borderId="0" applyNumberFormat="0" applyBorder="0" applyAlignment="0" applyProtection="0">
      <alignment vertical="center"/>
    </xf>
    <xf numFmtId="0" fontId="164" fillId="39" borderId="0" applyNumberFormat="0" applyBorder="0" applyAlignment="0" applyProtection="0">
      <alignment vertical="center"/>
    </xf>
    <xf numFmtId="0" fontId="37" fillId="0" borderId="0"/>
    <xf numFmtId="261" fontId="37" fillId="0" borderId="0" applyFont="0" applyFill="0" applyBorder="0" applyAlignment="0" applyProtection="0">
      <alignment horizontal="right"/>
    </xf>
    <xf numFmtId="168" fontId="64" fillId="0" borderId="0" applyFont="0" applyFill="0" applyBorder="0" applyAlignment="0" applyProtection="0">
      <alignment vertical="center"/>
    </xf>
    <xf numFmtId="261" fontId="37" fillId="0" borderId="0" applyFont="0" applyFill="0" applyBorder="0" applyAlignment="0" applyProtection="0">
      <alignment horizontal="right"/>
    </xf>
    <xf numFmtId="210" fontId="25" fillId="0" borderId="0"/>
    <xf numFmtId="0" fontId="21" fillId="0" borderId="0" applyFill="0" applyBorder="0" applyProtection="0">
      <protection locked="0"/>
    </xf>
    <xf numFmtId="261" fontId="37" fillId="0" borderId="0" applyFont="0" applyFill="0" applyBorder="0" applyAlignment="0" applyProtection="0">
      <alignment horizontal="right"/>
    </xf>
    <xf numFmtId="261" fontId="37" fillId="0" borderId="0" applyFont="0" applyFill="0" applyBorder="0" applyAlignment="0" applyProtection="0">
      <alignment horizontal="right"/>
    </xf>
    <xf numFmtId="210" fontId="25" fillId="0" borderId="0"/>
    <xf numFmtId="0" fontId="21" fillId="0" borderId="0" applyFill="0" applyBorder="0" applyProtection="0">
      <protection locked="0"/>
    </xf>
    <xf numFmtId="1" fontId="133" fillId="0" borderId="0" applyNumberFormat="0">
      <alignment horizontal="right"/>
    </xf>
    <xf numFmtId="1" fontId="133" fillId="0" borderId="0" applyNumberFormat="0">
      <alignment horizontal="right"/>
    </xf>
    <xf numFmtId="1" fontId="133" fillId="0" borderId="0" applyNumberFormat="0">
      <alignment horizontal="right"/>
    </xf>
    <xf numFmtId="1" fontId="133" fillId="0" borderId="0" applyNumberFormat="0">
      <alignment horizontal="right"/>
    </xf>
    <xf numFmtId="10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37" fillId="0" borderId="0"/>
    <xf numFmtId="9" fontId="64" fillId="0" borderId="0" applyFont="0" applyFill="0" applyBorder="0" applyAlignment="0" applyProtection="0">
      <alignment vertical="center"/>
    </xf>
    <xf numFmtId="0" fontId="37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0" fontId="37" fillId="0" borderId="0"/>
    <xf numFmtId="0" fontId="37" fillId="0" borderId="0"/>
    <xf numFmtId="168" fontId="64" fillId="0" borderId="0" applyFont="0" applyFill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210" fontId="25" fillId="0" borderId="0"/>
    <xf numFmtId="0" fontId="21" fillId="0" borderId="0" applyFill="0" applyBorder="0" applyProtection="0">
      <protection locked="0"/>
    </xf>
    <xf numFmtId="168" fontId="64" fillId="0" borderId="0" applyFont="0" applyFill="0" applyBorder="0" applyAlignment="0" applyProtection="0">
      <alignment vertical="center"/>
    </xf>
    <xf numFmtId="210" fontId="25" fillId="0" borderId="0"/>
    <xf numFmtId="0" fontId="21" fillId="0" borderId="0" applyFill="0" applyBorder="0" applyProtection="0">
      <protection locked="0"/>
    </xf>
    <xf numFmtId="168" fontId="64" fillId="0" borderId="0" applyFont="0" applyFill="0" applyBorder="0" applyAlignment="0" applyProtection="0">
      <alignment vertical="center"/>
    </xf>
    <xf numFmtId="210" fontId="25" fillId="0" borderId="0"/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64" fillId="0" borderId="0"/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64" fillId="0" borderId="0"/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21" fillId="0" borderId="0" applyFill="0" applyBorder="0" applyProtection="0">
      <protection locked="0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1" fillId="0" borderId="0" applyFill="0" applyBorder="0" applyProtection="0">
      <protection locked="0"/>
    </xf>
    <xf numFmtId="0" fontId="64" fillId="0" borderId="0"/>
    <xf numFmtId="0" fontId="64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" fontId="133" fillId="0" borderId="0" applyNumberFormat="0">
      <alignment horizontal="right"/>
    </xf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4" fillId="0" borderId="0">
      <alignment vertical="center"/>
    </xf>
    <xf numFmtId="0" fontId="37" fillId="0" borderId="0"/>
    <xf numFmtId="1" fontId="133" fillId="0" borderId="0" applyNumberFormat="0">
      <alignment horizontal="right"/>
    </xf>
    <xf numFmtId="0" fontId="38" fillId="0" borderId="35" applyNumberFormat="0" applyFont="0" applyFill="0" applyAlignment="0" applyProtection="0"/>
    <xf numFmtId="9" fontId="37" fillId="0" borderId="0" applyFont="0" applyFill="0" applyBorder="0" applyAlignment="0" applyProtection="0"/>
    <xf numFmtId="0" fontId="37" fillId="0" borderId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75" fillId="9" borderId="1" applyNumberFormat="0" applyAlignment="0" applyProtection="0">
      <alignment vertical="center"/>
    </xf>
    <xf numFmtId="0" fontId="98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15" applyNumberFormat="0" applyFill="0" applyAlignment="0" applyProtection="0">
      <alignment vertical="center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0" fontId="64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64" fillId="14" borderId="7" applyNumberFormat="0" applyFont="0" applyAlignment="0" applyProtection="0">
      <alignment vertical="center"/>
    </xf>
    <xf numFmtId="10" fontId="6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168" fontId="64" fillId="0" borderId="0" applyFont="0" applyFill="0" applyBorder="0" applyAlignment="0" applyProtection="0">
      <alignment vertical="center"/>
    </xf>
    <xf numFmtId="168" fontId="6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4" fillId="0" borderId="0">
      <alignment vertical="center"/>
    </xf>
    <xf numFmtId="273" fontId="195" fillId="0" borderId="0" applyFont="0" applyFill="0" applyBorder="0" applyAlignment="0" applyProtection="0"/>
    <xf numFmtId="14" fontId="134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5" fontId="37" fillId="0" borderId="0"/>
    <xf numFmtId="0" fontId="37" fillId="0" borderId="0"/>
    <xf numFmtId="0" fontId="37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5" fontId="37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7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7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9" fontId="196" fillId="0" borderId="0" applyFont="0" applyFill="0" applyBorder="0" applyAlignment="0" applyProtection="0"/>
    <xf numFmtId="0" fontId="196" fillId="0" borderId="0" applyFont="0" applyFill="0" applyBorder="0" applyAlignment="0" applyProtection="0"/>
    <xf numFmtId="10" fontId="196" fillId="0" borderId="0" applyFont="0" applyFill="0" applyBorder="0" applyAlignment="0" applyProtection="0"/>
    <xf numFmtId="0" fontId="197" fillId="0" borderId="0"/>
    <xf numFmtId="2" fontId="197" fillId="0" borderId="0"/>
    <xf numFmtId="278" fontId="21" fillId="70" borderId="21" applyFont="0">
      <alignment horizontal="right"/>
    </xf>
    <xf numFmtId="279" fontId="39" fillId="0" borderId="0" applyFont="0" applyAlignment="0"/>
    <xf numFmtId="10" fontId="121" fillId="0" borderId="0" applyNumberFormat="0" applyFill="0" applyBorder="0" applyAlignment="0" applyProtection="0">
      <alignment horizontal="right"/>
    </xf>
    <xf numFmtId="0" fontId="198" fillId="0" borderId="0" applyNumberFormat="0" applyFill="0" applyBorder="0" applyAlignment="0" applyProtection="0"/>
    <xf numFmtId="0" fontId="41" fillId="78" borderId="39"/>
    <xf numFmtId="0" fontId="199" fillId="0" borderId="40"/>
    <xf numFmtId="0" fontId="21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1" fillId="0" borderId="21" applyNumberFormat="0" applyFill="0" applyProtection="0">
      <alignment horizontal="right"/>
    </xf>
    <xf numFmtId="38" fontId="200" fillId="0" borderId="0">
      <alignment horizontal="center"/>
      <protection locked="0"/>
    </xf>
    <xf numFmtId="280" fontId="201" fillId="0" borderId="0" applyFont="0" applyFill="0" applyBorder="0" applyAlignment="0" applyProtection="0">
      <alignment horizontal="right"/>
    </xf>
    <xf numFmtId="0" fontId="21" fillId="0" borderId="0"/>
    <xf numFmtId="281" fontId="201" fillId="0" borderId="0" applyFont="0" applyFill="0" applyBorder="0" applyAlignment="0" applyProtection="0">
      <alignment horizontal="right"/>
    </xf>
    <xf numFmtId="282" fontId="201" fillId="0" borderId="0" applyFont="0" applyFill="0" applyBorder="0" applyAlignment="0" applyProtection="0">
      <alignment horizontal="right"/>
    </xf>
    <xf numFmtId="0" fontId="126" fillId="0" borderId="0"/>
    <xf numFmtId="14" fontId="134" fillId="0" borderId="0"/>
    <xf numFmtId="283" fontId="201" fillId="0" borderId="0" applyFont="0" applyFill="0" applyBorder="0" applyAlignment="0" applyProtection="0"/>
    <xf numFmtId="14" fontId="202" fillId="0" borderId="0" applyFont="0" applyFill="0" applyBorder="0" applyAlignment="0" applyProtection="0">
      <alignment horizontal="center"/>
    </xf>
    <xf numFmtId="39" fontId="121" fillId="0" borderId="0" applyFont="0" applyFill="0" applyBorder="0" applyProtection="0">
      <alignment horizontal="right"/>
    </xf>
    <xf numFmtId="284" fontId="21" fillId="0" borderId="0" applyFont="0" applyFill="0" applyBorder="0" applyAlignment="0" applyProtection="0">
      <alignment horizontal="right"/>
    </xf>
    <xf numFmtId="285" fontId="201" fillId="0" borderId="41" applyNumberFormat="0" applyFont="0" applyFill="0" applyAlignment="0" applyProtection="0"/>
    <xf numFmtId="0" fontId="20" fillId="0" borderId="0" applyNumberFormat="0" applyFont="0" applyFill="0" applyBorder="0" applyAlignment="0" applyProtection="0"/>
    <xf numFmtId="38" fontId="21" fillId="0" borderId="21" applyBorder="0" applyAlignment="0" applyProtection="0"/>
    <xf numFmtId="286" fontId="21" fillId="72" borderId="25" applyNumberFormat="0" applyFont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03" fillId="0" borderId="0" applyFill="0" applyBorder="0" applyProtection="0">
      <alignment horizontal="left"/>
    </xf>
    <xf numFmtId="12" fontId="197" fillId="0" borderId="0">
      <alignment horizontal="center"/>
    </xf>
    <xf numFmtId="37" fontId="126" fillId="0" borderId="0"/>
    <xf numFmtId="37" fontId="21" fillId="0" borderId="0" applyNumberFormat="0" applyFill="0" applyBorder="0" applyAlignment="0" applyProtection="0">
      <alignment horizontal="right"/>
    </xf>
    <xf numFmtId="37" fontId="21" fillId="0" borderId="0" applyNumberFormat="0" applyFill="0" applyBorder="0" applyAlignment="0" applyProtection="0">
      <alignment horizontal="right"/>
    </xf>
    <xf numFmtId="0" fontId="21" fillId="0" borderId="0"/>
    <xf numFmtId="287" fontId="33" fillId="56" borderId="14" applyNumberFormat="0" applyFont="0" applyAlignment="0"/>
    <xf numFmtId="288" fontId="201" fillId="0" borderId="0" applyFont="0" applyFill="0" applyBorder="0" applyAlignment="0" applyProtection="0">
      <alignment horizontal="right"/>
    </xf>
    <xf numFmtId="0" fontId="204" fillId="0" borderId="0" applyProtection="0">
      <alignment horizontal="right"/>
    </xf>
    <xf numFmtId="38" fontId="21" fillId="0" borderId="0"/>
    <xf numFmtId="170" fontId="21" fillId="0" borderId="0"/>
    <xf numFmtId="10" fontId="205" fillId="0" borderId="0"/>
    <xf numFmtId="0" fontId="45" fillId="0" borderId="42" applyBorder="0">
      <protection locked="0"/>
    </xf>
    <xf numFmtId="0" fontId="206" fillId="0" borderId="0" applyNumberFormat="0" applyFill="0" applyBorder="0" applyAlignment="0"/>
    <xf numFmtId="3" fontId="207" fillId="0" borderId="0" applyFont="0" applyFill="0" applyBorder="0" applyAlignment="0" applyProtection="0"/>
    <xf numFmtId="38" fontId="38" fillId="0" borderId="0" applyFill="0" applyBorder="0" applyAlignment="0" applyProtection="0"/>
    <xf numFmtId="289" fontId="208" fillId="0" borderId="0" applyFont="0" applyFill="0" applyBorder="0" applyAlignment="0" applyProtection="0"/>
    <xf numFmtId="290" fontId="20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11" fillId="0" borderId="0" applyFont="0" applyFill="0" applyBorder="0" applyAlignment="0" applyProtection="0"/>
    <xf numFmtId="291" fontId="208" fillId="0" borderId="0" applyFont="0" applyFill="0" applyBorder="0" applyAlignment="0" applyProtection="0"/>
    <xf numFmtId="292" fontId="208" fillId="0" borderId="0" applyFont="0" applyFill="0" applyBorder="0" applyAlignment="0" applyProtection="0"/>
    <xf numFmtId="293" fontId="201" fillId="0" borderId="0" applyFont="0" applyFill="0" applyBorder="0" applyAlignment="0" applyProtection="0">
      <alignment horizontal="right"/>
    </xf>
    <xf numFmtId="0" fontId="43" fillId="0" borderId="0">
      <alignment horizontal="right"/>
    </xf>
    <xf numFmtId="0" fontId="45" fillId="0" borderId="43" applyNumberFormat="0" applyAlignment="0"/>
    <xf numFmtId="0" fontId="209" fillId="0" borderId="32"/>
    <xf numFmtId="294" fontId="196" fillId="0" borderId="0"/>
    <xf numFmtId="37" fontId="205" fillId="0" borderId="0"/>
    <xf numFmtId="37" fontId="197" fillId="0" borderId="0"/>
    <xf numFmtId="171" fontId="200" fillId="0" borderId="0"/>
    <xf numFmtId="1" fontId="210" fillId="0" borderId="0" applyProtection="0">
      <alignment horizontal="right" vertical="center"/>
    </xf>
    <xf numFmtId="38" fontId="26" fillId="0" borderId="0" applyFill="0" applyBorder="0" applyAlignment="0" applyProtection="0">
      <alignment horizontal="right"/>
    </xf>
    <xf numFmtId="9" fontId="111" fillId="0" borderId="0" applyFont="0" applyFill="0" applyBorder="0" applyAlignment="0" applyProtection="0"/>
    <xf numFmtId="0" fontId="211" fillId="0" borderId="0" applyFont="0" applyFill="0" applyBorder="0">
      <alignment horizontal="right"/>
    </xf>
    <xf numFmtId="3" fontId="21" fillId="68" borderId="44" applyFont="0" applyFill="0" applyBorder="0" applyAlignment="0" applyProtection="0"/>
    <xf numFmtId="4" fontId="21" fillId="68" borderId="44" applyFont="0" applyFill="0" applyBorder="0" applyAlignment="0" applyProtection="0"/>
    <xf numFmtId="0" fontId="111" fillId="68" borderId="44" applyFont="0" applyFill="0" applyBorder="0" applyAlignment="0" applyProtection="0"/>
    <xf numFmtId="0" fontId="21" fillId="68" borderId="45" applyFont="0" applyFill="0" applyBorder="0" applyAlignment="0" applyProtection="0"/>
    <xf numFmtId="10" fontId="21" fillId="68" borderId="44" applyFont="0" applyFill="0" applyBorder="0" applyAlignment="0" applyProtection="0"/>
    <xf numFmtId="9" fontId="21" fillId="68" borderId="44" applyFont="0" applyFill="0" applyBorder="0" applyAlignment="0" applyProtection="0"/>
    <xf numFmtId="2" fontId="21" fillId="68" borderId="44" applyFont="0" applyFill="0" applyBorder="0" applyAlignment="0" applyProtection="0"/>
    <xf numFmtId="295" fontId="21" fillId="0" borderId="0" applyNumberFormat="0" applyFill="0" applyBorder="0" applyAlignment="0" applyProtection="0">
      <alignment horizontal="right" vertical="center" wrapText="1"/>
    </xf>
    <xf numFmtId="296" fontId="21" fillId="0" borderId="0"/>
    <xf numFmtId="285" fontId="212" fillId="0" borderId="24" applyBorder="0" applyProtection="0">
      <alignment horizontal="right" vertical="center"/>
    </xf>
    <xf numFmtId="0" fontId="213" fillId="79" borderId="0" applyBorder="0" applyProtection="0">
      <alignment horizontal="centerContinuous" vertical="center"/>
    </xf>
    <xf numFmtId="0" fontId="213" fillId="80" borderId="24" applyBorder="0" applyProtection="0">
      <alignment horizontal="centerContinuous" vertical="center"/>
    </xf>
    <xf numFmtId="0" fontId="145" fillId="0" borderId="24" applyNumberFormat="0" applyFill="0" applyProtection="0"/>
    <xf numFmtId="0" fontId="214" fillId="0" borderId="0" applyFill="0" applyBorder="0" applyProtection="0">
      <alignment horizontal="left"/>
    </xf>
    <xf numFmtId="0" fontId="203" fillId="0" borderId="22" applyFill="0" applyBorder="0" applyProtection="0">
      <alignment horizontal="left" vertical="top"/>
    </xf>
    <xf numFmtId="0" fontId="34" fillId="0" borderId="0" applyNumberFormat="0" applyFont="0" applyFill="0" applyBorder="0" applyAlignment="0" applyProtection="0"/>
    <xf numFmtId="297" fontId="21" fillId="0" borderId="0"/>
    <xf numFmtId="37" fontId="215" fillId="40" borderId="44" applyNumberFormat="0" applyBorder="0">
      <alignment horizontal="center"/>
    </xf>
    <xf numFmtId="38" fontId="211" fillId="81" borderId="24" applyAlignment="0"/>
    <xf numFmtId="175" fontId="21" fillId="0" borderId="25" applyNumberFormat="0" applyFont="0" applyFill="0" applyAlignment="0"/>
    <xf numFmtId="38" fontId="134" fillId="0" borderId="0" applyFont="0" applyFill="0" applyBorder="0" applyAlignment="0" applyProtection="0"/>
    <xf numFmtId="40" fontId="134" fillId="0" borderId="0" applyFont="0" applyFill="0" applyBorder="0" applyAlignment="0" applyProtection="0"/>
    <xf numFmtId="0" fontId="216" fillId="0" borderId="24" applyNumberFormat="0" applyFill="0" applyProtection="0"/>
    <xf numFmtId="298" fontId="134" fillId="0" borderId="0" applyFont="0" applyFill="0" applyBorder="0" applyAlignment="0" applyProtection="0"/>
    <xf numFmtId="299" fontId="134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9" fillId="0" borderId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126" fillId="0" borderId="0" applyFont="0" applyFill="0" applyBorder="0" applyAlignment="0" applyProtection="0"/>
    <xf numFmtId="207" fontId="126" fillId="0" borderId="0" applyFont="0" applyFill="0" applyBorder="0" applyAlignment="0" applyProtection="0"/>
    <xf numFmtId="207" fontId="126" fillId="0" borderId="0" applyFont="0" applyFill="0" applyBorder="0" applyAlignment="0" applyProtection="0"/>
    <xf numFmtId="207" fontId="217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135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126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207" fontId="126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126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207" fontId="126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08" fontId="217" fillId="0" borderId="0" applyFont="0" applyFill="0" applyBorder="0" applyAlignment="0" applyProtection="0"/>
    <xf numFmtId="233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135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208" fontId="126" fillId="0" borderId="0" applyFont="0" applyFill="0" applyBorder="0" applyAlignment="0" applyProtection="0"/>
    <xf numFmtId="233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126" fillId="0" borderId="0" applyFont="0" applyFill="0" applyBorder="0" applyAlignment="0" applyProtection="0"/>
    <xf numFmtId="208" fontId="126" fillId="0" borderId="0" applyFont="0" applyFill="0" applyBorder="0" applyAlignment="0" applyProtection="0"/>
    <xf numFmtId="208" fontId="126" fillId="0" borderId="0" applyFont="0" applyFill="0" applyBorder="0" applyAlignment="0" applyProtection="0"/>
    <xf numFmtId="233" fontId="21" fillId="0" borderId="0" applyFont="0" applyFill="0" applyBorder="0" applyAlignment="0" applyProtection="0"/>
    <xf numFmtId="208" fontId="126" fillId="0" borderId="0" applyFont="0" applyFill="0" applyBorder="0" applyAlignment="0" applyProtection="0"/>
    <xf numFmtId="233" fontId="21" fillId="0" borderId="0" applyFont="0" applyFill="0" applyBorder="0" applyAlignment="0" applyProtection="0"/>
    <xf numFmtId="208" fontId="126" fillId="0" borderId="0" applyFont="0" applyFill="0" applyBorder="0" applyAlignment="0" applyProtection="0"/>
    <xf numFmtId="233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217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135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126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126" fillId="0" borderId="0" applyFont="0" applyFill="0" applyBorder="0" applyAlignment="0" applyProtection="0"/>
    <xf numFmtId="209" fontId="126" fillId="0" borderId="0" applyFont="0" applyFill="0" applyBorder="0" applyAlignment="0" applyProtection="0"/>
    <xf numFmtId="209" fontId="126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126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126" fillId="0" borderId="0" applyFont="0" applyFill="0" applyBorder="0" applyAlignment="0" applyProtection="0"/>
    <xf numFmtId="3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209" fontId="21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215" fontId="21" fillId="0" borderId="0" applyFont="0" applyFill="0" applyBorder="0" applyAlignment="0" applyProtection="0"/>
    <xf numFmtId="215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215" fontId="217" fillId="0" borderId="0" applyFont="0" applyFill="0" applyBorder="0" applyAlignment="0" applyProtection="0"/>
    <xf numFmtId="300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215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215" fontId="21" fillId="0" borderId="0" applyFont="0" applyFill="0" applyBorder="0" applyAlignment="0" applyProtection="0"/>
    <xf numFmtId="215" fontId="135" fillId="0" borderId="0" applyFont="0" applyFill="0" applyBorder="0" applyAlignment="0" applyProtection="0"/>
    <xf numFmtId="301" fontId="21" fillId="0" borderId="0" applyFont="0" applyFill="0" applyBorder="0" applyAlignment="0" applyProtection="0"/>
    <xf numFmtId="301" fontId="21" fillId="0" borderId="0" applyFont="0" applyFill="0" applyBorder="0" applyAlignment="0" applyProtection="0"/>
    <xf numFmtId="301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215" fontId="126" fillId="0" borderId="0" applyFont="0" applyFill="0" applyBorder="0" applyAlignment="0" applyProtection="0"/>
    <xf numFmtId="300" fontId="21" fillId="0" borderId="0" applyFont="0" applyFill="0" applyBorder="0" applyAlignment="0" applyProtection="0"/>
    <xf numFmtId="215" fontId="21" fillId="0" borderId="0" applyFont="0" applyFill="0" applyBorder="0" applyAlignment="0" applyProtection="0"/>
    <xf numFmtId="215" fontId="21" fillId="0" borderId="0" applyFont="0" applyFill="0" applyBorder="0" applyAlignment="0" applyProtection="0"/>
    <xf numFmtId="215" fontId="126" fillId="0" borderId="0" applyFont="0" applyFill="0" applyBorder="0" applyAlignment="0" applyProtection="0"/>
    <xf numFmtId="215" fontId="126" fillId="0" borderId="0" applyFont="0" applyFill="0" applyBorder="0" applyAlignment="0" applyProtection="0"/>
    <xf numFmtId="215" fontId="126" fillId="0" borderId="0" applyFont="0" applyFill="0" applyBorder="0" applyAlignment="0" applyProtection="0"/>
    <xf numFmtId="300" fontId="21" fillId="0" borderId="0" applyFont="0" applyFill="0" applyBorder="0" applyAlignment="0" applyProtection="0"/>
    <xf numFmtId="215" fontId="126" fillId="0" borderId="0" applyFont="0" applyFill="0" applyBorder="0" applyAlignment="0" applyProtection="0"/>
    <xf numFmtId="300" fontId="21" fillId="0" borderId="0" applyFont="0" applyFill="0" applyBorder="0" applyAlignment="0" applyProtection="0"/>
    <xf numFmtId="215" fontId="126" fillId="0" borderId="0" applyFont="0" applyFill="0" applyBorder="0" applyAlignment="0" applyProtection="0"/>
    <xf numFmtId="300" fontId="21" fillId="0" borderId="0" applyFont="0" applyFill="0" applyBorder="0" applyAlignment="0" applyProtection="0"/>
    <xf numFmtId="215" fontId="21" fillId="0" borderId="0" applyFont="0" applyFill="0" applyBorder="0" applyAlignment="0" applyProtection="0"/>
    <xf numFmtId="215" fontId="21" fillId="0" borderId="0" applyFont="0" applyFill="0" applyBorder="0" applyAlignment="0" applyProtection="0"/>
    <xf numFmtId="215" fontId="21" fillId="0" borderId="0" applyFont="0" applyFill="0" applyBorder="0" applyAlignment="0" applyProtection="0"/>
    <xf numFmtId="302" fontId="21" fillId="0" borderId="0" applyFont="0" applyFill="0" applyBorder="0" applyProtection="0">
      <alignment horizontal="right"/>
    </xf>
    <xf numFmtId="302" fontId="21" fillId="0" borderId="0" applyFont="0" applyFill="0" applyBorder="0" applyProtection="0">
      <alignment horizontal="right"/>
    </xf>
    <xf numFmtId="216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302" fontId="217" fillId="0" borderId="0" applyFont="0" applyFill="0" applyBorder="0" applyProtection="0">
      <alignment horizontal="right"/>
    </xf>
    <xf numFmtId="216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302" fontId="21" fillId="0" borderId="0" applyFont="0" applyFill="0" applyBorder="0" applyProtection="0">
      <alignment horizontal="right"/>
    </xf>
    <xf numFmtId="216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302" fontId="21" fillId="0" borderId="0" applyFont="0" applyFill="0" applyBorder="0" applyProtection="0">
      <alignment horizontal="right"/>
    </xf>
    <xf numFmtId="302" fontId="135" fillId="0" borderId="0" applyFont="0" applyFill="0" applyBorder="0" applyProtection="0">
      <alignment horizontal="right"/>
    </xf>
    <xf numFmtId="303" fontId="21" fillId="0" borderId="0" applyFont="0" applyFill="0" applyBorder="0" applyAlignment="0" applyProtection="0"/>
    <xf numFmtId="303" fontId="21" fillId="0" borderId="0" applyFont="0" applyFill="0" applyBorder="0" applyAlignment="0" applyProtection="0"/>
    <xf numFmtId="303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302" fontId="126" fillId="0" borderId="0" applyFont="0" applyFill="0" applyBorder="0" applyProtection="0">
      <alignment horizontal="right"/>
    </xf>
    <xf numFmtId="216" fontId="21" fillId="0" borderId="0" applyFont="0" applyFill="0" applyBorder="0" applyAlignment="0" applyProtection="0"/>
    <xf numFmtId="302" fontId="21" fillId="0" borderId="0" applyFont="0" applyFill="0" applyBorder="0" applyProtection="0">
      <alignment horizontal="right"/>
    </xf>
    <xf numFmtId="302" fontId="21" fillId="0" borderId="0" applyFont="0" applyFill="0" applyBorder="0" applyProtection="0">
      <alignment horizontal="right"/>
    </xf>
    <xf numFmtId="302" fontId="126" fillId="0" borderId="0" applyFont="0" applyFill="0" applyBorder="0" applyProtection="0">
      <alignment horizontal="right"/>
    </xf>
    <xf numFmtId="302" fontId="126" fillId="0" borderId="0" applyFont="0" applyFill="0" applyBorder="0" applyProtection="0">
      <alignment horizontal="right"/>
    </xf>
    <xf numFmtId="302" fontId="126" fillId="0" borderId="0" applyFont="0" applyFill="0" applyBorder="0" applyProtection="0">
      <alignment horizontal="right"/>
    </xf>
    <xf numFmtId="216" fontId="21" fillId="0" borderId="0" applyFont="0" applyFill="0" applyBorder="0" applyAlignment="0" applyProtection="0"/>
    <xf numFmtId="302" fontId="126" fillId="0" borderId="0" applyFont="0" applyFill="0" applyBorder="0" applyProtection="0">
      <alignment horizontal="right"/>
    </xf>
    <xf numFmtId="216" fontId="21" fillId="0" borderId="0" applyFont="0" applyFill="0" applyBorder="0" applyAlignment="0" applyProtection="0"/>
    <xf numFmtId="302" fontId="126" fillId="0" borderId="0" applyFont="0" applyFill="0" applyBorder="0" applyProtection="0">
      <alignment horizontal="right"/>
    </xf>
    <xf numFmtId="216" fontId="21" fillId="0" borderId="0" applyFont="0" applyFill="0" applyBorder="0" applyAlignment="0" applyProtection="0"/>
    <xf numFmtId="302" fontId="21" fillId="0" borderId="0" applyFont="0" applyFill="0" applyBorder="0" applyProtection="0">
      <alignment horizontal="right"/>
    </xf>
    <xf numFmtId="302" fontId="21" fillId="0" borderId="0" applyFont="0" applyFill="0" applyBorder="0" applyProtection="0">
      <alignment horizontal="right"/>
    </xf>
    <xf numFmtId="302" fontId="21" fillId="0" borderId="0" applyFont="0" applyFill="0" applyBorder="0" applyProtection="0">
      <alignment horizontal="right"/>
    </xf>
    <xf numFmtId="203" fontId="21" fillId="0" borderId="0" applyFont="0" applyFill="0" applyBorder="0" applyProtection="0">
      <alignment horizontal="right"/>
    </xf>
    <xf numFmtId="203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4" fontId="21" fillId="0" borderId="0" applyFont="0" applyFill="0" applyBorder="0" applyProtection="0">
      <alignment horizontal="right"/>
    </xf>
    <xf numFmtId="204" fontId="21" fillId="0" borderId="0" applyFont="0" applyFill="0" applyBorder="0" applyProtection="0">
      <alignment horizontal="right"/>
    </xf>
    <xf numFmtId="204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0" fontId="112" fillId="0" borderId="0" applyNumberFormat="0" applyFill="0" applyBorder="0" applyProtection="0">
      <alignment vertical="top"/>
    </xf>
    <xf numFmtId="0" fontId="112" fillId="0" borderId="0" applyNumberFormat="0" applyFill="0" applyBorder="0" applyAlignment="0" applyProtection="0">
      <alignment vertical="top"/>
    </xf>
    <xf numFmtId="0" fontId="112" fillId="0" borderId="0" applyNumberFormat="0" applyFill="0" applyBorder="0" applyProtection="0">
      <alignment vertical="top"/>
    </xf>
    <xf numFmtId="0" fontId="112" fillId="0" borderId="0" applyNumberFormat="0" applyFill="0" applyBorder="0" applyProtection="0">
      <alignment vertical="top"/>
    </xf>
    <xf numFmtId="0" fontId="112" fillId="0" borderId="0" applyNumberFormat="0" applyFill="0" applyBorder="0" applyProtection="0">
      <alignment vertical="top"/>
    </xf>
    <xf numFmtId="0" fontId="112" fillId="0" borderId="0" applyNumberFormat="0" applyFill="0" applyBorder="0" applyProtection="0">
      <alignment vertical="top"/>
    </xf>
    <xf numFmtId="0" fontId="112" fillId="0" borderId="0" applyNumberFormat="0" applyFill="0" applyBorder="0" applyProtection="0">
      <alignment vertical="top"/>
    </xf>
    <xf numFmtId="0" fontId="112" fillId="0" borderId="0" applyNumberFormat="0" applyFill="0" applyBorder="0" applyProtection="0">
      <alignment vertical="top"/>
    </xf>
    <xf numFmtId="0" fontId="112" fillId="0" borderId="0" applyNumberFormat="0" applyFill="0" applyBorder="0" applyProtection="0">
      <alignment vertical="top"/>
    </xf>
    <xf numFmtId="0" fontId="112" fillId="0" borderId="0" applyNumberFormat="0" applyFill="0" applyBorder="0" applyProtection="0">
      <alignment vertical="top"/>
    </xf>
    <xf numFmtId="0" fontId="112" fillId="0" borderId="0" applyNumberFormat="0" applyFill="0" applyBorder="0" applyProtection="0">
      <alignment vertical="top"/>
    </xf>
    <xf numFmtId="0" fontId="100" fillId="0" borderId="29" applyNumberFormat="0" applyFill="0" applyAlignment="0" applyProtection="0"/>
    <xf numFmtId="0" fontId="100" fillId="0" borderId="46" applyNumberFormat="0" applyFill="0" applyAlignment="0" applyProtection="0"/>
    <xf numFmtId="0" fontId="100" fillId="0" borderId="29" applyNumberFormat="0" applyFill="0" applyAlignment="0" applyProtection="0"/>
    <xf numFmtId="0" fontId="100" fillId="0" borderId="29" applyNumberFormat="0" applyFill="0" applyAlignment="0" applyProtection="0"/>
    <xf numFmtId="0" fontId="113" fillId="0" borderId="0" applyNumberFormat="0" applyFill="0" applyBorder="0" applyProtection="0">
      <alignment horizontal="centerContinuous"/>
    </xf>
    <xf numFmtId="0" fontId="113" fillId="0" borderId="0" applyNumberFormat="0" applyFill="0" applyProtection="0">
      <alignment horizontal="centerContinuous"/>
    </xf>
    <xf numFmtId="0" fontId="113" fillId="0" borderId="0" applyNumberFormat="0" applyFill="0" applyBorder="0" applyProtection="0">
      <alignment horizontal="centerContinuous"/>
    </xf>
    <xf numFmtId="0" fontId="113" fillId="0" borderId="0" applyNumberFormat="0" applyFill="0" applyBorder="0" applyProtection="0">
      <alignment horizontal="centerContinuous"/>
    </xf>
    <xf numFmtId="2" fontId="22" fillId="0" borderId="0" applyNumberFormat="0" applyBorder="0" applyAlignment="0"/>
    <xf numFmtId="172" fontId="218" fillId="0" borderId="0"/>
    <xf numFmtId="0" fontId="31" fillId="78" borderId="47">
      <alignment horizontal="center"/>
    </xf>
    <xf numFmtId="265" fontId="26" fillId="82" borderId="0" applyNumberFormat="0" applyFont="0" applyBorder="0" applyAlignment="0">
      <protection locked="0"/>
    </xf>
    <xf numFmtId="0" fontId="26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65" fontId="220" fillId="0" borderId="0" applyNumberFormat="0" applyFill="0" applyBorder="0" applyProtection="0">
      <alignment horizontal="right"/>
    </xf>
    <xf numFmtId="304" fontId="21" fillId="0" borderId="0">
      <protection locked="0"/>
    </xf>
    <xf numFmtId="38" fontId="221" fillId="0" borderId="0" applyNumberFormat="0" applyFill="0" applyBorder="0">
      <alignment vertical="center"/>
    </xf>
    <xf numFmtId="8" fontId="222" fillId="0" borderId="48">
      <protection locked="0"/>
    </xf>
    <xf numFmtId="304" fontId="21" fillId="0" borderId="0">
      <protection locked="0"/>
    </xf>
    <xf numFmtId="0" fontId="25" fillId="0" borderId="0"/>
    <xf numFmtId="0" fontId="22" fillId="0" borderId="0" applyNumberFormat="0" applyAlignment="0"/>
    <xf numFmtId="170" fontId="223" fillId="0" borderId="0" applyNumberFormat="0" applyFont="0" applyAlignment="0">
      <alignment vertical="center"/>
    </xf>
    <xf numFmtId="0" fontId="130" fillId="0" borderId="0" applyNumberFormat="0" applyFill="0" applyBorder="0" applyAlignment="0" applyProtection="0"/>
    <xf numFmtId="170" fontId="224" fillId="0" borderId="0" applyNumberFormat="0" applyFill="0" applyBorder="0">
      <alignment horizontal="left" vertical="center"/>
    </xf>
    <xf numFmtId="305" fontId="21" fillId="0" borderId="0" applyNumberFormat="0" applyFill="0" applyBorder="0" applyAlignment="0" applyProtection="0"/>
    <xf numFmtId="0" fontId="225" fillId="0" borderId="0"/>
    <xf numFmtId="38" fontId="226" fillId="0" borderId="0" applyNumberFormat="0" applyFill="0" applyBorder="0">
      <alignment horizontal="left" vertical="center"/>
    </xf>
    <xf numFmtId="170" fontId="227" fillId="0" borderId="0" applyFill="0" applyBorder="0">
      <alignment vertical="center"/>
    </xf>
    <xf numFmtId="0" fontId="228" fillId="80" borderId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05" fontId="2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9" fillId="0" borderId="0">
      <alignment horizontal="left" vertical="top"/>
      <protection locked="0"/>
    </xf>
    <xf numFmtId="306" fontId="21" fillId="0" borderId="0" applyFill="0">
      <alignment horizontal="center" vertical="center"/>
    </xf>
    <xf numFmtId="307" fontId="21" fillId="0" borderId="0"/>
    <xf numFmtId="0" fontId="38" fillId="0" borderId="0" applyNumberFormat="0" applyAlignment="0"/>
    <xf numFmtId="172" fontId="21" fillId="0" borderId="0" applyFill="0" applyBorder="0" applyAlignment="0" applyProtection="0"/>
    <xf numFmtId="175" fontId="104" fillId="0" borderId="0">
      <alignment vertical="top"/>
    </xf>
    <xf numFmtId="1" fontId="21" fillId="0" borderId="0"/>
    <xf numFmtId="6" fontId="226" fillId="0" borderId="49" applyFill="0">
      <alignment vertical="center"/>
    </xf>
    <xf numFmtId="308" fontId="26" fillId="0" borderId="0"/>
    <xf numFmtId="39" fontId="20" fillId="0" borderId="21" applyNumberFormat="0" applyBorder="0">
      <alignment horizontal="right"/>
    </xf>
    <xf numFmtId="14" fontId="21" fillId="0" borderId="0" applyFill="0" applyBorder="0">
      <alignment vertical="center"/>
    </xf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38" fontId="230" fillId="0" borderId="0" applyNumberFormat="0" applyFill="0" applyBorder="0">
      <alignment horizontal="left" vertical="center"/>
    </xf>
    <xf numFmtId="38" fontId="231" fillId="0" borderId="0" applyNumberFormat="0" applyFill="0" applyBorder="0">
      <alignment horizontal="centerContinuous" vertical="center"/>
    </xf>
    <xf numFmtId="0" fontId="23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1" fontId="22" fillId="0" borderId="0" applyNumberFormat="0" applyBorder="0" applyAlignment="0"/>
    <xf numFmtId="309" fontId="21" fillId="0" borderId="0" applyFill="0" applyBorder="0">
      <alignment vertical="center"/>
    </xf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17" fillId="0" borderId="0"/>
    <xf numFmtId="0" fontId="17" fillId="0" borderId="0"/>
    <xf numFmtId="0" fontId="21" fillId="0" borderId="0"/>
    <xf numFmtId="0" fontId="16" fillId="0" borderId="0"/>
    <xf numFmtId="0" fontId="15" fillId="0" borderId="0"/>
    <xf numFmtId="0" fontId="124" fillId="0" borderId="50" applyNumberFormat="0" applyFill="0" applyAlignment="0" applyProtection="0"/>
    <xf numFmtId="168" fontId="234" fillId="0" borderId="0" applyFont="0" applyFill="0" applyBorder="0" applyAlignment="0" applyProtection="0">
      <alignment vertical="center"/>
    </xf>
    <xf numFmtId="168" fontId="234" fillId="0" borderId="0" applyFont="0" applyFill="0" applyBorder="0" applyAlignment="0" applyProtection="0">
      <alignment vertical="center"/>
    </xf>
    <xf numFmtId="168" fontId="234" fillId="0" borderId="0" applyFont="0" applyFill="0" applyBorder="0" applyAlignment="0" applyProtection="0">
      <alignment vertical="center"/>
    </xf>
    <xf numFmtId="168" fontId="234" fillId="0" borderId="0" applyFont="0" applyFill="0" applyBorder="0" applyAlignment="0" applyProtection="0">
      <alignment vertical="center"/>
    </xf>
    <xf numFmtId="274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4" fillId="0" borderId="0">
      <alignment vertical="center"/>
    </xf>
    <xf numFmtId="0" fontId="234" fillId="0" borderId="0">
      <alignment vertical="center"/>
    </xf>
    <xf numFmtId="0" fontId="234" fillId="0" borderId="0">
      <alignment vertical="center"/>
    </xf>
    <xf numFmtId="0" fontId="234" fillId="0" borderId="0">
      <alignment vertical="center"/>
    </xf>
    <xf numFmtId="0" fontId="234" fillId="0" borderId="0">
      <alignment vertical="center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45" fillId="0" borderId="50" applyNumberFormat="0" applyFill="0" applyProtection="0"/>
    <xf numFmtId="274" fontId="64" fillId="0" borderId="0" applyFont="0" applyFill="0" applyBorder="0" applyAlignment="0" applyProtection="0"/>
    <xf numFmtId="0" fontId="235" fillId="0" borderId="0"/>
    <xf numFmtId="0" fontId="235" fillId="0" borderId="0"/>
    <xf numFmtId="0" fontId="236" fillId="0" borderId="0"/>
    <xf numFmtId="0" fontId="236" fillId="0" borderId="0"/>
    <xf numFmtId="182" fontId="170" fillId="0" borderId="50" applyFont="0" applyFill="0" applyAlignment="0" applyProtection="0">
      <alignment vertical="center"/>
    </xf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2" fontId="170" fillId="0" borderId="50" applyFont="0" applyFill="0" applyAlignment="0" applyProtection="0">
      <alignment vertical="center"/>
    </xf>
    <xf numFmtId="182" fontId="170" fillId="0" borderId="50" applyFont="0" applyFill="0" applyAlignment="0" applyProtection="0">
      <alignment vertical="center"/>
    </xf>
    <xf numFmtId="175" fontId="126" fillId="0" borderId="51" applyFont="0" applyFill="0" applyBorder="0" applyProtection="0">
      <alignment horizontal="right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170" fillId="0" borderId="50" applyFont="0" applyFill="0" applyAlignment="0" applyProtection="0">
      <alignment vertical="center"/>
    </xf>
    <xf numFmtId="43" fontId="21" fillId="0" borderId="0" applyFont="0" applyFill="0" applyBorder="0" applyAlignment="0" applyProtection="0"/>
    <xf numFmtId="285" fontId="212" fillId="0" borderId="50" applyBorder="0" applyProtection="0">
      <alignment horizontal="right" vertical="center"/>
    </xf>
    <xf numFmtId="0" fontId="213" fillId="80" borderId="50" applyBorder="0" applyProtection="0">
      <alignment horizontal="centerContinuous" vertical="center"/>
    </xf>
    <xf numFmtId="38" fontId="211" fillId="81" borderId="50" applyAlignment="0"/>
    <xf numFmtId="0" fontId="216" fillId="0" borderId="50" applyNumberFormat="0" applyFill="0" applyProtection="0"/>
    <xf numFmtId="0" fontId="15" fillId="0" borderId="0"/>
    <xf numFmtId="0" fontId="236" fillId="0" borderId="0"/>
    <xf numFmtId="0" fontId="236" fillId="0" borderId="0"/>
    <xf numFmtId="0" fontId="100" fillId="0" borderId="52" applyNumberFormat="0" applyFill="0" applyAlignment="0" applyProtection="0"/>
    <xf numFmtId="0" fontId="100" fillId="0" borderId="52" applyNumberFormat="0" applyFill="0" applyAlignment="0" applyProtection="0"/>
    <xf numFmtId="0" fontId="100" fillId="0" borderId="52" applyNumberFormat="0" applyFill="0" applyAlignment="0" applyProtection="0"/>
    <xf numFmtId="0" fontId="100" fillId="0" borderId="52" applyNumberFormat="0" applyFill="0" applyAlignment="0" applyProtection="0"/>
    <xf numFmtId="274" fontId="21" fillId="0" borderId="0" applyFont="0" applyFill="0" applyBorder="0" applyAlignment="0" applyProtection="0"/>
    <xf numFmtId="1" fontId="133" fillId="0" borderId="0" applyNumberFormat="0">
      <alignment horizontal="right"/>
    </xf>
    <xf numFmtId="0" fontId="234" fillId="0" borderId="0">
      <alignment vertical="center"/>
    </xf>
    <xf numFmtId="0" fontId="234" fillId="0" borderId="0">
      <alignment vertical="center"/>
    </xf>
    <xf numFmtId="0" fontId="234" fillId="0" borderId="0">
      <alignment vertical="center"/>
    </xf>
    <xf numFmtId="0" fontId="234" fillId="0" borderId="0">
      <alignment vertical="center"/>
    </xf>
    <xf numFmtId="0" fontId="234" fillId="0" borderId="0">
      <alignment vertical="center"/>
    </xf>
    <xf numFmtId="0" fontId="14" fillId="0" borderId="0"/>
    <xf numFmtId="0" fontId="237" fillId="0" borderId="0" applyNumberFormat="0" applyFill="0" applyBorder="0" applyAlignment="0" applyProtection="0"/>
    <xf numFmtId="0" fontId="46" fillId="0" borderId="0"/>
    <xf numFmtId="232" fontId="106" fillId="0" borderId="7" applyFont="0" applyFill="0" applyBorder="0" applyAlignment="0" applyProtection="0">
      <alignment vertical="center"/>
    </xf>
    <xf numFmtId="232" fontId="106" fillId="0" borderId="7" applyFont="0" applyFill="0" applyBorder="0" applyAlignment="0" applyProtection="0">
      <alignment vertical="center"/>
    </xf>
    <xf numFmtId="232" fontId="106" fillId="0" borderId="7" applyFont="0" applyFill="0" applyBorder="0" applyAlignment="0" applyProtection="0">
      <alignment vertical="center"/>
    </xf>
    <xf numFmtId="311" fontId="21" fillId="0" borderId="0" applyFont="0" applyFill="0" applyBorder="0" applyAlignment="0" applyProtection="0"/>
    <xf numFmtId="312" fontId="21" fillId="0" borderId="0" applyFont="0" applyFill="0" applyBorder="0" applyAlignment="0" applyProtection="0"/>
    <xf numFmtId="302" fontId="21" fillId="0" borderId="0" applyFont="0" applyFill="0" applyBorder="0" applyProtection="0">
      <alignment horizontal="right"/>
    </xf>
    <xf numFmtId="0" fontId="100" fillId="0" borderId="46" applyNumberFormat="0" applyFill="0" applyAlignment="0" applyProtection="0"/>
    <xf numFmtId="0" fontId="100" fillId="0" borderId="46" applyNumberFormat="0" applyFill="0" applyAlignment="0" applyProtection="0"/>
    <xf numFmtId="0" fontId="100" fillId="0" borderId="46" applyNumberFormat="0" applyFill="0" applyAlignment="0" applyProtection="0"/>
    <xf numFmtId="175" fontId="21" fillId="0" borderId="0" applyFill="0" applyBorder="0"/>
    <xf numFmtId="0" fontId="79" fillId="3" borderId="0" applyNumberFormat="0" applyBorder="0" applyAlignment="0" applyProtection="0"/>
    <xf numFmtId="0" fontId="79" fillId="5" borderId="0" applyNumberFormat="0" applyBorder="0" applyAlignment="0" applyProtection="0"/>
    <xf numFmtId="0" fontId="79" fillId="6" borderId="0" applyNumberFormat="0" applyBorder="0" applyAlignment="0" applyProtection="0"/>
    <xf numFmtId="0" fontId="79" fillId="8" borderId="0" applyNumberFormat="0" applyBorder="0" applyAlignment="0" applyProtection="0"/>
    <xf numFmtId="0" fontId="79" fillId="4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79" fillId="8" borderId="0" applyNumberFormat="0" applyBorder="0" applyAlignment="0" applyProtection="0"/>
    <xf numFmtId="0" fontId="79" fillId="10" borderId="0" applyNumberFormat="0" applyBorder="0" applyAlignment="0" applyProtection="0"/>
    <xf numFmtId="0" fontId="79" fillId="13" borderId="0" applyNumberFormat="0" applyBorder="0" applyAlignment="0" applyProtection="0"/>
    <xf numFmtId="0" fontId="80" fillId="2" borderId="0" applyNumberFormat="0" applyBorder="0" applyAlignment="0" applyProtection="0"/>
    <xf numFmtId="0" fontId="80" fillId="11" borderId="0" applyNumberFormat="0" applyBorder="0" applyAlignment="0" applyProtection="0"/>
    <xf numFmtId="0" fontId="80" fillId="12" borderId="0" applyNumberFormat="0" applyBorder="0" applyAlignment="0" applyProtection="0"/>
    <xf numFmtId="0" fontId="80" fillId="15" borderId="0" applyNumberFormat="0" applyBorder="0" applyAlignment="0" applyProtection="0"/>
    <xf numFmtId="0" fontId="80" fillId="16" borderId="0" applyNumberFormat="0" applyBorder="0" applyAlignment="0" applyProtection="0"/>
    <xf numFmtId="0" fontId="80" fillId="17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15" borderId="0" applyNumberFormat="0" applyBorder="0" applyAlignment="0" applyProtection="0"/>
    <xf numFmtId="0" fontId="80" fillId="15" borderId="0" applyNumberFormat="0" applyBorder="0" applyAlignment="0" applyProtection="0"/>
    <xf numFmtId="0" fontId="80" fillId="15" borderId="0" applyNumberFormat="0" applyBorder="0" applyAlignment="0" applyProtection="0"/>
    <xf numFmtId="0" fontId="80" fillId="15" borderId="0" applyNumberFormat="0" applyBorder="0" applyAlignment="0" applyProtection="0"/>
    <xf numFmtId="0" fontId="80" fillId="15" borderId="0" applyNumberFormat="0" applyBorder="0" applyAlignment="0" applyProtection="0"/>
    <xf numFmtId="0" fontId="80" fillId="15" borderId="0" applyNumberFormat="0" applyBorder="0" applyAlignment="0" applyProtection="0"/>
    <xf numFmtId="0" fontId="80" fillId="16" borderId="0" applyNumberFormat="0" applyBorder="0" applyAlignment="0" applyProtection="0"/>
    <xf numFmtId="0" fontId="80" fillId="16" borderId="0" applyNumberFormat="0" applyBorder="0" applyAlignment="0" applyProtection="0"/>
    <xf numFmtId="0" fontId="80" fillId="16" borderId="0" applyNumberFormat="0" applyBorder="0" applyAlignment="0" applyProtection="0"/>
    <xf numFmtId="0" fontId="80" fillId="16" borderId="0" applyNumberFormat="0" applyBorder="0" applyAlignment="0" applyProtection="0"/>
    <xf numFmtId="0" fontId="80" fillId="16" borderId="0" applyNumberFormat="0" applyBorder="0" applyAlignment="0" applyProtection="0"/>
    <xf numFmtId="0" fontId="80" fillId="16" borderId="0" applyNumberFormat="0" applyBorder="0" applyAlignment="0" applyProtection="0"/>
    <xf numFmtId="0" fontId="80" fillId="39" borderId="0" applyNumberFormat="0" applyBorder="0" applyAlignment="0" applyProtection="0"/>
    <xf numFmtId="0" fontId="80" fillId="39" borderId="0" applyNumberFormat="0" applyBorder="0" applyAlignment="0" applyProtection="0"/>
    <xf numFmtId="0" fontId="80" fillId="39" borderId="0" applyNumberFormat="0" applyBorder="0" applyAlignment="0" applyProtection="0"/>
    <xf numFmtId="0" fontId="80" fillId="39" borderId="0" applyNumberFormat="0" applyBorder="0" applyAlignment="0" applyProtection="0"/>
    <xf numFmtId="0" fontId="80" fillId="39" borderId="0" applyNumberFormat="0" applyBorder="0" applyAlignment="0" applyProtection="0"/>
    <xf numFmtId="0" fontId="80" fillId="39" borderId="0" applyNumberFormat="0" applyBorder="0" applyAlignment="0" applyProtection="0"/>
    <xf numFmtId="255" fontId="37" fillId="70" borderId="21" applyFont="0">
      <alignment horizontal="right"/>
    </xf>
    <xf numFmtId="255" fontId="37" fillId="70" borderId="21" applyFont="0">
      <alignment horizontal="right"/>
    </xf>
    <xf numFmtId="278" fontId="21" fillId="70" borderId="21" applyFont="0">
      <alignment horizontal="right"/>
    </xf>
    <xf numFmtId="278" fontId="21" fillId="70" borderId="21" applyFont="0">
      <alignment horizontal="right"/>
    </xf>
    <xf numFmtId="313" fontId="21" fillId="70" borderId="21" applyFont="0">
      <alignment horizontal="right"/>
    </xf>
    <xf numFmtId="313" fontId="21" fillId="70" borderId="21" applyFont="0">
      <alignment horizontal="right"/>
    </xf>
    <xf numFmtId="313" fontId="21" fillId="70" borderId="21" applyFont="0">
      <alignment horizontal="right"/>
    </xf>
    <xf numFmtId="219" fontId="119" fillId="70" borderId="21" applyFont="0">
      <alignment horizontal="right"/>
    </xf>
    <xf numFmtId="219" fontId="119" fillId="70" borderId="21" applyFont="0">
      <alignment horizontal="right"/>
    </xf>
    <xf numFmtId="219" fontId="119" fillId="70" borderId="21" applyFont="0">
      <alignment horizontal="right"/>
    </xf>
    <xf numFmtId="0" fontId="238" fillId="84" borderId="0" applyNumberFormat="0" applyBorder="0" applyAlignment="0" applyProtection="0"/>
    <xf numFmtId="0" fontId="239" fillId="5" borderId="0" applyNumberFormat="0" applyBorder="0" applyAlignment="0" applyProtection="0"/>
    <xf numFmtId="306" fontId="139" fillId="0" borderId="0" applyFont="0" applyFill="0" applyBorder="0" applyAlignment="0" applyProtection="0"/>
    <xf numFmtId="38" fontId="139" fillId="0" borderId="0" applyFill="0" applyBorder="0" applyAlignment="0" applyProtection="0">
      <alignment horizontal="left"/>
      <protection locked="0"/>
    </xf>
    <xf numFmtId="38" fontId="139" fillId="0" borderId="0" applyFill="0" applyBorder="0" applyAlignment="0" applyProtection="0">
      <alignment horizontal="left"/>
      <protection locked="0"/>
    </xf>
    <xf numFmtId="306" fontId="139" fillId="0" borderId="0" applyFill="0" applyBorder="0" applyAlignment="0" applyProtection="0">
      <protection locked="0"/>
    </xf>
    <xf numFmtId="0" fontId="47" fillId="40" borderId="1" applyNumberFormat="0" applyAlignment="0" applyProtection="0">
      <alignment vertical="center"/>
    </xf>
    <xf numFmtId="0" fontId="47" fillId="40" borderId="1" applyNumberFormat="0" applyAlignment="0" applyProtection="0">
      <alignment vertical="center"/>
    </xf>
    <xf numFmtId="0" fontId="47" fillId="40" borderId="1" applyNumberFormat="0" applyAlignment="0" applyProtection="0">
      <alignment vertical="center"/>
    </xf>
    <xf numFmtId="0" fontId="167" fillId="40" borderId="1" applyNumberFormat="0" applyAlignment="0" applyProtection="0">
      <alignment vertical="center"/>
    </xf>
    <xf numFmtId="0" fontId="167" fillId="40" borderId="1" applyNumberFormat="0" applyAlignment="0" applyProtection="0">
      <alignment vertical="center"/>
    </xf>
    <xf numFmtId="0" fontId="167" fillId="40" borderId="1" applyNumberFormat="0" applyAlignment="0" applyProtection="0">
      <alignment vertical="center"/>
    </xf>
    <xf numFmtId="0" fontId="240" fillId="40" borderId="1" applyNumberFormat="0" applyAlignment="0" applyProtection="0"/>
    <xf numFmtId="0" fontId="240" fillId="40" borderId="1" applyNumberFormat="0" applyAlignment="0" applyProtection="0"/>
    <xf numFmtId="0" fontId="240" fillId="40" borderId="1" applyNumberFormat="0" applyAlignment="0" applyProtection="0"/>
    <xf numFmtId="0" fontId="240" fillId="40" borderId="1" applyNumberFormat="0" applyAlignment="0" applyProtection="0"/>
    <xf numFmtId="306" fontId="139" fillId="0" borderId="0" applyFont="0" applyFill="0" applyBorder="0" applyAlignment="0" applyProtection="0">
      <protection locked="0"/>
    </xf>
    <xf numFmtId="306" fontId="139" fillId="0" borderId="54" applyFont="0" applyFill="0" applyAlignment="0" applyProtection="0"/>
    <xf numFmtId="0" fontId="92" fillId="41" borderId="2" applyNumberFormat="0" applyAlignment="0" applyProtection="0"/>
    <xf numFmtId="0" fontId="241" fillId="0" borderId="50" applyNumberFormat="0" applyFill="0" applyBorder="0" applyProtection="0">
      <alignment horizontal="left" vertical="center"/>
    </xf>
    <xf numFmtId="0" fontId="241" fillId="0" borderId="50" applyNumberFormat="0" applyFill="0" applyBorder="0" applyProtection="0">
      <alignment horizontal="right" vertical="center"/>
    </xf>
    <xf numFmtId="0" fontId="21" fillId="0" borderId="21" applyNumberFormat="0" applyFill="0" applyProtection="0">
      <alignment horizontal="right"/>
    </xf>
    <xf numFmtId="0" fontId="21" fillId="0" borderId="21" applyNumberFormat="0" applyFill="0" applyProtection="0">
      <alignment horizontal="right"/>
    </xf>
    <xf numFmtId="8" fontId="222" fillId="0" borderId="48">
      <protection locked="0"/>
    </xf>
    <xf numFmtId="8" fontId="222" fillId="0" borderId="48">
      <protection locked="0"/>
    </xf>
    <xf numFmtId="8" fontId="222" fillId="0" borderId="48">
      <protection locked="0"/>
    </xf>
    <xf numFmtId="17" fontId="33" fillId="0" borderId="0" applyFill="0" applyBorder="0">
      <alignment horizontal="right"/>
    </xf>
    <xf numFmtId="0" fontId="27" fillId="0" borderId="0" applyNumberFormat="0" applyBorder="0">
      <alignment vertical="center"/>
    </xf>
    <xf numFmtId="314" fontId="202" fillId="0" borderId="0" applyAlignment="0">
      <alignment horizontal="left"/>
      <protection locked="0"/>
    </xf>
    <xf numFmtId="14" fontId="202" fillId="0" borderId="0" applyFont="0" applyFill="0" applyBorder="0" applyAlignment="0" applyProtection="0">
      <alignment horizontal="center"/>
    </xf>
    <xf numFmtId="315" fontId="202" fillId="0" borderId="0" applyFont="0" applyFill="0" applyBorder="0" applyAlignment="0" applyProtection="0">
      <alignment horizontal="center"/>
    </xf>
    <xf numFmtId="315" fontId="202" fillId="0" borderId="0" applyFont="0" applyFill="0" applyBorder="0" applyAlignment="0" applyProtection="0">
      <alignment horizontal="center"/>
    </xf>
    <xf numFmtId="316" fontId="21" fillId="0" borderId="0" applyFont="0" applyFill="0" applyBorder="0" applyAlignment="0" applyProtection="0">
      <alignment horizontal="right"/>
    </xf>
    <xf numFmtId="316" fontId="21" fillId="0" borderId="0" applyFont="0" applyFill="0" applyBorder="0" applyAlignment="0" applyProtection="0">
      <alignment horizontal="right"/>
    </xf>
    <xf numFmtId="316" fontId="21" fillId="0" borderId="0" applyFont="0" applyFill="0" applyBorder="0" applyAlignment="0" applyProtection="0">
      <alignment horizontal="right"/>
    </xf>
    <xf numFmtId="316" fontId="21" fillId="0" borderId="0" applyFont="0" applyFill="0" applyBorder="0" applyAlignment="0" applyProtection="0">
      <alignment horizontal="right"/>
    </xf>
    <xf numFmtId="316" fontId="21" fillId="0" borderId="0" applyFont="0" applyFill="0" applyBorder="0" applyAlignment="0" applyProtection="0">
      <alignment horizontal="right"/>
    </xf>
    <xf numFmtId="316" fontId="21" fillId="0" borderId="0" applyFont="0" applyFill="0" applyBorder="0" applyAlignment="0" applyProtection="0">
      <alignment horizontal="right"/>
    </xf>
    <xf numFmtId="6" fontId="139" fillId="0" borderId="0" applyFont="0" applyFill="0" applyBorder="0" applyAlignment="0" applyProtection="0">
      <alignment horizontal="right"/>
    </xf>
    <xf numFmtId="6" fontId="139" fillId="0" borderId="0" applyFont="0" applyFill="0" applyBorder="0" applyAlignment="0" applyProtection="0"/>
    <xf numFmtId="38" fontId="21" fillId="0" borderId="21" applyBorder="0" applyAlignment="0" applyProtection="0"/>
    <xf numFmtId="38" fontId="21" fillId="0" borderId="21" applyBorder="0" applyAlignment="0" applyProtection="0"/>
    <xf numFmtId="8" fontId="139" fillId="0" borderId="0" applyFont="0" applyFill="0" applyBorder="0" applyAlignment="0" applyProtection="0">
      <alignment horizontal="right"/>
    </xf>
    <xf numFmtId="317" fontId="104" fillId="0" borderId="0" applyFont="0" applyFill="0" applyBorder="0" applyProtection="0">
      <alignment horizontal="left"/>
      <protection locked="0"/>
    </xf>
    <xf numFmtId="318" fontId="104" fillId="0" borderId="0" applyFont="0" applyFill="0" applyBorder="0" applyProtection="0">
      <alignment horizontal="left"/>
      <protection locked="0"/>
    </xf>
    <xf numFmtId="0" fontId="242" fillId="0" borderId="0" applyNumberFormat="0" applyFill="0" applyBorder="0" applyAlignment="0" applyProtection="0"/>
    <xf numFmtId="263" fontId="37" fillId="72" borderId="25" applyNumberFormat="0" applyFont="0" applyBorder="0" applyAlignment="0" applyProtection="0">
      <alignment horizontal="right"/>
    </xf>
    <xf numFmtId="263" fontId="37" fillId="72" borderId="25" applyNumberFormat="0" applyFont="0" applyBorder="0" applyAlignment="0" applyProtection="0">
      <alignment horizontal="right"/>
    </xf>
    <xf numFmtId="286" fontId="21" fillId="72" borderId="25" applyNumberFormat="0" applyFont="0" applyBorder="0" applyAlignment="0" applyProtection="0">
      <alignment horizontal="right"/>
    </xf>
    <xf numFmtId="286" fontId="21" fillId="72" borderId="25" applyNumberFormat="0" applyFont="0" applyBorder="0" applyAlignment="0" applyProtection="0">
      <alignment horizontal="right"/>
    </xf>
    <xf numFmtId="319" fontId="21" fillId="72" borderId="25" applyNumberFormat="0" applyFont="0" applyBorder="0" applyAlignment="0" applyProtection="0">
      <alignment horizontal="right"/>
    </xf>
    <xf numFmtId="319" fontId="21" fillId="72" borderId="25" applyNumberFormat="0" applyFont="0" applyBorder="0" applyAlignment="0" applyProtection="0">
      <alignment horizontal="right"/>
    </xf>
    <xf numFmtId="319" fontId="21" fillId="72" borderId="25" applyNumberFormat="0" applyFont="0" applyBorder="0" applyAlignment="0" applyProtection="0">
      <alignment horizontal="right"/>
    </xf>
    <xf numFmtId="222" fontId="26" fillId="72" borderId="25" applyNumberFormat="0" applyFont="0" applyBorder="0" applyAlignment="0" applyProtection="0">
      <alignment horizontal="right"/>
    </xf>
    <xf numFmtId="222" fontId="26" fillId="72" borderId="25" applyNumberFormat="0" applyFont="0" applyBorder="0" applyAlignment="0" applyProtection="0">
      <alignment horizontal="right"/>
    </xf>
    <xf numFmtId="0" fontId="243" fillId="83" borderId="0" applyNumberFormat="0" applyBorder="0" applyAlignment="0" applyProtection="0"/>
    <xf numFmtId="0" fontId="97" fillId="6" borderId="0" applyNumberFormat="0" applyBorder="0" applyAlignment="0" applyProtection="0"/>
    <xf numFmtId="0" fontId="243" fillId="83" borderId="0" applyNumberFormat="0" applyBorder="0" applyAlignment="0" applyProtection="0"/>
    <xf numFmtId="320" fontId="244" fillId="0" borderId="0" applyFill="0" applyBorder="0" applyAlignment="0" applyProtection="0"/>
    <xf numFmtId="273" fontId="245" fillId="0" borderId="0" applyAlignment="0">
      <alignment horizontal="left"/>
      <protection locked="0"/>
    </xf>
    <xf numFmtId="0" fontId="28" fillId="0" borderId="21">
      <alignment horizontal="left" vertical="center"/>
    </xf>
    <xf numFmtId="0" fontId="28" fillId="0" borderId="21">
      <alignment horizontal="left" vertical="center"/>
    </xf>
    <xf numFmtId="0" fontId="246" fillId="0" borderId="3" applyNumberFormat="0" applyFill="0" applyAlignment="0" applyProtection="0"/>
    <xf numFmtId="0" fontId="247" fillId="0" borderId="4" applyNumberFormat="0" applyFill="0" applyAlignment="0" applyProtection="0"/>
    <xf numFmtId="0" fontId="248" fillId="0" borderId="5" applyNumberFormat="0" applyFill="0" applyAlignment="0" applyProtection="0"/>
    <xf numFmtId="0" fontId="248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306" fontId="139" fillId="0" borderId="0" applyFont="0" applyFill="0" applyBorder="0" applyAlignment="0" applyProtection="0"/>
    <xf numFmtId="182" fontId="139" fillId="0" borderId="0" applyFill="0" applyBorder="0" applyAlignment="0" applyProtection="0">
      <alignment horizontal="right"/>
      <protection locked="0"/>
    </xf>
    <xf numFmtId="40" fontId="139" fillId="0" borderId="0" applyFont="0" applyFill="0" applyBorder="0" applyAlignment="0" applyProtection="0">
      <alignment horizontal="right"/>
    </xf>
    <xf numFmtId="0" fontId="75" fillId="9" borderId="1" applyNumberFormat="0" applyAlignment="0" applyProtection="0">
      <alignment vertical="center"/>
    </xf>
    <xf numFmtId="0" fontId="75" fillId="9" borderId="1" applyNumberFormat="0" applyAlignment="0" applyProtection="0">
      <alignment vertical="center"/>
    </xf>
    <xf numFmtId="0" fontId="75" fillId="9" borderId="1" applyNumberFormat="0" applyAlignment="0" applyProtection="0">
      <alignment vertical="center"/>
    </xf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249" fillId="9" borderId="1" applyNumberFormat="0" applyAlignment="0" applyProtection="0"/>
    <xf numFmtId="0" fontId="135" fillId="74" borderId="11">
      <alignment horizontal="left" vertical="center" wrapText="1"/>
    </xf>
    <xf numFmtId="0" fontId="135" fillId="74" borderId="11">
      <alignment horizontal="left" vertical="center" wrapText="1"/>
    </xf>
    <xf numFmtId="0" fontId="135" fillId="74" borderId="11">
      <alignment horizontal="left" vertical="center" wrapText="1"/>
    </xf>
    <xf numFmtId="0" fontId="250" fillId="0" borderId="6" applyNumberFormat="0" applyFill="0" applyAlignment="0" applyProtection="0"/>
    <xf numFmtId="170" fontId="139" fillId="0" borderId="0" applyFont="0" applyFill="0" applyBorder="0" applyAlignment="0" applyProtection="0">
      <alignment horizontal="right"/>
    </xf>
    <xf numFmtId="320" fontId="251" fillId="0" borderId="0" applyFill="0" applyBorder="0" applyAlignment="0" applyProtection="0">
      <alignment horizontal="right"/>
    </xf>
    <xf numFmtId="320" fontId="251" fillId="0" borderId="0" applyFill="0" applyBorder="0" applyAlignment="0" applyProtection="0"/>
    <xf numFmtId="0" fontId="252" fillId="85" borderId="0" applyNumberFormat="0" applyBorder="0" applyAlignment="0" applyProtection="0"/>
    <xf numFmtId="0" fontId="253" fillId="47" borderId="0" applyNumberFormat="0" applyBorder="0" applyAlignment="0" applyProtection="0"/>
    <xf numFmtId="0" fontId="98" fillId="0" borderId="0"/>
    <xf numFmtId="0" fontId="98" fillId="0" borderId="0"/>
    <xf numFmtId="0" fontId="21" fillId="0" borderId="0"/>
    <xf numFmtId="0" fontId="15" fillId="0" borderId="0">
      <alignment vertical="center"/>
    </xf>
    <xf numFmtId="0" fontId="64" fillId="14" borderId="7" applyNumberFormat="0" applyFont="0" applyAlignment="0" applyProtection="0">
      <alignment vertical="center"/>
    </xf>
    <xf numFmtId="0" fontId="64" fillId="14" borderId="7" applyNumberFormat="0" applyFont="0" applyAlignment="0" applyProtection="0">
      <alignment vertical="center"/>
    </xf>
    <xf numFmtId="0" fontId="64" fillId="14" borderId="7" applyNumberFormat="0" applyFont="0" applyAlignment="0" applyProtection="0">
      <alignment vertical="center"/>
    </xf>
    <xf numFmtId="0" fontId="64" fillId="14" borderId="7" applyNumberFormat="0" applyFont="0" applyAlignment="0" applyProtection="0">
      <alignment vertical="center"/>
    </xf>
    <xf numFmtId="0" fontId="64" fillId="14" borderId="7" applyNumberFormat="0" applyFont="0" applyAlignment="0" applyProtection="0">
      <alignment vertical="center"/>
    </xf>
    <xf numFmtId="0" fontId="64" fillId="14" borderId="7" applyNumberFormat="0" applyFont="0" applyAlignment="0" applyProtection="0">
      <alignment vertical="center"/>
    </xf>
    <xf numFmtId="0" fontId="64" fillId="14" borderId="7" applyNumberFormat="0" applyFont="0" applyAlignment="0" applyProtection="0">
      <alignment vertical="center"/>
    </xf>
    <xf numFmtId="0" fontId="64" fillId="14" borderId="7" applyNumberFormat="0" applyFont="0" applyAlignment="0" applyProtection="0">
      <alignment vertical="center"/>
    </xf>
    <xf numFmtId="0" fontId="64" fillId="14" borderId="7" applyNumberFormat="0" applyFont="0" applyAlignment="0" applyProtection="0">
      <alignment vertical="center"/>
    </xf>
    <xf numFmtId="0" fontId="21" fillId="14" borderId="7" applyNumberFormat="0" applyFont="0" applyAlignment="0" applyProtection="0"/>
    <xf numFmtId="0" fontId="21" fillId="14" borderId="7" applyNumberFormat="0" applyFont="0" applyAlignment="0" applyProtection="0"/>
    <xf numFmtId="0" fontId="21" fillId="14" borderId="7" applyNumberFormat="0" applyFont="0" applyAlignment="0" applyProtection="0"/>
    <xf numFmtId="0" fontId="21" fillId="14" borderId="7" applyNumberFormat="0" applyFont="0" applyAlignment="0" applyProtection="0"/>
    <xf numFmtId="0" fontId="77" fillId="40" borderId="8" applyNumberFormat="0" applyAlignment="0" applyProtection="0">
      <alignment vertical="center"/>
    </xf>
    <xf numFmtId="0" fontId="77" fillId="40" borderId="8" applyNumberFormat="0" applyAlignment="0" applyProtection="0">
      <alignment vertical="center"/>
    </xf>
    <xf numFmtId="0" fontId="77" fillId="40" borderId="8" applyNumberFormat="0" applyAlignment="0" applyProtection="0">
      <alignment vertical="center"/>
    </xf>
    <xf numFmtId="0" fontId="185" fillId="40" borderId="8" applyNumberFormat="0" applyAlignment="0" applyProtection="0">
      <alignment vertical="center"/>
    </xf>
    <xf numFmtId="0" fontId="185" fillId="40" borderId="8" applyNumberFormat="0" applyAlignment="0" applyProtection="0">
      <alignment vertical="center"/>
    </xf>
    <xf numFmtId="0" fontId="185" fillId="40" borderId="8" applyNumberFormat="0" applyAlignment="0" applyProtection="0">
      <alignment vertical="center"/>
    </xf>
    <xf numFmtId="0" fontId="254" fillId="86" borderId="53" applyNumberFormat="0" applyAlignment="0" applyProtection="0"/>
    <xf numFmtId="0" fontId="96" fillId="40" borderId="8" applyNumberFormat="0" applyAlignment="0" applyProtection="0"/>
    <xf numFmtId="0" fontId="96" fillId="40" borderId="8" applyNumberFormat="0" applyAlignment="0" applyProtection="0"/>
    <xf numFmtId="0" fontId="96" fillId="40" borderId="8" applyNumberFormat="0" applyAlignment="0" applyProtection="0"/>
    <xf numFmtId="0" fontId="96" fillId="40" borderId="8" applyNumberFormat="0" applyAlignment="0" applyProtection="0"/>
    <xf numFmtId="0" fontId="139" fillId="0" borderId="0" applyFont="0" applyFill="0" applyBorder="0" applyAlignment="0" applyProtection="0">
      <alignment horizontal="right"/>
    </xf>
    <xf numFmtId="284" fontId="26" fillId="0" borderId="0"/>
    <xf numFmtId="284" fontId="26" fillId="0" borderId="0"/>
    <xf numFmtId="180" fontId="139" fillId="0" borderId="0" applyFont="0" applyFill="0" applyBorder="0" applyAlignment="0" applyProtection="0">
      <alignment horizontal="right"/>
    </xf>
    <xf numFmtId="9" fontId="139" fillId="0" borderId="0" applyFont="0" applyFill="0" applyBorder="0" applyAlignment="0" applyProtection="0">
      <alignment horizontal="right"/>
    </xf>
    <xf numFmtId="9" fontId="21" fillId="0" borderId="0" applyFont="0" applyFill="0" applyBorder="0" applyAlignment="0" applyProtection="0"/>
    <xf numFmtId="320" fontId="139" fillId="0" borderId="0" applyFont="0" applyFill="0" applyBorder="0" applyAlignment="0" applyProtection="0"/>
    <xf numFmtId="8" fontId="139" fillId="0" borderId="0" applyFont="0" applyFill="0" applyBorder="0" applyAlignment="0" applyProtection="0"/>
    <xf numFmtId="306" fontId="139" fillId="0" borderId="0" applyFont="0" applyFill="0" applyBorder="0" applyAlignment="0" applyProtection="0">
      <protection locked="0"/>
    </xf>
    <xf numFmtId="38" fontId="139" fillId="0" borderId="0" applyFont="0" applyFill="0" applyBorder="0" applyAlignment="0" applyProtection="0"/>
    <xf numFmtId="306" fontId="139" fillId="0" borderId="0" applyFont="0" applyFill="0" applyBorder="0" applyAlignment="0" applyProtection="0">
      <alignment horizontal="right"/>
    </xf>
    <xf numFmtId="182" fontId="202" fillId="0" borderId="0" applyFont="0" applyFill="0" applyBorder="0" applyAlignment="0" applyProtection="0"/>
    <xf numFmtId="182" fontId="202" fillId="0" borderId="0" applyFont="0" applyFill="0" applyBorder="0" applyAlignment="0" applyProtection="0"/>
    <xf numFmtId="171" fontId="134" fillId="30" borderId="33" applyNumberFormat="0" applyFont="0" applyBorder="0" applyAlignment="0" applyProtection="0">
      <alignment horizontal="center"/>
    </xf>
    <xf numFmtId="0" fontId="255" fillId="0" borderId="0" applyNumberFormat="0" applyFill="0" applyBorder="0" applyProtection="0">
      <alignment horizontal="right"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26" fillId="47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82" fillId="48" borderId="9" applyNumberFormat="0" applyProtection="0">
      <alignment vertical="center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4" fontId="26" fillId="48" borderId="9" applyNumberFormat="0" applyProtection="0">
      <alignment horizontal="left" vertical="center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0" fontId="83" fillId="47" borderId="10" applyNumberFormat="0" applyProtection="0">
      <alignment horizontal="left" vertical="top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5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49" borderId="9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30" borderId="11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3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17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9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35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50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12" borderId="9" applyNumberFormat="0" applyProtection="0">
      <alignment horizontal="right" vertical="center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6" fillId="51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1" fillId="52" borderId="11" applyNumberFormat="0" applyProtection="0">
      <alignment horizontal="left" vertical="center" indent="1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3" borderId="9" applyNumberFormat="0" applyProtection="0">
      <alignment horizontal="right" vertical="center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4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4" fontId="26" fillId="53" borderId="11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40" borderId="9" applyNumberFormat="0" applyProtection="0">
      <alignment horizontal="left" vertical="center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2" borderId="10" applyNumberFormat="0" applyProtection="0">
      <alignment horizontal="left" vertical="top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5" borderId="9" applyNumberFormat="0" applyProtection="0">
      <alignment horizontal="left" vertical="center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53" borderId="10" applyNumberFormat="0" applyProtection="0">
      <alignment horizontal="left" vertical="top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9" applyNumberFormat="0" applyProtection="0">
      <alignment horizontal="left" vertical="center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10" borderId="10" applyNumberFormat="0" applyProtection="0">
      <alignment horizontal="left" vertical="top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9" applyNumberFormat="0" applyProtection="0">
      <alignment horizontal="left" vertical="center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26" fillId="54" borderId="10" applyNumberFormat="0" applyProtection="0">
      <alignment horizontal="left" vertical="top" indent="1"/>
    </xf>
    <xf numFmtId="0" fontId="33" fillId="52" borderId="13" applyBorder="0"/>
    <xf numFmtId="0" fontId="33" fillId="52" borderId="13" applyBorder="0"/>
    <xf numFmtId="0" fontId="33" fillId="52" borderId="13" applyBorder="0"/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14" borderId="10" applyNumberFormat="0" applyProtection="0">
      <alignment vertical="center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4" fontId="49" fillId="40" borderId="10" applyNumberFormat="0" applyProtection="0">
      <alignment horizontal="left" vertical="center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0" fontId="49" fillId="14" borderId="10" applyNumberFormat="0" applyProtection="0">
      <alignment horizontal="left" vertical="top" indent="1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82" fillId="57" borderId="9" applyNumberFormat="0" applyProtection="0">
      <alignment horizontal="right" vertical="center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4" fontId="26" fillId="16" borderId="9" applyNumberFormat="0" applyProtection="0">
      <alignment horizontal="left" vertical="center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0" fontId="49" fillId="53" borderId="10" applyNumberFormat="0" applyProtection="0">
      <alignment horizontal="left" vertical="top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5" fillId="58" borderId="11" applyNumberFormat="0" applyProtection="0">
      <alignment horizontal="left" vertical="center" indent="1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4" fontId="86" fillId="7" borderId="9" applyNumberFormat="0" applyProtection="0">
      <alignment horizontal="right" vertical="center"/>
    </xf>
    <xf numFmtId="182" fontId="139" fillId="0" borderId="0" applyFill="0" applyBorder="0" applyAlignment="0" applyProtection="0">
      <protection locked="0"/>
    </xf>
    <xf numFmtId="3" fontId="21" fillId="68" borderId="44" applyFont="0" applyFill="0" applyBorder="0" applyAlignment="0" applyProtection="0"/>
    <xf numFmtId="3" fontId="21" fillId="68" borderId="44" applyFont="0" applyFill="0" applyBorder="0" applyAlignment="0" applyProtection="0"/>
    <xf numFmtId="3" fontId="21" fillId="68" borderId="44" applyFont="0" applyFill="0" applyBorder="0" applyAlignment="0" applyProtection="0"/>
    <xf numFmtId="4" fontId="21" fillId="68" borderId="44" applyFont="0" applyFill="0" applyBorder="0" applyAlignment="0" applyProtection="0"/>
    <xf numFmtId="4" fontId="21" fillId="68" borderId="44" applyFont="0" applyFill="0" applyBorder="0" applyAlignment="0" applyProtection="0"/>
    <xf numFmtId="4" fontId="21" fillId="68" borderId="44" applyFont="0" applyFill="0" applyBorder="0" applyAlignment="0" applyProtection="0"/>
    <xf numFmtId="0" fontId="111" fillId="68" borderId="44" applyFont="0" applyFill="0" applyBorder="0" applyAlignment="0" applyProtection="0"/>
    <xf numFmtId="0" fontId="111" fillId="68" borderId="44" applyFont="0" applyFill="0" applyBorder="0" applyAlignment="0" applyProtection="0"/>
    <xf numFmtId="0" fontId="111" fillId="68" borderId="44" applyFont="0" applyFill="0" applyBorder="0" applyAlignment="0" applyProtection="0"/>
    <xf numFmtId="10" fontId="21" fillId="68" borderId="44" applyFont="0" applyFill="0" applyBorder="0" applyAlignment="0" applyProtection="0"/>
    <xf numFmtId="10" fontId="21" fillId="68" borderId="44" applyFont="0" applyFill="0" applyBorder="0" applyAlignment="0" applyProtection="0"/>
    <xf numFmtId="10" fontId="21" fillId="68" borderId="44" applyFont="0" applyFill="0" applyBorder="0" applyAlignment="0" applyProtection="0"/>
    <xf numFmtId="9" fontId="21" fillId="68" borderId="44" applyFont="0" applyFill="0" applyBorder="0" applyAlignment="0" applyProtection="0"/>
    <xf numFmtId="9" fontId="21" fillId="68" borderId="44" applyFont="0" applyFill="0" applyBorder="0" applyAlignment="0" applyProtection="0"/>
    <xf numFmtId="9" fontId="21" fillId="68" borderId="44" applyFont="0" applyFill="0" applyBorder="0" applyAlignment="0" applyProtection="0"/>
    <xf numFmtId="2" fontId="21" fillId="68" borderId="44" applyFont="0" applyFill="0" applyBorder="0" applyAlignment="0" applyProtection="0"/>
    <xf numFmtId="2" fontId="21" fillId="68" borderId="44" applyFont="0" applyFill="0" applyBorder="0" applyAlignment="0" applyProtection="0"/>
    <xf numFmtId="2" fontId="21" fillId="68" borderId="44" applyFont="0" applyFill="0" applyBorder="0" applyAlignment="0" applyProtection="0"/>
    <xf numFmtId="0" fontId="13" fillId="0" borderId="0"/>
    <xf numFmtId="9" fontId="256" fillId="0" borderId="0">
      <alignment horizontal="right"/>
    </xf>
    <xf numFmtId="0" fontId="135" fillId="0" borderId="0" applyNumberFormat="0" applyFill="0" applyBorder="0" applyAlignment="0" applyProtection="0"/>
    <xf numFmtId="8" fontId="134" fillId="0" borderId="0" applyFont="0" applyFill="0" applyBorder="0" applyAlignment="0" applyProtection="0"/>
    <xf numFmtId="40" fontId="134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231" fontId="37" fillId="0" borderId="0"/>
    <xf numFmtId="231" fontId="37" fillId="0" borderId="0"/>
    <xf numFmtId="0" fontId="37" fillId="0" borderId="0"/>
    <xf numFmtId="0" fontId="37" fillId="0" borderId="0"/>
    <xf numFmtId="231" fontId="37" fillId="0" borderId="0"/>
    <xf numFmtId="231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/>
    <xf numFmtId="22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/>
    <xf numFmtId="22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/>
    <xf numFmtId="22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/>
    <xf numFmtId="22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/>
    <xf numFmtId="22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/>
    <xf numFmtId="22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/>
    <xf numFmtId="0" fontId="21" fillId="0" borderId="0"/>
    <xf numFmtId="229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321" fontId="25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03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10" fontId="25" fillId="0" borderId="0"/>
    <xf numFmtId="210" fontId="25" fillId="0" borderId="0"/>
    <xf numFmtId="322" fontId="25" fillId="0" borderId="0"/>
    <xf numFmtId="0" fontId="21" fillId="0" borderId="0"/>
    <xf numFmtId="3" fontId="25" fillId="0" borderId="0"/>
    <xf numFmtId="0" fontId="258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323" fontId="134" fillId="0" borderId="0" applyFont="0" applyFill="0" applyBorder="0" applyAlignment="0" applyProtection="0"/>
    <xf numFmtId="183" fontId="259" fillId="0" borderId="0" applyNumberFormat="0" applyFont="0" applyFill="0" applyBorder="0" applyAlignment="0" applyProtection="0"/>
    <xf numFmtId="183" fontId="259" fillId="0" borderId="0" applyNumberFormat="0" applyFont="0" applyFill="0" applyBorder="0" applyAlignment="0" applyProtection="0"/>
    <xf numFmtId="324" fontId="259" fillId="0" borderId="0" applyNumberFormat="0" applyFont="0" applyFill="0" applyBorder="0" applyAlignment="0" applyProtection="0"/>
    <xf numFmtId="0" fontId="25" fillId="0" borderId="0"/>
    <xf numFmtId="0" fontId="21" fillId="0" borderId="0"/>
    <xf numFmtId="41" fontId="21" fillId="0" borderId="0" applyFont="0" applyFill="0" applyBorder="0" applyAlignment="0" applyProtection="0"/>
    <xf numFmtId="0" fontId="260" fillId="0" borderId="0"/>
    <xf numFmtId="0" fontId="260" fillId="0" borderId="0"/>
    <xf numFmtId="43" fontId="21" fillId="0" borderId="0" applyFont="0" applyFill="0" applyBorder="0" applyAlignment="0" applyProtection="0"/>
    <xf numFmtId="0" fontId="21" fillId="0" borderId="0"/>
    <xf numFmtId="0" fontId="135" fillId="0" borderId="0" applyNumberForma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3" fontId="25" fillId="0" borderId="0"/>
    <xf numFmtId="3" fontId="2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5" fillId="0" borderId="0"/>
    <xf numFmtId="0" fontId="21" fillId="0" borderId="0"/>
    <xf numFmtId="9" fontId="13" fillId="0" borderId="0" applyFont="0" applyFill="0" applyBorder="0" applyAlignment="0" applyProtection="0"/>
    <xf numFmtId="3" fontId="25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62" fillId="0" borderId="0" applyNumberFormat="0" applyFill="0" applyBorder="0" applyAlignment="0" applyProtection="0"/>
    <xf numFmtId="0" fontId="263" fillId="0" borderId="0"/>
    <xf numFmtId="41" fontId="105" fillId="0" borderId="0" applyFont="0" applyFill="0" applyBorder="0" applyAlignment="0" applyProtection="0">
      <alignment vertical="center"/>
    </xf>
    <xf numFmtId="37" fontId="37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8" fillId="0" borderId="0"/>
    <xf numFmtId="0" fontId="20" fillId="0" borderId="21" applyNumberFormat="0" applyBorder="0" applyAlignment="0">
      <alignment horizontal="left"/>
    </xf>
    <xf numFmtId="229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229" fontId="37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21" fillId="0" borderId="0"/>
    <xf numFmtId="0" fontId="106" fillId="0" borderId="0" applyFont="0" applyFill="0" applyBorder="0" applyAlignment="0" applyProtection="0">
      <alignment vertical="center"/>
    </xf>
    <xf numFmtId="272" fontId="106" fillId="0" borderId="0" applyFont="0" applyFill="0" applyBorder="0" applyAlignment="0" applyProtection="0">
      <alignment vertical="center"/>
    </xf>
    <xf numFmtId="43" fontId="37" fillId="0" borderId="0" applyFont="0" applyFill="0" applyBorder="0" applyAlignment="0" applyProtection="0"/>
    <xf numFmtId="43" fontId="264" fillId="0" borderId="0" applyFont="0" applyFill="0" applyBorder="0" applyAlignment="0" applyProtection="0"/>
    <xf numFmtId="49" fontId="32" fillId="0" borderId="0">
      <alignment vertical="center"/>
    </xf>
    <xf numFmtId="3" fontId="265" fillId="0" borderId="0">
      <alignment vertical="center"/>
    </xf>
    <xf numFmtId="3" fontId="265" fillId="0" borderId="0">
      <alignment vertical="center"/>
    </xf>
    <xf numFmtId="0" fontId="265" fillId="0" borderId="56" applyNumberFormat="0" applyFont="0" applyFill="0" applyAlignment="0" applyProtection="0">
      <alignment vertical="center"/>
    </xf>
    <xf numFmtId="0" fontId="197" fillId="0" borderId="0"/>
    <xf numFmtId="9" fontId="264" fillId="0" borderId="0" applyFont="0" applyFill="0" applyBorder="0" applyAlignment="0" applyProtection="0"/>
    <xf numFmtId="49" fontId="266" fillId="0" borderId="0">
      <alignment vertical="center"/>
    </xf>
    <xf numFmtId="3" fontId="265" fillId="87" borderId="0" applyNumberFormat="0" applyFont="0" applyBorder="0" applyAlignment="0">
      <alignment vertical="center"/>
    </xf>
    <xf numFmtId="0" fontId="265" fillId="88" borderId="0" applyNumberFormat="0" applyFont="0" applyBorder="0" applyAlignment="0">
      <alignment vertical="center"/>
    </xf>
    <xf numFmtId="0" fontId="265" fillId="88" borderId="0" applyNumberFormat="0" applyFont="0" applyBorder="0" applyAlignment="0">
      <alignment vertical="center"/>
    </xf>
    <xf numFmtId="49" fontId="267" fillId="0" borderId="0">
      <alignment vertical="center"/>
    </xf>
    <xf numFmtId="0" fontId="265" fillId="0" borderId="57" applyNumberFormat="0" applyFont="0" applyFill="0" applyAlignment="0" applyProtection="0">
      <alignment vertical="center"/>
    </xf>
    <xf numFmtId="0" fontId="261" fillId="0" borderId="55" applyNumberFormat="0" applyFill="0" applyAlignment="0" applyProtection="0"/>
    <xf numFmtId="0" fontId="268" fillId="0" borderId="0"/>
    <xf numFmtId="0" fontId="21" fillId="0" borderId="0"/>
    <xf numFmtId="9" fontId="37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170" fillId="0" borderId="50" applyFont="0" applyFill="0" applyAlignment="0" applyProtection="0">
      <alignment vertical="center"/>
    </xf>
    <xf numFmtId="182" fontId="170" fillId="0" borderId="50" applyFont="0" applyFill="0" applyAlignment="0" applyProtection="0">
      <alignment vertical="center"/>
    </xf>
    <xf numFmtId="43" fontId="2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5" fillId="0" borderId="0"/>
    <xf numFmtId="0" fontId="235" fillId="0" borderId="0"/>
    <xf numFmtId="0" fontId="12" fillId="0" borderId="0"/>
    <xf numFmtId="0" fontId="235" fillId="0" borderId="0"/>
    <xf numFmtId="0" fontId="235" fillId="0" borderId="0"/>
    <xf numFmtId="0" fontId="12" fillId="0" borderId="0">
      <alignment vertical="center"/>
    </xf>
    <xf numFmtId="0" fontId="12" fillId="0" borderId="0"/>
    <xf numFmtId="9" fontId="12" fillId="0" borderId="0" applyFont="0" applyFill="0" applyBorder="0" applyAlignment="0" applyProtection="0"/>
    <xf numFmtId="0" fontId="25" fillId="0" borderId="0"/>
    <xf numFmtId="325" fontId="25" fillId="0" borderId="0"/>
    <xf numFmtId="0" fontId="274" fillId="0" borderId="0"/>
    <xf numFmtId="326" fontId="139" fillId="0" borderId="0"/>
    <xf numFmtId="8" fontId="120" fillId="0" borderId="0"/>
    <xf numFmtId="182" fontId="25" fillId="0" borderId="0"/>
    <xf numFmtId="327" fontId="196" fillId="0" borderId="0"/>
    <xf numFmtId="328" fontId="274" fillId="0" borderId="0">
      <alignment horizontal="right"/>
    </xf>
    <xf numFmtId="329" fontId="274" fillId="68" borderId="0"/>
    <xf numFmtId="330" fontId="274" fillId="68" borderId="0"/>
    <xf numFmtId="331" fontId="274" fillId="68" borderId="0"/>
    <xf numFmtId="0" fontId="274" fillId="68" borderId="0">
      <alignment horizontal="right"/>
    </xf>
    <xf numFmtId="170" fontId="134" fillId="0" borderId="0"/>
    <xf numFmtId="170" fontId="134" fillId="0" borderId="0"/>
    <xf numFmtId="0" fontId="275" fillId="0" borderId="0" applyNumberFormat="0" applyFill="0" applyBorder="0" applyAlignment="0" applyProtection="0">
      <alignment horizontal="center" vertical="top"/>
    </xf>
    <xf numFmtId="332" fontId="105" fillId="0" borderId="0" applyFont="0" applyFill="0" applyBorder="0" applyAlignment="0" applyProtection="0">
      <alignment vertical="center"/>
    </xf>
    <xf numFmtId="333" fontId="105" fillId="0" borderId="0" applyFont="0" applyFill="0" applyBorder="0" applyAlignment="0" applyProtection="0">
      <alignment vertical="center"/>
    </xf>
    <xf numFmtId="14" fontId="105" fillId="0" borderId="0" applyFont="0" applyFill="0" applyBorder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0" fontId="21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3" fontId="25" fillId="0" borderId="0"/>
    <xf numFmtId="3" fontId="25" fillId="0" borderId="0"/>
    <xf numFmtId="0" fontId="21" fillId="0" borderId="0" applyNumberFormat="0" applyFill="0" applyBorder="0" applyAlignment="0" applyProtection="0"/>
    <xf numFmtId="0" fontId="116" fillId="0" borderId="0">
      <alignment vertical="center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3" fontId="25" fillId="0" borderId="0"/>
    <xf numFmtId="1" fontId="26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10" fontId="25" fillId="0" borderId="0"/>
    <xf numFmtId="206" fontId="37" fillId="0" borderId="0"/>
    <xf numFmtId="206" fontId="37" fillId="0" borderId="0"/>
    <xf numFmtId="206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334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20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335" fontId="21" fillId="0" borderId="0" applyFont="0" applyFill="0" applyBorder="0" applyAlignment="0" applyProtection="0"/>
    <xf numFmtId="233" fontId="21" fillId="0" borderId="0" applyFont="0" applyFill="0" applyBorder="0" applyAlignment="0" applyProtection="0"/>
    <xf numFmtId="335" fontId="21" fillId="0" borderId="0" applyFont="0" applyFill="0" applyBorder="0" applyAlignment="0" applyProtection="0"/>
    <xf numFmtId="335" fontId="21" fillId="0" borderId="0" applyFont="0" applyFill="0" applyBorder="0" applyAlignment="0" applyProtection="0"/>
    <xf numFmtId="335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311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33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9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179" fontId="37" fillId="0" borderId="0"/>
    <xf numFmtId="0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0" fontId="37" fillId="0" borderId="0"/>
    <xf numFmtId="179" fontId="37" fillId="0" borderId="0"/>
    <xf numFmtId="179" fontId="37" fillId="0" borderId="0"/>
    <xf numFmtId="179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215" fontId="21" fillId="0" borderId="0" applyFont="0" applyFill="0" applyBorder="0" applyAlignment="0" applyProtection="0"/>
    <xf numFmtId="336" fontId="21" fillId="0" borderId="0" applyFont="0" applyFill="0" applyBorder="0" applyAlignment="0" applyProtection="0"/>
    <xf numFmtId="302" fontId="21" fillId="0" borderId="0" applyFont="0" applyFill="0" applyBorder="0" applyProtection="0">
      <alignment horizontal="right"/>
    </xf>
    <xf numFmtId="337" fontId="21" fillId="0" borderId="0" applyFont="0" applyFill="0" applyBorder="0" applyAlignment="0" applyProtection="0"/>
    <xf numFmtId="338" fontId="21" fillId="0" borderId="0" applyFont="0" applyFill="0" applyBorder="0" applyAlignment="0" applyProtection="0"/>
    <xf numFmtId="337" fontId="21" fillId="0" borderId="0" applyFont="0" applyFill="0" applyBorder="0" applyAlignment="0" applyProtection="0"/>
    <xf numFmtId="338" fontId="21" fillId="0" borderId="0" applyFont="0" applyFill="0" applyBorder="0" applyAlignment="0" applyProtection="0"/>
    <xf numFmtId="337" fontId="21" fillId="0" borderId="0" applyFont="0" applyFill="0" applyBorder="0" applyAlignment="0" applyProtection="0"/>
    <xf numFmtId="338" fontId="21" fillId="0" borderId="0" applyFont="0" applyFill="0" applyBorder="0" applyAlignment="0" applyProtection="0"/>
    <xf numFmtId="337" fontId="21" fillId="0" borderId="0" applyFont="0" applyFill="0" applyBorder="0" applyAlignment="0" applyProtection="0"/>
    <xf numFmtId="338" fontId="21" fillId="0" borderId="0" applyFont="0" applyFill="0" applyBorder="0" applyAlignment="0" applyProtection="0"/>
    <xf numFmtId="337" fontId="21" fillId="0" borderId="0" applyFont="0" applyFill="0" applyBorder="0" applyAlignment="0" applyProtection="0"/>
    <xf numFmtId="338" fontId="21" fillId="0" borderId="0" applyFont="0" applyFill="0" applyBorder="0" applyAlignment="0" applyProtection="0"/>
    <xf numFmtId="337" fontId="21" fillId="0" borderId="0" applyFont="0" applyFill="0" applyBorder="0" applyAlignment="0" applyProtection="0"/>
    <xf numFmtId="338" fontId="21" fillId="0" borderId="0" applyFont="0" applyFill="0" applyBorder="0" applyAlignment="0" applyProtection="0"/>
    <xf numFmtId="239" fontId="21" fillId="0" borderId="0" applyFont="0" applyFill="0" applyBorder="0" applyAlignment="0" applyProtection="0"/>
    <xf numFmtId="179" fontId="37" fillId="0" borderId="0"/>
    <xf numFmtId="0" fontId="37" fillId="0" borderId="0"/>
    <xf numFmtId="339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3" fontId="25" fillId="0" borderId="0"/>
    <xf numFmtId="0" fontId="21" fillId="0" borderId="0"/>
    <xf numFmtId="0" fontId="21" fillId="0" borderId="0"/>
    <xf numFmtId="0" fontId="25" fillId="0" borderId="0"/>
    <xf numFmtId="340" fontId="26" fillId="0" borderId="0" applyFont="0" applyFill="0" applyBorder="0" applyAlignment="0" applyProtection="0">
      <protection hidden="1"/>
    </xf>
    <xf numFmtId="340" fontId="139" fillId="91" borderId="0" applyFont="0" applyFill="0" applyBorder="0" applyAlignment="0" applyProtection="0">
      <protection hidden="1"/>
    </xf>
    <xf numFmtId="341" fontId="26" fillId="0" borderId="0" applyFont="0" applyFill="0" applyBorder="0" applyAlignment="0" applyProtection="0">
      <protection hidden="1"/>
    </xf>
    <xf numFmtId="0" fontId="276" fillId="68" borderId="0" applyFont="0" applyFill="0" applyBorder="0" applyAlignment="0" applyProtection="0">
      <protection locked="0"/>
    </xf>
    <xf numFmtId="170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6" fillId="0" borderId="58" applyNumberFormat="0" applyFill="0" applyAlignment="0" applyProtection="0"/>
    <xf numFmtId="182" fontId="21" fillId="0" borderId="0" applyFont="0" applyFill="0" applyBorder="0" applyAlignment="0" applyProtection="0"/>
    <xf numFmtId="279" fontId="21" fillId="0" borderId="0" applyFont="0" applyFill="0" applyBorder="0" applyAlignment="0" applyProtection="0"/>
    <xf numFmtId="342" fontId="277" fillId="0" borderId="0" applyFont="0" applyFill="0" applyBorder="0" applyAlignment="0" applyProtection="0">
      <protection hidden="1"/>
    </xf>
    <xf numFmtId="0" fontId="42" fillId="0" borderId="0"/>
    <xf numFmtId="38" fontId="83" fillId="92" borderId="59">
      <alignment horizontal="right"/>
    </xf>
    <xf numFmtId="343" fontId="21" fillId="0" borderId="0" applyFont="0" applyFill="0" applyBorder="0" applyAlignment="0" applyProtection="0"/>
    <xf numFmtId="344" fontId="201" fillId="0" borderId="0" applyFill="0" applyBorder="0" applyProtection="0"/>
    <xf numFmtId="274" fontId="21" fillId="0" borderId="0" applyFont="0" applyFill="0" applyBorder="0" applyAlignment="0" applyProtection="0"/>
    <xf numFmtId="274" fontId="99" fillId="0" borderId="0" applyFont="0" applyFill="0" applyBorder="0" applyAlignment="0" applyProtection="0"/>
    <xf numFmtId="175" fontId="26" fillId="0" borderId="0"/>
    <xf numFmtId="0" fontId="278" fillId="0" borderId="0">
      <alignment horizontal="left"/>
    </xf>
    <xf numFmtId="0" fontId="279" fillId="0" borderId="0"/>
    <xf numFmtId="0" fontId="280" fillId="0" borderId="0">
      <alignment horizontal="left"/>
    </xf>
    <xf numFmtId="44" fontId="21" fillId="0" borderId="0" applyFont="0" applyFill="0" applyBorder="0" applyAlignment="0" applyProtection="0"/>
    <xf numFmtId="283" fontId="21" fillId="0" borderId="0" applyFill="0" applyBorder="0" applyProtection="0">
      <alignment vertical="center"/>
    </xf>
    <xf numFmtId="38" fontId="49" fillId="93" borderId="59">
      <protection locked="0"/>
    </xf>
    <xf numFmtId="2" fontId="83" fillId="94" borderId="0">
      <alignment horizontal="left"/>
      <protection hidden="1"/>
    </xf>
    <xf numFmtId="15" fontId="281" fillId="0" borderId="60" applyFont="0" applyFill="0" applyBorder="0" applyAlignment="0" applyProtection="0">
      <alignment horizontal="center"/>
      <protection hidden="1"/>
    </xf>
    <xf numFmtId="0" fontId="276" fillId="0" borderId="0" applyFont="0" applyFill="0" applyBorder="0" applyProtection="0">
      <alignment horizontal="left"/>
      <protection locked="0"/>
    </xf>
    <xf numFmtId="345" fontId="277" fillId="0" borderId="0" applyFont="0" applyFill="0" applyBorder="0" applyAlignment="0" applyProtection="0">
      <alignment horizontal="center"/>
      <protection hidden="1"/>
    </xf>
    <xf numFmtId="346" fontId="281" fillId="0" borderId="60" applyFont="0" applyFill="0" applyBorder="0" applyAlignment="0" applyProtection="0">
      <alignment horizontal="right"/>
      <protection hidden="1"/>
    </xf>
    <xf numFmtId="0" fontId="282" fillId="0" borderId="0">
      <alignment horizontal="left"/>
    </xf>
    <xf numFmtId="0" fontId="283" fillId="0" borderId="0">
      <alignment horizontal="left"/>
    </xf>
    <xf numFmtId="0" fontId="203" fillId="0" borderId="0" applyNumberFormat="0" applyFill="0" applyBorder="0" applyProtection="0">
      <alignment horizontal="left"/>
    </xf>
    <xf numFmtId="0" fontId="203" fillId="0" borderId="0" applyFill="0" applyBorder="0" applyProtection="0">
      <alignment vertical="center"/>
    </xf>
    <xf numFmtId="37" fontId="284" fillId="0" borderId="0"/>
    <xf numFmtId="0" fontId="285" fillId="0" borderId="0">
      <alignment horizontal="left"/>
    </xf>
    <xf numFmtId="0" fontId="286" fillId="0" borderId="0">
      <alignment horizontal="right"/>
    </xf>
    <xf numFmtId="0" fontId="287" fillId="0" borderId="0">
      <alignment horizontal="left"/>
    </xf>
    <xf numFmtId="0" fontId="288" fillId="0" borderId="22">
      <alignment horizontal="left" vertical="top"/>
    </xf>
    <xf numFmtId="0" fontId="207" fillId="0" borderId="0">
      <alignment horizontal="left"/>
    </xf>
    <xf numFmtId="0" fontId="289" fillId="0" borderId="22">
      <alignment horizontal="left" vertical="top"/>
    </xf>
    <xf numFmtId="0" fontId="290" fillId="0" borderId="0">
      <alignment horizontal="left"/>
    </xf>
    <xf numFmtId="0" fontId="147" fillId="0" borderId="0"/>
    <xf numFmtId="280" fontId="291" fillId="0" borderId="0" applyFill="0" applyBorder="0" applyProtection="0">
      <alignment horizontal="right"/>
    </xf>
    <xf numFmtId="347" fontId="291" fillId="0" borderId="0" applyFill="0" applyBorder="0" applyProtection="0">
      <alignment horizontal="right"/>
    </xf>
    <xf numFmtId="0" fontId="292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348" fontId="291" fillId="0" borderId="0" applyFill="0" applyBorder="0" applyProtection="0">
      <alignment horizontal="right"/>
    </xf>
    <xf numFmtId="282" fontId="291" fillId="0" borderId="0" applyFill="0" applyBorder="0" applyProtection="0">
      <alignment horizontal="right"/>
    </xf>
    <xf numFmtId="349" fontId="291" fillId="0" borderId="0" applyFill="0" applyBorder="0" applyProtection="0"/>
    <xf numFmtId="293" fontId="291" fillId="0" borderId="0" applyFill="0" applyBorder="0" applyProtection="0">
      <alignment horizontal="right"/>
    </xf>
    <xf numFmtId="285" fontId="291" fillId="0" borderId="0" applyFill="0" applyBorder="0" applyProtection="0"/>
    <xf numFmtId="351" fontId="291" fillId="0" borderId="0" applyFill="0" applyBorder="0" applyProtection="0">
      <alignment horizontal="right"/>
    </xf>
    <xf numFmtId="351" fontId="21" fillId="0" borderId="0" applyFill="0" applyBorder="0" applyProtection="0">
      <alignment vertical="center"/>
    </xf>
    <xf numFmtId="283" fontId="21" fillId="0" borderId="0" applyFill="0" applyBorder="0" applyProtection="0">
      <alignment vertical="center"/>
    </xf>
    <xf numFmtId="352" fontId="22" fillId="0" borderId="0" applyFont="0" applyFill="0" applyBorder="0" applyAlignment="0">
      <protection locked="0"/>
    </xf>
    <xf numFmtId="0" fontId="10" fillId="0" borderId="0"/>
    <xf numFmtId="0" fontId="293" fillId="0" borderId="0" applyNumberFormat="0" applyFill="0" applyBorder="0" applyAlignment="0" applyProtection="0"/>
    <xf numFmtId="0" fontId="294" fillId="0" borderId="61" applyNumberFormat="0" applyFill="0" applyAlignment="0" applyProtection="0"/>
    <xf numFmtId="0" fontId="295" fillId="0" borderId="62" applyNumberFormat="0" applyFill="0" applyAlignment="0" applyProtection="0"/>
    <xf numFmtId="0" fontId="296" fillId="0" borderId="63" applyNumberFormat="0" applyFill="0" applyAlignment="0" applyProtection="0"/>
    <xf numFmtId="0" fontId="296" fillId="0" borderId="0" applyNumberFormat="0" applyFill="0" applyBorder="0" applyAlignment="0" applyProtection="0"/>
    <xf numFmtId="0" fontId="243" fillId="83" borderId="0" applyNumberFormat="0" applyBorder="0" applyAlignment="0" applyProtection="0"/>
    <xf numFmtId="0" fontId="238" fillId="84" borderId="0" applyNumberFormat="0" applyBorder="0" applyAlignment="0" applyProtection="0"/>
    <xf numFmtId="0" fontId="252" fillId="85" borderId="0" applyNumberFormat="0" applyBorder="0" applyAlignment="0" applyProtection="0"/>
    <xf numFmtId="0" fontId="297" fillId="76" borderId="37" applyNumberFormat="0" applyAlignment="0" applyProtection="0"/>
    <xf numFmtId="0" fontId="254" fillId="86" borderId="53" applyNumberFormat="0" applyAlignment="0" applyProtection="0"/>
    <xf numFmtId="0" fontId="298" fillId="86" borderId="37" applyNumberFormat="0" applyAlignment="0" applyProtection="0"/>
    <xf numFmtId="0" fontId="299" fillId="0" borderId="64" applyNumberFormat="0" applyFill="0" applyAlignment="0" applyProtection="0"/>
    <xf numFmtId="0" fontId="300" fillId="95" borderId="65" applyNumberFormat="0" applyAlignment="0" applyProtection="0"/>
    <xf numFmtId="0" fontId="301" fillId="0" borderId="0" applyNumberFormat="0" applyFill="0" applyBorder="0" applyAlignment="0" applyProtection="0"/>
    <xf numFmtId="0" fontId="302" fillId="0" borderId="0" applyNumberFormat="0" applyFill="0" applyBorder="0" applyAlignment="0" applyProtection="0"/>
    <xf numFmtId="0" fontId="261" fillId="0" borderId="55" applyNumberFormat="0" applyFill="0" applyAlignment="0" applyProtection="0"/>
    <xf numFmtId="0" fontId="303" fillId="97" borderId="0" applyNumberFormat="0" applyBorder="0" applyAlignment="0" applyProtection="0"/>
    <xf numFmtId="0" fontId="9" fillId="98" borderId="0" applyNumberFormat="0" applyBorder="0" applyAlignment="0" applyProtection="0"/>
    <xf numFmtId="0" fontId="9" fillId="99" borderId="0" applyNumberFormat="0" applyBorder="0" applyAlignment="0" applyProtection="0"/>
    <xf numFmtId="0" fontId="303" fillId="100" borderId="0" applyNumberFormat="0" applyBorder="0" applyAlignment="0" applyProtection="0"/>
    <xf numFmtId="0" fontId="303" fillId="101" borderId="0" applyNumberFormat="0" applyBorder="0" applyAlignment="0" applyProtection="0"/>
    <xf numFmtId="0" fontId="9" fillId="102" borderId="0" applyNumberFormat="0" applyBorder="0" applyAlignment="0" applyProtection="0"/>
    <xf numFmtId="0" fontId="9" fillId="103" borderId="0" applyNumberFormat="0" applyBorder="0" applyAlignment="0" applyProtection="0"/>
    <xf numFmtId="0" fontId="303" fillId="104" borderId="0" applyNumberFormat="0" applyBorder="0" applyAlignment="0" applyProtection="0"/>
    <xf numFmtId="0" fontId="303" fillId="105" borderId="0" applyNumberFormat="0" applyBorder="0" applyAlignment="0" applyProtection="0"/>
    <xf numFmtId="0" fontId="9" fillId="106" borderId="0" applyNumberFormat="0" applyBorder="0" applyAlignment="0" applyProtection="0"/>
    <xf numFmtId="0" fontId="9" fillId="107" borderId="0" applyNumberFormat="0" applyBorder="0" applyAlignment="0" applyProtection="0"/>
    <xf numFmtId="0" fontId="303" fillId="108" borderId="0" applyNumberFormat="0" applyBorder="0" applyAlignment="0" applyProtection="0"/>
    <xf numFmtId="0" fontId="303" fillId="109" borderId="0" applyNumberFormat="0" applyBorder="0" applyAlignment="0" applyProtection="0"/>
    <xf numFmtId="0" fontId="9" fillId="110" borderId="0" applyNumberFormat="0" applyBorder="0" applyAlignment="0" applyProtection="0"/>
    <xf numFmtId="0" fontId="9" fillId="111" borderId="0" applyNumberFormat="0" applyBorder="0" applyAlignment="0" applyProtection="0"/>
    <xf numFmtId="0" fontId="303" fillId="112" borderId="0" applyNumberFormat="0" applyBorder="0" applyAlignment="0" applyProtection="0"/>
    <xf numFmtId="0" fontId="303" fillId="113" borderId="0" applyNumberFormat="0" applyBorder="0" applyAlignment="0" applyProtection="0"/>
    <xf numFmtId="0" fontId="9" fillId="114" borderId="0" applyNumberFormat="0" applyBorder="0" applyAlignment="0" applyProtection="0"/>
    <xf numFmtId="0" fontId="9" fillId="115" borderId="0" applyNumberFormat="0" applyBorder="0" applyAlignment="0" applyProtection="0"/>
    <xf numFmtId="0" fontId="303" fillId="116" borderId="0" applyNumberFormat="0" applyBorder="0" applyAlignment="0" applyProtection="0"/>
    <xf numFmtId="0" fontId="303" fillId="117" borderId="0" applyNumberFormat="0" applyBorder="0" applyAlignment="0" applyProtection="0"/>
    <xf numFmtId="0" fontId="9" fillId="118" borderId="0" applyNumberFormat="0" applyBorder="0" applyAlignment="0" applyProtection="0"/>
    <xf numFmtId="0" fontId="9" fillId="119" borderId="0" applyNumberFormat="0" applyBorder="0" applyAlignment="0" applyProtection="0"/>
    <xf numFmtId="0" fontId="303" fillId="120" borderId="0" applyNumberFormat="0" applyBorder="0" applyAlignment="0" applyProtection="0"/>
    <xf numFmtId="0" fontId="9" fillId="0" borderId="0"/>
    <xf numFmtId="0" fontId="9" fillId="96" borderId="6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2" fillId="123" borderId="0"/>
    <xf numFmtId="43" fontId="7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31" fillId="123" borderId="33">
      <alignment horizontal="centerContinuous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7" fillId="0" borderId="0"/>
    <xf numFmtId="0" fontId="333" fillId="0" borderId="0"/>
    <xf numFmtId="9" fontId="333" fillId="0" borderId="0" applyFont="0" applyFill="0" applyBorder="0" applyAlignment="0" applyProtection="0"/>
    <xf numFmtId="43" fontId="333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33" fillId="0" borderId="0"/>
    <xf numFmtId="9" fontId="3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</cellStyleXfs>
  <cellXfs count="465">
    <xf numFmtId="0" fontId="0" fillId="0" borderId="0" xfId="0"/>
    <xf numFmtId="0" fontId="268" fillId="0" borderId="0" xfId="10828" applyAlignment="1">
      <alignment vertical="center"/>
    </xf>
    <xf numFmtId="0" fontId="273" fillId="0" borderId="0" xfId="11316" applyFont="1"/>
    <xf numFmtId="0" fontId="306" fillId="90" borderId="0" xfId="11316" applyFont="1" applyFill="1"/>
    <xf numFmtId="310" fontId="273" fillId="0" borderId="0" xfId="11316" applyNumberFormat="1" applyFont="1"/>
    <xf numFmtId="310" fontId="273" fillId="0" borderId="0" xfId="11317" applyNumberFormat="1" applyFont="1" applyBorder="1"/>
    <xf numFmtId="310" fontId="308" fillId="0" borderId="0" xfId="11317" applyNumberFormat="1" applyFont="1" applyBorder="1"/>
    <xf numFmtId="0" fontId="308" fillId="0" borderId="0" xfId="11316" applyFont="1"/>
    <xf numFmtId="310" fontId="308" fillId="0" borderId="0" xfId="11316" applyNumberFormat="1" applyFont="1"/>
    <xf numFmtId="310" fontId="304" fillId="69" borderId="0" xfId="11317" applyNumberFormat="1" applyFont="1" applyFill="1" applyBorder="1"/>
    <xf numFmtId="310" fontId="304" fillId="69" borderId="0" xfId="11316" applyNumberFormat="1" applyFont="1" applyFill="1"/>
    <xf numFmtId="43" fontId="304" fillId="69" borderId="0" xfId="11317" applyFont="1" applyFill="1" applyBorder="1"/>
    <xf numFmtId="9" fontId="304" fillId="69" borderId="0" xfId="11318" applyFont="1" applyFill="1" applyBorder="1"/>
    <xf numFmtId="0" fontId="272" fillId="0" borderId="0" xfId="11316" applyFont="1"/>
    <xf numFmtId="310" fontId="272" fillId="0" borderId="0" xfId="11316" applyNumberFormat="1" applyFont="1"/>
    <xf numFmtId="0" fontId="311" fillId="0" borderId="0" xfId="11316" applyFont="1"/>
    <xf numFmtId="310" fontId="311" fillId="0" borderId="0" xfId="11316" applyNumberFormat="1" applyFont="1"/>
    <xf numFmtId="43" fontId="273" fillId="0" borderId="0" xfId="11316" applyNumberFormat="1" applyFont="1"/>
    <xf numFmtId="9" fontId="304" fillId="69" borderId="0" xfId="11317" applyNumberFormat="1" applyFont="1" applyFill="1" applyBorder="1"/>
    <xf numFmtId="3" fontId="273" fillId="0" borderId="0" xfId="11316" applyNumberFormat="1" applyFont="1"/>
    <xf numFmtId="9" fontId="273" fillId="0" borderId="0" xfId="10830" applyFont="1" applyBorder="1"/>
    <xf numFmtId="171" fontId="273" fillId="0" borderId="0" xfId="11316" applyNumberFormat="1" applyFont="1"/>
    <xf numFmtId="0" fontId="305" fillId="0" borderId="0" xfId="11316" applyFont="1"/>
    <xf numFmtId="310" fontId="311" fillId="0" borderId="0" xfId="11317" applyNumberFormat="1" applyFont="1" applyFill="1" applyBorder="1"/>
    <xf numFmtId="310" fontId="273" fillId="0" borderId="0" xfId="11317" applyNumberFormat="1" applyFont="1" applyFill="1" applyBorder="1"/>
    <xf numFmtId="2" fontId="273" fillId="0" borderId="0" xfId="11316" applyNumberFormat="1" applyFont="1"/>
    <xf numFmtId="2" fontId="273" fillId="0" borderId="0" xfId="11317" applyNumberFormat="1" applyFont="1" applyBorder="1"/>
    <xf numFmtId="9" fontId="0" fillId="0" borderId="0" xfId="10830" applyFont="1"/>
    <xf numFmtId="355" fontId="273" fillId="0" borderId="0" xfId="11316" applyNumberFormat="1" applyFont="1"/>
    <xf numFmtId="0" fontId="268" fillId="124" borderId="0" xfId="10828" applyFill="1" applyAlignment="1">
      <alignment vertical="center"/>
    </xf>
    <xf numFmtId="0" fontId="233" fillId="124" borderId="0" xfId="10828" applyFont="1" applyFill="1" applyAlignment="1">
      <alignment vertical="center"/>
    </xf>
    <xf numFmtId="0" fontId="270" fillId="124" borderId="0" xfId="10828" applyFont="1" applyFill="1" applyAlignment="1">
      <alignment horizontal="left" vertical="center" indent="2"/>
    </xf>
    <xf numFmtId="0" fontId="268" fillId="124" borderId="0" xfId="10828" applyFill="1" applyAlignment="1">
      <alignment horizontal="left" vertical="center"/>
    </xf>
    <xf numFmtId="3" fontId="268" fillId="124" borderId="0" xfId="10828" applyNumberFormat="1" applyFill="1" applyAlignment="1">
      <alignment horizontal="left" vertical="center"/>
    </xf>
    <xf numFmtId="15" fontId="268" fillId="124" borderId="0" xfId="10828" applyNumberFormat="1" applyFill="1" applyAlignment="1">
      <alignment horizontal="left" vertical="center"/>
    </xf>
    <xf numFmtId="0" fontId="270" fillId="124" borderId="0" xfId="10828" applyFont="1" applyFill="1" applyAlignment="1">
      <alignment horizontal="left" vertical="center" indent="1"/>
    </xf>
    <xf numFmtId="0" fontId="268" fillId="124" borderId="0" xfId="10828" applyFill="1" applyAlignment="1">
      <alignment horizontal="left" vertical="center" indent="3"/>
    </xf>
    <xf numFmtId="0" fontId="268" fillId="0" borderId="0" xfId="10828" applyAlignment="1">
      <alignment horizontal="left" vertical="center" indent="3"/>
    </xf>
    <xf numFmtId="0" fontId="312" fillId="0" borderId="0" xfId="0" applyFont="1"/>
    <xf numFmtId="310" fontId="316" fillId="0" borderId="0" xfId="401" applyNumberFormat="1" applyFont="1"/>
    <xf numFmtId="9" fontId="0" fillId="0" borderId="0" xfId="0" applyNumberFormat="1"/>
    <xf numFmtId="310" fontId="307" fillId="0" borderId="0" xfId="11317" applyNumberFormat="1" applyFont="1" applyFill="1" applyBorder="1"/>
    <xf numFmtId="310" fontId="309" fillId="0" borderId="0" xfId="11317" applyNumberFormat="1" applyFont="1" applyFill="1" applyBorder="1"/>
    <xf numFmtId="9" fontId="273" fillId="0" borderId="0" xfId="11318" applyFont="1" applyFill="1" applyBorder="1"/>
    <xf numFmtId="9" fontId="273" fillId="0" borderId="0" xfId="10830" applyFont="1" applyFill="1" applyBorder="1"/>
    <xf numFmtId="310" fontId="316" fillId="0" borderId="0" xfId="11317" applyNumberFormat="1" applyFont="1" applyFill="1" applyBorder="1"/>
    <xf numFmtId="310" fontId="312" fillId="0" borderId="0" xfId="11317" applyNumberFormat="1" applyFont="1" applyFill="1" applyBorder="1"/>
    <xf numFmtId="9" fontId="325" fillId="0" borderId="0" xfId="10830" applyFont="1" applyFill="1" applyBorder="1"/>
    <xf numFmtId="310" fontId="325" fillId="0" borderId="0" xfId="11317" applyNumberFormat="1" applyFont="1" applyFill="1" applyBorder="1"/>
    <xf numFmtId="310" fontId="312" fillId="0" borderId="0" xfId="11317" applyNumberFormat="1" applyFont="1" applyBorder="1"/>
    <xf numFmtId="310" fontId="328" fillId="0" borderId="0" xfId="11317" applyNumberFormat="1" applyFont="1" applyFill="1" applyBorder="1"/>
    <xf numFmtId="310" fontId="315" fillId="0" borderId="0" xfId="11317" applyNumberFormat="1" applyFont="1" applyFill="1" applyBorder="1"/>
    <xf numFmtId="310" fontId="328" fillId="0" borderId="0" xfId="11317" applyNumberFormat="1" applyFont="1" applyBorder="1"/>
    <xf numFmtId="310" fontId="325" fillId="0" borderId="0" xfId="11317" applyNumberFormat="1" applyFont="1" applyBorder="1"/>
    <xf numFmtId="310" fontId="322" fillId="0" borderId="0" xfId="11317" applyNumberFormat="1" applyFont="1" applyFill="1" applyBorder="1"/>
    <xf numFmtId="43" fontId="325" fillId="0" borderId="0" xfId="11317" applyFont="1" applyFill="1" applyBorder="1"/>
    <xf numFmtId="43" fontId="325" fillId="0" borderId="0" xfId="11317" applyFont="1" applyBorder="1"/>
    <xf numFmtId="9" fontId="325" fillId="0" borderId="0" xfId="11318" applyFont="1" applyFill="1" applyBorder="1"/>
    <xf numFmtId="9" fontId="317" fillId="69" borderId="0" xfId="11318" applyFont="1" applyFill="1" applyBorder="1"/>
    <xf numFmtId="9" fontId="317" fillId="0" borderId="0" xfId="11318" applyFont="1" applyFill="1" applyBorder="1"/>
    <xf numFmtId="9" fontId="325" fillId="0" borderId="0" xfId="10830" applyFont="1" applyBorder="1"/>
    <xf numFmtId="170" fontId="328" fillId="0" borderId="0" xfId="11318" applyNumberFormat="1" applyFont="1" applyFill="1" applyBorder="1"/>
    <xf numFmtId="170" fontId="328" fillId="0" borderId="0" xfId="11318" applyNumberFormat="1" applyFont="1" applyBorder="1"/>
    <xf numFmtId="170" fontId="325" fillId="0" borderId="0" xfId="11318" applyNumberFormat="1" applyFont="1" applyFill="1" applyBorder="1"/>
    <xf numFmtId="170" fontId="325" fillId="0" borderId="0" xfId="11318" applyNumberFormat="1" applyFont="1" applyBorder="1"/>
    <xf numFmtId="310" fontId="316" fillId="0" borderId="0" xfId="11317" applyNumberFormat="1" applyFont="1" applyBorder="1"/>
    <xf numFmtId="9" fontId="325" fillId="0" borderId="0" xfId="11318" applyFont="1" applyBorder="1"/>
    <xf numFmtId="9" fontId="325" fillId="0" borderId="0" xfId="10830" applyFont="1" applyBorder="1" applyAlignment="1">
      <alignment horizontal="right"/>
    </xf>
    <xf numFmtId="9" fontId="325" fillId="0" borderId="0" xfId="10830" applyFont="1" applyFill="1" applyBorder="1" applyAlignment="1">
      <alignment horizontal="right"/>
    </xf>
    <xf numFmtId="9" fontId="312" fillId="0" borderId="0" xfId="10830" applyFont="1" applyBorder="1" applyAlignment="1">
      <alignment horizontal="right"/>
    </xf>
    <xf numFmtId="9" fontId="312" fillId="0" borderId="0" xfId="10830" applyFont="1" applyFill="1" applyBorder="1" applyAlignment="1">
      <alignment horizontal="right"/>
    </xf>
    <xf numFmtId="9" fontId="312" fillId="0" borderId="0" xfId="10830" applyFont="1" applyBorder="1"/>
    <xf numFmtId="170" fontId="325" fillId="0" borderId="0" xfId="10830" applyNumberFormat="1" applyFont="1" applyFill="1" applyBorder="1"/>
    <xf numFmtId="310" fontId="317" fillId="69" borderId="0" xfId="11317" applyNumberFormat="1" applyFont="1" applyFill="1" applyBorder="1"/>
    <xf numFmtId="43" fontId="317" fillId="69" borderId="0" xfId="11317" applyFont="1" applyFill="1" applyBorder="1"/>
    <xf numFmtId="310" fontId="317" fillId="69" borderId="0" xfId="401" applyNumberFormat="1" applyFont="1" applyFill="1" applyBorder="1"/>
    <xf numFmtId="170" fontId="317" fillId="69" borderId="0" xfId="11318" applyNumberFormat="1" applyFont="1" applyFill="1" applyBorder="1"/>
    <xf numFmtId="170" fontId="321" fillId="69" borderId="0" xfId="11318" applyNumberFormat="1" applyFont="1" applyFill="1" applyBorder="1"/>
    <xf numFmtId="310" fontId="325" fillId="0" borderId="0" xfId="401" applyNumberFormat="1" applyFont="1" applyBorder="1"/>
    <xf numFmtId="310" fontId="316" fillId="0" borderId="0" xfId="401" applyNumberFormat="1" applyFont="1" applyBorder="1"/>
    <xf numFmtId="0" fontId="305" fillId="0" borderId="0" xfId="11316" applyFont="1" applyAlignment="1">
      <alignment horizontal="right"/>
    </xf>
    <xf numFmtId="310" fontId="310" fillId="0" borderId="0" xfId="11317" applyNumberFormat="1" applyFont="1" applyFill="1" applyBorder="1"/>
    <xf numFmtId="43" fontId="307" fillId="0" borderId="0" xfId="11317" applyFont="1" applyFill="1" applyBorder="1"/>
    <xf numFmtId="2" fontId="273" fillId="0" borderId="0" xfId="11317" applyNumberFormat="1" applyFont="1" applyFill="1" applyBorder="1"/>
    <xf numFmtId="310" fontId="307" fillId="0" borderId="0" xfId="11316" applyNumberFormat="1" applyFont="1"/>
    <xf numFmtId="0" fontId="304" fillId="0" borderId="0" xfId="11316" applyFont="1"/>
    <xf numFmtId="0" fontId="305" fillId="69" borderId="0" xfId="11316" applyFont="1" applyFill="1" applyAlignment="1">
      <alignment horizontal="right"/>
    </xf>
    <xf numFmtId="170" fontId="273" fillId="0" borderId="0" xfId="10830" applyNumberFormat="1" applyFont="1" applyBorder="1"/>
    <xf numFmtId="9" fontId="273" fillId="125" borderId="0" xfId="10830" applyFont="1" applyFill="1" applyBorder="1"/>
    <xf numFmtId="170" fontId="273" fillId="125" borderId="0" xfId="10830" applyNumberFormat="1" applyFont="1" applyFill="1" applyBorder="1"/>
    <xf numFmtId="310" fontId="305" fillId="0" borderId="0" xfId="401" applyNumberFormat="1" applyFont="1" applyFill="1" applyBorder="1"/>
    <xf numFmtId="310" fontId="325" fillId="0" borderId="0" xfId="401" applyNumberFormat="1" applyFont="1" applyFill="1" applyBorder="1"/>
    <xf numFmtId="43" fontId="325" fillId="0" borderId="0" xfId="401" applyFont="1" applyFill="1" applyBorder="1"/>
    <xf numFmtId="310" fontId="316" fillId="0" borderId="0" xfId="401" applyNumberFormat="1" applyFont="1" applyFill="1" applyBorder="1"/>
    <xf numFmtId="170" fontId="0" fillId="0" borderId="0" xfId="10830" applyNumberFormat="1" applyFont="1"/>
    <xf numFmtId="9" fontId="326" fillId="0" borderId="0" xfId="10830" applyFont="1" applyBorder="1" applyAlignment="1">
      <alignment horizontal="right"/>
    </xf>
    <xf numFmtId="0" fontId="331" fillId="0" borderId="0" xfId="11316" applyFont="1"/>
    <xf numFmtId="310" fontId="331" fillId="0" borderId="0" xfId="11316" applyNumberFormat="1" applyFont="1"/>
    <xf numFmtId="310" fontId="304" fillId="0" borderId="0" xfId="401" applyNumberFormat="1" applyFont="1" applyFill="1" applyBorder="1" applyAlignment="1">
      <alignment horizontal="right"/>
    </xf>
    <xf numFmtId="310" fontId="317" fillId="0" borderId="0" xfId="10830" applyNumberFormat="1" applyFont="1" applyFill="1" applyBorder="1"/>
    <xf numFmtId="43" fontId="305" fillId="0" borderId="0" xfId="11316" applyNumberFormat="1" applyFont="1"/>
    <xf numFmtId="9" fontId="328" fillId="0" borderId="0" xfId="10830" applyFont="1" applyBorder="1"/>
    <xf numFmtId="169" fontId="328" fillId="0" borderId="0" xfId="401" applyNumberFormat="1" applyFont="1" applyBorder="1"/>
    <xf numFmtId="169" fontId="316" fillId="0" borderId="0" xfId="401" applyNumberFormat="1" applyFont="1" applyBorder="1"/>
    <xf numFmtId="310" fontId="328" fillId="0" borderId="0" xfId="401" applyNumberFormat="1" applyFont="1" applyBorder="1"/>
    <xf numFmtId="9" fontId="315" fillId="0" borderId="0" xfId="10830" applyFont="1" applyFill="1" applyBorder="1"/>
    <xf numFmtId="9" fontId="312" fillId="0" borderId="0" xfId="10830" applyFont="1" applyFill="1" applyBorder="1"/>
    <xf numFmtId="0" fontId="312" fillId="0" borderId="0" xfId="10830" applyNumberFormat="1" applyFont="1" applyFill="1" applyBorder="1"/>
    <xf numFmtId="170" fontId="273" fillId="0" borderId="0" xfId="10830" applyNumberFormat="1" applyFont="1" applyFill="1" applyBorder="1"/>
    <xf numFmtId="169" fontId="273" fillId="0" borderId="0" xfId="11317" applyNumberFormat="1" applyFont="1" applyFill="1" applyBorder="1"/>
    <xf numFmtId="310" fontId="305" fillId="0" borderId="0" xfId="11317" applyNumberFormat="1" applyFont="1" applyFill="1" applyBorder="1"/>
    <xf numFmtId="43" fontId="305" fillId="0" borderId="0" xfId="11317" applyFont="1" applyFill="1" applyBorder="1"/>
    <xf numFmtId="310" fontId="332" fillId="0" borderId="0" xfId="11317" applyNumberFormat="1" applyFont="1" applyFill="1" applyBorder="1"/>
    <xf numFmtId="310" fontId="305" fillId="0" borderId="0" xfId="11316" applyNumberFormat="1" applyFont="1"/>
    <xf numFmtId="310" fontId="332" fillId="0" borderId="0" xfId="11316" applyNumberFormat="1" applyFont="1"/>
    <xf numFmtId="310" fontId="340" fillId="0" borderId="0" xfId="11316" applyNumberFormat="1" applyFont="1"/>
    <xf numFmtId="170" fontId="328" fillId="127" borderId="0" xfId="11318" applyNumberFormat="1" applyFont="1" applyFill="1" applyBorder="1"/>
    <xf numFmtId="9" fontId="328" fillId="128" borderId="0" xfId="10830" applyFont="1" applyFill="1" applyBorder="1"/>
    <xf numFmtId="9" fontId="328" fillId="0" borderId="0" xfId="10830" applyFont="1" applyFill="1" applyBorder="1"/>
    <xf numFmtId="245" fontId="311" fillId="0" borderId="0" xfId="11316" applyNumberFormat="1" applyFont="1"/>
    <xf numFmtId="355" fontId="311" fillId="0" borderId="0" xfId="11316" applyNumberFormat="1" applyFont="1"/>
    <xf numFmtId="43" fontId="325" fillId="0" borderId="0" xfId="10830" applyNumberFormat="1" applyFont="1" applyFill="1" applyBorder="1"/>
    <xf numFmtId="169" fontId="312" fillId="0" borderId="0" xfId="401" applyNumberFormat="1" applyFont="1" applyBorder="1"/>
    <xf numFmtId="310" fontId="312" fillId="0" borderId="0" xfId="10830" applyNumberFormat="1" applyFont="1" applyFill="1" applyBorder="1"/>
    <xf numFmtId="169" fontId="312" fillId="0" borderId="0" xfId="10830" applyNumberFormat="1" applyFont="1" applyFill="1" applyBorder="1"/>
    <xf numFmtId="310" fontId="273" fillId="127" borderId="0" xfId="11317" applyNumberFormat="1" applyFont="1" applyFill="1" applyBorder="1"/>
    <xf numFmtId="310" fontId="318" fillId="122" borderId="0" xfId="401" applyNumberFormat="1" applyFont="1" applyFill="1" applyBorder="1"/>
    <xf numFmtId="0" fontId="325" fillId="0" borderId="0" xfId="11316" applyFont="1"/>
    <xf numFmtId="9" fontId="325" fillId="0" borderId="0" xfId="11316" applyNumberFormat="1" applyFont="1"/>
    <xf numFmtId="4" fontId="325" fillId="0" borderId="0" xfId="11316" applyNumberFormat="1" applyFont="1"/>
    <xf numFmtId="43" fontId="325" fillId="0" borderId="0" xfId="11316" applyNumberFormat="1" applyFont="1"/>
    <xf numFmtId="169" fontId="325" fillId="0" borderId="0" xfId="11316" applyNumberFormat="1" applyFont="1"/>
    <xf numFmtId="310" fontId="325" fillId="0" borderId="0" xfId="11316" applyNumberFormat="1" applyFont="1"/>
    <xf numFmtId="0" fontId="326" fillId="0" borderId="0" xfId="11316" applyFont="1"/>
    <xf numFmtId="0" fontId="312" fillId="0" borderId="0" xfId="11316" applyFont="1"/>
    <xf numFmtId="0" fontId="312" fillId="0" borderId="0" xfId="11316" applyFont="1" applyAlignment="1">
      <alignment horizontal="right"/>
    </xf>
    <xf numFmtId="0" fontId="312" fillId="69" borderId="0" xfId="11316" applyFont="1" applyFill="1" applyAlignment="1">
      <alignment horizontal="right"/>
    </xf>
    <xf numFmtId="0" fontId="314" fillId="90" borderId="0" xfId="11316" applyFont="1" applyFill="1"/>
    <xf numFmtId="310" fontId="312" fillId="0" borderId="0" xfId="11316" applyNumberFormat="1" applyFont="1"/>
    <xf numFmtId="0" fontId="328" fillId="0" borderId="0" xfId="11316" applyFont="1"/>
    <xf numFmtId="0" fontId="315" fillId="0" borderId="0" xfId="11316" applyFont="1"/>
    <xf numFmtId="310" fontId="317" fillId="69" borderId="0" xfId="11316" applyNumberFormat="1" applyFont="1" applyFill="1"/>
    <xf numFmtId="310" fontId="328" fillId="0" borderId="0" xfId="11316" applyNumberFormat="1" applyFont="1"/>
    <xf numFmtId="1" fontId="312" fillId="0" borderId="0" xfId="11316" applyNumberFormat="1" applyFont="1"/>
    <xf numFmtId="1" fontId="325" fillId="0" borderId="0" xfId="11316" applyNumberFormat="1" applyFont="1"/>
    <xf numFmtId="170" fontId="325" fillId="0" borderId="0" xfId="11316" applyNumberFormat="1" applyFont="1"/>
    <xf numFmtId="0" fontId="313" fillId="0" borderId="0" xfId="11316" applyFont="1"/>
    <xf numFmtId="9" fontId="313" fillId="0" borderId="0" xfId="11316" applyNumberFormat="1" applyFont="1"/>
    <xf numFmtId="0" fontId="324" fillId="90" borderId="0" xfId="11316" applyFont="1" applyFill="1"/>
    <xf numFmtId="0" fontId="314" fillId="121" borderId="0" xfId="11316" applyFont="1" applyFill="1"/>
    <xf numFmtId="169" fontId="318" fillId="122" borderId="0" xfId="401" applyNumberFormat="1" applyFont="1" applyFill="1" applyBorder="1"/>
    <xf numFmtId="9" fontId="318" fillId="122" borderId="0" xfId="10830" applyFont="1" applyFill="1" applyBorder="1"/>
    <xf numFmtId="43" fontId="314" fillId="121" borderId="0" xfId="11316" applyNumberFormat="1" applyFont="1" applyFill="1"/>
    <xf numFmtId="169" fontId="341" fillId="0" borderId="0" xfId="11316" applyNumberFormat="1" applyFont="1"/>
    <xf numFmtId="0" fontId="341" fillId="0" borderId="0" xfId="11316" applyFont="1"/>
    <xf numFmtId="9" fontId="328" fillId="0" borderId="0" xfId="11316" applyNumberFormat="1" applyFont="1"/>
    <xf numFmtId="310" fontId="312" fillId="0" borderId="0" xfId="401" applyNumberFormat="1" applyFont="1" applyBorder="1"/>
    <xf numFmtId="170" fontId="315" fillId="0" borderId="0" xfId="10830" applyNumberFormat="1" applyFont="1" applyBorder="1"/>
    <xf numFmtId="170" fontId="312" fillId="0" borderId="0" xfId="10830" applyNumberFormat="1" applyFont="1" applyBorder="1"/>
    <xf numFmtId="9" fontId="315" fillId="0" borderId="0" xfId="10830" applyFont="1" applyBorder="1"/>
    <xf numFmtId="170" fontId="317" fillId="0" borderId="0" xfId="10830" applyNumberFormat="1" applyFont="1" applyFill="1" applyBorder="1"/>
    <xf numFmtId="170" fontId="312" fillId="0" borderId="0" xfId="10830" applyNumberFormat="1" applyFont="1" applyFill="1" applyBorder="1"/>
    <xf numFmtId="1" fontId="317" fillId="69" borderId="0" xfId="401" applyNumberFormat="1" applyFont="1" applyFill="1" applyBorder="1"/>
    <xf numFmtId="310" fontId="325" fillId="125" borderId="0" xfId="11317" applyNumberFormat="1" applyFont="1" applyFill="1" applyBorder="1"/>
    <xf numFmtId="9" fontId="325" fillId="0" borderId="0" xfId="10830" applyFont="1"/>
    <xf numFmtId="310" fontId="312" fillId="124" borderId="0" xfId="402" applyNumberFormat="1" applyFont="1" applyFill="1" applyBorder="1"/>
    <xf numFmtId="170" fontId="312" fillId="124" borderId="0" xfId="10830" applyNumberFormat="1" applyFont="1" applyFill="1" applyBorder="1"/>
    <xf numFmtId="9" fontId="312" fillId="124" borderId="0" xfId="10830" applyFont="1" applyFill="1" applyBorder="1"/>
    <xf numFmtId="9" fontId="335" fillId="124" borderId="50" xfId="10830" applyFont="1" applyFill="1" applyBorder="1"/>
    <xf numFmtId="9" fontId="317" fillId="0" borderId="0" xfId="10830" applyFont="1" applyFill="1" applyBorder="1"/>
    <xf numFmtId="310" fontId="312" fillId="0" borderId="0" xfId="401" applyNumberFormat="1" applyFont="1" applyFill="1" applyBorder="1"/>
    <xf numFmtId="0" fontId="325" fillId="124" borderId="67" xfId="11316" applyFont="1" applyFill="1" applyBorder="1"/>
    <xf numFmtId="0" fontId="325" fillId="124" borderId="0" xfId="11316" applyFont="1" applyFill="1"/>
    <xf numFmtId="361" fontId="312" fillId="124" borderId="0" xfId="0" applyNumberFormat="1" applyFont="1" applyFill="1"/>
    <xf numFmtId="0" fontId="326" fillId="124" borderId="0" xfId="11316" applyFont="1" applyFill="1"/>
    <xf numFmtId="0" fontId="326" fillId="124" borderId="50" xfId="11316" applyFont="1" applyFill="1" applyBorder="1"/>
    <xf numFmtId="310" fontId="324" fillId="124" borderId="50" xfId="401" applyNumberFormat="1" applyFont="1" applyFill="1" applyBorder="1"/>
    <xf numFmtId="0" fontId="326" fillId="90" borderId="69" xfId="0" applyFont="1" applyFill="1" applyBorder="1"/>
    <xf numFmtId="0" fontId="326" fillId="90" borderId="67" xfId="0" applyFont="1" applyFill="1" applyBorder="1"/>
    <xf numFmtId="0" fontId="326" fillId="90" borderId="67" xfId="0" applyFont="1" applyFill="1" applyBorder="1" applyAlignment="1">
      <alignment horizontal="right"/>
    </xf>
    <xf numFmtId="358" fontId="326" fillId="90" borderId="67" xfId="0" applyNumberFormat="1" applyFont="1" applyFill="1" applyBorder="1" applyAlignment="1">
      <alignment horizontal="right"/>
    </xf>
    <xf numFmtId="358" fontId="326" fillId="90" borderId="68" xfId="0" applyNumberFormat="1" applyFont="1" applyFill="1" applyBorder="1" applyAlignment="1">
      <alignment horizontal="right"/>
    </xf>
    <xf numFmtId="0" fontId="312" fillId="124" borderId="69" xfId="0" applyFont="1" applyFill="1" applyBorder="1"/>
    <xf numFmtId="0" fontId="312" fillId="124" borderId="22" xfId="0" applyFont="1" applyFill="1" applyBorder="1"/>
    <xf numFmtId="310" fontId="312" fillId="124" borderId="0" xfId="401" applyNumberFormat="1" applyFont="1" applyFill="1" applyBorder="1"/>
    <xf numFmtId="310" fontId="312" fillId="124" borderId="0" xfId="401" applyNumberFormat="1" applyFont="1" applyFill="1" applyBorder="1" applyAlignment="1">
      <alignment horizontal="right"/>
    </xf>
    <xf numFmtId="310" fontId="312" fillId="124" borderId="0" xfId="0" applyNumberFormat="1" applyFont="1" applyFill="1"/>
    <xf numFmtId="0" fontId="312" fillId="124" borderId="72" xfId="0" applyFont="1" applyFill="1" applyBorder="1"/>
    <xf numFmtId="310" fontId="312" fillId="124" borderId="73" xfId="402" applyNumberFormat="1" applyFont="1" applyFill="1" applyBorder="1"/>
    <xf numFmtId="0" fontId="335" fillId="124" borderId="70" xfId="0" applyFont="1" applyFill="1" applyBorder="1"/>
    <xf numFmtId="0" fontId="335" fillId="124" borderId="50" xfId="0" applyFont="1" applyFill="1" applyBorder="1"/>
    <xf numFmtId="43" fontId="312" fillId="124" borderId="0" xfId="0" applyNumberFormat="1" applyFont="1" applyFill="1"/>
    <xf numFmtId="0" fontId="312" fillId="124" borderId="0" xfId="0" applyFont="1" applyFill="1"/>
    <xf numFmtId="0" fontId="312" fillId="124" borderId="67" xfId="0" applyFont="1" applyFill="1" applyBorder="1"/>
    <xf numFmtId="0" fontId="315" fillId="124" borderId="70" xfId="0" applyFont="1" applyFill="1" applyBorder="1"/>
    <xf numFmtId="0" fontId="323" fillId="124" borderId="50" xfId="0" applyFont="1" applyFill="1" applyBorder="1"/>
    <xf numFmtId="0" fontId="341" fillId="124" borderId="50" xfId="11316" applyFont="1" applyFill="1" applyBorder="1"/>
    <xf numFmtId="0" fontId="324" fillId="124" borderId="70" xfId="0" applyFont="1" applyFill="1" applyBorder="1"/>
    <xf numFmtId="0" fontId="312" fillId="124" borderId="50" xfId="0" applyFont="1" applyFill="1" applyBorder="1"/>
    <xf numFmtId="310" fontId="324" fillId="124" borderId="50" xfId="402" applyNumberFormat="1" applyFont="1" applyFill="1" applyBorder="1"/>
    <xf numFmtId="310" fontId="327" fillId="124" borderId="50" xfId="401" applyNumberFormat="1" applyFont="1" applyFill="1" applyBorder="1"/>
    <xf numFmtId="170" fontId="326" fillId="90" borderId="68" xfId="10830" applyNumberFormat="1" applyFont="1" applyFill="1" applyBorder="1"/>
    <xf numFmtId="171" fontId="312" fillId="124" borderId="23" xfId="0" applyNumberFormat="1" applyFont="1" applyFill="1" applyBorder="1"/>
    <xf numFmtId="170" fontId="312" fillId="124" borderId="23" xfId="0" applyNumberFormat="1" applyFont="1" applyFill="1" applyBorder="1"/>
    <xf numFmtId="0" fontId="312" fillId="124" borderId="70" xfId="0" applyFont="1" applyFill="1" applyBorder="1"/>
    <xf numFmtId="170" fontId="312" fillId="124" borderId="71" xfId="0" applyNumberFormat="1" applyFont="1" applyFill="1" applyBorder="1"/>
    <xf numFmtId="239" fontId="312" fillId="124" borderId="0" xfId="0" applyNumberFormat="1" applyFont="1" applyFill="1"/>
    <xf numFmtId="9" fontId="312" fillId="124" borderId="0" xfId="0" applyNumberFormat="1" applyFont="1" applyFill="1"/>
    <xf numFmtId="171" fontId="312" fillId="124" borderId="0" xfId="0" applyNumberFormat="1" applyFont="1" applyFill="1"/>
    <xf numFmtId="0" fontId="325" fillId="124" borderId="0" xfId="11316" applyFont="1" applyFill="1" applyAlignment="1">
      <alignment horizontal="left"/>
    </xf>
    <xf numFmtId="0" fontId="313" fillId="124" borderId="22" xfId="0" applyFont="1" applyFill="1" applyBorder="1" applyAlignment="1">
      <alignment horizontal="left" indent="1"/>
    </xf>
    <xf numFmtId="9" fontId="313" fillId="124" borderId="0" xfId="10830" applyFont="1" applyFill="1" applyBorder="1"/>
    <xf numFmtId="170" fontId="313" fillId="124" borderId="0" xfId="10830" applyNumberFormat="1" applyFont="1" applyFill="1" applyBorder="1"/>
    <xf numFmtId="0" fontId="334" fillId="0" borderId="0" xfId="11316" applyFont="1"/>
    <xf numFmtId="310" fontId="313" fillId="124" borderId="0" xfId="402" applyNumberFormat="1" applyFont="1" applyFill="1" applyBorder="1"/>
    <xf numFmtId="9" fontId="313" fillId="124" borderId="74" xfId="10830" applyFont="1" applyFill="1" applyBorder="1"/>
    <xf numFmtId="0" fontId="313" fillId="124" borderId="50" xfId="0" applyFont="1" applyFill="1" applyBorder="1"/>
    <xf numFmtId="9" fontId="313" fillId="124" borderId="50" xfId="10830" applyFont="1" applyFill="1" applyBorder="1"/>
    <xf numFmtId="0" fontId="313" fillId="124" borderId="70" xfId="0" applyFont="1" applyFill="1" applyBorder="1" applyAlignment="1">
      <alignment horizontal="left" indent="1"/>
    </xf>
    <xf numFmtId="169" fontId="325" fillId="0" borderId="0" xfId="401" applyNumberFormat="1" applyFont="1"/>
    <xf numFmtId="310" fontId="334" fillId="0" borderId="0" xfId="401" applyNumberFormat="1" applyFont="1" applyBorder="1"/>
    <xf numFmtId="9" fontId="334" fillId="0" borderId="0" xfId="10830" applyFont="1" applyBorder="1"/>
    <xf numFmtId="169" fontId="317" fillId="69" borderId="0" xfId="401" applyNumberFormat="1" applyFont="1" applyFill="1" applyBorder="1"/>
    <xf numFmtId="9" fontId="317" fillId="69" borderId="0" xfId="0" applyNumberFormat="1" applyFont="1" applyFill="1"/>
    <xf numFmtId="9" fontId="319" fillId="69" borderId="0" xfId="0" applyNumberFormat="1" applyFont="1" applyFill="1"/>
    <xf numFmtId="0" fontId="324" fillId="0" borderId="0" xfId="0" applyFont="1"/>
    <xf numFmtId="9" fontId="312" fillId="0" borderId="0" xfId="0" applyNumberFormat="1" applyFont="1"/>
    <xf numFmtId="43" fontId="312" fillId="0" borderId="0" xfId="0" applyNumberFormat="1" applyFont="1"/>
    <xf numFmtId="310" fontId="312" fillId="0" borderId="0" xfId="0" applyNumberFormat="1" applyFont="1"/>
    <xf numFmtId="310" fontId="312" fillId="0" borderId="0" xfId="10830" applyNumberFormat="1" applyFont="1" applyBorder="1"/>
    <xf numFmtId="43" fontId="312" fillId="0" borderId="0" xfId="401" applyFont="1" applyBorder="1"/>
    <xf numFmtId="170" fontId="312" fillId="0" borderId="0" xfId="0" applyNumberFormat="1" applyFont="1"/>
    <xf numFmtId="43" fontId="312" fillId="0" borderId="0" xfId="401" applyFont="1" applyFill="1" applyBorder="1"/>
    <xf numFmtId="0" fontId="312" fillId="0" borderId="0" xfId="0" applyFont="1" applyAlignment="1">
      <alignment horizontal="right"/>
    </xf>
    <xf numFmtId="0" fontId="312" fillId="69" borderId="0" xfId="0" applyFont="1" applyFill="1" applyAlignment="1">
      <alignment horizontal="right"/>
    </xf>
    <xf numFmtId="0" fontId="313" fillId="0" borderId="0" xfId="0" applyFont="1"/>
    <xf numFmtId="0" fontId="314" fillId="90" borderId="0" xfId="0" applyFont="1" applyFill="1"/>
    <xf numFmtId="0" fontId="315" fillId="0" borderId="0" xfId="0" applyFont="1"/>
    <xf numFmtId="310" fontId="315" fillId="0" borderId="0" xfId="401" applyNumberFormat="1" applyFont="1" applyBorder="1"/>
    <xf numFmtId="310" fontId="315" fillId="0" borderId="0" xfId="0" applyNumberFormat="1" applyFont="1"/>
    <xf numFmtId="0" fontId="312" fillId="0" borderId="0" xfId="0" applyFont="1" applyAlignment="1">
      <alignment horizontal="left"/>
    </xf>
    <xf numFmtId="9" fontId="346" fillId="0" borderId="0" xfId="10830" applyFont="1" applyBorder="1"/>
    <xf numFmtId="0" fontId="346" fillId="0" borderId="0" xfId="0" applyFont="1"/>
    <xf numFmtId="9" fontId="313" fillId="0" borderId="0" xfId="0" applyNumberFormat="1" applyFont="1"/>
    <xf numFmtId="9" fontId="313" fillId="0" borderId="0" xfId="10830" applyFont="1" applyBorder="1"/>
    <xf numFmtId="310" fontId="313" fillId="0" borderId="0" xfId="0" applyNumberFormat="1" applyFont="1"/>
    <xf numFmtId="43" fontId="313" fillId="0" borderId="0" xfId="401" applyFont="1" applyBorder="1"/>
    <xf numFmtId="310" fontId="313" fillId="0" borderId="0" xfId="401" applyNumberFormat="1" applyFont="1" applyBorder="1"/>
    <xf numFmtId="0" fontId="334" fillId="0" borderId="0" xfId="0" applyFont="1"/>
    <xf numFmtId="245" fontId="315" fillId="0" borderId="0" xfId="10830" applyNumberFormat="1" applyFont="1" applyBorder="1"/>
    <xf numFmtId="9" fontId="315" fillId="125" borderId="0" xfId="10830" applyFont="1" applyFill="1" applyBorder="1"/>
    <xf numFmtId="9" fontId="344" fillId="69" borderId="0" xfId="10830" applyFont="1" applyFill="1" applyBorder="1"/>
    <xf numFmtId="9" fontId="317" fillId="69" borderId="0" xfId="10830" applyFont="1" applyFill="1" applyBorder="1"/>
    <xf numFmtId="9" fontId="312" fillId="127" borderId="0" xfId="10830" applyFont="1" applyFill="1" applyBorder="1"/>
    <xf numFmtId="170" fontId="315" fillId="0" borderId="0" xfId="10830" applyNumberFormat="1" applyFont="1" applyFill="1" applyBorder="1"/>
    <xf numFmtId="170" fontId="315" fillId="127" borderId="0" xfId="10830" applyNumberFormat="1" applyFont="1" applyFill="1" applyBorder="1"/>
    <xf numFmtId="170" fontId="318" fillId="122" borderId="0" xfId="10830" applyNumberFormat="1" applyFont="1" applyFill="1" applyBorder="1"/>
    <xf numFmtId="170" fontId="317" fillId="69" borderId="0" xfId="10830" applyNumberFormat="1" applyFont="1" applyFill="1" applyBorder="1"/>
    <xf numFmtId="170" fontId="318" fillId="0" borderId="0" xfId="10830" applyNumberFormat="1" applyFont="1" applyFill="1" applyBorder="1"/>
    <xf numFmtId="0" fontId="338" fillId="0" borderId="0" xfId="0" applyFont="1"/>
    <xf numFmtId="43" fontId="334" fillId="0" borderId="0" xfId="0" applyNumberFormat="1" applyFont="1"/>
    <xf numFmtId="169" fontId="334" fillId="0" borderId="0" xfId="401" applyNumberFormat="1" applyFont="1" applyBorder="1"/>
    <xf numFmtId="169" fontId="334" fillId="0" borderId="0" xfId="0" applyNumberFormat="1" applyFont="1"/>
    <xf numFmtId="169" fontId="316" fillId="0" borderId="0" xfId="401" applyNumberFormat="1" applyFont="1" applyFill="1" applyBorder="1"/>
    <xf numFmtId="169" fontId="317" fillId="0" borderId="0" xfId="401" applyNumberFormat="1" applyFont="1" applyFill="1" applyBorder="1"/>
    <xf numFmtId="0" fontId="314" fillId="126" borderId="0" xfId="0" applyFont="1" applyFill="1"/>
    <xf numFmtId="0" fontId="335" fillId="0" borderId="0" xfId="0" applyFont="1"/>
    <xf numFmtId="0" fontId="323" fillId="0" borderId="0" xfId="0" applyFont="1"/>
    <xf numFmtId="9" fontId="335" fillId="0" borderId="0" xfId="10830" applyFont="1" applyBorder="1"/>
    <xf numFmtId="0" fontId="337" fillId="0" borderId="0" xfId="0" applyFont="1"/>
    <xf numFmtId="0" fontId="315" fillId="0" borderId="0" xfId="0" applyFont="1" applyAlignment="1">
      <alignment horizontal="left"/>
    </xf>
    <xf numFmtId="310" fontId="315" fillId="0" borderId="0" xfId="401" applyNumberFormat="1" applyFont="1" applyFill="1" applyBorder="1"/>
    <xf numFmtId="169" fontId="312" fillId="0" borderId="0" xfId="401" applyNumberFormat="1" applyFont="1" applyFill="1" applyBorder="1"/>
    <xf numFmtId="169" fontId="344" fillId="69" borderId="0" xfId="10830" applyNumberFormat="1" applyFont="1" applyFill="1" applyBorder="1"/>
    <xf numFmtId="310" fontId="344" fillId="69" borderId="0" xfId="10830" applyNumberFormat="1" applyFont="1" applyFill="1" applyBorder="1"/>
    <xf numFmtId="9" fontId="318" fillId="0" borderId="0" xfId="10830" applyFont="1" applyFill="1" applyBorder="1"/>
    <xf numFmtId="9" fontId="318" fillId="122" borderId="0" xfId="0" applyNumberFormat="1" applyFont="1" applyFill="1"/>
    <xf numFmtId="9" fontId="317" fillId="0" borderId="0" xfId="0" applyNumberFormat="1" applyFont="1"/>
    <xf numFmtId="310" fontId="317" fillId="0" borderId="0" xfId="401" applyNumberFormat="1" applyFont="1" applyFill="1" applyBorder="1"/>
    <xf numFmtId="310" fontId="315" fillId="0" borderId="0" xfId="10830" applyNumberFormat="1" applyFont="1" applyFill="1" applyBorder="1"/>
    <xf numFmtId="310" fontId="318" fillId="0" borderId="0" xfId="401" applyNumberFormat="1" applyFont="1" applyFill="1" applyBorder="1"/>
    <xf numFmtId="0" fontId="339" fillId="0" borderId="0" xfId="0" applyFont="1"/>
    <xf numFmtId="9" fontId="336" fillId="122" borderId="0" xfId="0" applyNumberFormat="1" applyFont="1" applyFill="1"/>
    <xf numFmtId="9" fontId="335" fillId="0" borderId="0" xfId="0" applyNumberFormat="1" applyFont="1"/>
    <xf numFmtId="310" fontId="322" fillId="0" borderId="0" xfId="0" applyNumberFormat="1" applyFont="1"/>
    <xf numFmtId="169" fontId="318" fillId="122" borderId="0" xfId="10830" applyNumberFormat="1" applyFont="1" applyFill="1" applyBorder="1"/>
    <xf numFmtId="169" fontId="312" fillId="0" borderId="0" xfId="10830" applyNumberFormat="1" applyFont="1" applyBorder="1"/>
    <xf numFmtId="9" fontId="343" fillId="0" borderId="0" xfId="0" applyNumberFormat="1" applyFont="1"/>
    <xf numFmtId="43" fontId="336" fillId="122" borderId="0" xfId="401" applyFont="1" applyFill="1" applyBorder="1"/>
    <xf numFmtId="0" fontId="347" fillId="0" borderId="0" xfId="0" applyFont="1"/>
    <xf numFmtId="310" fontId="347" fillId="0" borderId="0" xfId="401" applyNumberFormat="1" applyFont="1" applyFill="1" applyBorder="1"/>
    <xf numFmtId="169" fontId="315" fillId="0" borderId="0" xfId="0" applyNumberFormat="1" applyFont="1"/>
    <xf numFmtId="310" fontId="320" fillId="0" borderId="0" xfId="0" applyNumberFormat="1" applyFont="1"/>
    <xf numFmtId="310" fontId="346" fillId="0" borderId="0" xfId="10830" applyNumberFormat="1" applyFont="1" applyFill="1" applyBorder="1"/>
    <xf numFmtId="310" fontId="346" fillId="0" borderId="0" xfId="401" applyNumberFormat="1" applyFont="1" applyFill="1" applyBorder="1"/>
    <xf numFmtId="9" fontId="346" fillId="0" borderId="0" xfId="10830" applyFont="1" applyFill="1" applyBorder="1"/>
    <xf numFmtId="310" fontId="318" fillId="122" borderId="0" xfId="11317" applyNumberFormat="1" applyFont="1" applyFill="1" applyBorder="1"/>
    <xf numFmtId="43" fontId="325" fillId="0" borderId="0" xfId="401" applyFont="1"/>
    <xf numFmtId="169" fontId="325" fillId="0" borderId="0" xfId="401" applyNumberFormat="1" applyFont="1" applyFill="1" applyBorder="1"/>
    <xf numFmtId="310" fontId="328" fillId="0" borderId="0" xfId="401" applyNumberFormat="1" applyFont="1" applyFill="1" applyBorder="1"/>
    <xf numFmtId="339" fontId="325" fillId="0" borderId="0" xfId="10830" applyNumberFormat="1" applyFont="1" applyFill="1" applyBorder="1"/>
    <xf numFmtId="169" fontId="328" fillId="0" borderId="0" xfId="401" applyNumberFormat="1" applyFont="1" applyFill="1" applyBorder="1"/>
    <xf numFmtId="169" fontId="328" fillId="0" borderId="0" xfId="11316" applyNumberFormat="1" applyFont="1"/>
    <xf numFmtId="169" fontId="318" fillId="0" borderId="0" xfId="401" applyNumberFormat="1" applyFont="1" applyFill="1" applyBorder="1"/>
    <xf numFmtId="169" fontId="325" fillId="0" borderId="0" xfId="402" applyNumberFormat="1" applyFont="1" applyFill="1" applyBorder="1"/>
    <xf numFmtId="310" fontId="325" fillId="0" borderId="0" xfId="401" applyNumberFormat="1" applyFont="1"/>
    <xf numFmtId="310" fontId="315" fillId="124" borderId="50" xfId="401" applyNumberFormat="1" applyFont="1" applyFill="1" applyBorder="1"/>
    <xf numFmtId="43" fontId="312" fillId="124" borderId="0" xfId="401" applyFont="1" applyFill="1" applyBorder="1"/>
    <xf numFmtId="310" fontId="304" fillId="69" borderId="0" xfId="401" applyNumberFormat="1" applyFont="1" applyFill="1" applyBorder="1"/>
    <xf numFmtId="170" fontId="325" fillId="125" borderId="0" xfId="11318" applyNumberFormat="1" applyFont="1" applyFill="1" applyBorder="1"/>
    <xf numFmtId="310" fontId="344" fillId="69" borderId="0" xfId="11317" applyNumberFormat="1" applyFont="1" applyFill="1" applyBorder="1"/>
    <xf numFmtId="43" fontId="312" fillId="124" borderId="50" xfId="401" applyFont="1" applyFill="1" applyBorder="1"/>
    <xf numFmtId="310" fontId="312" fillId="124" borderId="50" xfId="401" applyNumberFormat="1" applyFont="1" applyFill="1" applyBorder="1"/>
    <xf numFmtId="9" fontId="335" fillId="0" borderId="0" xfId="10830" applyFont="1" applyFill="1" applyBorder="1"/>
    <xf numFmtId="169" fontId="322" fillId="0" borderId="0" xfId="401" applyNumberFormat="1" applyFont="1" applyFill="1" applyBorder="1"/>
    <xf numFmtId="169" fontId="321" fillId="0" borderId="0" xfId="401" applyNumberFormat="1" applyFont="1" applyFill="1" applyBorder="1"/>
    <xf numFmtId="169" fontId="315" fillId="0" borderId="0" xfId="401" applyNumberFormat="1" applyFont="1" applyFill="1" applyBorder="1"/>
    <xf numFmtId="9" fontId="316" fillId="0" borderId="0" xfId="10830" applyFont="1" applyFill="1" applyBorder="1"/>
    <xf numFmtId="0" fontId="314" fillId="129" borderId="0" xfId="0" applyFont="1" applyFill="1"/>
    <xf numFmtId="0" fontId="326" fillId="129" borderId="0" xfId="0" applyFont="1" applyFill="1"/>
    <xf numFmtId="310" fontId="344" fillId="69" borderId="0" xfId="401" applyNumberFormat="1" applyFont="1" applyFill="1" applyBorder="1"/>
    <xf numFmtId="9" fontId="312" fillId="125" borderId="0" xfId="0" applyNumberFormat="1" applyFont="1" applyFill="1"/>
    <xf numFmtId="170" fontId="325" fillId="0" borderId="0" xfId="10830" applyNumberFormat="1" applyFont="1"/>
    <xf numFmtId="0" fontId="314" fillId="129" borderId="0" xfId="0" applyFont="1" applyFill="1" applyAlignment="1">
      <alignment horizontal="right"/>
    </xf>
    <xf numFmtId="169" fontId="348" fillId="0" borderId="0" xfId="401" applyNumberFormat="1" applyFont="1" applyFill="1" applyBorder="1"/>
    <xf numFmtId="169" fontId="319" fillId="0" borderId="0" xfId="401" applyNumberFormat="1" applyFont="1" applyFill="1" applyBorder="1"/>
    <xf numFmtId="169" fontId="335" fillId="0" borderId="0" xfId="401" applyNumberFormat="1" applyFont="1" applyFill="1" applyBorder="1"/>
    <xf numFmtId="310" fontId="273" fillId="0" borderId="0" xfId="401" applyNumberFormat="1" applyFont="1" applyBorder="1"/>
    <xf numFmtId="169" fontId="325" fillId="0" borderId="0" xfId="11317" applyNumberFormat="1" applyFont="1" applyBorder="1"/>
    <xf numFmtId="1" fontId="316" fillId="0" borderId="0" xfId="11316" applyNumberFormat="1" applyFont="1"/>
    <xf numFmtId="310" fontId="322" fillId="0" borderId="0" xfId="401" applyNumberFormat="1" applyFont="1" applyFill="1" applyBorder="1"/>
    <xf numFmtId="310" fontId="349" fillId="0" borderId="0" xfId="401" applyNumberFormat="1" applyFont="1" applyFill="1" applyBorder="1"/>
    <xf numFmtId="310" fontId="316" fillId="0" borderId="0" xfId="11316" applyNumberFormat="1" applyFont="1"/>
    <xf numFmtId="310" fontId="314" fillId="126" borderId="0" xfId="401" applyNumberFormat="1" applyFont="1" applyFill="1"/>
    <xf numFmtId="310" fontId="314" fillId="90" borderId="0" xfId="401" applyNumberFormat="1" applyFont="1" applyFill="1"/>
    <xf numFmtId="0" fontId="269" fillId="89" borderId="0" xfId="10829" quotePrefix="1" applyFont="1" applyFill="1" applyAlignment="1">
      <alignment horizontal="left" vertical="center"/>
    </xf>
    <xf numFmtId="0" fontId="350" fillId="0" borderId="0" xfId="0" applyFont="1" applyFill="1" applyBorder="1"/>
    <xf numFmtId="0" fontId="350" fillId="0" borderId="0" xfId="0" quotePrefix="1" applyFont="1" applyFill="1" applyBorder="1"/>
    <xf numFmtId="0" fontId="350" fillId="0" borderId="0" xfId="0" applyFont="1" applyFill="1" applyBorder="1" applyAlignment="1">
      <alignment vertical="center"/>
    </xf>
    <xf numFmtId="0" fontId="351" fillId="0" borderId="0" xfId="0" applyFont="1" applyFill="1" applyBorder="1"/>
    <xf numFmtId="0" fontId="352" fillId="0" borderId="0" xfId="0" applyFont="1" applyFill="1" applyBorder="1"/>
    <xf numFmtId="0" fontId="300" fillId="0" borderId="0" xfId="0" applyFont="1" applyFill="1" applyBorder="1"/>
    <xf numFmtId="310" fontId="350" fillId="0" borderId="0" xfId="401" applyNumberFormat="1" applyFont="1" applyFill="1" applyBorder="1"/>
    <xf numFmtId="310" fontId="350" fillId="0" borderId="0" xfId="0" applyNumberFormat="1" applyFont="1" applyFill="1" applyBorder="1"/>
    <xf numFmtId="49" fontId="350" fillId="0" borderId="0" xfId="0" applyNumberFormat="1" applyFont="1" applyFill="1" applyBorder="1" applyAlignment="1">
      <alignment vertical="top"/>
    </xf>
    <xf numFmtId="186" fontId="350" fillId="0" borderId="0" xfId="0" applyNumberFormat="1" applyFont="1" applyFill="1" applyBorder="1" applyAlignment="1">
      <alignment vertical="top"/>
    </xf>
    <xf numFmtId="363" fontId="351" fillId="0" borderId="0" xfId="0" applyNumberFormat="1" applyFont="1" applyFill="1" applyBorder="1"/>
    <xf numFmtId="43" fontId="350" fillId="0" borderId="0" xfId="0" quotePrefix="1" applyNumberFormat="1" applyFont="1" applyFill="1" applyBorder="1"/>
    <xf numFmtId="43" fontId="350" fillId="0" borderId="0" xfId="401" applyFont="1" applyFill="1" applyBorder="1"/>
    <xf numFmtId="43" fontId="351" fillId="0" borderId="0" xfId="401" applyFont="1" applyFill="1" applyBorder="1"/>
    <xf numFmtId="4" fontId="350" fillId="0" borderId="0" xfId="0" applyNumberFormat="1" applyFont="1" applyFill="1" applyBorder="1"/>
    <xf numFmtId="353" fontId="350" fillId="0" borderId="0" xfId="0" applyNumberFormat="1" applyFont="1" applyFill="1" applyBorder="1"/>
    <xf numFmtId="360" fontId="350" fillId="0" borderId="0" xfId="0" applyNumberFormat="1" applyFont="1" applyFill="1" applyBorder="1" applyAlignment="1">
      <alignment vertical="top"/>
    </xf>
    <xf numFmtId="4" fontId="350" fillId="0" borderId="0" xfId="0" applyNumberFormat="1" applyFont="1" applyFill="1" applyBorder="1" applyAlignment="1">
      <alignment wrapText="1"/>
    </xf>
    <xf numFmtId="4" fontId="350" fillId="0" borderId="0" xfId="0" quotePrefix="1" applyNumberFormat="1" applyFont="1" applyFill="1" applyBorder="1"/>
    <xf numFmtId="364" fontId="351" fillId="0" borderId="0" xfId="0" applyNumberFormat="1" applyFont="1" applyFill="1" applyBorder="1"/>
    <xf numFmtId="0" fontId="353" fillId="0" borderId="0" xfId="0" applyFont="1" applyFill="1" applyBorder="1"/>
    <xf numFmtId="0" fontId="331" fillId="0" borderId="0" xfId="11316" applyFont="1" applyFill="1" applyBorder="1"/>
    <xf numFmtId="0" fontId="330" fillId="0" borderId="0" xfId="0" applyFont="1" applyFill="1" applyBorder="1"/>
    <xf numFmtId="355" fontId="350" fillId="0" borderId="0" xfId="401" applyNumberFormat="1" applyFont="1" applyFill="1" applyBorder="1"/>
    <xf numFmtId="43" fontId="350" fillId="0" borderId="0" xfId="0" applyNumberFormat="1" applyFont="1" applyFill="1" applyBorder="1"/>
    <xf numFmtId="9" fontId="350" fillId="0" borderId="0" xfId="10830" applyFont="1" applyFill="1" applyBorder="1"/>
    <xf numFmtId="14" fontId="351" fillId="0" borderId="0" xfId="0" applyNumberFormat="1" applyFont="1" applyFill="1" applyBorder="1"/>
    <xf numFmtId="4" fontId="300" fillId="0" borderId="0" xfId="0" applyNumberFormat="1" applyFont="1" applyFill="1" applyBorder="1"/>
    <xf numFmtId="198" fontId="331" fillId="0" borderId="0" xfId="11316" applyNumberFormat="1" applyFont="1" applyFill="1" applyBorder="1"/>
    <xf numFmtId="3" fontId="331" fillId="0" borderId="0" xfId="11316" applyNumberFormat="1" applyFont="1" applyFill="1" applyBorder="1"/>
    <xf numFmtId="4" fontId="331" fillId="0" borderId="0" xfId="11316" applyNumberFormat="1" applyFont="1" applyFill="1" applyBorder="1"/>
    <xf numFmtId="4" fontId="353" fillId="0" borderId="0" xfId="0" applyNumberFormat="1" applyFont="1" applyFill="1" applyBorder="1"/>
    <xf numFmtId="354" fontId="350" fillId="0" borderId="0" xfId="0" applyNumberFormat="1" applyFont="1" applyFill="1" applyBorder="1"/>
    <xf numFmtId="357" fontId="331" fillId="0" borderId="0" xfId="11316" applyNumberFormat="1" applyFont="1" applyFill="1" applyBorder="1"/>
    <xf numFmtId="353" fontId="350" fillId="0" borderId="0" xfId="0" applyNumberFormat="1" applyFont="1" applyFill="1" applyBorder="1" applyAlignment="1">
      <alignment horizontal="right"/>
    </xf>
    <xf numFmtId="4" fontId="331" fillId="0" borderId="0" xfId="11316" applyNumberFormat="1" applyFont="1" applyFill="1" applyBorder="1" applyAlignment="1">
      <alignment horizontal="right"/>
    </xf>
    <xf numFmtId="43" fontId="331" fillId="0" borderId="0" xfId="11316" applyNumberFormat="1" applyFont="1" applyFill="1" applyBorder="1"/>
    <xf numFmtId="9" fontId="331" fillId="0" borderId="0" xfId="10830" applyFont="1" applyFill="1" applyBorder="1"/>
    <xf numFmtId="0" fontId="354" fillId="0" borderId="0" xfId="11352" applyFont="1" applyFill="1" applyBorder="1" applyAlignment="1">
      <alignment horizontal="right"/>
    </xf>
    <xf numFmtId="362" fontId="354" fillId="0" borderId="0" xfId="11352" quotePrefix="1" applyNumberFormat="1" applyFont="1" applyFill="1" applyBorder="1" applyAlignment="1">
      <alignment horizontal="right"/>
    </xf>
    <xf numFmtId="186" fontId="331" fillId="0" borderId="0" xfId="11316" applyNumberFormat="1" applyFont="1" applyFill="1" applyBorder="1"/>
    <xf numFmtId="310" fontId="331" fillId="0" borderId="0" xfId="401" applyNumberFormat="1" applyFont="1" applyFill="1" applyBorder="1"/>
    <xf numFmtId="0" fontId="331" fillId="0" borderId="0" xfId="11316" applyFont="1" applyFill="1" applyBorder="1" applyAlignment="1">
      <alignment horizontal="right"/>
    </xf>
    <xf numFmtId="0" fontId="355" fillId="0" borderId="0" xfId="11316" applyFont="1" applyFill="1" applyBorder="1"/>
    <xf numFmtId="310" fontId="355" fillId="0" borderId="0" xfId="401" applyNumberFormat="1" applyFont="1" applyFill="1" applyBorder="1"/>
    <xf numFmtId="310" fontId="331" fillId="0" borderId="0" xfId="11316" applyNumberFormat="1" applyFont="1" applyFill="1" applyBorder="1"/>
    <xf numFmtId="9" fontId="355" fillId="0" borderId="0" xfId="10830" applyFont="1" applyFill="1" applyBorder="1"/>
    <xf numFmtId="169" fontId="331" fillId="0" borderId="0" xfId="401" applyNumberFormat="1" applyFont="1" applyFill="1" applyBorder="1"/>
    <xf numFmtId="170" fontId="331" fillId="0" borderId="0" xfId="10830" applyNumberFormat="1" applyFont="1" applyFill="1" applyBorder="1"/>
    <xf numFmtId="49" fontId="356" fillId="0" borderId="0" xfId="6959" applyNumberFormat="1" applyFont="1" applyFill="1" applyBorder="1" applyAlignment="1">
      <alignment vertical="top"/>
    </xf>
    <xf numFmtId="0" fontId="356" fillId="0" borderId="0" xfId="6959" applyFont="1" applyFill="1" applyBorder="1">
      <alignment vertical="center"/>
    </xf>
    <xf numFmtId="186" fontId="356" fillId="0" borderId="0" xfId="6959" applyNumberFormat="1" applyFont="1" applyFill="1" applyBorder="1" applyAlignment="1">
      <alignment vertical="top"/>
    </xf>
    <xf numFmtId="170" fontId="326" fillId="0" borderId="0" xfId="10830" applyNumberFormat="1" applyFont="1" applyFill="1" applyBorder="1"/>
    <xf numFmtId="0" fontId="326" fillId="0" borderId="0" xfId="0" applyFont="1" applyFill="1" applyBorder="1"/>
    <xf numFmtId="171" fontId="326" fillId="0" borderId="0" xfId="0" applyNumberFormat="1" applyFont="1" applyFill="1" applyBorder="1"/>
    <xf numFmtId="0" fontId="326" fillId="0" borderId="0" xfId="11316" applyFont="1" applyFill="1" applyBorder="1"/>
    <xf numFmtId="169" fontId="326" fillId="0" borderId="0" xfId="401" applyNumberFormat="1" applyFont="1" applyFill="1" applyBorder="1"/>
    <xf numFmtId="43" fontId="326" fillId="0" borderId="0" xfId="11316" applyNumberFormat="1" applyFont="1" applyFill="1" applyBorder="1"/>
    <xf numFmtId="310" fontId="326" fillId="0" borderId="0" xfId="11316" applyNumberFormat="1" applyFont="1" applyFill="1" applyBorder="1"/>
    <xf numFmtId="1" fontId="326" fillId="0" borderId="0" xfId="401" applyNumberFormat="1" applyFont="1" applyFill="1" applyBorder="1" applyAlignment="1">
      <alignment horizontal="center"/>
    </xf>
    <xf numFmtId="9" fontId="326" fillId="0" borderId="0" xfId="10830" applyFont="1" applyFill="1" applyBorder="1" applyAlignment="1">
      <alignment horizontal="center"/>
    </xf>
    <xf numFmtId="43" fontId="326" fillId="0" borderId="0" xfId="401" applyFont="1" applyFill="1" applyBorder="1" applyAlignment="1">
      <alignment horizontal="right"/>
    </xf>
    <xf numFmtId="9" fontId="326" fillId="0" borderId="0" xfId="10830" applyFont="1" applyFill="1" applyBorder="1" applyAlignment="1">
      <alignment horizontal="right"/>
    </xf>
    <xf numFmtId="43" fontId="326" fillId="0" borderId="0" xfId="401" applyFont="1" applyFill="1" applyBorder="1" applyAlignment="1">
      <alignment horizontal="center"/>
    </xf>
    <xf numFmtId="9" fontId="326" fillId="0" borderId="0" xfId="10830" applyFont="1" applyFill="1" applyBorder="1"/>
    <xf numFmtId="2" fontId="314" fillId="0" borderId="0" xfId="401" applyNumberFormat="1" applyFont="1" applyFill="1" applyBorder="1" applyAlignment="1">
      <alignment horizontal="center"/>
    </xf>
    <xf numFmtId="169" fontId="326" fillId="0" borderId="0" xfId="401" applyNumberFormat="1" applyFont="1" applyFill="1" applyBorder="1" applyAlignment="1">
      <alignment horizontal="right"/>
    </xf>
    <xf numFmtId="310" fontId="326" fillId="0" borderId="0" xfId="402" applyNumberFormat="1" applyFont="1" applyFill="1" applyBorder="1"/>
    <xf numFmtId="310" fontId="326" fillId="0" borderId="0" xfId="402" applyNumberFormat="1" applyFont="1" applyFill="1" applyBorder="1" applyAlignment="1">
      <alignment horizontal="right" vertical="top" wrapText="1"/>
    </xf>
    <xf numFmtId="9" fontId="326" fillId="0" borderId="0" xfId="10830" applyFont="1" applyFill="1" applyBorder="1" applyAlignment="1">
      <alignment horizontal="right" vertical="top" wrapText="1"/>
    </xf>
    <xf numFmtId="170" fontId="326" fillId="0" borderId="0" xfId="10830" applyNumberFormat="1" applyFont="1" applyFill="1" applyBorder="1" applyAlignment="1">
      <alignment horizontal="right" vertical="top" wrapText="1"/>
    </xf>
    <xf numFmtId="9" fontId="345" fillId="0" borderId="0" xfId="10830" applyFont="1" applyFill="1" applyBorder="1"/>
    <xf numFmtId="310" fontId="345" fillId="0" borderId="0" xfId="402" applyNumberFormat="1" applyFont="1" applyFill="1" applyBorder="1"/>
    <xf numFmtId="310" fontId="357" fillId="0" borderId="0" xfId="402" applyNumberFormat="1" applyFont="1" applyFill="1" applyBorder="1"/>
    <xf numFmtId="43" fontId="326" fillId="0" borderId="0" xfId="402" applyFont="1" applyFill="1" applyBorder="1"/>
    <xf numFmtId="310" fontId="314" fillId="0" borderId="0" xfId="402" applyNumberFormat="1" applyFont="1" applyFill="1" applyBorder="1"/>
    <xf numFmtId="310" fontId="342" fillId="0" borderId="0" xfId="402" applyNumberFormat="1" applyFont="1" applyFill="1" applyBorder="1"/>
    <xf numFmtId="310" fontId="329" fillId="0" borderId="0" xfId="402" applyNumberFormat="1" applyFont="1" applyFill="1" applyBorder="1"/>
    <xf numFmtId="359" fontId="314" fillId="0" borderId="0" xfId="402" applyNumberFormat="1" applyFont="1" applyFill="1" applyBorder="1"/>
    <xf numFmtId="169" fontId="326" fillId="0" borderId="0" xfId="402" applyNumberFormat="1" applyFont="1" applyFill="1" applyBorder="1"/>
    <xf numFmtId="170" fontId="326" fillId="0" borderId="0" xfId="402" applyNumberFormat="1" applyFont="1" applyFill="1" applyBorder="1"/>
    <xf numFmtId="171" fontId="326" fillId="0" borderId="0" xfId="402" applyNumberFormat="1" applyFont="1" applyFill="1" applyBorder="1"/>
    <xf numFmtId="0" fontId="326" fillId="0" borderId="0" xfId="11316" applyFont="1" applyFill="1" applyBorder="1" applyAlignment="1">
      <alignment horizontal="left"/>
    </xf>
    <xf numFmtId="0" fontId="326" fillId="0" borderId="0" xfId="11316" applyFont="1" applyFill="1" applyBorder="1" applyAlignment="1">
      <alignment horizontal="center"/>
    </xf>
    <xf numFmtId="0" fontId="314" fillId="0" borderId="0" xfId="11316" applyFont="1" applyFill="1" applyBorder="1" applyAlignment="1">
      <alignment horizontal="center"/>
    </xf>
    <xf numFmtId="10" fontId="326" fillId="0" borderId="0" xfId="0" applyNumberFormat="1" applyFont="1" applyFill="1" applyBorder="1"/>
    <xf numFmtId="0" fontId="314" fillId="0" borderId="0" xfId="11316" applyFont="1" applyFill="1" applyBorder="1"/>
    <xf numFmtId="0" fontId="326" fillId="0" borderId="0" xfId="11316" applyFont="1" applyFill="1" applyBorder="1" applyAlignment="1">
      <alignment horizontal="right"/>
    </xf>
    <xf numFmtId="43" fontId="326" fillId="0" borderId="0" xfId="11316" applyNumberFormat="1" applyFont="1" applyFill="1" applyBorder="1" applyAlignment="1">
      <alignment horizontal="right"/>
    </xf>
    <xf numFmtId="310" fontId="326" fillId="0" borderId="0" xfId="401" applyNumberFormat="1" applyFont="1" applyFill="1" applyBorder="1"/>
    <xf numFmtId="310" fontId="326" fillId="0" borderId="0" xfId="11316" applyNumberFormat="1" applyFont="1" applyFill="1" applyBorder="1" applyAlignment="1">
      <alignment horizontal="right"/>
    </xf>
    <xf numFmtId="43" fontId="326" fillId="0" borderId="0" xfId="401" applyFont="1" applyFill="1" applyBorder="1"/>
    <xf numFmtId="310" fontId="326" fillId="0" borderId="0" xfId="0" applyNumberFormat="1" applyFont="1" applyFill="1" applyBorder="1"/>
    <xf numFmtId="171" fontId="314" fillId="0" borderId="0" xfId="401" applyNumberFormat="1" applyFont="1" applyFill="1" applyBorder="1" applyAlignment="1">
      <alignment horizontal="center"/>
    </xf>
    <xf numFmtId="9" fontId="326" fillId="0" borderId="0" xfId="0" applyNumberFormat="1" applyFont="1" applyFill="1" applyBorder="1"/>
    <xf numFmtId="171" fontId="314" fillId="0" borderId="0" xfId="11316" applyNumberFormat="1" applyFont="1" applyFill="1" applyBorder="1" applyAlignment="1">
      <alignment horizontal="center"/>
    </xf>
    <xf numFmtId="9" fontId="326" fillId="0" borderId="0" xfId="11316" applyNumberFormat="1" applyFont="1" applyFill="1" applyBorder="1"/>
    <xf numFmtId="0" fontId="314" fillId="0" borderId="0" xfId="11316" applyFont="1" applyFill="1" applyBorder="1" applyAlignment="1">
      <alignment horizontal="right"/>
    </xf>
    <xf numFmtId="0" fontId="345" fillId="0" borderId="0" xfId="11316" applyFont="1" applyFill="1" applyBorder="1"/>
    <xf numFmtId="0" fontId="345" fillId="0" borderId="0" xfId="11316" applyFont="1" applyFill="1" applyBorder="1" applyAlignment="1">
      <alignment horizontal="center"/>
    </xf>
    <xf numFmtId="9" fontId="314" fillId="0" borderId="0" xfId="10830" applyFont="1" applyFill="1" applyBorder="1" applyAlignment="1">
      <alignment horizontal="left"/>
    </xf>
    <xf numFmtId="169" fontId="326" fillId="0" borderId="0" xfId="11316" applyNumberFormat="1" applyFont="1" applyFill="1" applyBorder="1"/>
    <xf numFmtId="0" fontId="314" fillId="0" borderId="0" xfId="11316" applyFont="1" applyFill="1" applyBorder="1" applyAlignment="1">
      <alignment horizontal="left"/>
    </xf>
    <xf numFmtId="0" fontId="314" fillId="0" borderId="0" xfId="11321" applyFont="1" applyFill="1" applyBorder="1"/>
    <xf numFmtId="14" fontId="326" fillId="0" borderId="0" xfId="11316" applyNumberFormat="1" applyFont="1" applyFill="1" applyBorder="1"/>
    <xf numFmtId="0" fontId="326" fillId="0" borderId="0" xfId="11321" applyFont="1" applyFill="1" applyBorder="1"/>
    <xf numFmtId="0" fontId="326" fillId="0" borderId="0" xfId="11321" applyFont="1" applyFill="1" applyBorder="1" applyAlignment="1">
      <alignment horizontal="center"/>
    </xf>
    <xf numFmtId="0" fontId="314" fillId="0" borderId="0" xfId="11321" applyFont="1" applyFill="1" applyBorder="1" applyAlignment="1">
      <alignment horizontal="right"/>
    </xf>
    <xf numFmtId="0" fontId="314" fillId="0" borderId="0" xfId="11321" applyFont="1" applyFill="1" applyBorder="1" applyAlignment="1">
      <alignment vertical="top"/>
    </xf>
    <xf numFmtId="0" fontId="314" fillId="0" borderId="0" xfId="11321" applyFont="1" applyFill="1" applyBorder="1" applyAlignment="1">
      <alignment vertical="top" wrapText="1"/>
    </xf>
    <xf numFmtId="358" fontId="314" fillId="0" borderId="0" xfId="11321" applyNumberFormat="1" applyFont="1" applyFill="1" applyBorder="1" applyAlignment="1">
      <alignment vertical="top" wrapText="1"/>
    </xf>
    <xf numFmtId="0" fontId="326" fillId="0" borderId="0" xfId="11321" applyFont="1" applyFill="1" applyBorder="1" applyAlignment="1">
      <alignment vertical="top"/>
    </xf>
    <xf numFmtId="0" fontId="314" fillId="0" borderId="0" xfId="11321" applyFont="1" applyFill="1" applyBorder="1" applyAlignment="1">
      <alignment horizontal="center" vertical="top" wrapText="1"/>
    </xf>
    <xf numFmtId="358" fontId="314" fillId="0" borderId="0" xfId="11321" applyNumberFormat="1" applyFont="1" applyFill="1" applyBorder="1" applyAlignment="1">
      <alignment horizontal="center" vertical="top" wrapText="1"/>
    </xf>
    <xf numFmtId="3" fontId="326" fillId="0" borderId="0" xfId="0" applyNumberFormat="1" applyFont="1" applyFill="1" applyBorder="1"/>
    <xf numFmtId="3" fontId="345" fillId="0" borderId="0" xfId="0" applyNumberFormat="1" applyFont="1" applyFill="1" applyBorder="1"/>
    <xf numFmtId="0" fontId="345" fillId="0" borderId="0" xfId="11321" applyFont="1" applyFill="1" applyBorder="1"/>
    <xf numFmtId="3" fontId="314" fillId="0" borderId="0" xfId="0" applyNumberFormat="1" applyFont="1" applyFill="1" applyBorder="1"/>
    <xf numFmtId="0" fontId="329" fillId="0" borderId="0" xfId="11321" applyFont="1" applyFill="1" applyBorder="1"/>
    <xf numFmtId="171" fontId="326" fillId="0" borderId="0" xfId="11324" applyNumberFormat="1" applyFont="1" applyFill="1" applyBorder="1"/>
    <xf numFmtId="170" fontId="314" fillId="0" borderId="0" xfId="10830" applyNumberFormat="1" applyFont="1" applyFill="1" applyBorder="1"/>
    <xf numFmtId="1" fontId="326" fillId="0" borderId="0" xfId="11321" applyNumberFormat="1" applyFont="1" applyFill="1" applyBorder="1"/>
    <xf numFmtId="310" fontId="312" fillId="124" borderId="0" xfId="0" applyNumberFormat="1" applyFont="1" applyFill="1" applyBorder="1"/>
    <xf numFmtId="43" fontId="312" fillId="124" borderId="0" xfId="0" applyNumberFormat="1" applyFont="1" applyFill="1" applyBorder="1"/>
    <xf numFmtId="310" fontId="312" fillId="130" borderId="67" xfId="401" applyNumberFormat="1" applyFont="1" applyFill="1" applyBorder="1"/>
    <xf numFmtId="0" fontId="325" fillId="124" borderId="0" xfId="11316" applyFont="1" applyFill="1" applyBorder="1"/>
    <xf numFmtId="0" fontId="326" fillId="124" borderId="0" xfId="11316" applyFont="1" applyFill="1" applyBorder="1"/>
    <xf numFmtId="9" fontId="345" fillId="0" borderId="0" xfId="11316" applyNumberFormat="1" applyFont="1" applyFill="1" applyBorder="1"/>
    <xf numFmtId="169" fontId="345" fillId="0" borderId="0" xfId="401" applyNumberFormat="1" applyFont="1" applyFill="1" applyBorder="1"/>
  </cellXfs>
  <cellStyles count="11353">
    <cellStyle name="-" xfId="10277" xr:uid="{00000000-0005-0000-0000-000000000000}"/>
    <cellStyle name="—" xfId="2540" xr:uid="{00000000-0005-0000-0000-000001000000}"/>
    <cellStyle name=" 1" xfId="10477" xr:uid="{00000000-0005-0000-0000-000002000000}"/>
    <cellStyle name=" 10" xfId="10478" xr:uid="{00000000-0005-0000-0000-000003000000}"/>
    <cellStyle name=" 100" xfId="10479" xr:uid="{00000000-0005-0000-0000-000004000000}"/>
    <cellStyle name=" 101" xfId="10480" xr:uid="{00000000-0005-0000-0000-000005000000}"/>
    <cellStyle name=" 102" xfId="10481" xr:uid="{00000000-0005-0000-0000-000006000000}"/>
    <cellStyle name=" 103" xfId="10482" xr:uid="{00000000-0005-0000-0000-000007000000}"/>
    <cellStyle name=" 104" xfId="10483" xr:uid="{00000000-0005-0000-0000-000008000000}"/>
    <cellStyle name=" 105" xfId="10484" xr:uid="{00000000-0005-0000-0000-000009000000}"/>
    <cellStyle name=" 106" xfId="10485" xr:uid="{00000000-0005-0000-0000-00000A000000}"/>
    <cellStyle name=" 107" xfId="10486" xr:uid="{00000000-0005-0000-0000-00000B000000}"/>
    <cellStyle name=" 108" xfId="10487" xr:uid="{00000000-0005-0000-0000-00000C000000}"/>
    <cellStyle name=" 109" xfId="10488" xr:uid="{00000000-0005-0000-0000-00000D000000}"/>
    <cellStyle name=" 11" xfId="10489" xr:uid="{00000000-0005-0000-0000-00000E000000}"/>
    <cellStyle name=" 110" xfId="10490" xr:uid="{00000000-0005-0000-0000-00000F000000}"/>
    <cellStyle name=" 111" xfId="10491" xr:uid="{00000000-0005-0000-0000-000010000000}"/>
    <cellStyle name=" 112" xfId="10492" xr:uid="{00000000-0005-0000-0000-000011000000}"/>
    <cellStyle name=" 113" xfId="10493" xr:uid="{00000000-0005-0000-0000-000012000000}"/>
    <cellStyle name=" 114" xfId="10494" xr:uid="{00000000-0005-0000-0000-000013000000}"/>
    <cellStyle name=" 115" xfId="10495" xr:uid="{00000000-0005-0000-0000-000014000000}"/>
    <cellStyle name=" 116" xfId="10496" xr:uid="{00000000-0005-0000-0000-000015000000}"/>
    <cellStyle name=" 117" xfId="10497" xr:uid="{00000000-0005-0000-0000-000016000000}"/>
    <cellStyle name=" 118" xfId="10498" xr:uid="{00000000-0005-0000-0000-000017000000}"/>
    <cellStyle name=" 119" xfId="10499" xr:uid="{00000000-0005-0000-0000-000018000000}"/>
    <cellStyle name=" 12" xfId="10500" xr:uid="{00000000-0005-0000-0000-000019000000}"/>
    <cellStyle name=" 120" xfId="10501" xr:uid="{00000000-0005-0000-0000-00001A000000}"/>
    <cellStyle name=" 121" xfId="10502" xr:uid="{00000000-0005-0000-0000-00001B000000}"/>
    <cellStyle name=" 122" xfId="10503" xr:uid="{00000000-0005-0000-0000-00001C000000}"/>
    <cellStyle name=" 123" xfId="10504" xr:uid="{00000000-0005-0000-0000-00001D000000}"/>
    <cellStyle name=" 124" xfId="10505" xr:uid="{00000000-0005-0000-0000-00001E000000}"/>
    <cellStyle name=" 125" xfId="10506" xr:uid="{00000000-0005-0000-0000-00001F000000}"/>
    <cellStyle name=" 126" xfId="10507" xr:uid="{00000000-0005-0000-0000-000020000000}"/>
    <cellStyle name=" 127" xfId="10508" xr:uid="{00000000-0005-0000-0000-000021000000}"/>
    <cellStyle name=" 128" xfId="10509" xr:uid="{00000000-0005-0000-0000-000022000000}"/>
    <cellStyle name=" 129" xfId="10510" xr:uid="{00000000-0005-0000-0000-000023000000}"/>
    <cellStyle name=" 13" xfId="10511" xr:uid="{00000000-0005-0000-0000-000024000000}"/>
    <cellStyle name=" 130" xfId="10512" xr:uid="{00000000-0005-0000-0000-000025000000}"/>
    <cellStyle name=" 131" xfId="10513" xr:uid="{00000000-0005-0000-0000-000026000000}"/>
    <cellStyle name=" 132" xfId="10514" xr:uid="{00000000-0005-0000-0000-000027000000}"/>
    <cellStyle name=" 133" xfId="10515" xr:uid="{00000000-0005-0000-0000-000028000000}"/>
    <cellStyle name=" 134" xfId="10516" xr:uid="{00000000-0005-0000-0000-000029000000}"/>
    <cellStyle name=" 135" xfId="10517" xr:uid="{00000000-0005-0000-0000-00002A000000}"/>
    <cellStyle name=" 136" xfId="10518" xr:uid="{00000000-0005-0000-0000-00002B000000}"/>
    <cellStyle name=" 137" xfId="10519" xr:uid="{00000000-0005-0000-0000-00002C000000}"/>
    <cellStyle name=" 138" xfId="10520" xr:uid="{00000000-0005-0000-0000-00002D000000}"/>
    <cellStyle name=" 139" xfId="10521" xr:uid="{00000000-0005-0000-0000-00002E000000}"/>
    <cellStyle name=" 14" xfId="10522" xr:uid="{00000000-0005-0000-0000-00002F000000}"/>
    <cellStyle name=" 140" xfId="10523" xr:uid="{00000000-0005-0000-0000-000030000000}"/>
    <cellStyle name=" 141" xfId="10524" xr:uid="{00000000-0005-0000-0000-000031000000}"/>
    <cellStyle name=" 142" xfId="10525" xr:uid="{00000000-0005-0000-0000-000032000000}"/>
    <cellStyle name=" 143" xfId="10526" xr:uid="{00000000-0005-0000-0000-000033000000}"/>
    <cellStyle name=" 144" xfId="10527" xr:uid="{00000000-0005-0000-0000-000034000000}"/>
    <cellStyle name=" 145" xfId="10528" xr:uid="{00000000-0005-0000-0000-000035000000}"/>
    <cellStyle name=" 146" xfId="10529" xr:uid="{00000000-0005-0000-0000-000036000000}"/>
    <cellStyle name=" 147" xfId="10530" xr:uid="{00000000-0005-0000-0000-000037000000}"/>
    <cellStyle name=" 148" xfId="10531" xr:uid="{00000000-0005-0000-0000-000038000000}"/>
    <cellStyle name=" 149" xfId="10532" xr:uid="{00000000-0005-0000-0000-000039000000}"/>
    <cellStyle name=" 15" xfId="10533" xr:uid="{00000000-0005-0000-0000-00003A000000}"/>
    <cellStyle name=" 150" xfId="10534" xr:uid="{00000000-0005-0000-0000-00003B000000}"/>
    <cellStyle name=" 151" xfId="10535" xr:uid="{00000000-0005-0000-0000-00003C000000}"/>
    <cellStyle name=" 152" xfId="10536" xr:uid="{00000000-0005-0000-0000-00003D000000}"/>
    <cellStyle name=" 153" xfId="10537" xr:uid="{00000000-0005-0000-0000-00003E000000}"/>
    <cellStyle name=" 154" xfId="10538" xr:uid="{00000000-0005-0000-0000-00003F000000}"/>
    <cellStyle name=" 155" xfId="10539" xr:uid="{00000000-0005-0000-0000-000040000000}"/>
    <cellStyle name=" 156" xfId="10540" xr:uid="{00000000-0005-0000-0000-000041000000}"/>
    <cellStyle name=" 157" xfId="10541" xr:uid="{00000000-0005-0000-0000-000042000000}"/>
    <cellStyle name=" 158" xfId="10542" xr:uid="{00000000-0005-0000-0000-000043000000}"/>
    <cellStyle name=" 159" xfId="10543" xr:uid="{00000000-0005-0000-0000-000044000000}"/>
    <cellStyle name=" 16" xfId="10544" xr:uid="{00000000-0005-0000-0000-000045000000}"/>
    <cellStyle name=" 160" xfId="10545" xr:uid="{00000000-0005-0000-0000-000046000000}"/>
    <cellStyle name=" 161" xfId="10546" xr:uid="{00000000-0005-0000-0000-000047000000}"/>
    <cellStyle name=" 162" xfId="10547" xr:uid="{00000000-0005-0000-0000-000048000000}"/>
    <cellStyle name=" 163" xfId="10548" xr:uid="{00000000-0005-0000-0000-000049000000}"/>
    <cellStyle name=" 164" xfId="10549" xr:uid="{00000000-0005-0000-0000-00004A000000}"/>
    <cellStyle name=" 165" xfId="10550" xr:uid="{00000000-0005-0000-0000-00004B000000}"/>
    <cellStyle name=" 166" xfId="10551" xr:uid="{00000000-0005-0000-0000-00004C000000}"/>
    <cellStyle name=" 167" xfId="10552" xr:uid="{00000000-0005-0000-0000-00004D000000}"/>
    <cellStyle name=" 168" xfId="10553" xr:uid="{00000000-0005-0000-0000-00004E000000}"/>
    <cellStyle name=" 169" xfId="10554" xr:uid="{00000000-0005-0000-0000-00004F000000}"/>
    <cellStyle name=" 17" xfId="10555" xr:uid="{00000000-0005-0000-0000-000050000000}"/>
    <cellStyle name=" 170" xfId="10556" xr:uid="{00000000-0005-0000-0000-000051000000}"/>
    <cellStyle name=" 171" xfId="10557" xr:uid="{00000000-0005-0000-0000-000052000000}"/>
    <cellStyle name=" 172" xfId="10558" xr:uid="{00000000-0005-0000-0000-000053000000}"/>
    <cellStyle name=" 173" xfId="10559" xr:uid="{00000000-0005-0000-0000-000054000000}"/>
    <cellStyle name=" 174" xfId="10560" xr:uid="{00000000-0005-0000-0000-000055000000}"/>
    <cellStyle name=" 175" xfId="10561" xr:uid="{00000000-0005-0000-0000-000056000000}"/>
    <cellStyle name=" 176" xfId="10562" xr:uid="{00000000-0005-0000-0000-000057000000}"/>
    <cellStyle name=" 177" xfId="10563" xr:uid="{00000000-0005-0000-0000-000058000000}"/>
    <cellStyle name=" 178" xfId="10564" xr:uid="{00000000-0005-0000-0000-000059000000}"/>
    <cellStyle name=" 179" xfId="10565" xr:uid="{00000000-0005-0000-0000-00005A000000}"/>
    <cellStyle name=" 18" xfId="10566" xr:uid="{00000000-0005-0000-0000-00005B000000}"/>
    <cellStyle name=" 180" xfId="10567" xr:uid="{00000000-0005-0000-0000-00005C000000}"/>
    <cellStyle name=" 181" xfId="10568" xr:uid="{00000000-0005-0000-0000-00005D000000}"/>
    <cellStyle name=" 182" xfId="10569" xr:uid="{00000000-0005-0000-0000-00005E000000}"/>
    <cellStyle name=" 183" xfId="10570" xr:uid="{00000000-0005-0000-0000-00005F000000}"/>
    <cellStyle name=" 184" xfId="10571" xr:uid="{00000000-0005-0000-0000-000060000000}"/>
    <cellStyle name=" 185" xfId="10572" xr:uid="{00000000-0005-0000-0000-000061000000}"/>
    <cellStyle name=" 186" xfId="10573" xr:uid="{00000000-0005-0000-0000-000062000000}"/>
    <cellStyle name=" 187" xfId="10574" xr:uid="{00000000-0005-0000-0000-000063000000}"/>
    <cellStyle name=" 188" xfId="10575" xr:uid="{00000000-0005-0000-0000-000064000000}"/>
    <cellStyle name=" 189" xfId="10576" xr:uid="{00000000-0005-0000-0000-000065000000}"/>
    <cellStyle name=" 19" xfId="10577" xr:uid="{00000000-0005-0000-0000-000066000000}"/>
    <cellStyle name=" 190" xfId="10578" xr:uid="{00000000-0005-0000-0000-000067000000}"/>
    <cellStyle name=" 191" xfId="10579" xr:uid="{00000000-0005-0000-0000-000068000000}"/>
    <cellStyle name=" 192" xfId="10580" xr:uid="{00000000-0005-0000-0000-000069000000}"/>
    <cellStyle name=" 193" xfId="10581" xr:uid="{00000000-0005-0000-0000-00006A000000}"/>
    <cellStyle name=" 194" xfId="10582" xr:uid="{00000000-0005-0000-0000-00006B000000}"/>
    <cellStyle name=" 195" xfId="10583" xr:uid="{00000000-0005-0000-0000-00006C000000}"/>
    <cellStyle name=" 196" xfId="10584" xr:uid="{00000000-0005-0000-0000-00006D000000}"/>
    <cellStyle name=" 197" xfId="10585" xr:uid="{00000000-0005-0000-0000-00006E000000}"/>
    <cellStyle name=" 198" xfId="10586" xr:uid="{00000000-0005-0000-0000-00006F000000}"/>
    <cellStyle name=" 199" xfId="10587" xr:uid="{00000000-0005-0000-0000-000070000000}"/>
    <cellStyle name=" 2" xfId="10588" xr:uid="{00000000-0005-0000-0000-000071000000}"/>
    <cellStyle name="— 2" xfId="4223" xr:uid="{00000000-0005-0000-0000-000072000000}"/>
    <cellStyle name=" 20" xfId="10589" xr:uid="{00000000-0005-0000-0000-000073000000}"/>
    <cellStyle name=" 200" xfId="10590" xr:uid="{00000000-0005-0000-0000-000074000000}"/>
    <cellStyle name=" 201" xfId="10591" xr:uid="{00000000-0005-0000-0000-000075000000}"/>
    <cellStyle name=" 202" xfId="10592" xr:uid="{00000000-0005-0000-0000-000076000000}"/>
    <cellStyle name=" 203" xfId="10593" xr:uid="{00000000-0005-0000-0000-000077000000}"/>
    <cellStyle name=" 204" xfId="10594" xr:uid="{00000000-0005-0000-0000-000078000000}"/>
    <cellStyle name=" 205" xfId="10595" xr:uid="{00000000-0005-0000-0000-000079000000}"/>
    <cellStyle name=" 206" xfId="10596" xr:uid="{00000000-0005-0000-0000-00007A000000}"/>
    <cellStyle name=" 207" xfId="10597" xr:uid="{00000000-0005-0000-0000-00007B000000}"/>
    <cellStyle name=" 208" xfId="10598" xr:uid="{00000000-0005-0000-0000-00007C000000}"/>
    <cellStyle name=" 209" xfId="10599" xr:uid="{00000000-0005-0000-0000-00007D000000}"/>
    <cellStyle name=" 21" xfId="10600" xr:uid="{00000000-0005-0000-0000-00007E000000}"/>
    <cellStyle name=" 210" xfId="10601" xr:uid="{00000000-0005-0000-0000-00007F000000}"/>
    <cellStyle name=" 211" xfId="10602" xr:uid="{00000000-0005-0000-0000-000080000000}"/>
    <cellStyle name=" 212" xfId="10603" xr:uid="{00000000-0005-0000-0000-000081000000}"/>
    <cellStyle name=" 213" xfId="10604" xr:uid="{00000000-0005-0000-0000-000082000000}"/>
    <cellStyle name=" 214" xfId="10605" xr:uid="{00000000-0005-0000-0000-000083000000}"/>
    <cellStyle name=" 215" xfId="10606" xr:uid="{00000000-0005-0000-0000-000084000000}"/>
    <cellStyle name=" 216" xfId="10607" xr:uid="{00000000-0005-0000-0000-000085000000}"/>
    <cellStyle name=" 217" xfId="10608" xr:uid="{00000000-0005-0000-0000-000086000000}"/>
    <cellStyle name=" 218" xfId="10609" xr:uid="{00000000-0005-0000-0000-000087000000}"/>
    <cellStyle name=" 219" xfId="10610" xr:uid="{00000000-0005-0000-0000-000088000000}"/>
    <cellStyle name=" 22" xfId="10611" xr:uid="{00000000-0005-0000-0000-000089000000}"/>
    <cellStyle name=" 220" xfId="10612" xr:uid="{00000000-0005-0000-0000-00008A000000}"/>
    <cellStyle name=" 221" xfId="10613" xr:uid="{00000000-0005-0000-0000-00008B000000}"/>
    <cellStyle name=" 222" xfId="10614" xr:uid="{00000000-0005-0000-0000-00008C000000}"/>
    <cellStyle name=" 223" xfId="10615" xr:uid="{00000000-0005-0000-0000-00008D000000}"/>
    <cellStyle name=" 224" xfId="10616" xr:uid="{00000000-0005-0000-0000-00008E000000}"/>
    <cellStyle name=" 225" xfId="10617" xr:uid="{00000000-0005-0000-0000-00008F000000}"/>
    <cellStyle name=" 226" xfId="10618" xr:uid="{00000000-0005-0000-0000-000090000000}"/>
    <cellStyle name=" 227" xfId="10619" xr:uid="{00000000-0005-0000-0000-000091000000}"/>
    <cellStyle name=" 228" xfId="10620" xr:uid="{00000000-0005-0000-0000-000092000000}"/>
    <cellStyle name=" 229" xfId="10621" xr:uid="{00000000-0005-0000-0000-000093000000}"/>
    <cellStyle name=" 23" xfId="10622" xr:uid="{00000000-0005-0000-0000-000094000000}"/>
    <cellStyle name=" 230" xfId="10623" xr:uid="{00000000-0005-0000-0000-000095000000}"/>
    <cellStyle name=" 231" xfId="10624" xr:uid="{00000000-0005-0000-0000-000096000000}"/>
    <cellStyle name=" 232" xfId="10625" xr:uid="{00000000-0005-0000-0000-000097000000}"/>
    <cellStyle name=" 233" xfId="10626" xr:uid="{00000000-0005-0000-0000-000098000000}"/>
    <cellStyle name=" 234" xfId="10627" xr:uid="{00000000-0005-0000-0000-000099000000}"/>
    <cellStyle name=" 235" xfId="10628" xr:uid="{00000000-0005-0000-0000-00009A000000}"/>
    <cellStyle name=" 236" xfId="10629" xr:uid="{00000000-0005-0000-0000-00009B000000}"/>
    <cellStyle name=" 237" xfId="10630" xr:uid="{00000000-0005-0000-0000-00009C000000}"/>
    <cellStyle name=" 238" xfId="10631" xr:uid="{00000000-0005-0000-0000-00009D000000}"/>
    <cellStyle name=" 239" xfId="10632" xr:uid="{00000000-0005-0000-0000-00009E000000}"/>
    <cellStyle name=" 24" xfId="10633" xr:uid="{00000000-0005-0000-0000-00009F000000}"/>
    <cellStyle name=" 240" xfId="10634" xr:uid="{00000000-0005-0000-0000-0000A0000000}"/>
    <cellStyle name=" 241" xfId="10635" xr:uid="{00000000-0005-0000-0000-0000A1000000}"/>
    <cellStyle name=" 242" xfId="10636" xr:uid="{00000000-0005-0000-0000-0000A2000000}"/>
    <cellStyle name=" 243" xfId="10637" xr:uid="{00000000-0005-0000-0000-0000A3000000}"/>
    <cellStyle name=" 244" xfId="10638" xr:uid="{00000000-0005-0000-0000-0000A4000000}"/>
    <cellStyle name=" 245" xfId="10639" xr:uid="{00000000-0005-0000-0000-0000A5000000}"/>
    <cellStyle name=" 246" xfId="10640" xr:uid="{00000000-0005-0000-0000-0000A6000000}"/>
    <cellStyle name=" 247" xfId="10641" xr:uid="{00000000-0005-0000-0000-0000A7000000}"/>
    <cellStyle name=" 248" xfId="10642" xr:uid="{00000000-0005-0000-0000-0000A8000000}"/>
    <cellStyle name=" 249" xfId="10643" xr:uid="{00000000-0005-0000-0000-0000A9000000}"/>
    <cellStyle name=" 25" xfId="10644" xr:uid="{00000000-0005-0000-0000-0000AA000000}"/>
    <cellStyle name=" 250" xfId="10645" xr:uid="{00000000-0005-0000-0000-0000AB000000}"/>
    <cellStyle name=" 251" xfId="10646" xr:uid="{00000000-0005-0000-0000-0000AC000000}"/>
    <cellStyle name=" 252" xfId="10647" xr:uid="{00000000-0005-0000-0000-0000AD000000}"/>
    <cellStyle name=" 253" xfId="10648" xr:uid="{00000000-0005-0000-0000-0000AE000000}"/>
    <cellStyle name=" 254" xfId="10649" xr:uid="{00000000-0005-0000-0000-0000AF000000}"/>
    <cellStyle name=" 255" xfId="10650" xr:uid="{00000000-0005-0000-0000-0000B0000000}"/>
    <cellStyle name=" 26" xfId="10651" xr:uid="{00000000-0005-0000-0000-0000B1000000}"/>
    <cellStyle name=" 27" xfId="10652" xr:uid="{00000000-0005-0000-0000-0000B2000000}"/>
    <cellStyle name=" 28" xfId="10653" xr:uid="{00000000-0005-0000-0000-0000B3000000}"/>
    <cellStyle name=" 29" xfId="10654" xr:uid="{00000000-0005-0000-0000-0000B4000000}"/>
    <cellStyle name=" 3" xfId="10655" xr:uid="{00000000-0005-0000-0000-0000B5000000}"/>
    <cellStyle name=" 30" xfId="10656" xr:uid="{00000000-0005-0000-0000-0000B6000000}"/>
    <cellStyle name=" 31" xfId="10657" xr:uid="{00000000-0005-0000-0000-0000B7000000}"/>
    <cellStyle name=" 32" xfId="10658" xr:uid="{00000000-0005-0000-0000-0000B8000000}"/>
    <cellStyle name=" 33" xfId="10659" xr:uid="{00000000-0005-0000-0000-0000B9000000}"/>
    <cellStyle name=" 34" xfId="10660" xr:uid="{00000000-0005-0000-0000-0000BA000000}"/>
    <cellStyle name=" 35" xfId="10661" xr:uid="{00000000-0005-0000-0000-0000BB000000}"/>
    <cellStyle name=" 36" xfId="10662" xr:uid="{00000000-0005-0000-0000-0000BC000000}"/>
    <cellStyle name=" 37" xfId="10663" xr:uid="{00000000-0005-0000-0000-0000BD000000}"/>
    <cellStyle name=" 38" xfId="10664" xr:uid="{00000000-0005-0000-0000-0000BE000000}"/>
    <cellStyle name=" 39" xfId="10665" xr:uid="{00000000-0005-0000-0000-0000BF000000}"/>
    <cellStyle name=" 4" xfId="10666" xr:uid="{00000000-0005-0000-0000-0000C0000000}"/>
    <cellStyle name=" 40" xfId="10667" xr:uid="{00000000-0005-0000-0000-0000C1000000}"/>
    <cellStyle name=" 41" xfId="10668" xr:uid="{00000000-0005-0000-0000-0000C2000000}"/>
    <cellStyle name=" 42" xfId="10669" xr:uid="{00000000-0005-0000-0000-0000C3000000}"/>
    <cellStyle name=" 43" xfId="10670" xr:uid="{00000000-0005-0000-0000-0000C4000000}"/>
    <cellStyle name=" 44" xfId="10671" xr:uid="{00000000-0005-0000-0000-0000C5000000}"/>
    <cellStyle name=" 45" xfId="10672" xr:uid="{00000000-0005-0000-0000-0000C6000000}"/>
    <cellStyle name=" 46" xfId="10673" xr:uid="{00000000-0005-0000-0000-0000C7000000}"/>
    <cellStyle name=" 47" xfId="10674" xr:uid="{00000000-0005-0000-0000-0000C8000000}"/>
    <cellStyle name=" 48" xfId="10675" xr:uid="{00000000-0005-0000-0000-0000C9000000}"/>
    <cellStyle name=" 49" xfId="10676" xr:uid="{00000000-0005-0000-0000-0000CA000000}"/>
    <cellStyle name=" 5" xfId="10677" xr:uid="{00000000-0005-0000-0000-0000CB000000}"/>
    <cellStyle name=" 50" xfId="10678" xr:uid="{00000000-0005-0000-0000-0000CC000000}"/>
    <cellStyle name=" 51" xfId="10679" xr:uid="{00000000-0005-0000-0000-0000CD000000}"/>
    <cellStyle name=" 52" xfId="10680" xr:uid="{00000000-0005-0000-0000-0000CE000000}"/>
    <cellStyle name=" 53" xfId="10681" xr:uid="{00000000-0005-0000-0000-0000CF000000}"/>
    <cellStyle name=" 54" xfId="10682" xr:uid="{00000000-0005-0000-0000-0000D0000000}"/>
    <cellStyle name=" 55" xfId="10683" xr:uid="{00000000-0005-0000-0000-0000D1000000}"/>
    <cellStyle name=" 56" xfId="10684" xr:uid="{00000000-0005-0000-0000-0000D2000000}"/>
    <cellStyle name=" 57" xfId="10685" xr:uid="{00000000-0005-0000-0000-0000D3000000}"/>
    <cellStyle name=" 58" xfId="10686" xr:uid="{00000000-0005-0000-0000-0000D4000000}"/>
    <cellStyle name=" 59" xfId="10687" xr:uid="{00000000-0005-0000-0000-0000D5000000}"/>
    <cellStyle name=" 6" xfId="10688" xr:uid="{00000000-0005-0000-0000-0000D6000000}"/>
    <cellStyle name=" 60" xfId="10689" xr:uid="{00000000-0005-0000-0000-0000D7000000}"/>
    <cellStyle name=" 61" xfId="10690" xr:uid="{00000000-0005-0000-0000-0000D8000000}"/>
    <cellStyle name=" 62" xfId="10691" xr:uid="{00000000-0005-0000-0000-0000D9000000}"/>
    <cellStyle name=" 63" xfId="10692" xr:uid="{00000000-0005-0000-0000-0000DA000000}"/>
    <cellStyle name=" 64" xfId="10693" xr:uid="{00000000-0005-0000-0000-0000DB000000}"/>
    <cellStyle name=" 65" xfId="10694" xr:uid="{00000000-0005-0000-0000-0000DC000000}"/>
    <cellStyle name=" 66" xfId="10695" xr:uid="{00000000-0005-0000-0000-0000DD000000}"/>
    <cellStyle name=" 67" xfId="10696" xr:uid="{00000000-0005-0000-0000-0000DE000000}"/>
    <cellStyle name=" 68" xfId="10697" xr:uid="{00000000-0005-0000-0000-0000DF000000}"/>
    <cellStyle name=" 69" xfId="10698" xr:uid="{00000000-0005-0000-0000-0000E0000000}"/>
    <cellStyle name=" 7" xfId="10699" xr:uid="{00000000-0005-0000-0000-0000E1000000}"/>
    <cellStyle name=" 70" xfId="10700" xr:uid="{00000000-0005-0000-0000-0000E2000000}"/>
    <cellStyle name=" 71" xfId="10701" xr:uid="{00000000-0005-0000-0000-0000E3000000}"/>
    <cellStyle name=" 72" xfId="10702" xr:uid="{00000000-0005-0000-0000-0000E4000000}"/>
    <cellStyle name=" 73" xfId="10703" xr:uid="{00000000-0005-0000-0000-0000E5000000}"/>
    <cellStyle name=" 74" xfId="10704" xr:uid="{00000000-0005-0000-0000-0000E6000000}"/>
    <cellStyle name=" 75" xfId="10705" xr:uid="{00000000-0005-0000-0000-0000E7000000}"/>
    <cellStyle name=" 76" xfId="10706" xr:uid="{00000000-0005-0000-0000-0000E8000000}"/>
    <cellStyle name=" 77" xfId="10707" xr:uid="{00000000-0005-0000-0000-0000E9000000}"/>
    <cellStyle name=" 78" xfId="10708" xr:uid="{00000000-0005-0000-0000-0000EA000000}"/>
    <cellStyle name=" 79" xfId="10709" xr:uid="{00000000-0005-0000-0000-0000EB000000}"/>
    <cellStyle name=" 8" xfId="10710" xr:uid="{00000000-0005-0000-0000-0000EC000000}"/>
    <cellStyle name=" 80" xfId="10711" xr:uid="{00000000-0005-0000-0000-0000ED000000}"/>
    <cellStyle name=" 81" xfId="10712" xr:uid="{00000000-0005-0000-0000-0000EE000000}"/>
    <cellStyle name=" 82" xfId="10713" xr:uid="{00000000-0005-0000-0000-0000EF000000}"/>
    <cellStyle name=" 83" xfId="10714" xr:uid="{00000000-0005-0000-0000-0000F0000000}"/>
    <cellStyle name=" 84" xfId="10715" xr:uid="{00000000-0005-0000-0000-0000F1000000}"/>
    <cellStyle name=" 85" xfId="10716" xr:uid="{00000000-0005-0000-0000-0000F2000000}"/>
    <cellStyle name=" 86" xfId="10717" xr:uid="{00000000-0005-0000-0000-0000F3000000}"/>
    <cellStyle name=" 87" xfId="10718" xr:uid="{00000000-0005-0000-0000-0000F4000000}"/>
    <cellStyle name=" 88" xfId="10719" xr:uid="{00000000-0005-0000-0000-0000F5000000}"/>
    <cellStyle name=" 89" xfId="10720" xr:uid="{00000000-0005-0000-0000-0000F6000000}"/>
    <cellStyle name=" 9" xfId="10721" xr:uid="{00000000-0005-0000-0000-0000F7000000}"/>
    <cellStyle name=" 90" xfId="10722" xr:uid="{00000000-0005-0000-0000-0000F8000000}"/>
    <cellStyle name=" 91" xfId="10723" xr:uid="{00000000-0005-0000-0000-0000F9000000}"/>
    <cellStyle name=" 92" xfId="10724" xr:uid="{00000000-0005-0000-0000-0000FA000000}"/>
    <cellStyle name=" 93" xfId="10725" xr:uid="{00000000-0005-0000-0000-0000FB000000}"/>
    <cellStyle name=" 94" xfId="10726" xr:uid="{00000000-0005-0000-0000-0000FC000000}"/>
    <cellStyle name=" 95" xfId="10727" xr:uid="{00000000-0005-0000-0000-0000FD000000}"/>
    <cellStyle name=" 96" xfId="10728" xr:uid="{00000000-0005-0000-0000-0000FE000000}"/>
    <cellStyle name=" 97" xfId="10729" xr:uid="{00000000-0005-0000-0000-0000FF000000}"/>
    <cellStyle name=" 98" xfId="10730" xr:uid="{00000000-0005-0000-0000-000000010000}"/>
    <cellStyle name=" 99" xfId="10731" xr:uid="{00000000-0005-0000-0000-000001010000}"/>
    <cellStyle name="_x000a_386grabber=M" xfId="10278" xr:uid="{00000000-0005-0000-0000-000002010000}"/>
    <cellStyle name="_x000a_386grabber=M 2" xfId="10400" xr:uid="{00000000-0005-0000-0000-000003010000}"/>
    <cellStyle name="_x000a_386grabber=M 3" xfId="10732" xr:uid="{00000000-0005-0000-0000-000004010000}"/>
    <cellStyle name="_x000a_bidires=100_x000d_" xfId="10944" xr:uid="{00000000-0005-0000-0000-000005010000}"/>
    <cellStyle name="_x000a_mouse.drv=lm" xfId="1" xr:uid="{00000000-0005-0000-0000-000006010000}"/>
    <cellStyle name="_x000d__x000a_JournalTemplate=C:\COMFO\CTALK\JOURSTD.TPL_x000d__x000a_LbStateAddress=3 3 0 251 1 89 2 311_x000d__x000a_LbStateJou" xfId="7811" xr:uid="{00000000-0005-0000-0000-000007010000}"/>
    <cellStyle name="$" xfId="10401" xr:uid="{00000000-0005-0000-0000-000008010000}"/>
    <cellStyle name="$ 2" xfId="10945" xr:uid="{00000000-0005-0000-0000-000009010000}"/>
    <cellStyle name="$_db진흥" xfId="10402" xr:uid="{00000000-0005-0000-0000-00000A010000}"/>
    <cellStyle name="$_PCP" xfId="10946" xr:uid="{00000000-0005-0000-0000-00000B010000}"/>
    <cellStyle name="$_견적2" xfId="10403" xr:uid="{00000000-0005-0000-0000-00000C010000}"/>
    <cellStyle name="$_기아" xfId="10404" xr:uid="{00000000-0005-0000-0000-00000D010000}"/>
    <cellStyle name="$0.0" xfId="10947" xr:uid="{00000000-0005-0000-0000-00000E010000}"/>
    <cellStyle name="$0.00" xfId="10948" xr:uid="{00000000-0005-0000-0000-00000F010000}"/>
    <cellStyle name="$0.000" xfId="10949" xr:uid="{00000000-0005-0000-0000-000010010000}"/>
    <cellStyle name="$3places" xfId="10950" xr:uid="{00000000-0005-0000-0000-000011010000}"/>
    <cellStyle name="$m" xfId="10951" xr:uid="{00000000-0005-0000-0000-000012010000}"/>
    <cellStyle name="$q" xfId="10952" xr:uid="{00000000-0005-0000-0000-000013010000}"/>
    <cellStyle name="$q*" xfId="10953" xr:uid="{00000000-0005-0000-0000-000014010000}"/>
    <cellStyle name="$qA" xfId="10954" xr:uid="{00000000-0005-0000-0000-000015010000}"/>
    <cellStyle name="$qRange" xfId="10955" xr:uid="{00000000-0005-0000-0000-000016010000}"/>
    <cellStyle name="%" xfId="6960" xr:uid="{00000000-0005-0000-0000-000017010000}"/>
    <cellStyle name="% inc" xfId="2541" xr:uid="{00000000-0005-0000-0000-000018010000}"/>
    <cellStyle name="% XX, X" xfId="10956" xr:uid="{00000000-0005-0000-0000-000019010000}"/>
    <cellStyle name="% XX,X" xfId="10957" xr:uid="{00000000-0005-0000-0000-00001A010000}"/>
    <cellStyle name="(1,000)" xfId="2542" xr:uid="{00000000-0005-0000-0000-00001B010000}"/>
    <cellStyle name="(1,000) 2" xfId="10735" xr:uid="{00000000-0005-0000-0000-00001C010000}"/>
    <cellStyle name="(1,000)x" xfId="2543" xr:uid="{00000000-0005-0000-0000-00001D010000}"/>
    <cellStyle name="(1,000)x 2" xfId="10405" xr:uid="{00000000-0005-0000-0000-00001E010000}"/>
    <cellStyle name="******************************************" xfId="2544" xr:uid="{00000000-0005-0000-0000-00001F010000}"/>
    <cellStyle name="_x0002_._x0011__x0002_._x001b__x0002_ _x0015_%_x0018__x0001_" xfId="10736" xr:uid="{00000000-0005-0000-0000-000020010000}"/>
    <cellStyle name="_x0002_._x0011__x0002_._x001b__x0002_ _x0015_%_x0018__x0001_ 2" xfId="10737" xr:uid="{00000000-0005-0000-0000-000021010000}"/>
    <cellStyle name="_x0002_._x0011__x0002_._x001b__x0002_ _x0015_%_x0018__x0001_ 3" xfId="10738" xr:uid="{00000000-0005-0000-0000-000022010000}"/>
    <cellStyle name="?" xfId="2545" xr:uid="{00000000-0005-0000-0000-000023010000}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10406" xr:uid="{00000000-0005-0000-0000-000024010000}"/>
    <cellStyle name="? 2" xfId="4224" xr:uid="{00000000-0005-0000-0000-000025010000}"/>
    <cellStyle name="??" xfId="2546" xr:uid="{00000000-0005-0000-0000-000026010000}"/>
    <cellStyle name="?? [0.00]_8267BS (J) t" xfId="10279" xr:uid="{00000000-0005-0000-0000-000027010000}"/>
    <cellStyle name="?? [0]_% relative perform" xfId="10407" xr:uid="{00000000-0005-0000-0000-000028010000}"/>
    <cellStyle name="??&amp;O?&amp;H?_x0008__x000f__x0007_?_x0007__x0001__x0001_" xfId="10408" xr:uid="{00000000-0005-0000-0000-000029010000}"/>
    <cellStyle name="??&amp;O?&amp;H?_x0008_??_x0007__x0001__x0001_" xfId="10409" xr:uid="{00000000-0005-0000-0000-00002A010000}"/>
    <cellStyle name="???? [0.00]_BS (J)P) t" xfId="10280" xr:uid="{00000000-0005-0000-0000-00002B010000}"/>
    <cellStyle name="?????" xfId="10958" xr:uid="{00000000-0005-0000-0000-00002C010000}"/>
    <cellStyle name="????_ADSL forecast" xfId="2547" xr:uid="{00000000-0005-0000-0000-00002D010000}"/>
    <cellStyle name="???[0]_2L-PATIC" xfId="2548" xr:uid="{00000000-0005-0000-0000-00002E010000}"/>
    <cellStyle name="???_2L-PATIC" xfId="2549" xr:uid="{00000000-0005-0000-0000-00002F010000}"/>
    <cellStyle name="??[0]_laroux" xfId="2550" xr:uid="{00000000-0005-0000-0000-000030010000}"/>
    <cellStyle name="??_% relative perform" xfId="10410" xr:uid="{00000000-0005-0000-0000-000031010000}"/>
    <cellStyle name="??í¨_GD Model " xfId="2551" xr:uid="{00000000-0005-0000-0000-000032010000}"/>
    <cellStyle name="?@¯e_LOAN (2)" xfId="10739" xr:uid="{00000000-0005-0000-0000-000033010000}"/>
    <cellStyle name="?@疾_2332JT3_2313COP2 " xfId="10740" xr:uid="{00000000-0005-0000-0000-000034010000}"/>
    <cellStyle name="?_Cheng Shin Model" xfId="2552" xr:uid="{00000000-0005-0000-0000-000035010000}"/>
    <cellStyle name="?_Cheng Shin Model 2" xfId="10281" xr:uid="{00000000-0005-0000-0000-000036010000}"/>
    <cellStyle name="?_Cheng Shin Model_Marketing file_ Exhibits" xfId="10282" xr:uid="{00000000-0005-0000-0000-000037010000}"/>
    <cellStyle name="?_Cheng Shin Model_People's food-Initiation exhibits" xfId="10283" xr:uid="{00000000-0005-0000-0000-000038010000}"/>
    <cellStyle name="?_Cheng Shin Model1" xfId="10741" xr:uid="{00000000-0005-0000-0000-000039010000}"/>
    <cellStyle name="?_EM-HTI" xfId="2553" xr:uid="{00000000-0005-0000-0000-00003A010000}"/>
    <cellStyle name="?_EM-HTI_Marketing file_ Exhibits" xfId="10284" xr:uid="{00000000-0005-0000-0000-00003B010000}"/>
    <cellStyle name="?_EM-HTI_People's food-Initiation exhibits" xfId="10285" xr:uid="{00000000-0005-0000-0000-00003C010000}"/>
    <cellStyle name="?_EM-KT" xfId="2554" xr:uid="{00000000-0005-0000-0000-00003D010000}"/>
    <cellStyle name="?_EM-KT_2353tw_WIP" xfId="10742" xr:uid="{00000000-0005-0000-0000-00003E010000}"/>
    <cellStyle name="?_EM-KT_2353tw_WIP modified" xfId="10743" xr:uid="{00000000-0005-0000-0000-00003F010000}"/>
    <cellStyle name="?_EM-KT_BenQ Mode (GQ) 072604" xfId="10744" xr:uid="{00000000-0005-0000-0000-000040010000}"/>
    <cellStyle name="?_EM-KT_BenQ Model (4Q actual)" xfId="10745" xr:uid="{00000000-0005-0000-0000-000041010000}"/>
    <cellStyle name="?_EM-KT_BenQ Model consolidated 092304" xfId="10746" xr:uid="{00000000-0005-0000-0000-000042010000}"/>
    <cellStyle name="?_EM-KT_BenQ Model consolidated-wip" xfId="10747" xr:uid="{00000000-0005-0000-0000-000043010000}"/>
    <cellStyle name="?_EM-KT_BenQ Model consolidated-wip-rob" xfId="10748" xr:uid="{00000000-0005-0000-0000-000044010000}"/>
    <cellStyle name="?_EM-KT_BenQ Model-wip" xfId="10749" xr:uid="{00000000-0005-0000-0000-000045010000}"/>
    <cellStyle name="?_EM-KT_Cheng Shin Model1" xfId="10750" xr:uid="{00000000-0005-0000-0000-000046010000}"/>
    <cellStyle name="?_EM-KT_Compal Comm Model--wip" xfId="10751" xr:uid="{00000000-0005-0000-0000-000047010000}"/>
    <cellStyle name="?_EM-KT_for notexpress" xfId="10752" xr:uid="{00000000-0005-0000-0000-000048010000}"/>
    <cellStyle name="?_EM-KT_GQ" xfId="10753" xr:uid="{00000000-0005-0000-0000-000049010000}"/>
    <cellStyle name="?_EM-KT_High Tech Computer (Actual vs GS)" xfId="10754" xr:uid="{00000000-0005-0000-0000-00004A010000}"/>
    <cellStyle name="?_EM-KT_High Tech Computer (GQ)" xfId="10755" xr:uid="{00000000-0005-0000-0000-00004B010000}"/>
    <cellStyle name="?_EM-KT_High Tech Computer-wip-rob" xfId="10756" xr:uid="{00000000-0005-0000-0000-00004C010000}"/>
    <cellStyle name="?_EM-KT_Q sheet 2353" xfId="10757" xr:uid="{00000000-0005-0000-0000-00004D010000}"/>
    <cellStyle name="?_EM-KT_Q sheet for Acer" xfId="10758" xr:uid="{00000000-0005-0000-0000-00004E010000}"/>
    <cellStyle name="?_EM-KT_Realtek Model-020105" xfId="10759" xr:uid="{00000000-0005-0000-0000-00004F010000}"/>
    <cellStyle name="?_EM-KT_Realtek Model-wip" xfId="10760" xr:uid="{00000000-0005-0000-0000-000050010000}"/>
    <cellStyle name="?_EM-KT_salesfcstBENQ0923" xfId="10761" xr:uid="{00000000-0005-0000-0000-000051010000}"/>
    <cellStyle name="?_EM-KT_salesfcstBENQ09231" xfId="10762" xr:uid="{00000000-0005-0000-0000-000052010000}"/>
    <cellStyle name="?_EM-KT_Tsann Kuen Model (EXT 2004-12-01)" xfId="10763" xr:uid="{00000000-0005-0000-0000-000053010000}"/>
    <cellStyle name="?_EM-KT_ZTE Model--wip" xfId="10764" xr:uid="{00000000-0005-0000-0000-000054010000}"/>
    <cellStyle name="?_EM-Optus" xfId="2555" xr:uid="{00000000-0005-0000-0000-000055010000}"/>
    <cellStyle name="?_EM-Optus_Marketing file_ Exhibits" xfId="10286" xr:uid="{00000000-0005-0000-0000-000056010000}"/>
    <cellStyle name="?_EM-Optus_People's food-Initiation exhibits" xfId="10287" xr:uid="{00000000-0005-0000-0000-000057010000}"/>
    <cellStyle name="?_EM-SKTelecom_old" xfId="2556" xr:uid="{00000000-0005-0000-0000-000058010000}"/>
    <cellStyle name="?_EM-SKTelecom_old_2353tw_WIP" xfId="10765" xr:uid="{00000000-0005-0000-0000-000059010000}"/>
    <cellStyle name="?_EM-SKTelecom_old_2353tw_WIP modified" xfId="10766" xr:uid="{00000000-0005-0000-0000-00005A010000}"/>
    <cellStyle name="?_EM-SKTelecom_old_BenQ Mode (GQ) 072604" xfId="10767" xr:uid="{00000000-0005-0000-0000-00005B010000}"/>
    <cellStyle name="?_EM-SKTelecom_old_BenQ Model (4Q actual)" xfId="10768" xr:uid="{00000000-0005-0000-0000-00005C010000}"/>
    <cellStyle name="?_EM-SKTelecom_old_BenQ Model consolidated 092304" xfId="10769" xr:uid="{00000000-0005-0000-0000-00005D010000}"/>
    <cellStyle name="?_EM-SKTelecom_old_BenQ Model consolidated-wip" xfId="10770" xr:uid="{00000000-0005-0000-0000-00005E010000}"/>
    <cellStyle name="?_EM-SKTelecom_old_BenQ Model consolidated-wip-rob" xfId="10771" xr:uid="{00000000-0005-0000-0000-00005F010000}"/>
    <cellStyle name="?_EM-SKTelecom_old_BenQ Model-wip" xfId="10772" xr:uid="{00000000-0005-0000-0000-000060010000}"/>
    <cellStyle name="?_EM-SKTelecom_old_Cheng Shin Model1" xfId="10773" xr:uid="{00000000-0005-0000-0000-000061010000}"/>
    <cellStyle name="?_EM-SKTelecom_old_Compal Comm Model--wip" xfId="10774" xr:uid="{00000000-0005-0000-0000-000062010000}"/>
    <cellStyle name="?_EM-SKTelecom_old_EM-HTI" xfId="2557" xr:uid="{00000000-0005-0000-0000-000063010000}"/>
    <cellStyle name="?_EM-SKTelecom_old_EM-HTI_Marketing file_ Exhibits" xfId="10288" xr:uid="{00000000-0005-0000-0000-000064010000}"/>
    <cellStyle name="?_EM-SKTelecom_old_EM-HTI_People's food-Initiation exhibits" xfId="10289" xr:uid="{00000000-0005-0000-0000-000065010000}"/>
    <cellStyle name="?_EM-SKTelecom_old_for notexpress" xfId="10775" xr:uid="{00000000-0005-0000-0000-000066010000}"/>
    <cellStyle name="?_EM-SKTelecom_old_GQ" xfId="10776" xr:uid="{00000000-0005-0000-0000-000067010000}"/>
    <cellStyle name="?_EM-SKTelecom_old_High Tech Computer (Actual vs GS)" xfId="10777" xr:uid="{00000000-0005-0000-0000-000068010000}"/>
    <cellStyle name="?_EM-SKTelecom_old_High Tech Computer (GQ)" xfId="10778" xr:uid="{00000000-0005-0000-0000-000069010000}"/>
    <cellStyle name="?_EM-SKTelecom_old_High Tech Computer-wip-rob" xfId="10779" xr:uid="{00000000-0005-0000-0000-00006A010000}"/>
    <cellStyle name="?_EM-SKTelecom_old_Q sheet 2353" xfId="10780" xr:uid="{00000000-0005-0000-0000-00006B010000}"/>
    <cellStyle name="?_EM-SKTelecom_old_Q sheet for Acer" xfId="10781" xr:uid="{00000000-0005-0000-0000-00006C010000}"/>
    <cellStyle name="?_EM-SKTelecom_old_Realtek Model-020105" xfId="10782" xr:uid="{00000000-0005-0000-0000-00006D010000}"/>
    <cellStyle name="?_EM-SKTelecom_old_Realtek Model-wip" xfId="10783" xr:uid="{00000000-0005-0000-0000-00006E010000}"/>
    <cellStyle name="?_EM-SKTelecom_old_salesfcstBENQ0923" xfId="10784" xr:uid="{00000000-0005-0000-0000-00006F010000}"/>
    <cellStyle name="?_EM-SKTelecom_old_salesfcstBENQ09231" xfId="10785" xr:uid="{00000000-0005-0000-0000-000070010000}"/>
    <cellStyle name="?_EM-SKTelecom_old_Tsann Kuen Model (EXT 2004-12-01)" xfId="10786" xr:uid="{00000000-0005-0000-0000-000071010000}"/>
    <cellStyle name="?_EM-SKTelecom_old_ZTE Model--wip" xfId="10787" xr:uid="{00000000-0005-0000-0000-000072010000}"/>
    <cellStyle name="?_GQ_example (Tsann Kuen)" xfId="10788" xr:uid="{00000000-0005-0000-0000-000073010000}"/>
    <cellStyle name="?_GS Assumptions-F" xfId="2558" xr:uid="{00000000-0005-0000-0000-000074010000}"/>
    <cellStyle name="?_GS Assumptions-F_Cheng Shin Model" xfId="2559" xr:uid="{00000000-0005-0000-0000-000075010000}"/>
    <cellStyle name="?_GS Assumptions-F_Cheng Shin Model 2" xfId="10290" xr:uid="{00000000-0005-0000-0000-000076010000}"/>
    <cellStyle name="?_GS Assumptions-F_Cheng Shin Model_Marketing file_ Exhibits" xfId="10291" xr:uid="{00000000-0005-0000-0000-000077010000}"/>
    <cellStyle name="?_GS Assumptions-F_Cheng Shin Model_People's food-Initiation exhibits" xfId="10292" xr:uid="{00000000-0005-0000-0000-000078010000}"/>
    <cellStyle name="?_GS Assumptions-F_Cheng Shin Model1" xfId="10789" xr:uid="{00000000-0005-0000-0000-000079010000}"/>
    <cellStyle name="?_GS Assumptions-F_EM-Optus" xfId="2560" xr:uid="{00000000-0005-0000-0000-00007A010000}"/>
    <cellStyle name="?_GS Assumptions-F_EM-Optus_Marketing file_ Exhibits" xfId="10293" xr:uid="{00000000-0005-0000-0000-00007B010000}"/>
    <cellStyle name="?_GS Assumptions-F_EM-Optus_People's food-Initiation exhibits" xfId="10294" xr:uid="{00000000-0005-0000-0000-00007C010000}"/>
    <cellStyle name="?_GS Assumptions-F_GQ_example (Tsann Kuen)" xfId="10790" xr:uid="{00000000-0005-0000-0000-00007D010000}"/>
    <cellStyle name="?_GS Assumptions-F_Marketing file_ Exhibits" xfId="10295" xr:uid="{00000000-0005-0000-0000-00007E010000}"/>
    <cellStyle name="?_GS Assumptions-F_People's food-Initiation exhibits" xfId="10296" xr:uid="{00000000-0005-0000-0000-00007F010000}"/>
    <cellStyle name="?_GS Assumptions-F_Taiwan Auto Company DCF Comparison" xfId="2561" xr:uid="{00000000-0005-0000-0000-000080010000}"/>
    <cellStyle name="?_GS Assumptions-F_Taiwan Auto Company DCF Comparison 2" xfId="10297" xr:uid="{00000000-0005-0000-0000-000081010000}"/>
    <cellStyle name="?_GS Assumptions-F_Taiwan Auto Company DCF Comparison_Marketing file_ Exhibits" xfId="10298" xr:uid="{00000000-0005-0000-0000-000082010000}"/>
    <cellStyle name="?_GS Assumptions-F_Taiwan Auto Company DCF Comparison_People's food-Initiation exhibits" xfId="10299" xr:uid="{00000000-0005-0000-0000-000083010000}"/>
    <cellStyle name="?_GS Assumptions-F_Tong Yang Model" xfId="2562" xr:uid="{00000000-0005-0000-0000-000084010000}"/>
    <cellStyle name="?_GS Assumptions-F_Tong Yang Model 2" xfId="10300" xr:uid="{00000000-0005-0000-0000-000085010000}"/>
    <cellStyle name="?_GS Assumptions-F_Tong Yang Model_Marketing file_ Exhibits" xfId="10301" xr:uid="{00000000-0005-0000-0000-000086010000}"/>
    <cellStyle name="?_GS Assumptions-F_Tong Yang Model_People's food-Initiation exhibits" xfId="10302" xr:uid="{00000000-0005-0000-0000-000087010000}"/>
    <cellStyle name="?_GS Assumptions-F_Tsann Kuen Model (EXT 2004-12-01)" xfId="10791" xr:uid="{00000000-0005-0000-0000-000088010000}"/>
    <cellStyle name="?_GS_Balance" xfId="2563" xr:uid="{00000000-0005-0000-0000-000089010000}"/>
    <cellStyle name="?_GS_Balance_Cheng Shin Model" xfId="2564" xr:uid="{00000000-0005-0000-0000-00008A010000}"/>
    <cellStyle name="?_GS_Balance_Cheng Shin Model 2" xfId="10303" xr:uid="{00000000-0005-0000-0000-00008B010000}"/>
    <cellStyle name="?_GS_Balance_Cheng Shin Model_Marketing file_ Exhibits" xfId="10304" xr:uid="{00000000-0005-0000-0000-00008C010000}"/>
    <cellStyle name="?_GS_Balance_Cheng Shin Model_People's food-Initiation exhibits" xfId="10305" xr:uid="{00000000-0005-0000-0000-00008D010000}"/>
    <cellStyle name="?_GS_Balance_Cheng Shin Model1" xfId="10792" xr:uid="{00000000-0005-0000-0000-00008E010000}"/>
    <cellStyle name="?_GS_Balance_EM-Optus" xfId="2565" xr:uid="{00000000-0005-0000-0000-00008F010000}"/>
    <cellStyle name="?_GS_Balance_EM-Optus_Marketing file_ Exhibits" xfId="10306" xr:uid="{00000000-0005-0000-0000-000090010000}"/>
    <cellStyle name="?_GS_Balance_EM-Optus_People's food-Initiation exhibits" xfId="10307" xr:uid="{00000000-0005-0000-0000-000091010000}"/>
    <cellStyle name="?_GS_Balance_GQ_example (Tsann Kuen)" xfId="10793" xr:uid="{00000000-0005-0000-0000-000092010000}"/>
    <cellStyle name="?_GS_Balance_Marketing file_ Exhibits" xfId="10308" xr:uid="{00000000-0005-0000-0000-000093010000}"/>
    <cellStyle name="?_GS_Balance_People's food-Initiation exhibits" xfId="10309" xr:uid="{00000000-0005-0000-0000-000094010000}"/>
    <cellStyle name="?_GS_Balance_Taiwan Auto Company DCF Comparison" xfId="2566" xr:uid="{00000000-0005-0000-0000-000095010000}"/>
    <cellStyle name="?_GS_Balance_Taiwan Auto Company DCF Comparison 2" xfId="10310" xr:uid="{00000000-0005-0000-0000-000096010000}"/>
    <cellStyle name="?_GS_Balance_Taiwan Auto Company DCF Comparison_Marketing file_ Exhibits" xfId="10311" xr:uid="{00000000-0005-0000-0000-000097010000}"/>
    <cellStyle name="?_GS_Balance_Taiwan Auto Company DCF Comparison_People's food-Initiation exhibits" xfId="10312" xr:uid="{00000000-0005-0000-0000-000098010000}"/>
    <cellStyle name="?_GS_Balance_Tong Yang Model" xfId="2567" xr:uid="{00000000-0005-0000-0000-000099010000}"/>
    <cellStyle name="?_GS_Balance_Tong Yang Model 2" xfId="10313" xr:uid="{00000000-0005-0000-0000-00009A010000}"/>
    <cellStyle name="?_GS_Balance_Tong Yang Model_Marketing file_ Exhibits" xfId="10314" xr:uid="{00000000-0005-0000-0000-00009B010000}"/>
    <cellStyle name="?_GS_Balance_Tong Yang Model_People's food-Initiation exhibits" xfId="10315" xr:uid="{00000000-0005-0000-0000-00009C010000}"/>
    <cellStyle name="?_GS_Balance_Tsann Kuen Model (EXT 2004-12-01)" xfId="10794" xr:uid="{00000000-0005-0000-0000-00009D010000}"/>
    <cellStyle name="?_GS_Cash " xfId="2" xr:uid="{00000000-0005-0000-0000-00009E010000}"/>
    <cellStyle name="?_GS_Cash  (2)" xfId="2568" xr:uid="{00000000-0005-0000-0000-00009F010000}"/>
    <cellStyle name="?_GS_Cash  (2)_Cheng Shin Model" xfId="2569" xr:uid="{00000000-0005-0000-0000-0000A0010000}"/>
    <cellStyle name="?_GS_Cash  (2)_Cheng Shin Model 2" xfId="10316" xr:uid="{00000000-0005-0000-0000-0000A1010000}"/>
    <cellStyle name="?_GS_Cash  (2)_Cheng Shin Model_Marketing file_ Exhibits" xfId="10317" xr:uid="{00000000-0005-0000-0000-0000A2010000}"/>
    <cellStyle name="?_GS_Cash  (2)_Cheng Shin Model_People's food-Initiation exhibits" xfId="10318" xr:uid="{00000000-0005-0000-0000-0000A3010000}"/>
    <cellStyle name="?_GS_Cash  (2)_Cheng Shin Model1" xfId="10795" xr:uid="{00000000-0005-0000-0000-0000A4010000}"/>
    <cellStyle name="?_GS_Cash  (2)_EM-Optus" xfId="2570" xr:uid="{00000000-0005-0000-0000-0000A5010000}"/>
    <cellStyle name="?_GS_Cash  (2)_EM-Optus_Marketing file_ Exhibits" xfId="10319" xr:uid="{00000000-0005-0000-0000-0000A6010000}"/>
    <cellStyle name="?_GS_Cash  (2)_EM-Optus_People's food-Initiation exhibits" xfId="10320" xr:uid="{00000000-0005-0000-0000-0000A7010000}"/>
    <cellStyle name="?_GS_Cash  (2)_GQ_example (Tsann Kuen)" xfId="10796" xr:uid="{00000000-0005-0000-0000-0000A8010000}"/>
    <cellStyle name="?_GS_Cash  (2)_Marketing file_ Exhibits" xfId="10321" xr:uid="{00000000-0005-0000-0000-0000A9010000}"/>
    <cellStyle name="?_GS_Cash  (2)_People's food-Initiation exhibits" xfId="10322" xr:uid="{00000000-0005-0000-0000-0000AA010000}"/>
    <cellStyle name="?_GS_Cash  (2)_Taiwan Auto Company DCF Comparison" xfId="2571" xr:uid="{00000000-0005-0000-0000-0000AB010000}"/>
    <cellStyle name="?_GS_Cash  (2)_Taiwan Auto Company DCF Comparison 2" xfId="10323" xr:uid="{00000000-0005-0000-0000-0000AC010000}"/>
    <cellStyle name="?_GS_Cash  (2)_Taiwan Auto Company DCF Comparison_Marketing file_ Exhibits" xfId="10324" xr:uid="{00000000-0005-0000-0000-0000AD010000}"/>
    <cellStyle name="?_GS_Cash  (2)_Taiwan Auto Company DCF Comparison_People's food-Initiation exhibits" xfId="10325" xr:uid="{00000000-0005-0000-0000-0000AE010000}"/>
    <cellStyle name="?_GS_Cash  (2)_Tong Yang Model" xfId="2572" xr:uid="{00000000-0005-0000-0000-0000AF010000}"/>
    <cellStyle name="?_GS_Cash  (2)_Tong Yang Model 2" xfId="10326" xr:uid="{00000000-0005-0000-0000-0000B0010000}"/>
    <cellStyle name="?_GS_Cash  (2)_Tong Yang Model_Marketing file_ Exhibits" xfId="10327" xr:uid="{00000000-0005-0000-0000-0000B1010000}"/>
    <cellStyle name="?_GS_Cash  (2)_Tong Yang Model_People's food-Initiation exhibits" xfId="10328" xr:uid="{00000000-0005-0000-0000-0000B2010000}"/>
    <cellStyle name="?_GS_Cash  (2)_Tsann Kuen Model (EXT 2004-12-01)" xfId="10797" xr:uid="{00000000-0005-0000-0000-0000B3010000}"/>
    <cellStyle name="?_GS_Cash  2" xfId="10329" xr:uid="{00000000-0005-0000-0000-0000B4010000}"/>
    <cellStyle name="?_GS_Cash  3" xfId="10330" xr:uid="{00000000-0005-0000-0000-0000B5010000}"/>
    <cellStyle name="?_GS_Cash _000858.SZ" xfId="10331" xr:uid="{00000000-0005-0000-0000-0000B6010000}"/>
    <cellStyle name="?_GS_Cash _AsiaInfo Model 110308" xfId="2573" xr:uid="{00000000-0005-0000-0000-0000B7010000}"/>
    <cellStyle name="?_GS_Cash _Cheng Shin Model" xfId="2574" xr:uid="{00000000-0005-0000-0000-0000B8010000}"/>
    <cellStyle name="?_GS_Cash _Cheng Shin Model 2" xfId="10332" xr:uid="{00000000-0005-0000-0000-0000B9010000}"/>
    <cellStyle name="?_GS_Cash _Cheng Shin Model_Marketing file_ Exhibits" xfId="10333" xr:uid="{00000000-0005-0000-0000-0000BA010000}"/>
    <cellStyle name="?_GS_Cash _Cheng Shin Model_People's food-Initiation exhibits" xfId="10334" xr:uid="{00000000-0005-0000-0000-0000BB010000}"/>
    <cellStyle name="?_GS_Cash _Cheng Shin Model1" xfId="10798" xr:uid="{00000000-0005-0000-0000-0000BC010000}"/>
    <cellStyle name="?_GS_Cash _EM-Optus" xfId="2575" xr:uid="{00000000-0005-0000-0000-0000BD010000}"/>
    <cellStyle name="?_GS_Cash _EM-Optus_Marketing file_ Exhibits" xfId="10335" xr:uid="{00000000-0005-0000-0000-0000BE010000}"/>
    <cellStyle name="?_GS_Cash _EM-Optus_People's food-Initiation exhibits" xfId="10336" xr:uid="{00000000-0005-0000-0000-0000BF010000}"/>
    <cellStyle name="?_GS_Cash _GQ_example (Tsann Kuen)" xfId="10799" xr:uid="{00000000-0005-0000-0000-0000C0010000}"/>
    <cellStyle name="?_GS_Cash _Marketing file_ Exhibits" xfId="10337" xr:uid="{00000000-0005-0000-0000-0000C1010000}"/>
    <cellStyle name="?_GS_Cash _People's food-Initiation exhibits" xfId="10338" xr:uid="{00000000-0005-0000-0000-0000C2010000}"/>
    <cellStyle name="?_GS_Cash _Taiwan Auto Company DCF Comparison" xfId="2576" xr:uid="{00000000-0005-0000-0000-0000C3010000}"/>
    <cellStyle name="?_GS_Cash _Taiwan Auto Company DCF Comparison 2" xfId="10339" xr:uid="{00000000-0005-0000-0000-0000C4010000}"/>
    <cellStyle name="?_GS_Cash _Taiwan Auto Company DCF Comparison_Marketing file_ Exhibits" xfId="10340" xr:uid="{00000000-0005-0000-0000-0000C5010000}"/>
    <cellStyle name="?_GS_Cash _Taiwan Auto Company DCF Comparison_People's food-Initiation exhibits" xfId="10341" xr:uid="{00000000-0005-0000-0000-0000C6010000}"/>
    <cellStyle name="?_GS_Cash _Tong Yang Model" xfId="2577" xr:uid="{00000000-0005-0000-0000-0000C7010000}"/>
    <cellStyle name="?_GS_Cash _Tong Yang Model 2" xfId="10342" xr:uid="{00000000-0005-0000-0000-0000C8010000}"/>
    <cellStyle name="?_GS_Cash _Tong Yang Model_Marketing file_ Exhibits" xfId="10343" xr:uid="{00000000-0005-0000-0000-0000C9010000}"/>
    <cellStyle name="?_GS_Cash _Tong Yang Model_People's food-Initiation exhibits" xfId="10344" xr:uid="{00000000-0005-0000-0000-0000CA010000}"/>
    <cellStyle name="?_GS_Cash _Tsann Kuen Model (EXT 2004-12-01)" xfId="10800" xr:uid="{00000000-0005-0000-0000-0000CB010000}"/>
    <cellStyle name="?_GS_DCF" xfId="2578" xr:uid="{00000000-0005-0000-0000-0000CC010000}"/>
    <cellStyle name="?_GS_DCF_Cheng Shin Model" xfId="2579" xr:uid="{00000000-0005-0000-0000-0000CD010000}"/>
    <cellStyle name="?_GS_DCF_Cheng Shin Model 2" xfId="10345" xr:uid="{00000000-0005-0000-0000-0000CE010000}"/>
    <cellStyle name="?_GS_DCF_Cheng Shin Model_Marketing file_ Exhibits" xfId="10346" xr:uid="{00000000-0005-0000-0000-0000CF010000}"/>
    <cellStyle name="?_GS_DCF_Cheng Shin Model_People's food-Initiation exhibits" xfId="10347" xr:uid="{00000000-0005-0000-0000-0000D0010000}"/>
    <cellStyle name="?_GS_DCF_Cheng Shin Model1" xfId="10801" xr:uid="{00000000-0005-0000-0000-0000D1010000}"/>
    <cellStyle name="?_GS_DCF_EM-Optus" xfId="2580" xr:uid="{00000000-0005-0000-0000-0000D2010000}"/>
    <cellStyle name="?_GS_DCF_EM-Optus_Marketing file_ Exhibits" xfId="10348" xr:uid="{00000000-0005-0000-0000-0000D3010000}"/>
    <cellStyle name="?_GS_DCF_EM-Optus_People's food-Initiation exhibits" xfId="10349" xr:uid="{00000000-0005-0000-0000-0000D4010000}"/>
    <cellStyle name="?_GS_DCF_GQ_example (Tsann Kuen)" xfId="10802" xr:uid="{00000000-0005-0000-0000-0000D5010000}"/>
    <cellStyle name="?_GS_DCF_Marketing file_ Exhibits" xfId="10350" xr:uid="{00000000-0005-0000-0000-0000D6010000}"/>
    <cellStyle name="?_GS_DCF_People's food-Initiation exhibits" xfId="10351" xr:uid="{00000000-0005-0000-0000-0000D7010000}"/>
    <cellStyle name="?_GS_DCF_Taiwan Auto Company DCF Comparison" xfId="2581" xr:uid="{00000000-0005-0000-0000-0000D8010000}"/>
    <cellStyle name="?_GS_DCF_Taiwan Auto Company DCF Comparison 2" xfId="10352" xr:uid="{00000000-0005-0000-0000-0000D9010000}"/>
    <cellStyle name="?_GS_DCF_Taiwan Auto Company DCF Comparison_Marketing file_ Exhibits" xfId="10353" xr:uid="{00000000-0005-0000-0000-0000DA010000}"/>
    <cellStyle name="?_GS_DCF_Taiwan Auto Company DCF Comparison_People's food-Initiation exhibits" xfId="10354" xr:uid="{00000000-0005-0000-0000-0000DB010000}"/>
    <cellStyle name="?_GS_DCF_Tong Yang Model" xfId="2582" xr:uid="{00000000-0005-0000-0000-0000DC010000}"/>
    <cellStyle name="?_GS_DCF_Tong Yang Model 2" xfId="10355" xr:uid="{00000000-0005-0000-0000-0000DD010000}"/>
    <cellStyle name="?_GS_DCF_Tong Yang Model_Marketing file_ Exhibits" xfId="10356" xr:uid="{00000000-0005-0000-0000-0000DE010000}"/>
    <cellStyle name="?_GS_DCF_Tong Yang Model_People's food-Initiation exhibits" xfId="10357" xr:uid="{00000000-0005-0000-0000-0000DF010000}"/>
    <cellStyle name="?_GS_DCF_Tsann Kuen Model (EXT 2004-12-01)" xfId="10803" xr:uid="{00000000-0005-0000-0000-0000E0010000}"/>
    <cellStyle name="?_GS_PNL" xfId="2583" xr:uid="{00000000-0005-0000-0000-0000E1010000}"/>
    <cellStyle name="?_GS_PNL_Cheng Shin Model" xfId="2584" xr:uid="{00000000-0005-0000-0000-0000E2010000}"/>
    <cellStyle name="?_GS_PNL_Cheng Shin Model 2" xfId="10358" xr:uid="{00000000-0005-0000-0000-0000E3010000}"/>
    <cellStyle name="?_GS_PNL_Cheng Shin Model_Marketing file_ Exhibits" xfId="10359" xr:uid="{00000000-0005-0000-0000-0000E4010000}"/>
    <cellStyle name="?_GS_PNL_Cheng Shin Model_People's food-Initiation exhibits" xfId="10360" xr:uid="{00000000-0005-0000-0000-0000E5010000}"/>
    <cellStyle name="?_GS_PNL_Cheng Shin Model1" xfId="10804" xr:uid="{00000000-0005-0000-0000-0000E6010000}"/>
    <cellStyle name="?_GS_PNL_EM-Optus" xfId="2585" xr:uid="{00000000-0005-0000-0000-0000E7010000}"/>
    <cellStyle name="?_GS_PNL_EM-Optus_Marketing file_ Exhibits" xfId="10361" xr:uid="{00000000-0005-0000-0000-0000E8010000}"/>
    <cellStyle name="?_GS_PNL_EM-Optus_People's food-Initiation exhibits" xfId="10362" xr:uid="{00000000-0005-0000-0000-0000E9010000}"/>
    <cellStyle name="?_GS_PNL_GQ_example (Tsann Kuen)" xfId="10805" xr:uid="{00000000-0005-0000-0000-0000EA010000}"/>
    <cellStyle name="?_GS_PNL_Marketing file_ Exhibits" xfId="10363" xr:uid="{00000000-0005-0000-0000-0000EB010000}"/>
    <cellStyle name="?_GS_PNL_People's food-Initiation exhibits" xfId="10364" xr:uid="{00000000-0005-0000-0000-0000EC010000}"/>
    <cellStyle name="?_GS_PNL_Taiwan Auto Company DCF Comparison" xfId="2586" xr:uid="{00000000-0005-0000-0000-0000ED010000}"/>
    <cellStyle name="?_GS_PNL_Taiwan Auto Company DCF Comparison 2" xfId="10365" xr:uid="{00000000-0005-0000-0000-0000EE010000}"/>
    <cellStyle name="?_GS_PNL_Taiwan Auto Company DCF Comparison_Marketing file_ Exhibits" xfId="10366" xr:uid="{00000000-0005-0000-0000-0000EF010000}"/>
    <cellStyle name="?_GS_PNL_Taiwan Auto Company DCF Comparison_People's food-Initiation exhibits" xfId="10367" xr:uid="{00000000-0005-0000-0000-0000F0010000}"/>
    <cellStyle name="?_GS_PNL_Tong Yang Model" xfId="2587" xr:uid="{00000000-0005-0000-0000-0000F1010000}"/>
    <cellStyle name="?_GS_PNL_Tong Yang Model 2" xfId="10368" xr:uid="{00000000-0005-0000-0000-0000F2010000}"/>
    <cellStyle name="?_GS_PNL_Tong Yang Model_Marketing file_ Exhibits" xfId="10369" xr:uid="{00000000-0005-0000-0000-0000F3010000}"/>
    <cellStyle name="?_GS_PNL_Tong Yang Model_People's food-Initiation exhibits" xfId="10370" xr:uid="{00000000-0005-0000-0000-0000F4010000}"/>
    <cellStyle name="?_GS_PNL_Tsann Kuen Model (EXT 2004-12-01)" xfId="10806" xr:uid="{00000000-0005-0000-0000-0000F5010000}"/>
    <cellStyle name="?_Marketing file_ Exhibits" xfId="10371" xr:uid="{00000000-0005-0000-0000-0000F6010000}"/>
    <cellStyle name="?_PE charts" xfId="10372" xr:uid="{00000000-0005-0000-0000-0000F7010000}"/>
    <cellStyle name="?_People's food-Initiation exhibits" xfId="10373" xr:uid="{00000000-0005-0000-0000-0000F8010000}"/>
    <cellStyle name="?_Taiwan Auto Company DCF Comparison" xfId="2588" xr:uid="{00000000-0005-0000-0000-0000F9010000}"/>
    <cellStyle name="?_Taiwan Auto Company DCF Comparison 2" xfId="10374" xr:uid="{00000000-0005-0000-0000-0000FA010000}"/>
    <cellStyle name="?_Taiwan Auto Company DCF Comparison_Marketing file_ Exhibits" xfId="10375" xr:uid="{00000000-0005-0000-0000-0000FB010000}"/>
    <cellStyle name="?_Taiwan Auto Company DCF Comparison_People's food-Initiation exhibits" xfId="10376" xr:uid="{00000000-0005-0000-0000-0000FC010000}"/>
    <cellStyle name="?_Tong Yang Model" xfId="2589" xr:uid="{00000000-0005-0000-0000-0000FD010000}"/>
    <cellStyle name="?_Tong Yang Model 2" xfId="10377" xr:uid="{00000000-0005-0000-0000-0000FE010000}"/>
    <cellStyle name="?_Tong Yang Model_Marketing file_ Exhibits" xfId="10378" xr:uid="{00000000-0005-0000-0000-0000FF010000}"/>
    <cellStyle name="?_Tong Yang Model_People's food-Initiation exhibits" xfId="10379" xr:uid="{00000000-0005-0000-0000-000000020000}"/>
    <cellStyle name="?_Tsann Kuen Model (EXT 2004-12-01)" xfId="10807" xr:uid="{00000000-0005-0000-0000-000001020000}"/>
    <cellStyle name="?BP" xfId="2591" xr:uid="{00000000-0005-0000-0000-000002020000}"/>
    <cellStyle name="?d?A|i[0]_LOAN (2)" xfId="10808" xr:uid="{00000000-0005-0000-0000-000003020000}"/>
    <cellStyle name="?d?A|i_LOAN (2)" xfId="10809" xr:uid="{00000000-0005-0000-0000-000004020000}"/>
    <cellStyle name="?JY" xfId="2592" xr:uid="{00000000-0005-0000-0000-000005020000}"/>
    <cellStyle name="?Q\?1@" xfId="10810" xr:uid="{00000000-0005-0000-0000-000006020000}"/>
    <cellStyle name="?W?_iij_base_bs" xfId="2593" xr:uid="{00000000-0005-0000-0000-000007020000}"/>
    <cellStyle name="?W・_iij_base_bs" xfId="2594" xr:uid="{00000000-0005-0000-0000-000008020000}"/>
    <cellStyle name="?W3s£g2" xfId="4225" xr:uid="{00000000-0005-0000-0000-000009020000}"/>
    <cellStyle name="?W3s2" xfId="4226" xr:uid="{00000000-0005-0000-0000-00000A020000}"/>
    <cellStyle name="?鹎%U龡&amp;H鼼_x0008__x0001__x001f_?_x0007__x0001__x0001_" xfId="10380" xr:uid="{00000000-0005-0000-0000-00000B020000}"/>
    <cellStyle name="?鹎%U龡&amp;H鼼_x0008_V_x0011_._x0012__x0007__x0001__x0001_" xfId="4227" xr:uid="{00000000-0005-0000-0000-00000C020000}"/>
    <cellStyle name="@_text" xfId="2595" xr:uid="{00000000-0005-0000-0000-00000D020000}"/>
    <cellStyle name="@_text_中国神华业A+H股模型－new" xfId="4228" xr:uid="{00000000-0005-0000-0000-00000E020000}"/>
    <cellStyle name="@NOW" xfId="6961" xr:uid="{00000000-0005-0000-0000-00000F020000}"/>
    <cellStyle name="[0%]" xfId="10959" xr:uid="{00000000-0005-0000-0000-000010020000}"/>
    <cellStyle name="[0.0%]" xfId="2596" xr:uid="{00000000-0005-0000-0000-000011020000}"/>
    <cellStyle name="[0.0]" xfId="2597" xr:uid="{00000000-0005-0000-0000-000012020000}"/>
    <cellStyle name="[0.0] 2" xfId="10811" xr:uid="{00000000-0005-0000-0000-000013020000}"/>
    <cellStyle name="[0.00%]" xfId="2598" xr:uid="{00000000-0005-0000-0000-000014020000}"/>
    <cellStyle name="[0.00%] 2" xfId="7812" xr:uid="{00000000-0005-0000-0000-000015020000}"/>
    <cellStyle name="[0.00%] 3" xfId="7813" xr:uid="{00000000-0005-0000-0000-000016020000}"/>
    <cellStyle name="[0.00%] 4" xfId="7814" xr:uid="{00000000-0005-0000-0000-000017020000}"/>
    <cellStyle name="[0.00]" xfId="10812" xr:uid="{00000000-0005-0000-0000-000018020000}"/>
    <cellStyle name="[0.0X]" xfId="10960" xr:uid="{00000000-0005-0000-0000-000019020000}"/>
    <cellStyle name="[0]" xfId="2599" xr:uid="{00000000-0005-0000-0000-00001A020000}"/>
    <cellStyle name="[0] 2" xfId="4183" xr:uid="{00000000-0005-0000-0000-00001B020000}"/>
    <cellStyle name="[0] 3" xfId="10734" xr:uid="{00000000-0005-0000-0000-00001C020000}"/>
    <cellStyle name="[yyyy/m/d]" xfId="10961" xr:uid="{00000000-0005-0000-0000-00001D020000}"/>
    <cellStyle name="]_^[꺞_x0008_?" xfId="10411" xr:uid="{00000000-0005-0000-0000-00001E020000}"/>
    <cellStyle name="—_&quot;History" xfId="10381" xr:uid="{00000000-0005-0000-0000-00001F020000}"/>
    <cellStyle name="—_&quot;History_Delay Projects" xfId="10382" xr:uid="{00000000-0005-0000-0000-000020020000}"/>
    <cellStyle name="—_&quot;History_Delay Projects_PE charts" xfId="10383" xr:uid="{00000000-0005-0000-0000-000021020000}"/>
    <cellStyle name="—_&quot;History_Model" xfId="10384" xr:uid="{00000000-0005-0000-0000-000022020000}"/>
    <cellStyle name="—_&quot;History_Model_PE charts" xfId="10385" xr:uid="{00000000-0005-0000-0000-000023020000}"/>
    <cellStyle name="—_&quot;History_PE charts" xfId="10386" xr:uid="{00000000-0005-0000-0000-000024020000}"/>
    <cellStyle name="_%(SignOnly)" xfId="2600" xr:uid="{00000000-0005-0000-0000-000025020000}"/>
    <cellStyle name="_%(SignOnly) 2" xfId="10387" xr:uid="{00000000-0005-0000-0000-000026020000}"/>
    <cellStyle name="_%(SignOnly) 3" xfId="10388" xr:uid="{00000000-0005-0000-0000-000027020000}"/>
    <cellStyle name="_%(SignOnly) 4" xfId="10389" xr:uid="{00000000-0005-0000-0000-000028020000}"/>
    <cellStyle name="_%(SignSpaceOnly)" xfId="2601" xr:uid="{00000000-0005-0000-0000-000029020000}"/>
    <cellStyle name="_%(SignSpaceOnly) 2" xfId="10390" xr:uid="{00000000-0005-0000-0000-00002A020000}"/>
    <cellStyle name="_%(SignSpaceOnly) 3" xfId="10391" xr:uid="{00000000-0005-0000-0000-00002B020000}"/>
    <cellStyle name="_%(SignSpaceOnly) 4" xfId="10392" xr:uid="{00000000-0005-0000-0000-00002C020000}"/>
    <cellStyle name="—_(GS) China Pharmaceutical Group model" xfId="2602" xr:uid="{00000000-0005-0000-0000-00002D020000}"/>
    <cellStyle name="—_(GS) China Pharmaceutical Group model_Marketing file_ Exhibits" xfId="10393" xr:uid="{00000000-0005-0000-0000-00002E020000}"/>
    <cellStyle name="—_(GS) China Pharmaceutical Group model_People's food-Initiation exhibits" xfId="10394" xr:uid="{00000000-0005-0000-0000-00002F020000}"/>
    <cellStyle name="—_(GS) China Pharmaceutical Group model_Want-Want" xfId="10395" xr:uid="{00000000-0005-0000-0000-000030020000}"/>
    <cellStyle name="—_(GS) Global Bio-chem model" xfId="2603" xr:uid="{00000000-0005-0000-0000-000031020000}"/>
    <cellStyle name="_??" xfId="10412" xr:uid="{00000000-0005-0000-0000-000032020000}"/>
    <cellStyle name="_000422 Hubei Yihua" xfId="4229" xr:uid="{00000000-0005-0000-0000-000033020000}"/>
    <cellStyle name="_000422 Hubei Yihua_Standardized" xfId="4230" xr:uid="{00000000-0005-0000-0000-000034020000}"/>
    <cellStyle name="_000729. SZ" xfId="10396" xr:uid="{00000000-0005-0000-0000-000035020000}"/>
    <cellStyle name="_000858.SZ" xfId="10397" xr:uid="{00000000-0005-0000-0000-000036020000}"/>
    <cellStyle name="_0014" xfId="10962" xr:uid="{00000000-0005-0000-0000-000037020000}"/>
    <cellStyle name="_0066" xfId="10413" xr:uid="{00000000-0005-0000-0000-000038020000}"/>
    <cellStyle name="_042506_Orionsnack_intl" xfId="10963" xr:uid="{00000000-0005-0000-0000-000039020000}"/>
    <cellStyle name="_0518" xfId="10964" xr:uid="{00000000-0005-0000-0000-00003A020000}"/>
    <cellStyle name="_05222333" xfId="10414" xr:uid="{00000000-0005-0000-0000-00003B020000}"/>
    <cellStyle name="_05222333_Handset market (황정하)" xfId="10415" xr:uid="{00000000-0005-0000-0000-00003C020000}"/>
    <cellStyle name="_05222333_Handset market (황정하)_Handset market (h)" xfId="10416" xr:uid="{00000000-0005-0000-0000-00003D020000}"/>
    <cellStyle name="_05222333_Handset market (황정하)_Handset market (h)_Handset market 2002 1117" xfId="10417" xr:uid="{00000000-0005-0000-0000-00003E020000}"/>
    <cellStyle name="_05222333_Handset market (황정하)_Handset market (h)_Handset market 2002 1117_handset market 2002 1117" xfId="10418" xr:uid="{00000000-0005-0000-0000-00003F020000}"/>
    <cellStyle name="_05222333_Handset market (황정하)_handset market 2002 1117" xfId="10419" xr:uid="{00000000-0005-0000-0000-000040020000}"/>
    <cellStyle name="_05222333_Handset market 2002 1117" xfId="10420" xr:uid="{00000000-0005-0000-0000-000041020000}"/>
    <cellStyle name="_05222333_Handset market 2002 1117_handset market 2002 1117" xfId="10421" xr:uid="{00000000-0005-0000-0000-000042020000}"/>
    <cellStyle name="_0593" xfId="10422" xr:uid="{00000000-0005-0000-0000-000043020000}"/>
    <cellStyle name="_0593_dh_revised4" xfId="10423" xr:uid="{00000000-0005-0000-0000-000044020000}"/>
    <cellStyle name="_0593_dh_revised4_Cheil Industries_EM3_CW" xfId="10424" xr:uid="{00000000-0005-0000-0000-000045020000}"/>
    <cellStyle name="_0593_dh_revised4_Core Logic_model2" xfId="10425" xr:uid="{00000000-0005-0000-0000-000046020000}"/>
    <cellStyle name="_0593_dh_revised4_Earnings chg" xfId="10426" xr:uid="{00000000-0005-0000-0000-000047020000}"/>
    <cellStyle name="_0593_dh_revised4_earnings revision" xfId="10427" xr:uid="{00000000-0005-0000-0000-000048020000}"/>
    <cellStyle name="_0593_dh_revised4_Earnings table" xfId="10428" xr:uid="{00000000-0005-0000-0000-000049020000}"/>
    <cellStyle name="_0593_dh_revised4_FS_forecast" xfId="10429" xr:uid="{00000000-0005-0000-0000-00004A020000}"/>
    <cellStyle name="_0593_dh_revised4_Hynix_model50" xfId="10430" xr:uid="{00000000-0005-0000-0000-00004B020000}"/>
    <cellStyle name="_0593_dh_revised4_Interflex_model9" xfId="10431" xr:uid="{00000000-0005-0000-0000-00004C020000}"/>
    <cellStyle name="_0593_dh_revised4_Interflex_model9_Cheil Industries_EM3_CW" xfId="10432" xr:uid="{00000000-0005-0000-0000-00004D020000}"/>
    <cellStyle name="_0593_dh_revised4_Interflex_model9_Earnings chg" xfId="10433" xr:uid="{00000000-0005-0000-0000-00004E020000}"/>
    <cellStyle name="_0593_dh_revised4_Interflex_model9_earnings revision" xfId="10434" xr:uid="{00000000-0005-0000-0000-00004F020000}"/>
    <cellStyle name="_0593_dh_revised4_Interflex_model9_Earnings table" xfId="10435" xr:uid="{00000000-0005-0000-0000-000050020000}"/>
    <cellStyle name="_0593_dh_revised4_Interflex_model9_FS_forecast" xfId="10436" xr:uid="{00000000-0005-0000-0000-000051020000}"/>
    <cellStyle name="_0593_dh_revised4_Interflex_model9_Hynix_model50" xfId="10437" xr:uid="{00000000-0005-0000-0000-000052020000}"/>
    <cellStyle name="_0593_dh_revised4_Interflex_model9_Presentation" xfId="10438" xr:uid="{00000000-0005-0000-0000-000053020000}"/>
    <cellStyle name="_0593_dh_revised4_Interflex_model9_SEC_New1" xfId="10439" xr:uid="{00000000-0005-0000-0000-000054020000}"/>
    <cellStyle name="_0593_dh_revised4_Interflex_model9_Sheet3" xfId="10440" xr:uid="{00000000-0005-0000-0000-000055020000}"/>
    <cellStyle name="_0593_dh_revised4_Interflex_model9_Techwin_EM_1" xfId="10441" xr:uid="{00000000-0005-0000-0000-000056020000}"/>
    <cellStyle name="_0593_dh_revised4_Presentation" xfId="10442" xr:uid="{00000000-0005-0000-0000-000057020000}"/>
    <cellStyle name="_0593_dh_revised4_SEC_New1" xfId="10443" xr:uid="{00000000-0005-0000-0000-000058020000}"/>
    <cellStyle name="_0593_dh_revised4_Sheet3" xfId="10444" xr:uid="{00000000-0005-0000-0000-000059020000}"/>
    <cellStyle name="_0593_dh_revised4_Techwin_EM_1" xfId="10445" xr:uid="{00000000-0005-0000-0000-00005A020000}"/>
    <cellStyle name="_070330补调的集成与维护分录" xfId="2604" xr:uid="{00000000-0005-0000-0000-00005B020000}"/>
    <cellStyle name="—_082806_KEPCO" xfId="10446" xr:uid="{00000000-0005-0000-0000-00005C020000}"/>
    <cellStyle name="_1 pager template" xfId="10965" xr:uid="{00000000-0005-0000-0000-00005D020000}"/>
    <cellStyle name="—_100902 Helen NTT FCF to be sent" xfId="2605" xr:uid="{00000000-0005-0000-0000-00005E020000}"/>
    <cellStyle name="_107197" xfId="2606" xr:uid="{00000000-0005-0000-0000-00005F020000}"/>
    <cellStyle name="_107197_2353tw_WIP" xfId="10966" xr:uid="{00000000-0005-0000-0000-000060020000}"/>
    <cellStyle name="_107197_2353tw_WIP modified" xfId="10967" xr:uid="{00000000-0005-0000-0000-000061020000}"/>
    <cellStyle name="_107197_BenQ Mode (GQ) 072604" xfId="10968" xr:uid="{00000000-0005-0000-0000-000062020000}"/>
    <cellStyle name="_107197_BenQ Model (4Q actual)" xfId="10969" xr:uid="{00000000-0005-0000-0000-000063020000}"/>
    <cellStyle name="_107197_BenQ Model consolidated 092304" xfId="10970" xr:uid="{00000000-0005-0000-0000-000064020000}"/>
    <cellStyle name="_107197_BenQ Model consolidated-wip" xfId="10971" xr:uid="{00000000-0005-0000-0000-000065020000}"/>
    <cellStyle name="_107197_BenQ Model consolidated-wip-rob" xfId="10972" xr:uid="{00000000-0005-0000-0000-000066020000}"/>
    <cellStyle name="_107197_BenQ Model-wip" xfId="10973" xr:uid="{00000000-0005-0000-0000-000067020000}"/>
    <cellStyle name="_107197_Cheng Shin Model1" xfId="10974" xr:uid="{00000000-0005-0000-0000-000068020000}"/>
    <cellStyle name="_107197_Compal Comm Model--wip" xfId="10975" xr:uid="{00000000-0005-0000-0000-000069020000}"/>
    <cellStyle name="_107197_for notexpress" xfId="10976" xr:uid="{00000000-0005-0000-0000-00006A020000}"/>
    <cellStyle name="_107197_GQ" xfId="10977" xr:uid="{00000000-0005-0000-0000-00006B020000}"/>
    <cellStyle name="_107197_High Tech Computer (Actual vs GS)" xfId="10978" xr:uid="{00000000-0005-0000-0000-00006C020000}"/>
    <cellStyle name="_107197_High Tech Computer (GQ)" xfId="10979" xr:uid="{00000000-0005-0000-0000-00006D020000}"/>
    <cellStyle name="_107197_High Tech Computer-wip-rob" xfId="10980" xr:uid="{00000000-0005-0000-0000-00006E020000}"/>
    <cellStyle name="_107197_Q sheet 2353" xfId="10981" xr:uid="{00000000-0005-0000-0000-00006F020000}"/>
    <cellStyle name="_107197_Q sheet for Acer" xfId="10982" xr:uid="{00000000-0005-0000-0000-000070020000}"/>
    <cellStyle name="_107197_Realtek Model-020105" xfId="10983" xr:uid="{00000000-0005-0000-0000-000071020000}"/>
    <cellStyle name="_107197_Realtek Model-wip" xfId="10984" xr:uid="{00000000-0005-0000-0000-000072020000}"/>
    <cellStyle name="_107197_salesfcstBENQ0923" xfId="10985" xr:uid="{00000000-0005-0000-0000-000073020000}"/>
    <cellStyle name="_107197_salesfcstBENQ09231" xfId="10986" xr:uid="{00000000-0005-0000-0000-000074020000}"/>
    <cellStyle name="_107197_Tsann Kuen Model (EXT 2004-12-01)" xfId="10987" xr:uid="{00000000-0005-0000-0000-000075020000}"/>
    <cellStyle name="_107197_ZTE Model--wip" xfId="10988" xr:uid="{00000000-0005-0000-0000-000076020000}"/>
    <cellStyle name="_1Red" xfId="2607" xr:uid="{00000000-0005-0000-0000-000077020000}"/>
    <cellStyle name="_2" xfId="10989" xr:uid="{00000000-0005-0000-0000-000078020000}"/>
    <cellStyle name="—_2004 TW conference_Tong Yang (1319.TW)" xfId="2608" xr:uid="{00000000-0005-0000-0000-000079020000}"/>
    <cellStyle name="—_2004 TW conference_Tong Yang (1319.TW)_BenQ Model consolidated-wip" xfId="10990" xr:uid="{00000000-0005-0000-0000-00007A020000}"/>
    <cellStyle name="—_2004 TW conference_Tong Yang (1319.TW)_BenQ Model-wip" xfId="10991" xr:uid="{00000000-0005-0000-0000-00007B020000}"/>
    <cellStyle name="—_2004 TW conference_Tong Yang (1319.TW)_GQ" xfId="10992" xr:uid="{00000000-0005-0000-0000-00007C020000}"/>
    <cellStyle name="—_2004 TW conference_Tong Yang (1319.TW)_High Tech Computer-wip" xfId="10993" xr:uid="{00000000-0005-0000-0000-00007D020000}"/>
    <cellStyle name="—_2004 TW conference_Tong Yang (1319.TW)_High Tech Computer-wip-rob" xfId="10994" xr:uid="{00000000-0005-0000-0000-00007E020000}"/>
    <cellStyle name="—_2004 TW conference_Tong Yang (1319.TW)_Realtek Model-wip" xfId="10995" xr:uid="{00000000-0005-0000-0000-00007F020000}"/>
    <cellStyle name="_2105 CSR (working)" xfId="10996" xr:uid="{00000000-0005-0000-0000-000080020000}"/>
    <cellStyle name="_2105 CSR (working)_eLong Model_F" xfId="10997" xr:uid="{00000000-0005-0000-0000-000081020000}"/>
    <cellStyle name="_2105 CSR (working)_resent_tencentModel" xfId="10998" xr:uid="{00000000-0005-0000-0000-000082020000}"/>
    <cellStyle name="_2353tw_WIP" xfId="10999" xr:uid="{00000000-0005-0000-0000-000083020000}"/>
    <cellStyle name="_2353tw_WIP modified" xfId="11000" xr:uid="{00000000-0005-0000-0000-000084020000}"/>
    <cellStyle name="_2409modl_1Q05 published on 033105" xfId="11001" xr:uid="{00000000-0005-0000-0000-000085020000}"/>
    <cellStyle name="_3009.model.11.07" xfId="11002" xr:uid="{00000000-0005-0000-0000-000086020000}"/>
    <cellStyle name="_3009modl_1Q05 analyst meeting" xfId="11003" xr:uid="{00000000-0005-0000-0000-000087020000}"/>
    <cellStyle name="_3009modl_2009_working" xfId="11004" xr:uid="{00000000-0005-0000-0000-000088020000}"/>
    <cellStyle name="_3913" xfId="11005" xr:uid="{00000000-0005-0000-0000-000089020000}"/>
    <cellStyle name="_4267" xfId="11006" xr:uid="{00000000-0005-0000-0000-00008A020000}"/>
    <cellStyle name="_4267 2" xfId="11007" xr:uid="{00000000-0005-0000-0000-00008B020000}"/>
    <cellStyle name="_4267 3" xfId="11008" xr:uid="{00000000-0005-0000-0000-00008C020000}"/>
    <cellStyle name="_4449" xfId="11009" xr:uid="{00000000-0005-0000-0000-00008D020000}"/>
    <cellStyle name="_4449 2" xfId="11010" xr:uid="{00000000-0005-0000-0000-00008E020000}"/>
    <cellStyle name="_4689" xfId="10447" xr:uid="{00000000-0005-0000-0000-00008F020000}"/>
    <cellStyle name="_4887" xfId="10448" xr:uid="{00000000-0005-0000-0000-000090020000}"/>
    <cellStyle name="_4907" xfId="10449" xr:uid="{00000000-0005-0000-0000-000091020000}"/>
    <cellStyle name="_5137" xfId="10450" xr:uid="{00000000-0005-0000-0000-000092020000}"/>
    <cellStyle name="_5271" xfId="10451" xr:uid="{00000000-0005-0000-0000-000093020000}"/>
    <cellStyle name="_600011-070404" xfId="4231" xr:uid="{00000000-0005-0000-0000-000094020000}"/>
    <cellStyle name="_600011-070815" xfId="4232" xr:uid="{00000000-0005-0000-0000-000095020000}"/>
    <cellStyle name="_600011-070926" xfId="4233" xr:uid="{00000000-0005-0000-0000-000096020000}"/>
    <cellStyle name="_600096 Yuntianhua" xfId="4234" xr:uid="{00000000-0005-0000-0000-000097020000}"/>
    <cellStyle name="_600426 Hualu Hengsheng_Standardized" xfId="4235" xr:uid="{00000000-0005-0000-0000-000098020000}"/>
    <cellStyle name="_600795_1H06 preview" xfId="4236" xr:uid="{00000000-0005-0000-0000-000099020000}"/>
    <cellStyle name="_600795PEPBEBITDA BAND model" xfId="4237" xr:uid="{00000000-0005-0000-0000-00009A020000}"/>
    <cellStyle name="_601991-070925" xfId="4238" xr:uid="{00000000-0005-0000-0000-00009B020000}"/>
    <cellStyle name="_6072" xfId="10452" xr:uid="{00000000-0005-0000-0000-00009C020000}"/>
    <cellStyle name="_66570 - LGE FY05 4Q05 preview" xfId="10453" xr:uid="{00000000-0005-0000-0000-00009D020000}"/>
    <cellStyle name="_7400" xfId="10454" xr:uid="{00000000-0005-0000-0000-00009E020000}"/>
    <cellStyle name="_A12450_삼성테크윈(040604)" xfId="11011" xr:uid="{00000000-0005-0000-0000-00009F020000}"/>
    <cellStyle name="—_Accts-BS" xfId="11012" xr:uid="{00000000-0005-0000-0000-0000A0020000}"/>
    <cellStyle name="_AEJ_Banks_p1" xfId="11013" xr:uid="{00000000-0005-0000-0000-0000A1020000}"/>
    <cellStyle name="_AEJ_Brokers_p1" xfId="11014" xr:uid="{00000000-0005-0000-0000-0000A2020000}"/>
    <cellStyle name="_AEJ_Ins_p1" xfId="11015" xr:uid="{00000000-0005-0000-0000-0000A3020000}"/>
    <cellStyle name="_Amotech - EM (Jan 2006)" xfId="10455" xr:uid="{00000000-0005-0000-0000-0000A4020000}"/>
    <cellStyle name="_annual" xfId="11016" xr:uid="{00000000-0005-0000-0000-0000A5020000}"/>
    <cellStyle name="_annual 2" xfId="11017" xr:uid="{00000000-0005-0000-0000-0000A6020000}"/>
    <cellStyle name="_Annual Revenue Assumption" xfId="4239" xr:uid="{00000000-0005-0000-0000-0000A7020000}"/>
    <cellStyle name="_Annual Revenue Assumptions" xfId="4240" xr:uid="{00000000-0005-0000-0000-0000A8020000}"/>
    <cellStyle name="_annual_Agabang_CV" xfId="11018" xr:uid="{00000000-0005-0000-0000-0000A9020000}"/>
    <cellStyle name="_annual_cap.chg" xfId="11019" xr:uid="{00000000-0005-0000-0000-0000AA020000}"/>
    <cellStyle name="_annual_charts" xfId="11020" xr:uid="{00000000-0005-0000-0000-0000AB020000}"/>
    <cellStyle name="_annual_CJHS earnings model_old" xfId="11021" xr:uid="{00000000-0005-0000-0000-0000AC020000}"/>
    <cellStyle name="_annual_CV format revised" xfId="11022" xr:uid="{00000000-0005-0000-0000-0000AD020000}"/>
    <cellStyle name="_annual_DS Infra earnings model" xfId="11023" xr:uid="{00000000-0005-0000-0000-0000AE020000}"/>
    <cellStyle name="_annual_DS Infra earnings model 2" xfId="11024" xr:uid="{00000000-0005-0000-0000-0000AF020000}"/>
    <cellStyle name="_annual_Duzon Digital Ware CV" xfId="11025" xr:uid="{00000000-0005-0000-0000-0000B0020000}"/>
    <cellStyle name="_annual_GSHS earnings model" xfId="11026" xr:uid="{00000000-0005-0000-0000-0000B1020000}"/>
    <cellStyle name="_annual_GSHS earnings model 2" xfId="11027" xr:uid="{00000000-0005-0000-0000-0000B2020000}"/>
    <cellStyle name="_annual_Hansae CV format" xfId="11028" xr:uid="{00000000-0005-0000-0000-0000B3020000}"/>
    <cellStyle name="_annual_HDS earnings model" xfId="11029" xr:uid="{00000000-0005-0000-0000-0000B4020000}"/>
    <cellStyle name="_annual_HDS earnings model 2" xfId="11030" xr:uid="{00000000-0005-0000-0000-0000B5020000}"/>
    <cellStyle name="_annual_Lotte Shopping earnings model" xfId="11031" xr:uid="{00000000-0005-0000-0000-0000B6020000}"/>
    <cellStyle name="_annual_Macro data" xfId="11032" xr:uid="{00000000-0005-0000-0000-0000B7020000}"/>
    <cellStyle name="_annual_Macro data 2" xfId="11033" xr:uid="{00000000-0005-0000-0000-0000B8020000}"/>
    <cellStyle name="_annual_main quarterly" xfId="11034" xr:uid="{00000000-0005-0000-0000-0000B9020000}"/>
    <cellStyle name="_annual_main yearly" xfId="11035" xr:uid="{00000000-0005-0000-0000-0000BA020000}"/>
    <cellStyle name="_annual_Q&amp;As" xfId="11036" xr:uid="{00000000-0005-0000-0000-0000BB020000}"/>
    <cellStyle name="_annual_sh.paper" xfId="11037" xr:uid="{00000000-0005-0000-0000-0000BC020000}"/>
    <cellStyle name="_annual_Shareholding structure" xfId="11038" xr:uid="{00000000-0005-0000-0000-0000BD020000}"/>
    <cellStyle name="_annual_Sheet1" xfId="11039" xr:uid="{00000000-0005-0000-0000-0000BE020000}"/>
    <cellStyle name="_annual_Shinsegae earnings model" xfId="11040" xr:uid="{00000000-0005-0000-0000-0000BF020000}"/>
    <cellStyle name="_annual_Shinsegae earnings model 2" xfId="11041" xr:uid="{00000000-0005-0000-0000-0000C0020000}"/>
    <cellStyle name="_annual_table" xfId="11042" xr:uid="{00000000-0005-0000-0000-0000C1020000}"/>
    <cellStyle name="_annual_table 2" xfId="11043" xr:uid="{00000000-0005-0000-0000-0000C2020000}"/>
    <cellStyle name="_annual_Taewoong earnings model" xfId="11044" xr:uid="{00000000-0005-0000-0000-0000C3020000}"/>
    <cellStyle name="_ASIA charts" xfId="2609" xr:uid="{00000000-0005-0000-0000-0000C4020000}"/>
    <cellStyle name="—_ASIA COMPS.xls Chart 1" xfId="11045" xr:uid="{00000000-0005-0000-0000-0000C5020000}"/>
    <cellStyle name="_AsiaInfo Model 110308" xfId="2610" xr:uid="{00000000-0005-0000-0000-0000C6020000}"/>
    <cellStyle name="_AsiaInfo Model WIP" xfId="4184" xr:uid="{00000000-0005-0000-0000-0000C7020000}"/>
    <cellStyle name="—_AUO consolidated 2004_02" xfId="2611" xr:uid="{00000000-0005-0000-0000-0000C8020000}"/>
    <cellStyle name="—_AUO forecast (GQ)2005_03" xfId="2612" xr:uid="{00000000-0005-0000-0000-0000C9020000}"/>
    <cellStyle name="_BenQ Mode (GQ) 072604" xfId="11046" xr:uid="{00000000-0005-0000-0000-0000CA020000}"/>
    <cellStyle name="_BenQ Model (4Q actual)" xfId="11047" xr:uid="{00000000-0005-0000-0000-0000CB020000}"/>
    <cellStyle name="_BenQ Model consolidated 092304" xfId="11048" xr:uid="{00000000-0005-0000-0000-0000CC020000}"/>
    <cellStyle name="_BenQ Model consolidated-wip" xfId="11049" xr:uid="{00000000-0005-0000-0000-0000CD020000}"/>
    <cellStyle name="_BenQ Model consolidated-wip-rob" xfId="11050" xr:uid="{00000000-0005-0000-0000-0000CE020000}"/>
    <cellStyle name="_BenQ Model-wip" xfId="11051" xr:uid="{00000000-0005-0000-0000-0000CF020000}"/>
    <cellStyle name="_Beta" xfId="4241" xr:uid="{00000000-0005-0000-0000-0000D0020000}"/>
    <cellStyle name="—_Beta" xfId="4242" xr:uid="{00000000-0005-0000-0000-0000D1020000}"/>
    <cellStyle name="—_Beta_1" xfId="4243" xr:uid="{00000000-0005-0000-0000-0000D2020000}"/>
    <cellStyle name="_BMW" xfId="11052" xr:uid="{00000000-0005-0000-0000-0000D3020000}"/>
    <cellStyle name="_Book1" xfId="2613" xr:uid="{00000000-0005-0000-0000-0000D4020000}"/>
    <cellStyle name="—_Book1" xfId="4245" xr:uid="{00000000-0005-0000-0000-0000D5020000}"/>
    <cellStyle name="_Book1 10" xfId="6868" xr:uid="{00000000-0005-0000-0000-0000D6020000}"/>
    <cellStyle name="_Book1 11" xfId="6883" xr:uid="{00000000-0005-0000-0000-0000D7020000}"/>
    <cellStyle name="_Book1 12" xfId="6869" xr:uid="{00000000-0005-0000-0000-0000D8020000}"/>
    <cellStyle name="_Book1 2" xfId="4244" xr:uid="{00000000-0005-0000-0000-0000D9020000}"/>
    <cellStyle name="_Book1 3" xfId="6373" xr:uid="{00000000-0005-0000-0000-0000DA020000}"/>
    <cellStyle name="_Book1 4" xfId="6871" xr:uid="{00000000-0005-0000-0000-0000DB020000}"/>
    <cellStyle name="_Book1 5" xfId="6875" xr:uid="{00000000-0005-0000-0000-0000DC020000}"/>
    <cellStyle name="_Book1 6" xfId="6872" xr:uid="{00000000-0005-0000-0000-0000DD020000}"/>
    <cellStyle name="_Book1 7" xfId="6876" xr:uid="{00000000-0005-0000-0000-0000DE020000}"/>
    <cellStyle name="_Book1 8" xfId="6873" xr:uid="{00000000-0005-0000-0000-0000DF020000}"/>
    <cellStyle name="_Book1 9" xfId="6877" xr:uid="{00000000-0005-0000-0000-0000E0020000}"/>
    <cellStyle name="_Book2" xfId="10456" xr:uid="{00000000-0005-0000-0000-0000E1020000}"/>
    <cellStyle name="—_Book2" xfId="2614" xr:uid="{00000000-0005-0000-0000-0000E2020000}"/>
    <cellStyle name="—_Book2 2" xfId="4246" xr:uid="{00000000-0005-0000-0000-0000E3020000}"/>
    <cellStyle name="—_Book2_1" xfId="4247" xr:uid="{00000000-0005-0000-0000-0000E4020000}"/>
    <cellStyle name="—_Book2_1_Beta" xfId="4248" xr:uid="{00000000-0005-0000-0000-0000E5020000}"/>
    <cellStyle name="—_Book2_1_Book1" xfId="4249" xr:uid="{00000000-0005-0000-0000-0000E6020000}"/>
    <cellStyle name="—_Book2_1_Cashflow" xfId="4250" xr:uid="{00000000-0005-0000-0000-0000E7020000}"/>
    <cellStyle name="—_Book2_1_Cashflow_Honghua MSTR" xfId="4251" xr:uid="{00000000-0005-0000-0000-0000E8020000}"/>
    <cellStyle name="—_Book2_1_CNOOC Master" xfId="4252" xr:uid="{00000000-0005-0000-0000-0000E9020000}"/>
    <cellStyle name="—_Book2_1_CNPC (HK) Master" xfId="4253" xr:uid="{00000000-0005-0000-0000-0000EA020000}"/>
    <cellStyle name="—_Book2_1_DCF 08" xfId="4254" xr:uid="{00000000-0005-0000-0000-0000EB020000}"/>
    <cellStyle name="—_Book2_1_P&amp;L" xfId="4255" xr:uid="{00000000-0005-0000-0000-0000EC020000}"/>
    <cellStyle name="—_Book2_1_P&amp;L_Honghua MSTR" xfId="4256" xr:uid="{00000000-0005-0000-0000-0000ED020000}"/>
    <cellStyle name="—_Book2_1_PetroChina Master" xfId="4257" xr:uid="{00000000-0005-0000-0000-0000EE020000}"/>
    <cellStyle name="—_Book2_1_PetroChina Master_WIP(20-F update)" xfId="4258" xr:uid="{00000000-0005-0000-0000-0000EF020000}"/>
    <cellStyle name="—_Book2_1_PetroChina Master_WIP(20-F update)_Cashflow" xfId="4259" xr:uid="{00000000-0005-0000-0000-0000F0020000}"/>
    <cellStyle name="—_Book2_1_PetroChina Master_WIP(20-F update)_Cashflow_Honghua MSTR" xfId="4260" xr:uid="{00000000-0005-0000-0000-0000F1020000}"/>
    <cellStyle name="—_Book2_1_PetroChina Master_WIP(20-F update)_P&amp;L" xfId="4261" xr:uid="{00000000-0005-0000-0000-0000F2020000}"/>
    <cellStyle name="—_Book2_1_PetroChina Master_WIP(20-F update)_P&amp;L_Honghua MSTR" xfId="4262" xr:uid="{00000000-0005-0000-0000-0000F3020000}"/>
    <cellStyle name="—_Book2_1_PetroChina Master_WIP(20-F update)_Sinopec MSTR" xfId="4263" xr:uid="{00000000-0005-0000-0000-0000F4020000}"/>
    <cellStyle name="—_Book2_1_PetroChina Master_WIP(20-F update)_Sinopec MSTR Wip" xfId="4264" xr:uid="{00000000-0005-0000-0000-0000F5020000}"/>
    <cellStyle name="—_Book2_1_PetroChina Master_WIP(20-F update)_Sinopec MSTR_WIP_KK" xfId="4265" xr:uid="{00000000-0005-0000-0000-0000F6020000}"/>
    <cellStyle name="—_Book2_1_PTTEP NAV 2006" xfId="4266" xr:uid="{00000000-0005-0000-0000-0000F7020000}"/>
    <cellStyle name="—_Book2_1_PTTEP NAV 2006_PetroChina Master_WIP(20-F update)" xfId="4267" xr:uid="{00000000-0005-0000-0000-0000F8020000}"/>
    <cellStyle name="—_Book2_1_PTTEP NAV 2006_PetroChina Master_WIP(20-F update)_Cashflow" xfId="4268" xr:uid="{00000000-0005-0000-0000-0000F9020000}"/>
    <cellStyle name="—_Book2_1_PTTEP NAV 2006_PetroChina Master_WIP(20-F update)_P&amp;L" xfId="4269" xr:uid="{00000000-0005-0000-0000-0000FA020000}"/>
    <cellStyle name="—_Book2_1_PTTEP NAV 2006_Sinopec MSTR" xfId="4270" xr:uid="{00000000-0005-0000-0000-0000FB020000}"/>
    <cellStyle name="—_Book2_1_PTTEP NAV 2006_Sinopec MSTR Wip" xfId="4271" xr:uid="{00000000-0005-0000-0000-0000FC020000}"/>
    <cellStyle name="—_Book2_1_PTTEP NAV 2006_Sinopec MSTR_WIP_KK" xfId="4272" xr:uid="{00000000-0005-0000-0000-0000FD020000}"/>
    <cellStyle name="—_Book2_1_PTTEP NAV 2006_Sinopec MSTR-WIP_20F update" xfId="4273" xr:uid="{00000000-0005-0000-0000-0000FE020000}"/>
    <cellStyle name="—_Book2_1_Sinopec MSTR" xfId="4274" xr:uid="{00000000-0005-0000-0000-0000FF020000}"/>
    <cellStyle name="—_Book2_Accts-BS" xfId="11053" xr:uid="{00000000-0005-0000-0000-000000030000}"/>
    <cellStyle name="—_Book2_AUO consolidated 2004_02" xfId="2615" xr:uid="{00000000-0005-0000-0000-000001030000}"/>
    <cellStyle name="—_Book2_AUO forecast (GQ)2005_03" xfId="2616" xr:uid="{00000000-0005-0000-0000-000002030000}"/>
    <cellStyle name="—_Book2_Beta" xfId="4275" xr:uid="{00000000-0005-0000-0000-000003030000}"/>
    <cellStyle name="—_Book2_Beta_1" xfId="4276" xr:uid="{00000000-0005-0000-0000-000004030000}"/>
    <cellStyle name="—_Book2_Book1" xfId="4277" xr:uid="{00000000-0005-0000-0000-000005030000}"/>
    <cellStyle name="—_Book2_Book2" xfId="4278" xr:uid="{00000000-0005-0000-0000-000006030000}"/>
    <cellStyle name="—_Book2_Book2_Beta" xfId="4279" xr:uid="{00000000-0005-0000-0000-000007030000}"/>
    <cellStyle name="—_Book2_Book2_Cashflow" xfId="4280" xr:uid="{00000000-0005-0000-0000-000008030000}"/>
    <cellStyle name="—_Book2_Book2_Cashflow_Honghua MSTR" xfId="4281" xr:uid="{00000000-0005-0000-0000-000009030000}"/>
    <cellStyle name="—_Book2_Book2_P&amp;L" xfId="4282" xr:uid="{00000000-0005-0000-0000-00000A030000}"/>
    <cellStyle name="—_Book2_Book2_P&amp;L_Honghua MSTR" xfId="4283" xr:uid="{00000000-0005-0000-0000-00000B030000}"/>
    <cellStyle name="—_Book2_Book2_PetroChina Master" xfId="4284" xr:uid="{00000000-0005-0000-0000-00000C030000}"/>
    <cellStyle name="—_Book2_Book2_PetroChina Master_WIP(20-F update)" xfId="4285" xr:uid="{00000000-0005-0000-0000-00000D030000}"/>
    <cellStyle name="—_Book2_Book2_PetroChina Master_WIP(20-F update)_Cashflow" xfId="4286" xr:uid="{00000000-0005-0000-0000-00000E030000}"/>
    <cellStyle name="—_Book2_Book2_PetroChina Master_WIP(20-F update)_Cashflow_Honghua MSTR" xfId="4287" xr:uid="{00000000-0005-0000-0000-00000F030000}"/>
    <cellStyle name="—_Book2_Book2_PetroChina Master_WIP(20-F update)_P&amp;L" xfId="4288" xr:uid="{00000000-0005-0000-0000-000010030000}"/>
    <cellStyle name="—_Book2_Book2_PetroChina Master_WIP(20-F update)_P&amp;L_Honghua MSTR" xfId="4289" xr:uid="{00000000-0005-0000-0000-000011030000}"/>
    <cellStyle name="—_Book2_Book2_PetroChina Master_WIP(20-F update)_Sinopec MSTR" xfId="4290" xr:uid="{00000000-0005-0000-0000-000012030000}"/>
    <cellStyle name="—_Book2_Book2_PetroChina Master_WIP(20-F update)_Sinopec MSTR Wip" xfId="4291" xr:uid="{00000000-0005-0000-0000-000013030000}"/>
    <cellStyle name="—_Book2_Book2_PetroChina Master_WIP(20-F update)_Sinopec MSTR_WIP_KK" xfId="4292" xr:uid="{00000000-0005-0000-0000-000014030000}"/>
    <cellStyle name="—_Book2_Book2_Sinopec MSTR" xfId="4293" xr:uid="{00000000-0005-0000-0000-000015030000}"/>
    <cellStyle name="—_Book2_Book3" xfId="4294" xr:uid="{00000000-0005-0000-0000-000016030000}"/>
    <cellStyle name="—_Book2_Book3_Beta" xfId="4295" xr:uid="{00000000-0005-0000-0000-000017030000}"/>
    <cellStyle name="—_Book2_Book3_Cashflow" xfId="4296" xr:uid="{00000000-0005-0000-0000-000018030000}"/>
    <cellStyle name="—_Book2_Book3_Cashflow_Honghua MSTR" xfId="4297" xr:uid="{00000000-0005-0000-0000-000019030000}"/>
    <cellStyle name="—_Book2_Book3_P&amp;L" xfId="4298" xr:uid="{00000000-0005-0000-0000-00001A030000}"/>
    <cellStyle name="—_Book2_Book3_P&amp;L_Honghua MSTR" xfId="4299" xr:uid="{00000000-0005-0000-0000-00001B030000}"/>
    <cellStyle name="—_Book2_Book3_PetroChina Master" xfId="4300" xr:uid="{00000000-0005-0000-0000-00001C030000}"/>
    <cellStyle name="—_Book2_Book3_PetroChina Master_WIP(20-F update)" xfId="4301" xr:uid="{00000000-0005-0000-0000-00001D030000}"/>
    <cellStyle name="—_Book2_Book3_PetroChina Master_WIP(20-F update)_Cashflow" xfId="4302" xr:uid="{00000000-0005-0000-0000-00001E030000}"/>
    <cellStyle name="—_Book2_Book3_PetroChina Master_WIP(20-F update)_Cashflow_Honghua MSTR" xfId="4303" xr:uid="{00000000-0005-0000-0000-00001F030000}"/>
    <cellStyle name="—_Book2_Book3_PetroChina Master_WIP(20-F update)_P&amp;L" xfId="4304" xr:uid="{00000000-0005-0000-0000-000020030000}"/>
    <cellStyle name="—_Book2_Book3_PetroChina Master_WIP(20-F update)_P&amp;L_Honghua MSTR" xfId="4305" xr:uid="{00000000-0005-0000-0000-000021030000}"/>
    <cellStyle name="—_Book2_Book3_PetroChina Master_WIP(20-F update)_Sinopec MSTR" xfId="4306" xr:uid="{00000000-0005-0000-0000-000022030000}"/>
    <cellStyle name="—_Book2_Book3_PetroChina Master_WIP(20-F update)_Sinopec MSTR Wip" xfId="4307" xr:uid="{00000000-0005-0000-0000-000023030000}"/>
    <cellStyle name="—_Book2_Book3_PetroChina Master_WIP(20-F update)_Sinopec MSTR_WIP_KK" xfId="4308" xr:uid="{00000000-0005-0000-0000-000024030000}"/>
    <cellStyle name="—_Book2_Book3_Sinopec MSTR" xfId="4309" xr:uid="{00000000-0005-0000-0000-000025030000}"/>
    <cellStyle name="—_Book2_Book7" xfId="2617" xr:uid="{00000000-0005-0000-0000-000026030000}"/>
    <cellStyle name="—_Book2_Book7_AUO consolidated 2004_02" xfId="2618" xr:uid="{00000000-0005-0000-0000-000027030000}"/>
    <cellStyle name="—_Book2_Book7_AUO forecast (GQ)2005_03" xfId="2619" xr:uid="{00000000-0005-0000-0000-000028030000}"/>
    <cellStyle name="—_Book2_Book7_new-Sub" xfId="2620" xr:uid="{00000000-0005-0000-0000-000029030000}"/>
    <cellStyle name="—_Book2_Book7_Novatek forecast 280404" xfId="2621" xr:uid="{00000000-0005-0000-0000-00002A030000}"/>
    <cellStyle name="—_Book2_BPCL Master" xfId="4310" xr:uid="{00000000-0005-0000-0000-00002B030000}"/>
    <cellStyle name="—_Book2_BPCL Master_Beta" xfId="4311" xr:uid="{00000000-0005-0000-0000-00002C030000}"/>
    <cellStyle name="—_Book2_BPCL Master_Cashflow" xfId="4312" xr:uid="{00000000-0005-0000-0000-00002D030000}"/>
    <cellStyle name="—_Book2_BPCL Master_Cashflow_Honghua MSTR" xfId="4313" xr:uid="{00000000-0005-0000-0000-00002E030000}"/>
    <cellStyle name="—_Book2_BPCL Master_P&amp;L" xfId="4314" xr:uid="{00000000-0005-0000-0000-00002F030000}"/>
    <cellStyle name="—_Book2_BPCL Master_P&amp;L_Honghua MSTR" xfId="4315" xr:uid="{00000000-0005-0000-0000-000030030000}"/>
    <cellStyle name="—_Book2_BPCL Master_PetroChina Master" xfId="4316" xr:uid="{00000000-0005-0000-0000-000031030000}"/>
    <cellStyle name="—_Book2_BPCL Master_PetroChina Master_WIP(20-F update)" xfId="4317" xr:uid="{00000000-0005-0000-0000-000032030000}"/>
    <cellStyle name="—_Book2_BPCL Master_PetroChina Master_WIP(20-F update)_Cashflow" xfId="4318" xr:uid="{00000000-0005-0000-0000-000033030000}"/>
    <cellStyle name="—_Book2_BPCL Master_PetroChina Master_WIP(20-F update)_Cashflow_Honghua MSTR" xfId="4319" xr:uid="{00000000-0005-0000-0000-000034030000}"/>
    <cellStyle name="—_Book2_BPCL Master_PetroChina Master_WIP(20-F update)_P&amp;L" xfId="4320" xr:uid="{00000000-0005-0000-0000-000035030000}"/>
    <cellStyle name="—_Book2_BPCL Master_PetroChina Master_WIP(20-F update)_P&amp;L_Honghua MSTR" xfId="4321" xr:uid="{00000000-0005-0000-0000-000036030000}"/>
    <cellStyle name="—_Book2_BPCL Master_PetroChina Master_WIP(20-F update)_Sinopec MSTR" xfId="4322" xr:uid="{00000000-0005-0000-0000-000037030000}"/>
    <cellStyle name="—_Book2_BPCL Master_PetroChina Master_WIP(20-F update)_Sinopec MSTR Wip" xfId="4323" xr:uid="{00000000-0005-0000-0000-000038030000}"/>
    <cellStyle name="—_Book2_BPCL Master_PetroChina Master_WIP(20-F update)_Sinopec MSTR_WIP_KK" xfId="4324" xr:uid="{00000000-0005-0000-0000-000039030000}"/>
    <cellStyle name="—_Book2_BPCL Master_Sinopec MSTR" xfId="4325" xr:uid="{00000000-0005-0000-0000-00003A030000}"/>
    <cellStyle name="—_Book2_Cashflow" xfId="4326" xr:uid="{00000000-0005-0000-0000-00003B030000}"/>
    <cellStyle name="—_Book2_Cashflow_Honghua MSTR" xfId="4327" xr:uid="{00000000-0005-0000-0000-00003C030000}"/>
    <cellStyle name="—_Book2_CNOOC Master" xfId="4328" xr:uid="{00000000-0005-0000-0000-00003D030000}"/>
    <cellStyle name="—_Book2_CNOOC Master_1" xfId="4329" xr:uid="{00000000-0005-0000-0000-00003E030000}"/>
    <cellStyle name="—_Book2_CNOOC Master_Beta" xfId="4330" xr:uid="{00000000-0005-0000-0000-00003F030000}"/>
    <cellStyle name="—_Book2_CNOOC Master_Cashflow" xfId="4331" xr:uid="{00000000-0005-0000-0000-000040030000}"/>
    <cellStyle name="—_Book2_CNOOC Master_Cashflow_Honghua MSTR" xfId="4332" xr:uid="{00000000-0005-0000-0000-000041030000}"/>
    <cellStyle name="—_Book2_CNOOC Master_P&amp;L" xfId="4333" xr:uid="{00000000-0005-0000-0000-000042030000}"/>
    <cellStyle name="—_Book2_CNOOC Master_P&amp;L_Honghua MSTR" xfId="4334" xr:uid="{00000000-0005-0000-0000-000043030000}"/>
    <cellStyle name="—_Book2_CNOOC Master_PetroChina Master" xfId="4335" xr:uid="{00000000-0005-0000-0000-000044030000}"/>
    <cellStyle name="—_Book2_CNOOC Master_PetroChina Master_WIP(20-F update)" xfId="4336" xr:uid="{00000000-0005-0000-0000-000045030000}"/>
    <cellStyle name="—_Book2_CNOOC Master_PetroChina Master_WIP(20-F update)_Cashflow" xfId="4337" xr:uid="{00000000-0005-0000-0000-000046030000}"/>
    <cellStyle name="—_Book2_CNOOC Master_PetroChina Master_WIP(20-F update)_Cashflow_Honghua MSTR" xfId="4338" xr:uid="{00000000-0005-0000-0000-000047030000}"/>
    <cellStyle name="—_Book2_CNOOC Master_PetroChina Master_WIP(20-F update)_P&amp;L" xfId="4339" xr:uid="{00000000-0005-0000-0000-000048030000}"/>
    <cellStyle name="—_Book2_CNOOC Master_PetroChina Master_WIP(20-F update)_P&amp;L_Honghua MSTR" xfId="4340" xr:uid="{00000000-0005-0000-0000-000049030000}"/>
    <cellStyle name="—_Book2_CNOOC Master_PetroChina Master_WIP(20-F update)_Sinopec MSTR" xfId="4341" xr:uid="{00000000-0005-0000-0000-00004A030000}"/>
    <cellStyle name="—_Book2_CNOOC Master_PetroChina Master_WIP(20-F update)_Sinopec MSTR Wip" xfId="4342" xr:uid="{00000000-0005-0000-0000-00004B030000}"/>
    <cellStyle name="—_Book2_CNOOC Master_PetroChina Master_WIP(20-F update)_Sinopec MSTR_WIP_KK" xfId="4343" xr:uid="{00000000-0005-0000-0000-00004C030000}"/>
    <cellStyle name="—_Book2_CNOOC Master_Sinopec MSTR" xfId="4344" xr:uid="{00000000-0005-0000-0000-00004D030000}"/>
    <cellStyle name="—_Book2_CNPC (HK) Master" xfId="4345" xr:uid="{00000000-0005-0000-0000-00004E030000}"/>
    <cellStyle name="—_Book2_Cover" xfId="10457" xr:uid="{00000000-0005-0000-0000-00004F030000}"/>
    <cellStyle name="—_Book2_DCF" xfId="4346" xr:uid="{00000000-0005-0000-0000-000050030000}"/>
    <cellStyle name="—_Book2_DCF 08" xfId="4347" xr:uid="{00000000-0005-0000-0000-000051030000}"/>
    <cellStyle name="—_Book2_Disclosure" xfId="10458" xr:uid="{00000000-0005-0000-0000-000052030000}"/>
    <cellStyle name="—_Book2_DoCoMo table 10July2000" xfId="2622" xr:uid="{00000000-0005-0000-0000-000053030000}"/>
    <cellStyle name="—_Book2_DSME for one page" xfId="11054" xr:uid="{00000000-0005-0000-0000-000054030000}"/>
    <cellStyle name="—_Book2_DSME(042660.KS)_OUT (2008 06)" xfId="11055" xr:uid="{00000000-0005-0000-0000-000055030000}"/>
    <cellStyle name="—_Book2_DSME-out" xfId="11056" xr:uid="{00000000-0005-0000-0000-000056030000}"/>
    <cellStyle name="—_Book2_DSME-out-Feb 10 2005" xfId="11057" xr:uid="{00000000-0005-0000-0000-000057030000}"/>
    <cellStyle name="—_Book2_DSME-out-Feb 13 2006" xfId="11058" xr:uid="{00000000-0005-0000-0000-000058030000}"/>
    <cellStyle name="—_Book2_earnings" xfId="2623" xr:uid="{00000000-0005-0000-0000-000059030000}"/>
    <cellStyle name="—_Book2_earnings_AUO consolidated 2004_02" xfId="2624" xr:uid="{00000000-0005-0000-0000-00005A030000}"/>
    <cellStyle name="—_Book2_earnings_AUO forecast (GQ)2005_03" xfId="2625" xr:uid="{00000000-0005-0000-0000-00005B030000}"/>
    <cellStyle name="—_Book2_earnings_new-Sub" xfId="2626" xr:uid="{00000000-0005-0000-0000-00005C030000}"/>
    <cellStyle name="—_Book2_earnings_Novatek forecast 280404" xfId="2627" xr:uid="{00000000-0005-0000-0000-00005D030000}"/>
    <cellStyle name="—_Book2_EM NCSoftnew" xfId="11059" xr:uid="{00000000-0005-0000-0000-00005E030000}"/>
    <cellStyle name="—_Book2_EM_FETone_new" xfId="2628" xr:uid="{00000000-0005-0000-0000-00005F030000}"/>
    <cellStyle name="—_Book2_EM_FETone_new_AUO consolidated 2004_02" xfId="2629" xr:uid="{00000000-0005-0000-0000-000060030000}"/>
    <cellStyle name="—_Book2_EM_FETone_new_AUO forecast (GQ)2005_03" xfId="2630" xr:uid="{00000000-0005-0000-0000-000061030000}"/>
    <cellStyle name="—_Book2_EM_FETone_new_new-Sub" xfId="2631" xr:uid="{00000000-0005-0000-0000-000062030000}"/>
    <cellStyle name="—_Book2_EM_FETone_new_Novatek forecast 280404" xfId="2632" xr:uid="{00000000-0005-0000-0000-000063030000}"/>
    <cellStyle name="—_Book2_EM_TCC_new" xfId="2633" xr:uid="{00000000-0005-0000-0000-000064030000}"/>
    <cellStyle name="—_Book2_EM_TCC_new_AUO consolidated 2004_02" xfId="2634" xr:uid="{00000000-0005-0000-0000-000065030000}"/>
    <cellStyle name="—_Book2_EM_TCC_new_AUO forecast (GQ)2005_03" xfId="2635" xr:uid="{00000000-0005-0000-0000-000066030000}"/>
    <cellStyle name="—_Book2_EM_TCC_new_new-Sub" xfId="2636" xr:uid="{00000000-0005-0000-0000-000067030000}"/>
    <cellStyle name="—_Book2_EM_TCC_new_Novatek forecast 280404" xfId="2637" xr:uid="{00000000-0005-0000-0000-000068030000}"/>
    <cellStyle name="—_Book2_Hanjin" xfId="11060" xr:uid="{00000000-0005-0000-0000-000069030000}"/>
    <cellStyle name="—_Book2_Hanjin-out" xfId="11061" xr:uid="{00000000-0005-0000-0000-00006A030000}"/>
    <cellStyle name="—_Book2_Hanjin-out-Mar 20 2006" xfId="11062" xr:uid="{00000000-0005-0000-0000-00006B030000}"/>
    <cellStyle name="—_Book2_HHI" xfId="11063" xr:uid="{00000000-0005-0000-0000-00006C030000}"/>
    <cellStyle name="—_Book2_Honam Master" xfId="4348" xr:uid="{00000000-0005-0000-0000-00006D030000}"/>
    <cellStyle name="—_Book2_honam -Quantum 220704" xfId="4349" xr:uid="{00000000-0005-0000-0000-00006E030000}"/>
    <cellStyle name="—_Book2_Hyundai Mobis" xfId="11064" xr:uid="{00000000-0005-0000-0000-00006F030000}"/>
    <cellStyle name="—_Book2_Hyundai Motors" xfId="10459" xr:uid="{00000000-0005-0000-0000-000070030000}"/>
    <cellStyle name="—_Book2_Hyundai Steel" xfId="11065" xr:uid="{00000000-0005-0000-0000-000071030000}"/>
    <cellStyle name="—_Book2_Kelvin_SKT_dividend_Mar10_2003" xfId="4350" xr:uid="{00000000-0005-0000-0000-000072030000}"/>
    <cellStyle name="—_Book2_Kelvin_SKT_dividend_Mar10_2003_Beta" xfId="4351" xr:uid="{00000000-0005-0000-0000-000073030000}"/>
    <cellStyle name="—_Book2_Kelvin_SKT_dividend_Mar10_2003_Cashflow" xfId="4352" xr:uid="{00000000-0005-0000-0000-000074030000}"/>
    <cellStyle name="—_Book2_Kelvin_SKT_dividend_Mar10_2003_Cashflow_Honghua MSTR" xfId="4353" xr:uid="{00000000-0005-0000-0000-000075030000}"/>
    <cellStyle name="—_Book2_Kelvin_SKT_dividend_Mar10_2003_P&amp;L" xfId="4354" xr:uid="{00000000-0005-0000-0000-000076030000}"/>
    <cellStyle name="—_Book2_Kelvin_SKT_dividend_Mar10_2003_P&amp;L_Honghua MSTR" xfId="4355" xr:uid="{00000000-0005-0000-0000-000077030000}"/>
    <cellStyle name="—_Book2_Kelvin_SKT_dividend_Mar10_2003_PetroChina Master" xfId="4356" xr:uid="{00000000-0005-0000-0000-000078030000}"/>
    <cellStyle name="—_Book2_Kelvin_SKT_dividend_Mar10_2003_PetroChina Master_WIP(20-F update)" xfId="4357" xr:uid="{00000000-0005-0000-0000-000079030000}"/>
    <cellStyle name="—_Book2_Kelvin_SKT_dividend_Mar10_2003_PetroChina Master_WIP(20-F update)_Cashflow" xfId="4358" xr:uid="{00000000-0005-0000-0000-00007A030000}"/>
    <cellStyle name="—_Book2_Kelvin_SKT_dividend_Mar10_2003_PetroChina Master_WIP(20-F update)_Cashflow_Honghua MSTR" xfId="4359" xr:uid="{00000000-0005-0000-0000-00007B030000}"/>
    <cellStyle name="—_Book2_Kelvin_SKT_dividend_Mar10_2003_PetroChina Master_WIP(20-F update)_P&amp;L" xfId="4360" xr:uid="{00000000-0005-0000-0000-00007C030000}"/>
    <cellStyle name="—_Book2_Kelvin_SKT_dividend_Mar10_2003_PetroChina Master_WIP(20-F update)_P&amp;L_Honghua MSTR" xfId="4361" xr:uid="{00000000-0005-0000-0000-00007D030000}"/>
    <cellStyle name="—_Book2_Kelvin_SKT_dividend_Mar10_2003_PetroChina Master_WIP(20-F update)_Sinopec MSTR" xfId="4362" xr:uid="{00000000-0005-0000-0000-00007E030000}"/>
    <cellStyle name="—_Book2_Kelvin_SKT_dividend_Mar10_2003_PetroChina Master_WIP(20-F update)_Sinopec MSTR Wip" xfId="4363" xr:uid="{00000000-0005-0000-0000-00007F030000}"/>
    <cellStyle name="—_Book2_Kelvin_SKT_dividend_Mar10_2003_PetroChina Master_WIP(20-F update)_Sinopec MSTR_WIP_KK" xfId="4364" xr:uid="{00000000-0005-0000-0000-000080030000}"/>
    <cellStyle name="—_Book2_Kelvin_SKT_dividend_Mar10_2003_Sinopec MSTR" xfId="4365" xr:uid="{00000000-0005-0000-0000-000081030000}"/>
    <cellStyle name="—_Book2_Kia Motors" xfId="10460" xr:uid="{00000000-0005-0000-0000-000082030000}"/>
    <cellStyle name="—_Book2_MikeWarren_Mobis.HMC.HSC_SOTP_20080821" xfId="11066" xr:uid="{00000000-0005-0000-0000-000083030000}"/>
    <cellStyle name="—_Book2_new-Sub" xfId="2638" xr:uid="{00000000-0005-0000-0000-000084030000}"/>
    <cellStyle name="—_Book2_Novatek forecast 280404" xfId="2639" xr:uid="{00000000-0005-0000-0000-000085030000}"/>
    <cellStyle name="—_Book2_operating stats comp" xfId="2640" xr:uid="{00000000-0005-0000-0000-000086030000}"/>
    <cellStyle name="—_Book2_operating stats comp_AUO consolidated 2004_02" xfId="2641" xr:uid="{00000000-0005-0000-0000-000087030000}"/>
    <cellStyle name="—_Book2_operating stats comp_AUO forecast (GQ)2005_03" xfId="2642" xr:uid="{00000000-0005-0000-0000-000088030000}"/>
    <cellStyle name="—_Book2_operating stats comp_new-Sub" xfId="2643" xr:uid="{00000000-0005-0000-0000-000089030000}"/>
    <cellStyle name="—_Book2_operating stats comp_Novatek forecast 280404" xfId="2644" xr:uid="{00000000-0005-0000-0000-00008A030000}"/>
    <cellStyle name="—_Book2_P&amp;L" xfId="4366" xr:uid="{00000000-0005-0000-0000-00008B030000}"/>
    <cellStyle name="—_Book2_P&amp;L_Honghua MSTR" xfId="4367" xr:uid="{00000000-0005-0000-0000-00008C030000}"/>
    <cellStyle name="—_Book2_PetroChina Master" xfId="4368" xr:uid="{00000000-0005-0000-0000-00008D030000}"/>
    <cellStyle name="—_Book2_PetroChina Master_WIP(20-F update)" xfId="4369" xr:uid="{00000000-0005-0000-0000-00008E030000}"/>
    <cellStyle name="—_Book2_PetroChina Master_WIP(20-F update)_Cashflow" xfId="4370" xr:uid="{00000000-0005-0000-0000-00008F030000}"/>
    <cellStyle name="—_Book2_PetroChina Master_WIP(20-F update)_Cashflow_Honghua MSTR" xfId="4371" xr:uid="{00000000-0005-0000-0000-000090030000}"/>
    <cellStyle name="—_Book2_PetroChina Master_WIP(20-F update)_P&amp;L" xfId="4372" xr:uid="{00000000-0005-0000-0000-000091030000}"/>
    <cellStyle name="—_Book2_PetroChina Master_WIP(20-F update)_P&amp;L_Honghua MSTR" xfId="4373" xr:uid="{00000000-0005-0000-0000-000092030000}"/>
    <cellStyle name="—_Book2_PetroChina Master_WIP(20-F update)_Sinopec MSTR" xfId="4374" xr:uid="{00000000-0005-0000-0000-000093030000}"/>
    <cellStyle name="—_Book2_PetroChina Master_WIP(20-F update)_Sinopec MSTR Wip" xfId="4375" xr:uid="{00000000-0005-0000-0000-000094030000}"/>
    <cellStyle name="—_Book2_PetroChina Master_WIP(20-F update)_Sinopec MSTR_WIP_KK" xfId="4376" xr:uid="{00000000-0005-0000-0000-000095030000}"/>
    <cellStyle name="—_Book2_Posco Model" xfId="11067" xr:uid="{00000000-0005-0000-0000-000096030000}"/>
    <cellStyle name="—_Book2_Posco-out" xfId="11068" xr:uid="{00000000-0005-0000-0000-000097030000}"/>
    <cellStyle name="—_Book2_Profit" xfId="4377" xr:uid="{00000000-0005-0000-0000-000098030000}"/>
    <cellStyle name="—_Book2_PTTEP MASTER" xfId="4378" xr:uid="{00000000-0005-0000-0000-000099030000}"/>
    <cellStyle name="—_Book2_PTTEP MASTER WIP" xfId="4379" xr:uid="{00000000-0005-0000-0000-00009A030000}"/>
    <cellStyle name="—_Book2_QP_4020q.L" xfId="11069" xr:uid="{00000000-0005-0000-0000-00009B030000}"/>
    <cellStyle name="—_Book2_Sheet1" xfId="4380" xr:uid="{00000000-0005-0000-0000-00009C030000}"/>
    <cellStyle name="—_Book2_Sinopec MSTR" xfId="4381" xr:uid="{00000000-0005-0000-0000-00009D030000}"/>
    <cellStyle name="—_Book2_SK COrp - Quantum 290704" xfId="4382" xr:uid="{00000000-0005-0000-0000-00009E030000}"/>
    <cellStyle name="—_Book2_SK MSTR" xfId="4383" xr:uid="{00000000-0005-0000-0000-00009F030000}"/>
    <cellStyle name="—_Book2_SK MSTR_Beta" xfId="4384" xr:uid="{00000000-0005-0000-0000-0000A0030000}"/>
    <cellStyle name="—_Book2_SK MSTR_Cashflow" xfId="4385" xr:uid="{00000000-0005-0000-0000-0000A1030000}"/>
    <cellStyle name="—_Book2_SK MSTR_Cashflow_Honghua MSTR" xfId="4386" xr:uid="{00000000-0005-0000-0000-0000A2030000}"/>
    <cellStyle name="—_Book2_SK MSTR_P&amp;L" xfId="4387" xr:uid="{00000000-0005-0000-0000-0000A3030000}"/>
    <cellStyle name="—_Book2_SK MSTR_P&amp;L_Honghua MSTR" xfId="4388" xr:uid="{00000000-0005-0000-0000-0000A4030000}"/>
    <cellStyle name="—_Book2_SK MSTR_PetroChina Master" xfId="4389" xr:uid="{00000000-0005-0000-0000-0000A5030000}"/>
    <cellStyle name="—_Book2_SK MSTR_PetroChina Master_WIP(20-F update)" xfId="4390" xr:uid="{00000000-0005-0000-0000-0000A6030000}"/>
    <cellStyle name="—_Book2_SK MSTR_PetroChina Master_WIP(20-F update)_Cashflow" xfId="4391" xr:uid="{00000000-0005-0000-0000-0000A7030000}"/>
    <cellStyle name="—_Book2_SK MSTR_PetroChina Master_WIP(20-F update)_Cashflow_Honghua MSTR" xfId="4392" xr:uid="{00000000-0005-0000-0000-0000A8030000}"/>
    <cellStyle name="—_Book2_SK MSTR_PetroChina Master_WIP(20-F update)_P&amp;L" xfId="4393" xr:uid="{00000000-0005-0000-0000-0000A9030000}"/>
    <cellStyle name="—_Book2_SK MSTR_PetroChina Master_WIP(20-F update)_P&amp;L_Honghua MSTR" xfId="4394" xr:uid="{00000000-0005-0000-0000-0000AA030000}"/>
    <cellStyle name="—_Book2_SK MSTR_PetroChina Master_WIP(20-F update)_Sinopec MSTR" xfId="4395" xr:uid="{00000000-0005-0000-0000-0000AB030000}"/>
    <cellStyle name="—_Book2_SK MSTR_PetroChina Master_WIP(20-F update)_Sinopec MSTR Wip" xfId="4396" xr:uid="{00000000-0005-0000-0000-0000AC030000}"/>
    <cellStyle name="—_Book2_SK MSTR_PetroChina Master_WIP(20-F update)_Sinopec MSTR_WIP_KK" xfId="4397" xr:uid="{00000000-0005-0000-0000-0000AD030000}"/>
    <cellStyle name="—_Book2_SK MSTR_Sinopec MSTR" xfId="4398" xr:uid="{00000000-0005-0000-0000-0000AE030000}"/>
    <cellStyle name="—_Book2_S-Oil Master" xfId="4399" xr:uid="{00000000-0005-0000-0000-0000AF030000}"/>
    <cellStyle name="—_Book2_S-Oil Master KK New" xfId="4400" xr:uid="{00000000-0005-0000-0000-0000B0030000}"/>
    <cellStyle name="—_Book2_S-Oil Master KK New_Beta" xfId="4401" xr:uid="{00000000-0005-0000-0000-0000B1030000}"/>
    <cellStyle name="—_Book2_S-Oil Master KK New_Cashflow" xfId="4402" xr:uid="{00000000-0005-0000-0000-0000B2030000}"/>
    <cellStyle name="—_Book2_S-Oil Master KK New_Cashflow_Honghua MSTR" xfId="4403" xr:uid="{00000000-0005-0000-0000-0000B3030000}"/>
    <cellStyle name="—_Book2_S-Oil Master KK New_P&amp;L" xfId="4404" xr:uid="{00000000-0005-0000-0000-0000B4030000}"/>
    <cellStyle name="—_Book2_S-Oil Master KK New_P&amp;L_Honghua MSTR" xfId="4405" xr:uid="{00000000-0005-0000-0000-0000B5030000}"/>
    <cellStyle name="—_Book2_S-Oil Master KK New_PetroChina Master" xfId="4406" xr:uid="{00000000-0005-0000-0000-0000B6030000}"/>
    <cellStyle name="—_Book2_S-Oil Master KK New_PetroChina Master_WIP(20-F update)" xfId="4407" xr:uid="{00000000-0005-0000-0000-0000B7030000}"/>
    <cellStyle name="—_Book2_S-Oil Master KK New_PetroChina Master_WIP(20-F update)_Cashflow" xfId="4408" xr:uid="{00000000-0005-0000-0000-0000B8030000}"/>
    <cellStyle name="—_Book2_S-Oil Master KK New_PetroChina Master_WIP(20-F update)_Cashflow_Honghua MSTR" xfId="4409" xr:uid="{00000000-0005-0000-0000-0000B9030000}"/>
    <cellStyle name="—_Book2_S-Oil Master KK New_PetroChina Master_WIP(20-F update)_P&amp;L" xfId="4410" xr:uid="{00000000-0005-0000-0000-0000BA030000}"/>
    <cellStyle name="—_Book2_S-Oil Master KK New_PetroChina Master_WIP(20-F update)_P&amp;L_Honghua MSTR" xfId="4411" xr:uid="{00000000-0005-0000-0000-0000BB030000}"/>
    <cellStyle name="—_Book2_S-Oil Master KK New_PetroChina Master_WIP(20-F update)_Sinopec MSTR" xfId="4412" xr:uid="{00000000-0005-0000-0000-0000BC030000}"/>
    <cellStyle name="—_Book2_S-Oil Master KK New_PetroChina Master_WIP(20-F update)_Sinopec MSTR Wip" xfId="4413" xr:uid="{00000000-0005-0000-0000-0000BD030000}"/>
    <cellStyle name="—_Book2_S-Oil Master KK New_PetroChina Master_WIP(20-F update)_Sinopec MSTR_WIP_KK" xfId="4414" xr:uid="{00000000-0005-0000-0000-0000BE030000}"/>
    <cellStyle name="—_Book2_S-Oil Master KK New_Sinopec MSTR" xfId="4415" xr:uid="{00000000-0005-0000-0000-0000BF030000}"/>
    <cellStyle name="—_Book2_S-Oil Master_Beta" xfId="4416" xr:uid="{00000000-0005-0000-0000-0000C0030000}"/>
    <cellStyle name="—_Book2_S-Oil Master_Cashflow" xfId="4417" xr:uid="{00000000-0005-0000-0000-0000C1030000}"/>
    <cellStyle name="—_Book2_S-Oil Master_Cashflow_Honghua MSTR" xfId="4418" xr:uid="{00000000-0005-0000-0000-0000C2030000}"/>
    <cellStyle name="—_Book2_S-Oil Master_P&amp;L" xfId="4419" xr:uid="{00000000-0005-0000-0000-0000C3030000}"/>
    <cellStyle name="—_Book2_S-Oil Master_P&amp;L_Honghua MSTR" xfId="4420" xr:uid="{00000000-0005-0000-0000-0000C4030000}"/>
    <cellStyle name="—_Book2_S-Oil Master_PetroChina Master" xfId="4421" xr:uid="{00000000-0005-0000-0000-0000C5030000}"/>
    <cellStyle name="—_Book2_S-Oil Master_PetroChina Master_WIP(20-F update)" xfId="4422" xr:uid="{00000000-0005-0000-0000-0000C6030000}"/>
    <cellStyle name="—_Book2_S-Oil Master_PetroChina Master_WIP(20-F update)_Cashflow" xfId="4423" xr:uid="{00000000-0005-0000-0000-0000C7030000}"/>
    <cellStyle name="—_Book2_S-Oil Master_PetroChina Master_WIP(20-F update)_Cashflow_Honghua MSTR" xfId="4424" xr:uid="{00000000-0005-0000-0000-0000C8030000}"/>
    <cellStyle name="—_Book2_S-Oil Master_PetroChina Master_WIP(20-F update)_P&amp;L" xfId="4425" xr:uid="{00000000-0005-0000-0000-0000C9030000}"/>
    <cellStyle name="—_Book2_S-Oil Master_PetroChina Master_WIP(20-F update)_P&amp;L_Honghua MSTR" xfId="4426" xr:uid="{00000000-0005-0000-0000-0000CA030000}"/>
    <cellStyle name="—_Book2_S-Oil Master_PetroChina Master_WIP(20-F update)_Sinopec MSTR" xfId="4427" xr:uid="{00000000-0005-0000-0000-0000CB030000}"/>
    <cellStyle name="—_Book2_S-Oil Master_PetroChina Master_WIP(20-F update)_Sinopec MSTR Wip" xfId="4428" xr:uid="{00000000-0005-0000-0000-0000CC030000}"/>
    <cellStyle name="—_Book2_S-Oil Master_PetroChina Master_WIP(20-F update)_Sinopec MSTR_WIP_KK" xfId="4429" xr:uid="{00000000-0005-0000-0000-0000CD030000}"/>
    <cellStyle name="—_Book2_S-Oil Master_Sinopec MSTR" xfId="4430" xr:uid="{00000000-0005-0000-0000-0000CE030000}"/>
    <cellStyle name="—_Book2_S-Oil-Quantum 260704" xfId="4431" xr:uid="{00000000-0005-0000-0000-0000CF030000}"/>
    <cellStyle name="—_Book2_S-Oil-Quantum 260704_Beta" xfId="4432" xr:uid="{00000000-0005-0000-0000-0000D0030000}"/>
    <cellStyle name="—_Book2_S-Oil-Quantum 260704_Cashflow" xfId="4433" xr:uid="{00000000-0005-0000-0000-0000D1030000}"/>
    <cellStyle name="—_Book2_S-Oil-Quantum 260704_Cashflow_Honghua MSTR" xfId="4434" xr:uid="{00000000-0005-0000-0000-0000D2030000}"/>
    <cellStyle name="—_Book2_S-Oil-Quantum 260704_P&amp;L" xfId="4435" xr:uid="{00000000-0005-0000-0000-0000D3030000}"/>
    <cellStyle name="—_Book2_S-Oil-Quantum 260704_P&amp;L_Honghua MSTR" xfId="4436" xr:uid="{00000000-0005-0000-0000-0000D4030000}"/>
    <cellStyle name="—_Book2_S-Oil-Quantum 260704_PetroChina Master" xfId="4437" xr:uid="{00000000-0005-0000-0000-0000D5030000}"/>
    <cellStyle name="—_Book2_S-Oil-Quantum 260704_PetroChina Master_WIP(20-F update)" xfId="4438" xr:uid="{00000000-0005-0000-0000-0000D6030000}"/>
    <cellStyle name="—_Book2_S-Oil-Quantum 260704_PetroChina Master_WIP(20-F update)_Cashflow" xfId="4439" xr:uid="{00000000-0005-0000-0000-0000D7030000}"/>
    <cellStyle name="—_Book2_S-Oil-Quantum 260704_PetroChina Master_WIP(20-F update)_Cashflow_Honghua MSTR" xfId="4440" xr:uid="{00000000-0005-0000-0000-0000D8030000}"/>
    <cellStyle name="—_Book2_S-Oil-Quantum 260704_PetroChina Master_WIP(20-F update)_P&amp;L" xfId="4441" xr:uid="{00000000-0005-0000-0000-0000D9030000}"/>
    <cellStyle name="—_Book2_S-Oil-Quantum 260704_PetroChina Master_WIP(20-F update)_P&amp;L_Honghua MSTR" xfId="4442" xr:uid="{00000000-0005-0000-0000-0000DA030000}"/>
    <cellStyle name="—_Book2_S-Oil-Quantum 260704_PetroChina Master_WIP(20-F update)_Sinopec MSTR" xfId="4443" xr:uid="{00000000-0005-0000-0000-0000DB030000}"/>
    <cellStyle name="—_Book2_S-Oil-Quantum 260704_PetroChina Master_WIP(20-F update)_Sinopec MSTR Wip" xfId="4444" xr:uid="{00000000-0005-0000-0000-0000DC030000}"/>
    <cellStyle name="—_Book2_S-Oil-Quantum 260704_PetroChina Master_WIP(20-F update)_Sinopec MSTR_WIP_KK" xfId="4445" xr:uid="{00000000-0005-0000-0000-0000DD030000}"/>
    <cellStyle name="—_Book2_S-Oil-Quantum 260704_Sinopec MSTR" xfId="4446" xr:uid="{00000000-0005-0000-0000-0000DE030000}"/>
    <cellStyle name="—_Book2_Strategy_data_update" xfId="2645" xr:uid="{00000000-0005-0000-0000-0000DF030000}"/>
    <cellStyle name="—_Book2_Strategy_data_update_AUO consolidated 2004_02" xfId="2646" xr:uid="{00000000-0005-0000-0000-0000E0030000}"/>
    <cellStyle name="—_Book2_Strategy_data_update_AUO forecast (GQ)2005_03" xfId="2647" xr:uid="{00000000-0005-0000-0000-0000E1030000}"/>
    <cellStyle name="—_Book2_Strategy_data_update_new-Sub" xfId="2648" xr:uid="{00000000-0005-0000-0000-0000E2030000}"/>
    <cellStyle name="—_Book2_Strategy_data_update_Novatek forecast 280404" xfId="2649" xr:uid="{00000000-0005-0000-0000-0000E3030000}"/>
    <cellStyle name="_Book3" xfId="2650" xr:uid="{00000000-0005-0000-0000-0000E4030000}"/>
    <cellStyle name="—_Book3" xfId="4447" xr:uid="{00000000-0005-0000-0000-0000E5030000}"/>
    <cellStyle name="—_Book3_Beta" xfId="4448" xr:uid="{00000000-0005-0000-0000-0000E6030000}"/>
    <cellStyle name="—_Book3_Cashflow" xfId="4449" xr:uid="{00000000-0005-0000-0000-0000E7030000}"/>
    <cellStyle name="—_Book3_Cashflow_Honghua MSTR" xfId="4450" xr:uid="{00000000-0005-0000-0000-0000E8030000}"/>
    <cellStyle name="—_Book3_P&amp;L" xfId="4451" xr:uid="{00000000-0005-0000-0000-0000E9030000}"/>
    <cellStyle name="—_Book3_P&amp;L_Honghua MSTR" xfId="4452" xr:uid="{00000000-0005-0000-0000-0000EA030000}"/>
    <cellStyle name="—_Book3_PetroChina Master" xfId="4453" xr:uid="{00000000-0005-0000-0000-0000EB030000}"/>
    <cellStyle name="—_Book3_PetroChina Master_WIP(20-F update)" xfId="4454" xr:uid="{00000000-0005-0000-0000-0000EC030000}"/>
    <cellStyle name="—_Book3_PetroChina Master_WIP(20-F update)_Cashflow" xfId="4455" xr:uid="{00000000-0005-0000-0000-0000ED030000}"/>
    <cellStyle name="—_Book3_PetroChina Master_WIP(20-F update)_Cashflow_Honghua MSTR" xfId="4456" xr:uid="{00000000-0005-0000-0000-0000EE030000}"/>
    <cellStyle name="—_Book3_PetroChina Master_WIP(20-F update)_P&amp;L" xfId="4457" xr:uid="{00000000-0005-0000-0000-0000EF030000}"/>
    <cellStyle name="—_Book3_PetroChina Master_WIP(20-F update)_P&amp;L_Honghua MSTR" xfId="4458" xr:uid="{00000000-0005-0000-0000-0000F0030000}"/>
    <cellStyle name="—_Book3_PetroChina Master_WIP(20-F update)_Sinopec MSTR" xfId="4459" xr:uid="{00000000-0005-0000-0000-0000F1030000}"/>
    <cellStyle name="—_Book3_PetroChina Master_WIP(20-F update)_Sinopec MSTR Wip" xfId="4460" xr:uid="{00000000-0005-0000-0000-0000F2030000}"/>
    <cellStyle name="—_Book3_PetroChina Master_WIP(20-F update)_Sinopec MSTR_WIP_KK" xfId="4461" xr:uid="{00000000-0005-0000-0000-0000F3030000}"/>
    <cellStyle name="—_Book3_Sinopec MSTR" xfId="4462" xr:uid="{00000000-0005-0000-0000-0000F4030000}"/>
    <cellStyle name="_Book5" xfId="10461" xr:uid="{00000000-0005-0000-0000-0000F5030000}"/>
    <cellStyle name="_Book7" xfId="2651" xr:uid="{00000000-0005-0000-0000-0000F6030000}"/>
    <cellStyle name="—_Book7" xfId="2652" xr:uid="{00000000-0005-0000-0000-0000F7030000}"/>
    <cellStyle name="_Book7 (2)" xfId="2653" xr:uid="{00000000-0005-0000-0000-0000F8030000}"/>
    <cellStyle name="_Book7 10" xfId="6839" xr:uid="{00000000-0005-0000-0000-0000F9030000}"/>
    <cellStyle name="—_Book7 10" xfId="6838" xr:uid="{00000000-0005-0000-0000-0000FA030000}"/>
    <cellStyle name="_Book7 11" xfId="6456" xr:uid="{00000000-0005-0000-0000-0000FB030000}"/>
    <cellStyle name="—_Book7 11" xfId="6434" xr:uid="{00000000-0005-0000-0000-0000FC030000}"/>
    <cellStyle name="_Book7 12" xfId="6843" xr:uid="{00000000-0005-0000-0000-0000FD030000}"/>
    <cellStyle name="—_Book7 12" xfId="6842" xr:uid="{00000000-0005-0000-0000-0000FE030000}"/>
    <cellStyle name="_Book7 2" xfId="4463" xr:uid="{00000000-0005-0000-0000-0000FF030000}"/>
    <cellStyle name="—_Book7 2" xfId="4464" xr:uid="{00000000-0005-0000-0000-000000040000}"/>
    <cellStyle name="_Book7 3" xfId="6770" xr:uid="{00000000-0005-0000-0000-000001040000}"/>
    <cellStyle name="—_Book7 3" xfId="6771" xr:uid="{00000000-0005-0000-0000-000002040000}"/>
    <cellStyle name="_Book7 4" xfId="6861" xr:uid="{00000000-0005-0000-0000-000003040000}"/>
    <cellStyle name="—_Book7 4" xfId="6860" xr:uid="{00000000-0005-0000-0000-000004040000}"/>
    <cellStyle name="_Book7 5" xfId="6753" xr:uid="{00000000-0005-0000-0000-000005040000}"/>
    <cellStyle name="—_Book7 5" xfId="6754" xr:uid="{00000000-0005-0000-0000-000006040000}"/>
    <cellStyle name="_Book7 6" xfId="6864" xr:uid="{00000000-0005-0000-0000-000007040000}"/>
    <cellStyle name="—_Book7 6" xfId="6863" xr:uid="{00000000-0005-0000-0000-000008040000}"/>
    <cellStyle name="_Book7 7" xfId="6750" xr:uid="{00000000-0005-0000-0000-000009040000}"/>
    <cellStyle name="—_Book7 7" xfId="6751" xr:uid="{00000000-0005-0000-0000-00000A040000}"/>
    <cellStyle name="_Book7 8" xfId="6867" xr:uid="{00000000-0005-0000-0000-00000B040000}"/>
    <cellStyle name="—_Book7 8" xfId="6866" xr:uid="{00000000-0005-0000-0000-00000C040000}"/>
    <cellStyle name="_Book7 9" xfId="6748" xr:uid="{00000000-0005-0000-0000-00000D040000}"/>
    <cellStyle name="—_Book7 9" xfId="6749" xr:uid="{00000000-0005-0000-0000-00000E040000}"/>
    <cellStyle name="—_Book7_Accts-BS" xfId="11070" xr:uid="{00000000-0005-0000-0000-00000F040000}"/>
    <cellStyle name="—_Book7_Beta" xfId="4465" xr:uid="{00000000-0005-0000-0000-000010040000}"/>
    <cellStyle name="—_Book7_Cashflow" xfId="4466" xr:uid="{00000000-0005-0000-0000-000011040000}"/>
    <cellStyle name="—_Book7_Cashflow_Honghua MSTR" xfId="4467" xr:uid="{00000000-0005-0000-0000-000012040000}"/>
    <cellStyle name="—_Book7_Cover" xfId="10462" xr:uid="{00000000-0005-0000-0000-000013040000}"/>
    <cellStyle name="—_Book7_Disclosure" xfId="10463" xr:uid="{00000000-0005-0000-0000-000014040000}"/>
    <cellStyle name="—_Book7_DSME for one page" xfId="11071" xr:uid="{00000000-0005-0000-0000-000015040000}"/>
    <cellStyle name="—_Book7_DSME(042660.KS)_OUT (2008 06)" xfId="11072" xr:uid="{00000000-0005-0000-0000-000016040000}"/>
    <cellStyle name="—_Book7_DSME-out" xfId="11073" xr:uid="{00000000-0005-0000-0000-000017040000}"/>
    <cellStyle name="—_Book7_DSME-out-Feb 10 2005" xfId="11074" xr:uid="{00000000-0005-0000-0000-000018040000}"/>
    <cellStyle name="—_Book7_DSME-out-Feb 13 2006" xfId="11075" xr:uid="{00000000-0005-0000-0000-000019040000}"/>
    <cellStyle name="—_Book7_EM NCSoftnew" xfId="11076" xr:uid="{00000000-0005-0000-0000-00001A040000}"/>
    <cellStyle name="—_Book7_Hanjin" xfId="11077" xr:uid="{00000000-0005-0000-0000-00001B040000}"/>
    <cellStyle name="—_Book7_Hanjin-out" xfId="11078" xr:uid="{00000000-0005-0000-0000-00001C040000}"/>
    <cellStyle name="—_Book7_Hanjin-out-Mar 20 2006" xfId="11079" xr:uid="{00000000-0005-0000-0000-00001D040000}"/>
    <cellStyle name="—_Book7_HHI" xfId="11080" xr:uid="{00000000-0005-0000-0000-00001E040000}"/>
    <cellStyle name="—_Book7_Hynix_HJK" xfId="10464" xr:uid="{00000000-0005-0000-0000-00001F040000}"/>
    <cellStyle name="—_Book7_Hyundai Mobis" xfId="11081" xr:uid="{00000000-0005-0000-0000-000020040000}"/>
    <cellStyle name="—_Book7_Hyundai Motors" xfId="10465" xr:uid="{00000000-0005-0000-0000-000021040000}"/>
    <cellStyle name="—_Book7_Hyundai Steel" xfId="11082" xr:uid="{00000000-0005-0000-0000-000022040000}"/>
    <cellStyle name="—_Book7_Kia Motors" xfId="10466" xr:uid="{00000000-0005-0000-0000-000023040000}"/>
    <cellStyle name="—_Book7_KT" xfId="10467" xr:uid="{00000000-0005-0000-0000-000024040000}"/>
    <cellStyle name="—_Book7_MikeWarren_Mobis.HMC.HSC_SOTP_20080821" xfId="11083" xr:uid="{00000000-0005-0000-0000-000025040000}"/>
    <cellStyle name="—_Book7_new-Sub" xfId="2654" xr:uid="{00000000-0005-0000-0000-000026040000}"/>
    <cellStyle name="—_Book7_Nippon Mining HD Master" xfId="11084" xr:uid="{00000000-0005-0000-0000-000027040000}"/>
    <cellStyle name="—_Book7_Nippon Mining HD Master (wip)" xfId="11085" xr:uid="{00000000-0005-0000-0000-000028040000}"/>
    <cellStyle name="—_Book7_Nippon Oil Master" xfId="11086" xr:uid="{00000000-0005-0000-0000-000029040000}"/>
    <cellStyle name="—_Book7_P&amp;L" xfId="4468" xr:uid="{00000000-0005-0000-0000-00002A040000}"/>
    <cellStyle name="—_Book7_P&amp;L_Honghua MSTR" xfId="4469" xr:uid="{00000000-0005-0000-0000-00002B040000}"/>
    <cellStyle name="—_Book7_PetroChina Master" xfId="4470" xr:uid="{00000000-0005-0000-0000-00002C040000}"/>
    <cellStyle name="—_Book7_PetroChina Master_WIP(20-F update)" xfId="4471" xr:uid="{00000000-0005-0000-0000-00002D040000}"/>
    <cellStyle name="—_Book7_PetroChina Master_WIP(20-F update)_Cashflow" xfId="4472" xr:uid="{00000000-0005-0000-0000-00002E040000}"/>
    <cellStyle name="—_Book7_PetroChina Master_WIP(20-F update)_Cashflow_Honghua MSTR" xfId="4473" xr:uid="{00000000-0005-0000-0000-00002F040000}"/>
    <cellStyle name="—_Book7_PetroChina Master_WIP(20-F update)_P&amp;L" xfId="4474" xr:uid="{00000000-0005-0000-0000-000030040000}"/>
    <cellStyle name="—_Book7_PetroChina Master_WIP(20-F update)_P&amp;L_Honghua MSTR" xfId="4475" xr:uid="{00000000-0005-0000-0000-000031040000}"/>
    <cellStyle name="—_Book7_PetroChina Master_WIP(20-F update)_Sinopec MSTR" xfId="4476" xr:uid="{00000000-0005-0000-0000-000032040000}"/>
    <cellStyle name="—_Book7_PetroChina Master_WIP(20-F update)_Sinopec MSTR Wip" xfId="4477" xr:uid="{00000000-0005-0000-0000-000033040000}"/>
    <cellStyle name="—_Book7_PetroChina Master_WIP(20-F update)_Sinopec MSTR_WIP_KK" xfId="4478" xr:uid="{00000000-0005-0000-0000-000034040000}"/>
    <cellStyle name="—_Book7_Posco Model" xfId="11087" xr:uid="{00000000-0005-0000-0000-000035040000}"/>
    <cellStyle name="—_Book7_Posco-out" xfId="11088" xr:uid="{00000000-0005-0000-0000-000036040000}"/>
    <cellStyle name="—_Book7_QP_4020q.L" xfId="11089" xr:uid="{00000000-0005-0000-0000-000037040000}"/>
    <cellStyle name="—_Book7_Sinopec MSTR" xfId="4479" xr:uid="{00000000-0005-0000-0000-000038040000}"/>
    <cellStyle name="—_Book7_Sinopec MSTR Wip" xfId="4480" xr:uid="{00000000-0005-0000-0000-000039040000}"/>
    <cellStyle name="—_Book7_Sinopec MSTR_WIP_KK" xfId="4481" xr:uid="{00000000-0005-0000-0000-00003A040000}"/>
    <cellStyle name="—_Book7_Sinopec MSTR-WIP_20F update" xfId="4482" xr:uid="{00000000-0005-0000-0000-00003B040000}"/>
    <cellStyle name="_Book8 (2)" xfId="2655" xr:uid="{00000000-0005-0000-0000-00003C040000}"/>
    <cellStyle name="—_BPCL Master" xfId="4483" xr:uid="{00000000-0005-0000-0000-00003D040000}"/>
    <cellStyle name="—_BPCL Master_Beta" xfId="4484" xr:uid="{00000000-0005-0000-0000-00003E040000}"/>
    <cellStyle name="—_BPCL Master_Cashflow" xfId="4485" xr:uid="{00000000-0005-0000-0000-00003F040000}"/>
    <cellStyle name="—_BPCL Master_Nippon Mining HD Master" xfId="11090" xr:uid="{00000000-0005-0000-0000-000040040000}"/>
    <cellStyle name="—_BPCL Master_Nippon Mining HD Master (wip)" xfId="11091" xr:uid="{00000000-0005-0000-0000-000041040000}"/>
    <cellStyle name="—_BPCL Master_Nippon Oil Master" xfId="11092" xr:uid="{00000000-0005-0000-0000-000042040000}"/>
    <cellStyle name="—_BPCL Master_P&amp;L" xfId="4486" xr:uid="{00000000-0005-0000-0000-000043040000}"/>
    <cellStyle name="—_BPCL Master_PetroChina Master" xfId="4487" xr:uid="{00000000-0005-0000-0000-000044040000}"/>
    <cellStyle name="—_BPCL Master_PetroChina Master_WIP(20-F update)" xfId="4488" xr:uid="{00000000-0005-0000-0000-000045040000}"/>
    <cellStyle name="—_BPCL Master_PetroChina Master_WIP(20-F update)_Cashflow" xfId="4489" xr:uid="{00000000-0005-0000-0000-000046040000}"/>
    <cellStyle name="—_BPCL Master_PetroChina Master_WIP(20-F update)_P&amp;L" xfId="4490" xr:uid="{00000000-0005-0000-0000-000047040000}"/>
    <cellStyle name="—_BPCL Master_Sinopec MSTR" xfId="4491" xr:uid="{00000000-0005-0000-0000-000048040000}"/>
    <cellStyle name="—_BPCL Master_Sinopec MSTR Wip" xfId="4492" xr:uid="{00000000-0005-0000-0000-000049040000}"/>
    <cellStyle name="—_BPCL Master_Sinopec MSTR_WIP_KK" xfId="4493" xr:uid="{00000000-0005-0000-0000-00004A040000}"/>
    <cellStyle name="—_BPCL Master_Sinopec MSTR-WIP_20F update" xfId="4494" xr:uid="{00000000-0005-0000-0000-00004B040000}"/>
    <cellStyle name="_BS" xfId="2656" xr:uid="{00000000-0005-0000-0000-00004C040000}"/>
    <cellStyle name="—_BS" xfId="2657" xr:uid="{00000000-0005-0000-0000-00004D040000}"/>
    <cellStyle name="_BS_1" xfId="2658" xr:uid="{00000000-0005-0000-0000-00004E040000}"/>
    <cellStyle name="—_BS_1" xfId="2659" xr:uid="{00000000-0005-0000-0000-00004F040000}"/>
    <cellStyle name="_BS_2" xfId="2660" xr:uid="{00000000-0005-0000-0000-000050040000}"/>
    <cellStyle name="—_BS_BS" xfId="2661" xr:uid="{00000000-0005-0000-0000-000051040000}"/>
    <cellStyle name="—_BS_Capex" xfId="2662" xr:uid="{00000000-0005-0000-0000-000052040000}"/>
    <cellStyle name="—_BS_CF" xfId="2663" xr:uid="{00000000-0005-0000-0000-000053040000}"/>
    <cellStyle name="—_BS_COFCO (506.HK)" xfId="2664" xr:uid="{00000000-0005-0000-0000-000054040000}"/>
    <cellStyle name="—_BS_COFCO_051010" xfId="2665" xr:uid="{00000000-0005-0000-0000-000055040000}"/>
    <cellStyle name="—_BS_COFCO_backup" xfId="2666" xr:uid="{00000000-0005-0000-0000-000056040000}"/>
    <cellStyle name="—_BS_DCF" xfId="2667" xr:uid="{00000000-0005-0000-0000-000057040000}"/>
    <cellStyle name="—_BS_Front page" xfId="2668" xr:uid="{00000000-0005-0000-0000-000058040000}"/>
    <cellStyle name="—_BS_LT assets" xfId="2669" xr:uid="{00000000-0005-0000-0000-000059040000}"/>
    <cellStyle name="—_BS_Monthly" xfId="2670" xr:uid="{00000000-0005-0000-0000-00005A040000}"/>
    <cellStyle name="—_BS_P&amp;L" xfId="2671" xr:uid="{00000000-0005-0000-0000-00005B040000}"/>
    <cellStyle name="—_BS_Valuation" xfId="2672" xr:uid="{00000000-0005-0000-0000-00005C040000}"/>
    <cellStyle name="_Budget 2007 for Bankers V1 IPO kickoff" xfId="2673" xr:uid="{00000000-0005-0000-0000-00005D040000}"/>
    <cellStyle name="_Budget 2007 for Bankers V1 IPO kickoff reconciled to actual on Aug 5 2007" xfId="2674" xr:uid="{00000000-0005-0000-0000-00005E040000}"/>
    <cellStyle name="_Cap Table December 31 2006 draft V1 April 13 2007" xfId="2675" xr:uid="{00000000-0005-0000-0000-00005F040000}"/>
    <cellStyle name="_Capex" xfId="2676" xr:uid="{00000000-0005-0000-0000-000060040000}"/>
    <cellStyle name="_Capex&amp;depreciation" xfId="11093" xr:uid="{00000000-0005-0000-0000-000061040000}"/>
    <cellStyle name="_Capex&amp;depreciation 2" xfId="11094" xr:uid="{00000000-0005-0000-0000-000062040000}"/>
    <cellStyle name="_Capex&amp;depreciation_DS Infra earnings model" xfId="11095" xr:uid="{00000000-0005-0000-0000-000063040000}"/>
    <cellStyle name="_Capex&amp;depreciation_DS Infra earnings model 2" xfId="11096" xr:uid="{00000000-0005-0000-0000-000064040000}"/>
    <cellStyle name="_Capex&amp;depreciation_GSHS earnings model" xfId="11097" xr:uid="{00000000-0005-0000-0000-000065040000}"/>
    <cellStyle name="_Capex&amp;depreciation_GSHS earnings model 2" xfId="11098" xr:uid="{00000000-0005-0000-0000-000066040000}"/>
    <cellStyle name="_Capex&amp;depreciation_HDS earnings model" xfId="11099" xr:uid="{00000000-0005-0000-0000-000067040000}"/>
    <cellStyle name="_Capex&amp;depreciation_HDS earnings model 2" xfId="11100" xr:uid="{00000000-0005-0000-0000-000068040000}"/>
    <cellStyle name="_Capex&amp;depreciation_Lotte Shopping earnings model" xfId="11101" xr:uid="{00000000-0005-0000-0000-000069040000}"/>
    <cellStyle name="_Capex&amp;depreciation_Macro data" xfId="11102" xr:uid="{00000000-0005-0000-0000-00006A040000}"/>
    <cellStyle name="_Capex&amp;depreciation_Macro data 2" xfId="11103" xr:uid="{00000000-0005-0000-0000-00006B040000}"/>
    <cellStyle name="_Capex&amp;depreciation_Shinsegae earnings model" xfId="11104" xr:uid="{00000000-0005-0000-0000-00006C040000}"/>
    <cellStyle name="_Capex&amp;depreciation_Shinsegae earnings model 2" xfId="11105" xr:uid="{00000000-0005-0000-0000-00006D040000}"/>
    <cellStyle name="_Capex&amp;depreciation_table" xfId="11106" xr:uid="{00000000-0005-0000-0000-00006E040000}"/>
    <cellStyle name="_Capex&amp;depreciation_table 2" xfId="11107" xr:uid="{00000000-0005-0000-0000-00006F040000}"/>
    <cellStyle name="—_capex_new2" xfId="11108" xr:uid="{00000000-0005-0000-0000-000070040000}"/>
    <cellStyle name="_capital" xfId="11109" xr:uid="{00000000-0005-0000-0000-000071040000}"/>
    <cellStyle name="_capital 2" xfId="11110" xr:uid="{00000000-0005-0000-0000-000072040000}"/>
    <cellStyle name="_capital_DS Infra earnings model" xfId="11111" xr:uid="{00000000-0005-0000-0000-000073040000}"/>
    <cellStyle name="_capital_DS Infra earnings model 2" xfId="11112" xr:uid="{00000000-0005-0000-0000-000074040000}"/>
    <cellStyle name="_capital_GSHS earnings model" xfId="11113" xr:uid="{00000000-0005-0000-0000-000075040000}"/>
    <cellStyle name="_capital_GSHS earnings model 2" xfId="11114" xr:uid="{00000000-0005-0000-0000-000076040000}"/>
    <cellStyle name="_capital_HDS earnings model" xfId="11115" xr:uid="{00000000-0005-0000-0000-000077040000}"/>
    <cellStyle name="_capital_HDS earnings model 2" xfId="11116" xr:uid="{00000000-0005-0000-0000-000078040000}"/>
    <cellStyle name="_capital_Lotte Shopping earnings model" xfId="11117" xr:uid="{00000000-0005-0000-0000-000079040000}"/>
    <cellStyle name="_capital_Macro data" xfId="11118" xr:uid="{00000000-0005-0000-0000-00007A040000}"/>
    <cellStyle name="_capital_Macro data 2" xfId="11119" xr:uid="{00000000-0005-0000-0000-00007B040000}"/>
    <cellStyle name="_capital_Shinsegae earnings model" xfId="11120" xr:uid="{00000000-0005-0000-0000-00007C040000}"/>
    <cellStyle name="_capital_Shinsegae earnings model 2" xfId="11121" xr:uid="{00000000-0005-0000-0000-00007D040000}"/>
    <cellStyle name="_capital_table" xfId="11122" xr:uid="{00000000-0005-0000-0000-00007E040000}"/>
    <cellStyle name="_capital_table 2" xfId="11123" xr:uid="{00000000-0005-0000-0000-00007F040000}"/>
    <cellStyle name="_Cashflow" xfId="4495" xr:uid="{00000000-0005-0000-0000-000080040000}"/>
    <cellStyle name="—_Cashflow" xfId="4496" xr:uid="{00000000-0005-0000-0000-000081040000}"/>
    <cellStyle name="_Cashflow_Honghua MSTR" xfId="4497" xr:uid="{00000000-0005-0000-0000-000082040000}"/>
    <cellStyle name="—_Cashflow_Honghua MSTR" xfId="4498" xr:uid="{00000000-0005-0000-0000-000083040000}"/>
    <cellStyle name="_CF" xfId="2677" xr:uid="{00000000-0005-0000-0000-000084040000}"/>
    <cellStyle name="—_CF" xfId="2678" xr:uid="{00000000-0005-0000-0000-000085040000}"/>
    <cellStyle name="_CF_1" xfId="2679" xr:uid="{00000000-0005-0000-0000-000086040000}"/>
    <cellStyle name="_CF_2" xfId="2680" xr:uid="{00000000-0005-0000-0000-000087040000}"/>
    <cellStyle name="_Chalco W2_evian" xfId="4499" xr:uid="{00000000-0005-0000-0000-000088040000}"/>
    <cellStyle name="_Chapter Template 30-01-02" xfId="10468" xr:uid="{00000000-0005-0000-0000-000089040000}"/>
    <cellStyle name="_Chapter Template Feb 22-02" xfId="10469" xr:uid="{00000000-0005-0000-0000-00008A040000}"/>
    <cellStyle name="_Cheil Industries_EM3_CW" xfId="10470" xr:uid="{00000000-0005-0000-0000-00008B040000}"/>
    <cellStyle name="—_Cheng Shin Model" xfId="2681" xr:uid="{00000000-0005-0000-0000-00008C040000}"/>
    <cellStyle name="_China coal_model_post IPO070722" xfId="4500" xr:uid="{00000000-0005-0000-0000-00008D040000}"/>
    <cellStyle name="_China coal_model_post070929" xfId="4501" xr:uid="{00000000-0005-0000-0000-00008E040000}"/>
    <cellStyle name="_China coal_model070929-new" xfId="4502" xr:uid="{00000000-0005-0000-0000-00008F040000}"/>
    <cellStyle name="_China coal_model070929-new 的备份" xfId="4503" xr:uid="{00000000-0005-0000-0000-000090040000}"/>
    <cellStyle name="_China Molybdenum_August 2009" xfId="4504" xr:uid="{00000000-0005-0000-0000-000091040000}"/>
    <cellStyle name="_China Molybdenum_July 2009" xfId="4505" xr:uid="{00000000-0005-0000-0000-000092040000}"/>
    <cellStyle name="—_CHT" xfId="2682" xr:uid="{00000000-0005-0000-0000-000093040000}"/>
    <cellStyle name="—_CHT_new-Sub" xfId="2683" xr:uid="{00000000-0005-0000-0000-000094040000}"/>
    <cellStyle name="—_CNOOC Master" xfId="4506" xr:uid="{00000000-0005-0000-0000-000095040000}"/>
    <cellStyle name="—_CNOOC Master_1" xfId="4507" xr:uid="{00000000-0005-0000-0000-000096040000}"/>
    <cellStyle name="—_CNOOC Master_Beta" xfId="4508" xr:uid="{00000000-0005-0000-0000-000097040000}"/>
    <cellStyle name="—_CNOOC Master_Cashflow" xfId="4509" xr:uid="{00000000-0005-0000-0000-000098040000}"/>
    <cellStyle name="—_CNOOC Master_Cashflow_Honghua MSTR" xfId="4510" xr:uid="{00000000-0005-0000-0000-000099040000}"/>
    <cellStyle name="—_CNOOC Master_P&amp;L" xfId="4511" xr:uid="{00000000-0005-0000-0000-00009A040000}"/>
    <cellStyle name="—_CNOOC Master_P&amp;L_Honghua MSTR" xfId="4512" xr:uid="{00000000-0005-0000-0000-00009B040000}"/>
    <cellStyle name="—_CNOOC Master_PetroChina Master" xfId="4513" xr:uid="{00000000-0005-0000-0000-00009C040000}"/>
    <cellStyle name="—_CNOOC Master_PetroChina Master_WIP(20-F update)" xfId="4514" xr:uid="{00000000-0005-0000-0000-00009D040000}"/>
    <cellStyle name="—_CNOOC Master_PetroChina Master_WIP(20-F update)_Cashflow" xfId="4515" xr:uid="{00000000-0005-0000-0000-00009E040000}"/>
    <cellStyle name="—_CNOOC Master_PetroChina Master_WIP(20-F update)_Cashflow_Honghua MSTR" xfId="4516" xr:uid="{00000000-0005-0000-0000-00009F040000}"/>
    <cellStyle name="—_CNOOC Master_PetroChina Master_WIP(20-F update)_P&amp;L" xfId="4517" xr:uid="{00000000-0005-0000-0000-0000A0040000}"/>
    <cellStyle name="—_CNOOC Master_PetroChina Master_WIP(20-F update)_P&amp;L_Honghua MSTR" xfId="4518" xr:uid="{00000000-0005-0000-0000-0000A1040000}"/>
    <cellStyle name="—_CNOOC Master_PetroChina Master_WIP(20-F update)_Sinopec MSTR" xfId="4519" xr:uid="{00000000-0005-0000-0000-0000A2040000}"/>
    <cellStyle name="—_CNOOC Master_PetroChina Master_WIP(20-F update)_Sinopec MSTR Wip" xfId="4520" xr:uid="{00000000-0005-0000-0000-0000A3040000}"/>
    <cellStyle name="—_CNOOC Master_PetroChina Master_WIP(20-F update)_Sinopec MSTR_WIP_KK" xfId="4521" xr:uid="{00000000-0005-0000-0000-0000A4040000}"/>
    <cellStyle name="—_CNOOC Master_Sinopec MSTR" xfId="4522" xr:uid="{00000000-0005-0000-0000-0000A5040000}"/>
    <cellStyle name="—_CNPC (HK) Master" xfId="4523" xr:uid="{00000000-0005-0000-0000-0000A6040000}"/>
    <cellStyle name="_COFCO (506.HK)" xfId="2684" xr:uid="{00000000-0005-0000-0000-0000A7040000}"/>
    <cellStyle name="_COFCO_051010" xfId="2685" xr:uid="{00000000-0005-0000-0000-0000A8040000}"/>
    <cellStyle name="_COFCO_backup" xfId="2686" xr:uid="{00000000-0005-0000-0000-0000A9040000}"/>
    <cellStyle name="_Comma" xfId="2687" xr:uid="{00000000-0005-0000-0000-0000AA040000}"/>
    <cellStyle name="_Comma 2" xfId="6962" xr:uid="{00000000-0005-0000-0000-0000AB040000}"/>
    <cellStyle name="_Comma_(GS) China Pharmaceutical Group model" xfId="2688" xr:uid="{00000000-0005-0000-0000-0000AC040000}"/>
    <cellStyle name="_Comma_(GS) Global Bio-chem model" xfId="2689" xr:uid="{00000000-0005-0000-0000-0000AD040000}"/>
    <cellStyle name="_Comma_01 adj for merger plan" xfId="7354" xr:uid="{00000000-0005-0000-0000-0000AE040000}"/>
    <cellStyle name="_Comma_Ability to Pay Analysis" xfId="7355" xr:uid="{00000000-0005-0000-0000-0000AF040000}"/>
    <cellStyle name="_Comma_AFL" xfId="7356" xr:uid="{00000000-0005-0000-0000-0000B0040000}"/>
    <cellStyle name="_Comma_AIZ" xfId="7357" xr:uid="{00000000-0005-0000-0000-0000B1040000}"/>
    <cellStyle name="_Comma_AIZ04-Quantum2" xfId="7358" xr:uid="{00000000-0005-0000-0000-0000B2040000}"/>
    <cellStyle name="_Comma_AMP" xfId="7359" xr:uid="{00000000-0005-0000-0000-0000B3040000}"/>
    <cellStyle name="_Comma_AutoPrice2000" xfId="11124" xr:uid="{00000000-0005-0000-0000-0000B4040000}"/>
    <cellStyle name="_Comma_Base" xfId="2690" xr:uid="{00000000-0005-0000-0000-0000B5040000}"/>
    <cellStyle name="_Comma_bls roic" xfId="11125" xr:uid="{00000000-0005-0000-0000-0000B6040000}"/>
    <cellStyle name="_Comma_Book1" xfId="7360" xr:uid="{00000000-0005-0000-0000-0000B7040000}"/>
    <cellStyle name="_Comma_Book3" xfId="7361" xr:uid="{00000000-0005-0000-0000-0000B8040000}"/>
    <cellStyle name="_Comma_BS" xfId="2691" xr:uid="{00000000-0005-0000-0000-0000B9040000}"/>
    <cellStyle name="_Comma_capital expenditures 6-18-02" xfId="11126" xr:uid="{00000000-0005-0000-0000-0000BA040000}"/>
    <cellStyle name="_Comma_CF" xfId="2692" xr:uid="{00000000-0005-0000-0000-0000BB040000}"/>
    <cellStyle name="_Comma_CNO" xfId="7362" xr:uid="{00000000-0005-0000-0000-0000BC040000}"/>
    <cellStyle name="_Comma_CNO04" xfId="7363" xr:uid="{00000000-0005-0000-0000-0000BD040000}"/>
    <cellStyle name="_Comma_DCF Alexander Forbes" xfId="7364" xr:uid="{00000000-0005-0000-0000-0000BE040000}"/>
    <cellStyle name="_Comma_Drive" xfId="2693" xr:uid="{00000000-0005-0000-0000-0000BF040000}"/>
    <cellStyle name="_Comma_EZJ vs go" xfId="11127" xr:uid="{00000000-0005-0000-0000-0000C0040000}"/>
    <cellStyle name="_Comma_Financial Performance Benchmarking and Valuation(2)" xfId="11128" xr:uid="{00000000-0005-0000-0000-0000C1040000}"/>
    <cellStyle name="_Comma_fmbi counties" xfId="7365" xr:uid="{00000000-0005-0000-0000-0000C2040000}"/>
    <cellStyle name="_Comma_FMBI MBHI Graphs" xfId="7366" xr:uid="{00000000-0005-0000-0000-0000C3040000}"/>
    <cellStyle name="_Comma_FMBI MBHI Graphs 07102001" xfId="7367" xr:uid="{00000000-0005-0000-0000-0000C4040000}"/>
    <cellStyle name="_Comma_FMBI MBHI Graphs_7601" xfId="7368" xr:uid="{00000000-0005-0000-0000-0000C5040000}"/>
    <cellStyle name="_Comma_genworth model" xfId="7369" xr:uid="{00000000-0005-0000-0000-0000C6040000}"/>
    <cellStyle name="_Comma_Global ROIC 2007" xfId="11129" xr:uid="{00000000-0005-0000-0000-0000C7040000}"/>
    <cellStyle name="_Comma_GQ" xfId="2694" xr:uid="{00000000-0005-0000-0000-0000C8040000}"/>
    <cellStyle name="_Comma_Insurance Brokerage CSC_1Q2002" xfId="7370" xr:uid="{00000000-0005-0000-0000-0000C9040000}"/>
    <cellStyle name="_Comma_JP_LNC_spread_monitor (2)" xfId="7371" xr:uid="{00000000-0005-0000-0000-0000CA040000}"/>
    <cellStyle name="_Comma_NFP" xfId="7372" xr:uid="{00000000-0005-0000-0000-0000CB040000}"/>
    <cellStyle name="_Comma_NFS" xfId="7373" xr:uid="{00000000-0005-0000-0000-0000CC040000}"/>
    <cellStyle name="_Comma_Overview3" xfId="7374" xr:uid="{00000000-0005-0000-0000-0000CD040000}"/>
    <cellStyle name="_Comma_P&amp;L" xfId="2695" xr:uid="{00000000-0005-0000-0000-0000CE040000}"/>
    <cellStyle name="_Comma_phil data" xfId="7375" xr:uid="{00000000-0005-0000-0000-0000CF040000}"/>
    <cellStyle name="_Comma_Price Performance Charts" xfId="7376" xr:uid="{00000000-0005-0000-0000-0000D0040000}"/>
    <cellStyle name="_Comma_Quarterly Review by Company" xfId="7377" xr:uid="{00000000-0005-0000-0000-0000D1040000}"/>
    <cellStyle name="_Comma_RBOC historicals" xfId="11130" xr:uid="{00000000-0005-0000-0000-0000D2040000}"/>
    <cellStyle name="_Comma_SFG Data File" xfId="7378" xr:uid="{00000000-0005-0000-0000-0000D3040000}"/>
    <cellStyle name="_Comma_Sheet1" xfId="7379" xr:uid="{00000000-0005-0000-0000-0000D4040000}"/>
    <cellStyle name="_Comma_Stock-QTR1 FDS" xfId="7380" xr:uid="{00000000-0005-0000-0000-0000D5040000}"/>
    <cellStyle name="_Comma_T - new" xfId="11131" xr:uid="{00000000-0005-0000-0000-0000D6040000}"/>
    <cellStyle name="_Comma_Updated Valuation Changes" xfId="7381" xr:uid="{00000000-0005-0000-0000-0000D7040000}"/>
    <cellStyle name="_Comma_Valuation and Benchmarking Template" xfId="11132" xr:uid="{00000000-0005-0000-0000-0000D8040000}"/>
    <cellStyle name="_Comma_Valuation Graphs" xfId="7382" xr:uid="{00000000-0005-0000-0000-0000D9040000}"/>
    <cellStyle name="_Comma_xratio - historical mkt val" xfId="7383" xr:uid="{00000000-0005-0000-0000-0000DA040000}"/>
    <cellStyle name="_Copy of HMC model_NEW version_without financials" xfId="10471" xr:uid="{00000000-0005-0000-0000-0000DB040000}"/>
    <cellStyle name="_Copy of JP_Page 2_w_keywords" xfId="11133" xr:uid="{00000000-0005-0000-0000-0000DC040000}"/>
    <cellStyle name="_Copy of JP_Page 2_w_keywords (4)" xfId="11134" xr:uid="{00000000-0005-0000-0000-0000DD040000}"/>
    <cellStyle name="_Copy of JP_Page 2_w_keywords (4)_JP_nonfinancials (2) (2)" xfId="11135" xr:uid="{00000000-0005-0000-0000-0000DE040000}"/>
    <cellStyle name="_Copy of JP_Page 2_w_keywords_JP_nonfinancials (2) (2)" xfId="11136" xr:uid="{00000000-0005-0000-0000-0000DF040000}"/>
    <cellStyle name="_Core Logic_model2" xfId="10472" xr:uid="{00000000-0005-0000-0000-0000E0040000}"/>
    <cellStyle name="_Corelogic-fidelity-2004-11" xfId="10473" xr:uid="{00000000-0005-0000-0000-0000E1040000}"/>
    <cellStyle name="—_COSL MSTR" xfId="4524" xr:uid="{00000000-0005-0000-0000-0000E2040000}"/>
    <cellStyle name="—_COSL MSTR_Beta" xfId="4525" xr:uid="{00000000-0005-0000-0000-0000E3040000}"/>
    <cellStyle name="—_COSL MSTR_PetroChina Master_WIP(20-F update)" xfId="4526" xr:uid="{00000000-0005-0000-0000-0000E4040000}"/>
    <cellStyle name="—_COSL MSTR_PetroChina Master_WIP(20-F update)_Cashflow" xfId="4527" xr:uid="{00000000-0005-0000-0000-0000E5040000}"/>
    <cellStyle name="—_COSL MSTR_PetroChina Master_WIP(20-F update)_Cashflow_Honghua MSTR" xfId="4528" xr:uid="{00000000-0005-0000-0000-0000E6040000}"/>
    <cellStyle name="—_COSL MSTR_PetroChina Master_WIP(20-F update)_P&amp;L" xfId="4529" xr:uid="{00000000-0005-0000-0000-0000E7040000}"/>
    <cellStyle name="—_COSL MSTR_PetroChina Master_WIP(20-F update)_P&amp;L_Honghua MSTR" xfId="4530" xr:uid="{00000000-0005-0000-0000-0000E8040000}"/>
    <cellStyle name="—_COSL MSTR_PetroChina Master_WIP(20-F update)_Sinopec MSTR" xfId="4531" xr:uid="{00000000-0005-0000-0000-0000E9040000}"/>
    <cellStyle name="—_COSL MSTR_PetroChina Master_WIP(20-F update)_Sinopec MSTR Wip" xfId="4532" xr:uid="{00000000-0005-0000-0000-0000EA040000}"/>
    <cellStyle name="—_COSL MSTR_PetroChina Master_WIP(20-F update)_Sinopec MSTR_WIP_KK" xfId="4533" xr:uid="{00000000-0005-0000-0000-0000EB040000}"/>
    <cellStyle name="—_Cover" xfId="10474" xr:uid="{00000000-0005-0000-0000-0000EC040000}"/>
    <cellStyle name="_Cover 1" xfId="2696" xr:uid="{00000000-0005-0000-0000-0000ED040000}"/>
    <cellStyle name="—_Crib sheet" xfId="10475" xr:uid="{00000000-0005-0000-0000-0000EE040000}"/>
    <cellStyle name="_CT-Report" xfId="2697" xr:uid="{00000000-0005-0000-0000-0000EF040000}"/>
    <cellStyle name="_Currency" xfId="2698" xr:uid="{00000000-0005-0000-0000-0000F0040000}"/>
    <cellStyle name="_Currency 2" xfId="6963" xr:uid="{00000000-0005-0000-0000-0000F1040000}"/>
    <cellStyle name="_Currency 3" xfId="7815" xr:uid="{00000000-0005-0000-0000-0000F2040000}"/>
    <cellStyle name="_Currency_(GS) China Pharmaceutical Group model" xfId="2699" xr:uid="{00000000-0005-0000-0000-0000F3040000}"/>
    <cellStyle name="_Currency_(GS) Global Bio-chem model" xfId="2700" xr:uid="{00000000-0005-0000-0000-0000F4040000}"/>
    <cellStyle name="_Currency_01 adj for merger plan" xfId="7384" xr:uid="{00000000-0005-0000-0000-0000F5040000}"/>
    <cellStyle name="_Currency_Ability to Pay Analysis" xfId="7385" xr:uid="{00000000-0005-0000-0000-0000F6040000}"/>
    <cellStyle name="_Currency_AFL" xfId="7386" xr:uid="{00000000-0005-0000-0000-0000F7040000}"/>
    <cellStyle name="_Currency_AIZ" xfId="7387" xr:uid="{00000000-0005-0000-0000-0000F8040000}"/>
    <cellStyle name="_Currency_AMP" xfId="7388" xr:uid="{00000000-0005-0000-0000-0000F9040000}"/>
    <cellStyle name="_Currency_AT" xfId="11137" xr:uid="{00000000-0005-0000-0000-0000FA040000}"/>
    <cellStyle name="_Currency_AutoPrice2000" xfId="11138" xr:uid="{00000000-0005-0000-0000-0000FB040000}"/>
    <cellStyle name="_Currency_AWE" xfId="11139" xr:uid="{00000000-0005-0000-0000-0000FC040000}"/>
    <cellStyle name="_Currency_Balance Sheet" xfId="7389" xr:uid="{00000000-0005-0000-0000-0000FD040000}"/>
    <cellStyle name="_Currency_Base" xfId="2701" xr:uid="{00000000-0005-0000-0000-0000FE040000}"/>
    <cellStyle name="_Currency_BHI" xfId="11140" xr:uid="{00000000-0005-0000-0000-0000FF040000}"/>
    <cellStyle name="_Currency_BLS" xfId="11141" xr:uid="{00000000-0005-0000-0000-000000050000}"/>
    <cellStyle name="_Currency_bls roic" xfId="11142" xr:uid="{00000000-0005-0000-0000-000001050000}"/>
    <cellStyle name="_Currency_Book1" xfId="2702" xr:uid="{00000000-0005-0000-0000-000002050000}"/>
    <cellStyle name="_Currency_Book1 2" xfId="6964" xr:uid="{00000000-0005-0000-0000-000003050000}"/>
    <cellStyle name="_Currency_Book1_Jazztel model 16DP3-Exhibits" xfId="2703" xr:uid="{00000000-0005-0000-0000-000004050000}"/>
    <cellStyle name="_Currency_Book1_Jazztel model 16DP3-Exhibits 2" xfId="6965" xr:uid="{00000000-0005-0000-0000-000005050000}"/>
    <cellStyle name="_Currency_Book1_Jazztel model 16DP3-Exhibits_Book2" xfId="6966" xr:uid="{00000000-0005-0000-0000-000006050000}"/>
    <cellStyle name="_Currency_Book1_Jazztel model 16DP3-Exhibits_T_MOBIL2" xfId="2704" xr:uid="{00000000-0005-0000-0000-000007050000}"/>
    <cellStyle name="_Currency_Book1_Jazztel model 16DP3-Exhibits_T_MOBIL2 2" xfId="6967" xr:uid="{00000000-0005-0000-0000-000008050000}"/>
    <cellStyle name="_Currency_Book1_Jazztel model 16DP3-Exhibits_TDC-2Aug2001_UPD" xfId="6968" xr:uid="{00000000-0005-0000-0000-000009050000}"/>
    <cellStyle name="_Currency_Book1_Jazztel model 18DP-exhibits" xfId="2705" xr:uid="{00000000-0005-0000-0000-00000A050000}"/>
    <cellStyle name="_Currency_Book1_Jazztel model 18DP-exhibits 2" xfId="6969" xr:uid="{00000000-0005-0000-0000-00000B050000}"/>
    <cellStyle name="_Currency_Book1_TDC-2Aug2001" xfId="6970" xr:uid="{00000000-0005-0000-0000-00000C050000}"/>
    <cellStyle name="_Currency_Book1_TelenorAug01" xfId="6971" xr:uid="{00000000-0005-0000-0000-00000D050000}"/>
    <cellStyle name="_Currency_Book2" xfId="2706" xr:uid="{00000000-0005-0000-0000-00000E050000}"/>
    <cellStyle name="_Currency_Book2 2" xfId="6972" xr:uid="{00000000-0005-0000-0000-00000F050000}"/>
    <cellStyle name="_Currency_Book2_Jazztel model 16DP3-Exhibits" xfId="2707" xr:uid="{00000000-0005-0000-0000-000010050000}"/>
    <cellStyle name="_Currency_Book2_Jazztel model 16DP3-Exhibits 2" xfId="6973" xr:uid="{00000000-0005-0000-0000-000011050000}"/>
    <cellStyle name="_Currency_Book2_Jazztel model 16DP3-Exhibits_Book2" xfId="6974" xr:uid="{00000000-0005-0000-0000-000012050000}"/>
    <cellStyle name="_Currency_Book2_Jazztel model 16DP3-Exhibits_T_MOBIL2" xfId="2708" xr:uid="{00000000-0005-0000-0000-000013050000}"/>
    <cellStyle name="_Currency_Book2_Jazztel model 16DP3-Exhibits_T_MOBIL2 2" xfId="6975" xr:uid="{00000000-0005-0000-0000-000014050000}"/>
    <cellStyle name="_Currency_Book2_Jazztel model 16DP3-Exhibits_TDC-2Aug2001_UPD" xfId="6976" xr:uid="{00000000-0005-0000-0000-000015050000}"/>
    <cellStyle name="_Currency_Book2_Jazztel model 18DP-exhibits" xfId="2709" xr:uid="{00000000-0005-0000-0000-000016050000}"/>
    <cellStyle name="_Currency_Book2_Jazztel model 18DP-exhibits 2" xfId="6977" xr:uid="{00000000-0005-0000-0000-000017050000}"/>
    <cellStyle name="_Currency_Book2_TDC-2Aug2001" xfId="6978" xr:uid="{00000000-0005-0000-0000-000018050000}"/>
    <cellStyle name="_Currency_Book2_TelenorAug01" xfId="6979" xr:uid="{00000000-0005-0000-0000-000019050000}"/>
    <cellStyle name="_Currency_Book29" xfId="7390" xr:uid="{00000000-0005-0000-0000-00001A050000}"/>
    <cellStyle name="_Currency_Book3" xfId="7391" xr:uid="{00000000-0005-0000-0000-00001B050000}"/>
    <cellStyle name="_Currency_Book3_1" xfId="7392" xr:uid="{00000000-0005-0000-0000-00001C050000}"/>
    <cellStyle name="_Currency_Book32" xfId="11143" xr:uid="{00000000-0005-0000-0000-00001D050000}"/>
    <cellStyle name="_Currency_Book6" xfId="11144" xr:uid="{00000000-0005-0000-0000-00001E050000}"/>
    <cellStyle name="_Currency_BS" xfId="2710" xr:uid="{00000000-0005-0000-0000-00001F050000}"/>
    <cellStyle name="_Currency_capital expenditures 6-18-02" xfId="11145" xr:uid="{00000000-0005-0000-0000-000020050000}"/>
    <cellStyle name="_Currency_CB" xfId="2711" xr:uid="{00000000-0005-0000-0000-000021050000}"/>
    <cellStyle name="_Currency_CF" xfId="2712" xr:uid="{00000000-0005-0000-0000-000022050000}"/>
    <cellStyle name="_Currency_Cingular" xfId="11146" xr:uid="{00000000-0005-0000-0000-000023050000}"/>
    <cellStyle name="_Currency_CNO" xfId="7393" xr:uid="{00000000-0005-0000-0000-000024050000}"/>
    <cellStyle name="_Currency_CSC_excersize" xfId="2713" xr:uid="{00000000-0005-0000-0000-000025050000}"/>
    <cellStyle name="_Currency_DCF Alexander Forbes" xfId="7394" xr:uid="{00000000-0005-0000-0000-000026050000}"/>
    <cellStyle name="_Currency_Drive" xfId="2714" xr:uid="{00000000-0005-0000-0000-000027050000}"/>
    <cellStyle name="_Currency_EZJ vs go" xfId="11147" xr:uid="{00000000-0005-0000-0000-000028050000}"/>
    <cellStyle name="_Currency_Financial Performance Benchmarking and Valuation(2)" xfId="11148" xr:uid="{00000000-0005-0000-0000-000029050000}"/>
    <cellStyle name="_Currency_fmbi counties" xfId="7395" xr:uid="{00000000-0005-0000-0000-00002A050000}"/>
    <cellStyle name="_Currency_FMBI MBHI Graphs" xfId="7396" xr:uid="{00000000-0005-0000-0000-00002B050000}"/>
    <cellStyle name="_Currency_FMBI MBHI Graphs 07102001" xfId="7397" xr:uid="{00000000-0005-0000-0000-00002C050000}"/>
    <cellStyle name="_Currency_FMBI MBHI Graphs_7601" xfId="7398" xr:uid="{00000000-0005-0000-0000-00002D050000}"/>
    <cellStyle name="_Currency_FON" xfId="11149" xr:uid="{00000000-0005-0000-0000-00002E050000}"/>
    <cellStyle name="_Currency_GNW" xfId="7399" xr:uid="{00000000-0005-0000-0000-00002F050000}"/>
    <cellStyle name="_Currency_GQ" xfId="2715" xr:uid="{00000000-0005-0000-0000-000030050000}"/>
    <cellStyle name="_Currency_Insurance Brokerage CSC_1Q2002" xfId="7400" xr:uid="{00000000-0005-0000-0000-000031050000}"/>
    <cellStyle name="_Currency_Jazztel model 15-exhibits" xfId="2716" xr:uid="{00000000-0005-0000-0000-000032050000}"/>
    <cellStyle name="_Currency_Jazztel model 15-exhibits 2" xfId="6980" xr:uid="{00000000-0005-0000-0000-000033050000}"/>
    <cellStyle name="_Currency_Jazztel model 15-exhibits bis" xfId="2717" xr:uid="{00000000-0005-0000-0000-000034050000}"/>
    <cellStyle name="_Currency_Jazztel model 15-exhibits bis 2" xfId="6981" xr:uid="{00000000-0005-0000-0000-000035050000}"/>
    <cellStyle name="_Currency_Jazztel model 15-exhibits bis_Book2" xfId="6982" xr:uid="{00000000-0005-0000-0000-000036050000}"/>
    <cellStyle name="_Currency_Jazztel model 15-exhibits bis_T_MOBIL2" xfId="2718" xr:uid="{00000000-0005-0000-0000-000037050000}"/>
    <cellStyle name="_Currency_Jazztel model 15-exhibits bis_T_MOBIL2 2" xfId="6983" xr:uid="{00000000-0005-0000-0000-000038050000}"/>
    <cellStyle name="_Currency_Jazztel model 15-exhibits bis_TDC-2Aug2001_UPD" xfId="6984" xr:uid="{00000000-0005-0000-0000-000039050000}"/>
    <cellStyle name="_Currency_Jazztel model 15-exhibits_Jazztel model 16DP3-Exhibits" xfId="2719" xr:uid="{00000000-0005-0000-0000-00003A050000}"/>
    <cellStyle name="_Currency_Jazztel model 15-exhibits_Jazztel model 16DP3-Exhibits 2" xfId="6985" xr:uid="{00000000-0005-0000-0000-00003B050000}"/>
    <cellStyle name="_Currency_Jazztel model 15-exhibits_Jazztel model 16DP3-Exhibits_Book2" xfId="6986" xr:uid="{00000000-0005-0000-0000-00003C050000}"/>
    <cellStyle name="_Currency_Jazztel model 15-exhibits_Jazztel model 16DP3-Exhibits_T_MOBIL2" xfId="2720" xr:uid="{00000000-0005-0000-0000-00003D050000}"/>
    <cellStyle name="_Currency_Jazztel model 15-exhibits_Jazztel model 16DP3-Exhibits_T_MOBIL2 2" xfId="6987" xr:uid="{00000000-0005-0000-0000-00003E050000}"/>
    <cellStyle name="_Currency_Jazztel model 15-exhibits_Jazztel model 16DP3-Exhibits_TDC-2Aug2001_UPD" xfId="6988" xr:uid="{00000000-0005-0000-0000-00003F050000}"/>
    <cellStyle name="_Currency_Jazztel model 15-exhibits_Jazztel model 18DP-exhibits" xfId="2721" xr:uid="{00000000-0005-0000-0000-000040050000}"/>
    <cellStyle name="_Currency_Jazztel model 15-exhibits_Jazztel model 18DP-exhibits 2" xfId="6989" xr:uid="{00000000-0005-0000-0000-000041050000}"/>
    <cellStyle name="_Currency_Jazztel model 15-exhibits_TDC-2Aug2001" xfId="6990" xr:uid="{00000000-0005-0000-0000-000042050000}"/>
    <cellStyle name="_Currency_Jazztel model 15-exhibits_TelenorAug01" xfId="6991" xr:uid="{00000000-0005-0000-0000-000043050000}"/>
    <cellStyle name="_Currency_Jazztel model 15-exhibits-Friso2" xfId="2722" xr:uid="{00000000-0005-0000-0000-000044050000}"/>
    <cellStyle name="_Currency_Jazztel model 15-exhibits-Friso2 2" xfId="6992" xr:uid="{00000000-0005-0000-0000-000045050000}"/>
    <cellStyle name="_Currency_Jazztel model 15-exhibits-Friso2_Jazztel model 16DP3-Exhibits" xfId="2723" xr:uid="{00000000-0005-0000-0000-000046050000}"/>
    <cellStyle name="_Currency_Jazztel model 15-exhibits-Friso2_Jazztel model 16DP3-Exhibits 2" xfId="6993" xr:uid="{00000000-0005-0000-0000-000047050000}"/>
    <cellStyle name="_Currency_Jazztel model 15-exhibits-Friso2_Jazztel model 16DP3-Exhibits_Book2" xfId="6994" xr:uid="{00000000-0005-0000-0000-000048050000}"/>
    <cellStyle name="_Currency_Jazztel model 15-exhibits-Friso2_Jazztel model 16DP3-Exhibits_T_MOBIL2" xfId="2724" xr:uid="{00000000-0005-0000-0000-000049050000}"/>
    <cellStyle name="_Currency_Jazztel model 15-exhibits-Friso2_Jazztel model 16DP3-Exhibits_T_MOBIL2 2" xfId="6995" xr:uid="{00000000-0005-0000-0000-00004A050000}"/>
    <cellStyle name="_Currency_Jazztel model 15-exhibits-Friso2_Jazztel model 16DP3-Exhibits_TDC-2Aug2001_UPD" xfId="6996" xr:uid="{00000000-0005-0000-0000-00004B050000}"/>
    <cellStyle name="_Currency_Jazztel model 15-exhibits-Friso2_Jazztel model 18DP-exhibits" xfId="2725" xr:uid="{00000000-0005-0000-0000-00004C050000}"/>
    <cellStyle name="_Currency_Jazztel model 15-exhibits-Friso2_Jazztel model 18DP-exhibits 2" xfId="6997" xr:uid="{00000000-0005-0000-0000-00004D050000}"/>
    <cellStyle name="_Currency_Jazztel model 15-exhibits-Friso2_TDC-2Aug2001" xfId="6998" xr:uid="{00000000-0005-0000-0000-00004E050000}"/>
    <cellStyle name="_Currency_Jazztel model 15-exhibits-Friso2_TelenorAug01" xfId="6999" xr:uid="{00000000-0005-0000-0000-00004F050000}"/>
    <cellStyle name="_Currency_JP" xfId="7401" xr:uid="{00000000-0005-0000-0000-000050050000}"/>
    <cellStyle name="_Currency_LNC" xfId="7402" xr:uid="{00000000-0005-0000-0000-000051050000}"/>
    <cellStyle name="_Currency_MET" xfId="7403" xr:uid="{00000000-0005-0000-0000-000052050000}"/>
    <cellStyle name="_Currency_MET04" xfId="7404" xr:uid="{00000000-0005-0000-0000-000053050000}"/>
    <cellStyle name="_Currency_NFS" xfId="7405" xr:uid="{00000000-0005-0000-0000-000054050000}"/>
    <cellStyle name="_Currency_Overseas" xfId="2726" xr:uid="{00000000-0005-0000-0000-000055050000}"/>
    <cellStyle name="_Currency_Overview3" xfId="7406" xr:uid="{00000000-0005-0000-0000-000056050000}"/>
    <cellStyle name="_Currency_P&amp;L" xfId="2727" xr:uid="{00000000-0005-0000-0000-000057050000}"/>
    <cellStyle name="_Currency_phil data" xfId="7407" xr:uid="{00000000-0005-0000-0000-000058050000}"/>
    <cellStyle name="_Currency_Price Performance Charts" xfId="7408" xr:uid="{00000000-0005-0000-0000-000059050000}"/>
    <cellStyle name="_Currency_PRU" xfId="7409" xr:uid="{00000000-0005-0000-0000-00005A050000}"/>
    <cellStyle name="_Currency_PRU04" xfId="7410" xr:uid="{00000000-0005-0000-0000-00005B050000}"/>
    <cellStyle name="_Currency_RiskReward" xfId="7411" xr:uid="{00000000-0005-0000-0000-00005C050000}"/>
    <cellStyle name="_Currency_SFG" xfId="7412" xr:uid="{00000000-0005-0000-0000-00005D050000}"/>
    <cellStyle name="_Currency_Sheet1" xfId="7413" xr:uid="{00000000-0005-0000-0000-00005E050000}"/>
    <cellStyle name="_Currency_Stock-QTR1 FDS" xfId="7414" xr:uid="{00000000-0005-0000-0000-00005F050000}"/>
    <cellStyle name="_Currency_THE TELECOM SERVICES CSC (3Q99)_AP2K_SU" xfId="2728" xr:uid="{00000000-0005-0000-0000-000060050000}"/>
    <cellStyle name="_Currency_TMK" xfId="7415" xr:uid="{00000000-0005-0000-0000-000061050000}"/>
    <cellStyle name="_Currency_Updated Valuation Changes" xfId="7416" xr:uid="{00000000-0005-0000-0000-000062050000}"/>
    <cellStyle name="_Currency_Valuation Graphs" xfId="7417" xr:uid="{00000000-0005-0000-0000-000063050000}"/>
    <cellStyle name="_Currency_xratio - historical mkt val" xfId="7418" xr:uid="{00000000-0005-0000-0000-000064050000}"/>
    <cellStyle name="_CurrencySpace" xfId="2729" xr:uid="{00000000-0005-0000-0000-000065050000}"/>
    <cellStyle name="_CurrencySpace 2" xfId="7000" xr:uid="{00000000-0005-0000-0000-000066050000}"/>
    <cellStyle name="_CurrencySpace_(GS) China Pharmaceutical Group model" xfId="2730" xr:uid="{00000000-0005-0000-0000-000067050000}"/>
    <cellStyle name="_CurrencySpace_(GS) Global Bio-chem model" xfId="2731" xr:uid="{00000000-0005-0000-0000-000068050000}"/>
    <cellStyle name="_CurrencySpace_01 adj for merger plan" xfId="7419" xr:uid="{00000000-0005-0000-0000-000069050000}"/>
    <cellStyle name="_CurrencySpace_Ability to Pay Analysis" xfId="7420" xr:uid="{00000000-0005-0000-0000-00006A050000}"/>
    <cellStyle name="_CurrencySpace_AFL" xfId="7421" xr:uid="{00000000-0005-0000-0000-00006B050000}"/>
    <cellStyle name="_CurrencySpace_AIZ" xfId="7422" xr:uid="{00000000-0005-0000-0000-00006C050000}"/>
    <cellStyle name="_CurrencySpace_AMP" xfId="7423" xr:uid="{00000000-0005-0000-0000-00006D050000}"/>
    <cellStyle name="_CurrencySpace_Balance Sheet" xfId="7424" xr:uid="{00000000-0005-0000-0000-00006E050000}"/>
    <cellStyle name="_CurrencySpace_Base" xfId="2732" xr:uid="{00000000-0005-0000-0000-00006F050000}"/>
    <cellStyle name="_CurrencySpace_Book1" xfId="7425" xr:uid="{00000000-0005-0000-0000-000070050000}"/>
    <cellStyle name="_CurrencySpace_Book29" xfId="7426" xr:uid="{00000000-0005-0000-0000-000071050000}"/>
    <cellStyle name="_CurrencySpace_Book3" xfId="7427" xr:uid="{00000000-0005-0000-0000-000072050000}"/>
    <cellStyle name="_CurrencySpace_Book3_1" xfId="7428" xr:uid="{00000000-0005-0000-0000-000073050000}"/>
    <cellStyle name="_CurrencySpace_BS" xfId="2733" xr:uid="{00000000-0005-0000-0000-000074050000}"/>
    <cellStyle name="_CurrencySpace_CB" xfId="2734" xr:uid="{00000000-0005-0000-0000-000075050000}"/>
    <cellStyle name="_CurrencySpace_CF" xfId="2735" xr:uid="{00000000-0005-0000-0000-000076050000}"/>
    <cellStyle name="_CurrencySpace_CNO" xfId="7429" xr:uid="{00000000-0005-0000-0000-000077050000}"/>
    <cellStyle name="_CurrencySpace_DCF Alexander Forbes" xfId="7430" xr:uid="{00000000-0005-0000-0000-000078050000}"/>
    <cellStyle name="_CurrencySpace_Drive" xfId="2736" xr:uid="{00000000-0005-0000-0000-000079050000}"/>
    <cellStyle name="_CurrencySpace_fmbi counties" xfId="7431" xr:uid="{00000000-0005-0000-0000-00007A050000}"/>
    <cellStyle name="_CurrencySpace_FMBI MBHI Graphs" xfId="7432" xr:uid="{00000000-0005-0000-0000-00007B050000}"/>
    <cellStyle name="_CurrencySpace_FMBI MBHI Graphs 07102001" xfId="7433" xr:uid="{00000000-0005-0000-0000-00007C050000}"/>
    <cellStyle name="_CurrencySpace_FMBI MBHI Graphs_7601" xfId="7434" xr:uid="{00000000-0005-0000-0000-00007D050000}"/>
    <cellStyle name="_CurrencySpace_GNW" xfId="7435" xr:uid="{00000000-0005-0000-0000-00007E050000}"/>
    <cellStyle name="_CurrencySpace_GQ" xfId="2737" xr:uid="{00000000-0005-0000-0000-00007F050000}"/>
    <cellStyle name="_CurrencySpace_Insurance Brokerage CSC_1Q2002" xfId="7436" xr:uid="{00000000-0005-0000-0000-000080050000}"/>
    <cellStyle name="_CurrencySpace_JP" xfId="7437" xr:uid="{00000000-0005-0000-0000-000081050000}"/>
    <cellStyle name="_CurrencySpace_LNC" xfId="7438" xr:uid="{00000000-0005-0000-0000-000082050000}"/>
    <cellStyle name="_CurrencySpace_MET" xfId="7439" xr:uid="{00000000-0005-0000-0000-000083050000}"/>
    <cellStyle name="_CurrencySpace_MET04" xfId="7440" xr:uid="{00000000-0005-0000-0000-000084050000}"/>
    <cellStyle name="_CurrencySpace_NFS" xfId="7441" xr:uid="{00000000-0005-0000-0000-000085050000}"/>
    <cellStyle name="_CurrencySpace_Overview3" xfId="7442" xr:uid="{00000000-0005-0000-0000-000086050000}"/>
    <cellStyle name="_CurrencySpace_P&amp;L" xfId="2738" xr:uid="{00000000-0005-0000-0000-000087050000}"/>
    <cellStyle name="_CurrencySpace_phil data" xfId="7443" xr:uid="{00000000-0005-0000-0000-000088050000}"/>
    <cellStyle name="_CurrencySpace_Price Performance Charts" xfId="7444" xr:uid="{00000000-0005-0000-0000-000089050000}"/>
    <cellStyle name="_CurrencySpace_PRU" xfId="7445" xr:uid="{00000000-0005-0000-0000-00008A050000}"/>
    <cellStyle name="_CurrencySpace_PRU04" xfId="7446" xr:uid="{00000000-0005-0000-0000-00008B050000}"/>
    <cellStyle name="_CurrencySpace_RiskReward" xfId="7447" xr:uid="{00000000-0005-0000-0000-00008C050000}"/>
    <cellStyle name="_CurrencySpace_SFG" xfId="7448" xr:uid="{00000000-0005-0000-0000-00008D050000}"/>
    <cellStyle name="_CurrencySpace_Sheet1" xfId="7449" xr:uid="{00000000-0005-0000-0000-00008E050000}"/>
    <cellStyle name="_CurrencySpace_Stock-QTR1 FDS" xfId="7450" xr:uid="{00000000-0005-0000-0000-00008F050000}"/>
    <cellStyle name="_CurrencySpace_TMK" xfId="7451" xr:uid="{00000000-0005-0000-0000-000090050000}"/>
    <cellStyle name="_CurrencySpace_Updated Valuation Changes" xfId="7452" xr:uid="{00000000-0005-0000-0000-000091050000}"/>
    <cellStyle name="_CurrencySpace_Valuation Graphs" xfId="7453" xr:uid="{00000000-0005-0000-0000-000092050000}"/>
    <cellStyle name="_CurrencySpace_xratio - historical mkt val" xfId="7454" xr:uid="{00000000-0005-0000-0000-000093050000}"/>
    <cellStyle name="_DCF" xfId="2739" xr:uid="{00000000-0005-0000-0000-000094050000}"/>
    <cellStyle name="—_DCF" xfId="4534" xr:uid="{00000000-0005-0000-0000-000095050000}"/>
    <cellStyle name="—_DCF 08" xfId="4535" xr:uid="{00000000-0005-0000-0000-000096050000}"/>
    <cellStyle name="_DCF_1" xfId="2740" xr:uid="{00000000-0005-0000-0000-000097050000}"/>
    <cellStyle name="_Dollar" xfId="2741" xr:uid="{00000000-0005-0000-0000-000098050000}"/>
    <cellStyle name="_Dollar 2" xfId="7001" xr:uid="{00000000-0005-0000-0000-000099050000}"/>
    <cellStyle name="_Dollar_Jazztel model 16DP3-Exhibits" xfId="2742" xr:uid="{00000000-0005-0000-0000-00009A050000}"/>
    <cellStyle name="_Dollar_Jazztel model 16DP3-Exhibits 2" xfId="7002" xr:uid="{00000000-0005-0000-0000-00009B050000}"/>
    <cellStyle name="_Dollar_Jazztel model 18DP-exhibits" xfId="2743" xr:uid="{00000000-0005-0000-0000-00009C050000}"/>
    <cellStyle name="_Dollar_Jazztel model 18DP-exhibits 2" xfId="7003" xr:uid="{00000000-0005-0000-0000-00009D050000}"/>
    <cellStyle name="_Dollar_Jazztel model 18DP-exhibits_Book2" xfId="7004" xr:uid="{00000000-0005-0000-0000-00009E050000}"/>
    <cellStyle name="_Dollar_Jazztel model 18DP-exhibits_T_MOBIL2" xfId="2744" xr:uid="{00000000-0005-0000-0000-00009F050000}"/>
    <cellStyle name="_Dollar_Jazztel model 18DP-exhibits_T_MOBIL2 2" xfId="7005" xr:uid="{00000000-0005-0000-0000-0000A0050000}"/>
    <cellStyle name="_Dollar_Jazztel model 18DP-exhibits_TDC-2Aug2001_UPD" xfId="7006" xr:uid="{00000000-0005-0000-0000-0000A1050000}"/>
    <cellStyle name="_Dollar_TDC-2Aug2001" xfId="7007" xr:uid="{00000000-0005-0000-0000-0000A2050000}"/>
    <cellStyle name="_Dollar_TelenorAug01" xfId="7008" xr:uid="{00000000-0005-0000-0000-0000A3050000}"/>
    <cellStyle name="_Drive" xfId="2745" xr:uid="{00000000-0005-0000-0000-0000A4050000}"/>
    <cellStyle name="—_Drive" xfId="2746" xr:uid="{00000000-0005-0000-0000-0000A5050000}"/>
    <cellStyle name="_DSL" xfId="2747" xr:uid="{00000000-0005-0000-0000-0000A6050000}"/>
    <cellStyle name="—_earnings" xfId="2748" xr:uid="{00000000-0005-0000-0000-0000A7050000}"/>
    <cellStyle name="—_earnings_new-Sub" xfId="2749" xr:uid="{00000000-0005-0000-0000-0000A8050000}"/>
    <cellStyle name="_Eastern by country" xfId="2750" xr:uid="{00000000-0005-0000-0000-0000A9050000}"/>
    <cellStyle name="—_EM_ChinaTelecom" xfId="2751" xr:uid="{00000000-0005-0000-0000-0000AA050000}"/>
    <cellStyle name="—_EM_CMHK" xfId="2752" xr:uid="{00000000-0005-0000-0000-0000AB050000}"/>
    <cellStyle name="—_EM_CMHK_consolidated" xfId="2753" xr:uid="{00000000-0005-0000-0000-0000AC050000}"/>
    <cellStyle name="—_EM_CMHKconsolidatednew_WIP.xls Chart 1" xfId="2754" xr:uid="{00000000-0005-0000-0000-0000AD050000}"/>
    <cellStyle name="—_EM_CMHKconsolidatednew_WIP.xls Chart 1 2" xfId="4536" xr:uid="{00000000-0005-0000-0000-0000AE050000}"/>
    <cellStyle name="—_EM_CMHKconsolidatednew_WIP.xls Chart 1 3" xfId="7009" xr:uid="{00000000-0005-0000-0000-0000AF050000}"/>
    <cellStyle name="—_EM_CMHKconsolidatednew_WIP.xls Chart 1_Beta" xfId="4537" xr:uid="{00000000-0005-0000-0000-0000B0050000}"/>
    <cellStyle name="—_EM_CMHKconsolidatednew_WIP.xls Chart 1_Book8" xfId="4538" xr:uid="{00000000-0005-0000-0000-0000B1050000}"/>
    <cellStyle name="—_EM_CMHKconsolidatednew_WIP.xls Chart 1_Book8_Beta" xfId="4539" xr:uid="{00000000-0005-0000-0000-0000B2050000}"/>
    <cellStyle name="—_EM_CMHKconsolidatednew_WIP.xls Chart 1_Book8_Cashflow" xfId="4540" xr:uid="{00000000-0005-0000-0000-0000B3050000}"/>
    <cellStyle name="—_EM_CMHKconsolidatednew_WIP.xls Chart 1_Book8_Cashflow_Honghua MSTR" xfId="4541" xr:uid="{00000000-0005-0000-0000-0000B4050000}"/>
    <cellStyle name="—_EM_CMHKconsolidatednew_WIP.xls Chart 1_Book8_P&amp;L" xfId="4542" xr:uid="{00000000-0005-0000-0000-0000B5050000}"/>
    <cellStyle name="—_EM_CMHKconsolidatednew_WIP.xls Chart 1_Book8_P&amp;L_Honghua MSTR" xfId="4543" xr:uid="{00000000-0005-0000-0000-0000B6050000}"/>
    <cellStyle name="—_EM_CMHKconsolidatednew_WIP.xls Chart 1_Book8_PetroChina Master" xfId="4544" xr:uid="{00000000-0005-0000-0000-0000B7050000}"/>
    <cellStyle name="—_EM_CMHKconsolidatednew_WIP.xls Chart 1_Book8_PetroChina Master_WIP(20-F update)" xfId="4545" xr:uid="{00000000-0005-0000-0000-0000B8050000}"/>
    <cellStyle name="—_EM_CMHKconsolidatednew_WIP.xls Chart 1_Book8_PetroChina Master_WIP(20-F update)_Cashflow" xfId="4546" xr:uid="{00000000-0005-0000-0000-0000B9050000}"/>
    <cellStyle name="—_EM_CMHKconsolidatednew_WIP.xls Chart 1_Book8_PetroChina Master_WIP(20-F update)_Cashflow_Honghua MSTR" xfId="4547" xr:uid="{00000000-0005-0000-0000-0000BA050000}"/>
    <cellStyle name="—_EM_CMHKconsolidatednew_WIP.xls Chart 1_Book8_PetroChina Master_WIP(20-F update)_P&amp;L" xfId="4548" xr:uid="{00000000-0005-0000-0000-0000BB050000}"/>
    <cellStyle name="—_EM_CMHKconsolidatednew_WIP.xls Chart 1_Book8_PetroChina Master_WIP(20-F update)_P&amp;L_Honghua MSTR" xfId="4549" xr:uid="{00000000-0005-0000-0000-0000BC050000}"/>
    <cellStyle name="—_EM_CMHKconsolidatednew_WIP.xls Chart 1_Book8_PetroChina Master_WIP(20-F update)_Sinopec MSTR" xfId="4550" xr:uid="{00000000-0005-0000-0000-0000BD050000}"/>
    <cellStyle name="—_EM_CMHKconsolidatednew_WIP.xls Chart 1_Book8_PetroChina Master_WIP(20-F update)_Sinopec MSTR Wip" xfId="4551" xr:uid="{00000000-0005-0000-0000-0000BE050000}"/>
    <cellStyle name="—_EM_CMHKconsolidatednew_WIP.xls Chart 1_Book8_PetroChina Master_WIP(20-F update)_Sinopec MSTR_WIP_KK" xfId="4552" xr:uid="{00000000-0005-0000-0000-0000BF050000}"/>
    <cellStyle name="—_EM_CMHKconsolidatednew_WIP.xls Chart 1_Book8_Sinopec MSTR" xfId="4553" xr:uid="{00000000-0005-0000-0000-0000C0050000}"/>
    <cellStyle name="—_EM_CMHKconsolidatednew_WIP.xls Chart 1_Book8_Sinopec MSTR Wip" xfId="4554" xr:uid="{00000000-0005-0000-0000-0000C1050000}"/>
    <cellStyle name="—_EM_CMHKconsolidatednew_WIP.xls Chart 1_Book8_Sinopec MSTR_WIP_KK" xfId="4555" xr:uid="{00000000-0005-0000-0000-0000C2050000}"/>
    <cellStyle name="—_EM_CMHKconsolidatednew_WIP.xls Chart 1_Book8_Sinopec MSTR-WIP_20F update" xfId="4556" xr:uid="{00000000-0005-0000-0000-0000C3050000}"/>
    <cellStyle name="—_EM_CMHKconsolidatednew_WIP.xls Chart 1_Cashflow" xfId="4557" xr:uid="{00000000-0005-0000-0000-0000C4050000}"/>
    <cellStyle name="—_EM_CMHKconsolidatednew_WIP.xls Chart 1_Cashflow_Honghua MSTR" xfId="4558" xr:uid="{00000000-0005-0000-0000-0000C5050000}"/>
    <cellStyle name="—_EM_CMHKconsolidatednew_WIP.xls Chart 1_EM-LGT_Published" xfId="4559" xr:uid="{00000000-0005-0000-0000-0000C6050000}"/>
    <cellStyle name="—_EM_CMHKconsolidatednew_WIP.xls Chart 1_EM-LGT_Published_Beta" xfId="4560" xr:uid="{00000000-0005-0000-0000-0000C7050000}"/>
    <cellStyle name="—_EM_CMHKconsolidatednew_WIP.xls Chart 1_EM-LGT_Published_Cashflow" xfId="4561" xr:uid="{00000000-0005-0000-0000-0000C8050000}"/>
    <cellStyle name="—_EM_CMHKconsolidatednew_WIP.xls Chart 1_EM-LGT_Published_Cashflow_Honghua MSTR" xfId="4562" xr:uid="{00000000-0005-0000-0000-0000C9050000}"/>
    <cellStyle name="—_EM_CMHKconsolidatednew_WIP.xls Chart 1_EM-LGT_Published_P&amp;L" xfId="4563" xr:uid="{00000000-0005-0000-0000-0000CA050000}"/>
    <cellStyle name="—_EM_CMHKconsolidatednew_WIP.xls Chart 1_EM-LGT_Published_P&amp;L_Honghua MSTR" xfId="4564" xr:uid="{00000000-0005-0000-0000-0000CB050000}"/>
    <cellStyle name="—_EM_CMHKconsolidatednew_WIP.xls Chart 1_EM-LGT_Published_PetroChina Master" xfId="4565" xr:uid="{00000000-0005-0000-0000-0000CC050000}"/>
    <cellStyle name="—_EM_CMHKconsolidatednew_WIP.xls Chart 1_EM-LGT_Published_PetroChina Master_WIP(20-F update)" xfId="4566" xr:uid="{00000000-0005-0000-0000-0000CD050000}"/>
    <cellStyle name="—_EM_CMHKconsolidatednew_WIP.xls Chart 1_EM-LGT_Published_PetroChina Master_WIP(20-F update)_Cashflow" xfId="4567" xr:uid="{00000000-0005-0000-0000-0000CE050000}"/>
    <cellStyle name="—_EM_CMHKconsolidatednew_WIP.xls Chart 1_EM-LGT_Published_PetroChina Master_WIP(20-F update)_Cashflow_Honghua MSTR" xfId="4568" xr:uid="{00000000-0005-0000-0000-0000CF050000}"/>
    <cellStyle name="—_EM_CMHKconsolidatednew_WIP.xls Chart 1_EM-LGT_Published_PetroChina Master_WIP(20-F update)_P&amp;L" xfId="4569" xr:uid="{00000000-0005-0000-0000-0000D0050000}"/>
    <cellStyle name="—_EM_CMHKconsolidatednew_WIP.xls Chart 1_EM-LGT_Published_PetroChina Master_WIP(20-F update)_P&amp;L_Honghua MSTR" xfId="4570" xr:uid="{00000000-0005-0000-0000-0000D1050000}"/>
    <cellStyle name="—_EM_CMHKconsolidatednew_WIP.xls Chart 1_EM-LGT_Published_PetroChina Master_WIP(20-F update)_Sinopec MSTR" xfId="4571" xr:uid="{00000000-0005-0000-0000-0000D2050000}"/>
    <cellStyle name="—_EM_CMHKconsolidatednew_WIP.xls Chart 1_EM-LGT_Published_PetroChina Master_WIP(20-F update)_Sinopec MSTR Wip" xfId="4572" xr:uid="{00000000-0005-0000-0000-0000D3050000}"/>
    <cellStyle name="—_EM_CMHKconsolidatednew_WIP.xls Chart 1_EM-LGT_Published_PetroChina Master_WIP(20-F update)_Sinopec MSTR_WIP_KK" xfId="4573" xr:uid="{00000000-0005-0000-0000-0000D4050000}"/>
    <cellStyle name="—_EM_CMHKconsolidatednew_WIP.xls Chart 1_EM-LGT_Published_Sinopec MSTR" xfId="4574" xr:uid="{00000000-0005-0000-0000-0000D5050000}"/>
    <cellStyle name="—_EM_CMHKconsolidatednew_WIP.xls Chart 1_EM-LGT_Published_Sinopec MSTR Wip" xfId="4575" xr:uid="{00000000-0005-0000-0000-0000D6050000}"/>
    <cellStyle name="—_EM_CMHKconsolidatednew_WIP.xls Chart 1_EM-LGT_Published_Sinopec MSTR_WIP_KK" xfId="4576" xr:uid="{00000000-0005-0000-0000-0000D7050000}"/>
    <cellStyle name="—_EM_CMHKconsolidatednew_WIP.xls Chart 1_EM-LGT_Published_Sinopec MSTR-WIP_20F update" xfId="4577" xr:uid="{00000000-0005-0000-0000-0000D8050000}"/>
    <cellStyle name="—_EM_CMHKconsolidatednew_WIP.xls Chart 1_new-Sub" xfId="2755" xr:uid="{00000000-0005-0000-0000-0000D9050000}"/>
    <cellStyle name="—_EM_CMHKconsolidatednew_WIP.xls Chart 1_P&amp;L" xfId="4578" xr:uid="{00000000-0005-0000-0000-0000DA050000}"/>
    <cellStyle name="—_EM_CMHKconsolidatednew_WIP.xls Chart 1_P&amp;L_Honghua MSTR" xfId="4579" xr:uid="{00000000-0005-0000-0000-0000DB050000}"/>
    <cellStyle name="—_EM_CMHKconsolidatednew_WIP.xls Chart 1_PetroChina Master" xfId="4580" xr:uid="{00000000-0005-0000-0000-0000DC050000}"/>
    <cellStyle name="—_EM_CMHKconsolidatednew_WIP.xls Chart 1_PetroChina Master_WIP(20-F update)" xfId="4581" xr:uid="{00000000-0005-0000-0000-0000DD050000}"/>
    <cellStyle name="—_EM_CMHKconsolidatednew_WIP.xls Chart 1_PetroChina Master_WIP(20-F update)_Cashflow" xfId="4582" xr:uid="{00000000-0005-0000-0000-0000DE050000}"/>
    <cellStyle name="—_EM_CMHKconsolidatednew_WIP.xls Chart 1_PetroChina Master_WIP(20-F update)_Cashflow_Honghua MSTR" xfId="4583" xr:uid="{00000000-0005-0000-0000-0000DF050000}"/>
    <cellStyle name="—_EM_CMHKconsolidatednew_WIP.xls Chart 1_PetroChina Master_WIP(20-F update)_P&amp;L" xfId="4584" xr:uid="{00000000-0005-0000-0000-0000E0050000}"/>
    <cellStyle name="—_EM_CMHKconsolidatednew_WIP.xls Chart 1_PetroChina Master_WIP(20-F update)_P&amp;L_Honghua MSTR" xfId="4585" xr:uid="{00000000-0005-0000-0000-0000E1050000}"/>
    <cellStyle name="—_EM_CMHKconsolidatednew_WIP.xls Chart 1_PetroChina Master_WIP(20-F update)_Sinopec MSTR" xfId="4586" xr:uid="{00000000-0005-0000-0000-0000E2050000}"/>
    <cellStyle name="—_EM_CMHKconsolidatednew_WIP.xls Chart 1_PetroChina Master_WIP(20-F update)_Sinopec MSTR Wip" xfId="4587" xr:uid="{00000000-0005-0000-0000-0000E3050000}"/>
    <cellStyle name="—_EM_CMHKconsolidatednew_WIP.xls Chart 1_PetroChina Master_WIP(20-F update)_Sinopec MSTR_WIP_KK" xfId="4588" xr:uid="{00000000-0005-0000-0000-0000E4050000}"/>
    <cellStyle name="—_EM_CMHKconsolidatednew_WIP.xls Chart 1_Sinopec MSTR" xfId="4589" xr:uid="{00000000-0005-0000-0000-0000E5050000}"/>
    <cellStyle name="—_EM_CMHKconsolidatednew_WIP.xls Chart 1_Sinopec MSTR Wip" xfId="4590" xr:uid="{00000000-0005-0000-0000-0000E6050000}"/>
    <cellStyle name="—_EM_CMHKconsolidatednew_WIP.xls Chart 1_Sinopec MSTR_WIP_KK" xfId="4591" xr:uid="{00000000-0005-0000-0000-0000E7050000}"/>
    <cellStyle name="—_EM_CMHKconsolidatednew_WIP.xls Chart 1_Sinopec MSTR-WIP_20F update" xfId="4592" xr:uid="{00000000-0005-0000-0000-0000E8050000}"/>
    <cellStyle name="—_EM_CMHKconsolidatednew_WIP.xls Chart 1_Telecom quarterly_final" xfId="4593" xr:uid="{00000000-0005-0000-0000-0000E9050000}"/>
    <cellStyle name="—_EM_CMHKconsolidatednew_WIP.xls Chart 1_Telecom quarterly_final_Beta" xfId="4594" xr:uid="{00000000-0005-0000-0000-0000EA050000}"/>
    <cellStyle name="—_EM_CMHKconsolidatednew_WIP.xls Chart 1_Telecom quarterly_final_Book8" xfId="4595" xr:uid="{00000000-0005-0000-0000-0000EB050000}"/>
    <cellStyle name="—_EM_CMHKconsolidatednew_WIP.xls Chart 1_Telecom quarterly_final_Book8_Beta" xfId="4596" xr:uid="{00000000-0005-0000-0000-0000EC050000}"/>
    <cellStyle name="—_EM_CMHKconsolidatednew_WIP.xls Chart 1_Telecom quarterly_final_Book8_Cashflow" xfId="4597" xr:uid="{00000000-0005-0000-0000-0000ED050000}"/>
    <cellStyle name="—_EM_CMHKconsolidatednew_WIP.xls Chart 1_Telecom quarterly_final_Book8_Cashflow_Honghua MSTR" xfId="4598" xr:uid="{00000000-0005-0000-0000-0000EE050000}"/>
    <cellStyle name="—_EM_CMHKconsolidatednew_WIP.xls Chart 1_Telecom quarterly_final_Book8_P&amp;L" xfId="4599" xr:uid="{00000000-0005-0000-0000-0000EF050000}"/>
    <cellStyle name="—_EM_CMHKconsolidatednew_WIP.xls Chart 1_Telecom quarterly_final_Book8_P&amp;L_Honghua MSTR" xfId="4600" xr:uid="{00000000-0005-0000-0000-0000F0050000}"/>
    <cellStyle name="—_EM_CMHKconsolidatednew_WIP.xls Chart 1_Telecom quarterly_final_Book8_PetroChina Master" xfId="4601" xr:uid="{00000000-0005-0000-0000-0000F1050000}"/>
    <cellStyle name="—_EM_CMHKconsolidatednew_WIP.xls Chart 1_Telecom quarterly_final_Book8_PetroChina Master_WIP(20-F update)" xfId="4602" xr:uid="{00000000-0005-0000-0000-0000F2050000}"/>
    <cellStyle name="—_EM_CMHKconsolidatednew_WIP.xls Chart 1_Telecom quarterly_final_Book8_PetroChina Master_WIP(20-F update)_Cashflow" xfId="4603" xr:uid="{00000000-0005-0000-0000-0000F3050000}"/>
    <cellStyle name="—_EM_CMHKconsolidatednew_WIP.xls Chart 1_Telecom quarterly_final_Book8_PetroChina Master_WIP(20-F update)_Cashflow_Honghua MSTR" xfId="4604" xr:uid="{00000000-0005-0000-0000-0000F4050000}"/>
    <cellStyle name="—_EM_CMHKconsolidatednew_WIP.xls Chart 1_Telecom quarterly_final_Book8_PetroChina Master_WIP(20-F update)_P&amp;L" xfId="4605" xr:uid="{00000000-0005-0000-0000-0000F5050000}"/>
    <cellStyle name="—_EM_CMHKconsolidatednew_WIP.xls Chart 1_Telecom quarterly_final_Book8_PetroChina Master_WIP(20-F update)_P&amp;L_Honghua MSTR" xfId="4606" xr:uid="{00000000-0005-0000-0000-0000F6050000}"/>
    <cellStyle name="—_EM_CMHKconsolidatednew_WIP.xls Chart 1_Telecom quarterly_final_Book8_PetroChina Master_WIP(20-F update)_Sinopec MSTR" xfId="4607" xr:uid="{00000000-0005-0000-0000-0000F7050000}"/>
    <cellStyle name="—_EM_CMHKconsolidatednew_WIP.xls Chart 1_Telecom quarterly_final_Book8_PetroChina Master_WIP(20-F update)_Sinopec MSTR Wip" xfId="4608" xr:uid="{00000000-0005-0000-0000-0000F8050000}"/>
    <cellStyle name="—_EM_CMHKconsolidatednew_WIP.xls Chart 1_Telecom quarterly_final_Book8_PetroChina Master_WIP(20-F update)_Sinopec MSTR_WIP_KK" xfId="4609" xr:uid="{00000000-0005-0000-0000-0000F9050000}"/>
    <cellStyle name="—_EM_CMHKconsolidatednew_WIP.xls Chart 1_Telecom quarterly_final_Book8_Sinopec MSTR" xfId="4610" xr:uid="{00000000-0005-0000-0000-0000FA050000}"/>
    <cellStyle name="—_EM_CMHKconsolidatednew_WIP.xls Chart 1_Telecom quarterly_final_Book8_Sinopec MSTR Wip" xfId="4611" xr:uid="{00000000-0005-0000-0000-0000FB050000}"/>
    <cellStyle name="—_EM_CMHKconsolidatednew_WIP.xls Chart 1_Telecom quarterly_final_Book8_Sinopec MSTR_WIP_KK" xfId="4612" xr:uid="{00000000-0005-0000-0000-0000FC050000}"/>
    <cellStyle name="—_EM_CMHKconsolidatednew_WIP.xls Chart 1_Telecom quarterly_final_Book8_Sinopec MSTR-WIP_20F update" xfId="4613" xr:uid="{00000000-0005-0000-0000-0000FD050000}"/>
    <cellStyle name="—_EM_CMHKconsolidatednew_WIP.xls Chart 1_Telecom quarterly_final_Cashflow" xfId="4614" xr:uid="{00000000-0005-0000-0000-0000FE050000}"/>
    <cellStyle name="—_EM_CMHKconsolidatednew_WIP.xls Chart 1_Telecom quarterly_final_Cashflow_Honghua MSTR" xfId="4615" xr:uid="{00000000-0005-0000-0000-0000FF050000}"/>
    <cellStyle name="—_EM_CMHKconsolidatednew_WIP.xls Chart 1_Telecom quarterly_final_EM-LGT_Published" xfId="4616" xr:uid="{00000000-0005-0000-0000-000000060000}"/>
    <cellStyle name="—_EM_CMHKconsolidatednew_WIP.xls Chart 1_Telecom quarterly_final_EM-LGT_Published_Beta" xfId="4617" xr:uid="{00000000-0005-0000-0000-000001060000}"/>
    <cellStyle name="—_EM_CMHKconsolidatednew_WIP.xls Chart 1_Telecom quarterly_final_EM-LGT_Published_Cashflow" xfId="4618" xr:uid="{00000000-0005-0000-0000-000002060000}"/>
    <cellStyle name="—_EM_CMHKconsolidatednew_WIP.xls Chart 1_Telecom quarterly_final_EM-LGT_Published_Cashflow_Honghua MSTR" xfId="4619" xr:uid="{00000000-0005-0000-0000-000003060000}"/>
    <cellStyle name="—_EM_CMHKconsolidatednew_WIP.xls Chart 1_Telecom quarterly_final_EM-LGT_Published_P&amp;L" xfId="4620" xr:uid="{00000000-0005-0000-0000-000004060000}"/>
    <cellStyle name="—_EM_CMHKconsolidatednew_WIP.xls Chart 1_Telecom quarterly_final_EM-LGT_Published_P&amp;L_Honghua MSTR" xfId="4621" xr:uid="{00000000-0005-0000-0000-000005060000}"/>
    <cellStyle name="—_EM_CMHKconsolidatednew_WIP.xls Chart 1_Telecom quarterly_final_EM-LGT_Published_PetroChina Master" xfId="4622" xr:uid="{00000000-0005-0000-0000-000006060000}"/>
    <cellStyle name="—_EM_CMHKconsolidatednew_WIP.xls Chart 1_Telecom quarterly_final_EM-LGT_Published_PetroChina Master_WIP(20-F update)" xfId="4623" xr:uid="{00000000-0005-0000-0000-000007060000}"/>
    <cellStyle name="—_EM_CMHKconsolidatednew_WIP.xls Chart 1_Telecom quarterly_final_EM-LGT_Published_PetroChina Master_WIP(20-F update)_Cashflow" xfId="4624" xr:uid="{00000000-0005-0000-0000-000008060000}"/>
    <cellStyle name="—_EM_CMHKconsolidatednew_WIP.xls Chart 1_Telecom quarterly_final_EM-LGT_Published_PetroChina Master_WIP(20-F update)_Cashflow_Honghua MSTR" xfId="4625" xr:uid="{00000000-0005-0000-0000-000009060000}"/>
    <cellStyle name="—_EM_CMHKconsolidatednew_WIP.xls Chart 1_Telecom quarterly_final_EM-LGT_Published_PetroChina Master_WIP(20-F update)_P&amp;L" xfId="4626" xr:uid="{00000000-0005-0000-0000-00000A060000}"/>
    <cellStyle name="—_EM_CMHKconsolidatednew_WIP.xls Chart 1_Telecom quarterly_final_EM-LGT_Published_PetroChina Master_WIP(20-F update)_P&amp;L_Honghua MSTR" xfId="4627" xr:uid="{00000000-0005-0000-0000-00000B060000}"/>
    <cellStyle name="—_EM_CMHKconsolidatednew_WIP.xls Chart 1_Telecom quarterly_final_EM-LGT_Published_PetroChina Master_WIP(20-F update)_Sinopec MSTR" xfId="4628" xr:uid="{00000000-0005-0000-0000-00000C060000}"/>
    <cellStyle name="—_EM_CMHKconsolidatednew_WIP.xls Chart 1_Telecom quarterly_final_EM-LGT_Published_PetroChina Master_WIP(20-F update)_Sinopec MSTR Wip" xfId="4629" xr:uid="{00000000-0005-0000-0000-00000D060000}"/>
    <cellStyle name="—_EM_CMHKconsolidatednew_WIP.xls Chart 1_Telecom quarterly_final_EM-LGT_Published_PetroChina Master_WIP(20-F update)_Sinopec MSTR_WIP_KK" xfId="4630" xr:uid="{00000000-0005-0000-0000-00000E060000}"/>
    <cellStyle name="—_EM_CMHKconsolidatednew_WIP.xls Chart 1_Telecom quarterly_final_EM-LGT_Published_Sinopec MSTR" xfId="4631" xr:uid="{00000000-0005-0000-0000-00000F060000}"/>
    <cellStyle name="—_EM_CMHKconsolidatednew_WIP.xls Chart 1_Telecom quarterly_final_EM-LGT_Published_Sinopec MSTR Wip" xfId="4632" xr:uid="{00000000-0005-0000-0000-000010060000}"/>
    <cellStyle name="—_EM_CMHKconsolidatednew_WIP.xls Chart 1_Telecom quarterly_final_EM-LGT_Published_Sinopec MSTR_WIP_KK" xfId="4633" xr:uid="{00000000-0005-0000-0000-000011060000}"/>
    <cellStyle name="—_EM_CMHKconsolidatednew_WIP.xls Chart 1_Telecom quarterly_final_EM-LGT_Published_Sinopec MSTR-WIP_20F update" xfId="4634" xr:uid="{00000000-0005-0000-0000-000012060000}"/>
    <cellStyle name="—_EM_CMHKconsolidatednew_WIP.xls Chart 1_Telecom quarterly_final_P&amp;L" xfId="4635" xr:uid="{00000000-0005-0000-0000-000013060000}"/>
    <cellStyle name="—_EM_CMHKconsolidatednew_WIP.xls Chart 1_Telecom quarterly_final_P&amp;L_Honghua MSTR" xfId="4636" xr:uid="{00000000-0005-0000-0000-000014060000}"/>
    <cellStyle name="—_EM_CMHKconsolidatednew_WIP.xls Chart 1_Telecom quarterly_final_PetroChina Master" xfId="4637" xr:uid="{00000000-0005-0000-0000-000015060000}"/>
    <cellStyle name="—_EM_CMHKconsolidatednew_WIP.xls Chart 1_Telecom quarterly_final_PetroChina Master_WIP(20-F update)" xfId="4638" xr:uid="{00000000-0005-0000-0000-000016060000}"/>
    <cellStyle name="—_EM_CMHKconsolidatednew_WIP.xls Chart 1_Telecom quarterly_final_PetroChina Master_WIP(20-F update)_Cashflow" xfId="4639" xr:uid="{00000000-0005-0000-0000-000017060000}"/>
    <cellStyle name="—_EM_CMHKconsolidatednew_WIP.xls Chart 1_Telecom quarterly_final_PetroChina Master_WIP(20-F update)_Cashflow_Honghua MSTR" xfId="4640" xr:uid="{00000000-0005-0000-0000-000018060000}"/>
    <cellStyle name="—_EM_CMHKconsolidatednew_WIP.xls Chart 1_Telecom quarterly_final_PetroChina Master_WIP(20-F update)_P&amp;L" xfId="4641" xr:uid="{00000000-0005-0000-0000-000019060000}"/>
    <cellStyle name="—_EM_CMHKconsolidatednew_WIP.xls Chart 1_Telecom quarterly_final_PetroChina Master_WIP(20-F update)_P&amp;L_Honghua MSTR" xfId="4642" xr:uid="{00000000-0005-0000-0000-00001A060000}"/>
    <cellStyle name="—_EM_CMHKconsolidatednew_WIP.xls Chart 1_Telecom quarterly_final_PetroChina Master_WIP(20-F update)_Sinopec MSTR" xfId="4643" xr:uid="{00000000-0005-0000-0000-00001B060000}"/>
    <cellStyle name="—_EM_CMHKconsolidatednew_WIP.xls Chart 1_Telecom quarterly_final_PetroChina Master_WIP(20-F update)_Sinopec MSTR Wip" xfId="4644" xr:uid="{00000000-0005-0000-0000-00001C060000}"/>
    <cellStyle name="—_EM_CMHKconsolidatednew_WIP.xls Chart 1_Telecom quarterly_final_PetroChina Master_WIP(20-F update)_Sinopec MSTR_WIP_KK" xfId="4645" xr:uid="{00000000-0005-0000-0000-00001D060000}"/>
    <cellStyle name="—_EM_CMHKconsolidatednew_WIP.xls Chart 1_Telecom quarterly_final_Sinopec MSTR" xfId="4646" xr:uid="{00000000-0005-0000-0000-00001E060000}"/>
    <cellStyle name="—_EM_CMHKconsolidatednew_WIP.xls Chart 1_Telecom quarterly_final_Sinopec MSTR Wip" xfId="4647" xr:uid="{00000000-0005-0000-0000-00001F060000}"/>
    <cellStyle name="—_EM_CMHKconsolidatednew_WIP.xls Chart 1_Telecom quarterly_final_Sinopec MSTR_WIP_KK" xfId="4648" xr:uid="{00000000-0005-0000-0000-000020060000}"/>
    <cellStyle name="—_EM_CMHKconsolidatednew_WIP.xls Chart 1_Telecom quarterly_final_Sinopec MSTR-WIP_20F update" xfId="4649" xr:uid="{00000000-0005-0000-0000-000021060000}"/>
    <cellStyle name="—_EM_CMHKnew" xfId="2756" xr:uid="{00000000-0005-0000-0000-000022060000}"/>
    <cellStyle name="—_EM_CU" xfId="2757" xr:uid="{00000000-0005-0000-0000-000023060000}"/>
    <cellStyle name="—_EM_FETone" xfId="2758" xr:uid="{00000000-0005-0000-0000-000024060000}"/>
    <cellStyle name="—_EM_FETone_AUO consolidated 2004_02" xfId="2759" xr:uid="{00000000-0005-0000-0000-000025060000}"/>
    <cellStyle name="—_EM_FETone_AUO forecast (GQ)2005_03" xfId="2760" xr:uid="{00000000-0005-0000-0000-000026060000}"/>
    <cellStyle name="—_EM_FETone_new" xfId="2761" xr:uid="{00000000-0005-0000-0000-000027060000}"/>
    <cellStyle name="—_EM_FETone_new_AUO consolidated 2004_02" xfId="2762" xr:uid="{00000000-0005-0000-0000-000028060000}"/>
    <cellStyle name="—_EM_FETone_new_AUO forecast (GQ)2005_03" xfId="2763" xr:uid="{00000000-0005-0000-0000-000029060000}"/>
    <cellStyle name="—_EM_FETone_new_new-Sub" xfId="2764" xr:uid="{00000000-0005-0000-0000-00002A060000}"/>
    <cellStyle name="—_EM_FETone_new_Novatek forecast 280404" xfId="2765" xr:uid="{00000000-0005-0000-0000-00002B060000}"/>
    <cellStyle name="—_EM_FETone_new-Sub" xfId="2766" xr:uid="{00000000-0005-0000-0000-00002C060000}"/>
    <cellStyle name="—_EM_FETone_Novatek forecast 280404" xfId="2767" xr:uid="{00000000-0005-0000-0000-00002D060000}"/>
    <cellStyle name="—_EM_NZT" xfId="2768" xr:uid="{00000000-0005-0000-0000-00002E060000}"/>
    <cellStyle name="—_EM_NZT_BS" xfId="2769" xr:uid="{00000000-0005-0000-0000-00002F060000}"/>
    <cellStyle name="—_EM_NZT_BS_BS" xfId="2770" xr:uid="{00000000-0005-0000-0000-000030060000}"/>
    <cellStyle name="—_EM_NZT_BS_Capex" xfId="2771" xr:uid="{00000000-0005-0000-0000-000031060000}"/>
    <cellStyle name="—_EM_NZT_BS_CF" xfId="2772" xr:uid="{00000000-0005-0000-0000-000032060000}"/>
    <cellStyle name="—_EM_NZT_BS_COFCO (506.HK)" xfId="2773" xr:uid="{00000000-0005-0000-0000-000033060000}"/>
    <cellStyle name="—_EM_NZT_BS_COFCO_051010" xfId="2774" xr:uid="{00000000-0005-0000-0000-000034060000}"/>
    <cellStyle name="—_EM_NZT_BS_COFCO_backup" xfId="2775" xr:uid="{00000000-0005-0000-0000-000035060000}"/>
    <cellStyle name="—_EM_NZT_BS_DCF" xfId="2776" xr:uid="{00000000-0005-0000-0000-000036060000}"/>
    <cellStyle name="—_EM_NZT_BS_Front page" xfId="2777" xr:uid="{00000000-0005-0000-0000-000037060000}"/>
    <cellStyle name="—_EM_NZT_BS_LT assets" xfId="2778" xr:uid="{00000000-0005-0000-0000-000038060000}"/>
    <cellStyle name="—_EM_NZT_BS_Monthly" xfId="2779" xr:uid="{00000000-0005-0000-0000-000039060000}"/>
    <cellStyle name="—_EM_NZT_BS_P&amp;L" xfId="2780" xr:uid="{00000000-0005-0000-0000-00003A060000}"/>
    <cellStyle name="—_EM_NZT_BS_Valuation" xfId="2781" xr:uid="{00000000-0005-0000-0000-00003B060000}"/>
    <cellStyle name="—_EM_NZT_Yifan template 2" xfId="2782" xr:uid="{00000000-0005-0000-0000-00003C060000}"/>
    <cellStyle name="—_EM_NZT_Yifan template 2_BS" xfId="2783" xr:uid="{00000000-0005-0000-0000-00003D060000}"/>
    <cellStyle name="—_EM_NZT_Yifan template 2_Capex" xfId="2784" xr:uid="{00000000-0005-0000-0000-00003E060000}"/>
    <cellStyle name="—_EM_NZT_Yifan template 2_CF" xfId="2785" xr:uid="{00000000-0005-0000-0000-00003F060000}"/>
    <cellStyle name="—_EM_NZT_Yifan template 2_COFCO (506.HK)" xfId="2786" xr:uid="{00000000-0005-0000-0000-000040060000}"/>
    <cellStyle name="—_EM_NZT_Yifan template 2_COFCO_051010" xfId="2787" xr:uid="{00000000-0005-0000-0000-000041060000}"/>
    <cellStyle name="—_EM_NZT_Yifan template 2_COFCO_backup" xfId="2788" xr:uid="{00000000-0005-0000-0000-000042060000}"/>
    <cellStyle name="—_EM_NZT_Yifan template 2_DCF" xfId="2789" xr:uid="{00000000-0005-0000-0000-000043060000}"/>
    <cellStyle name="—_EM_NZT_Yifan template 2_Front page" xfId="2790" xr:uid="{00000000-0005-0000-0000-000044060000}"/>
    <cellStyle name="—_EM_NZT_Yifan template 2_LT assets" xfId="2791" xr:uid="{00000000-0005-0000-0000-000045060000}"/>
    <cellStyle name="—_EM_NZT_Yifan template 2_Monthly" xfId="2792" xr:uid="{00000000-0005-0000-0000-000046060000}"/>
    <cellStyle name="—_EM_NZT_Yifan template 2_P&amp;L" xfId="2793" xr:uid="{00000000-0005-0000-0000-000047060000}"/>
    <cellStyle name="—_EM_NZT_Yifan template 2_Valuation" xfId="2794" xr:uid="{00000000-0005-0000-0000-000048060000}"/>
    <cellStyle name="—_EM_TCC" xfId="2795" xr:uid="{00000000-0005-0000-0000-000049060000}"/>
    <cellStyle name="—_EM_TCC_AUO consolidated 2004_02" xfId="2796" xr:uid="{00000000-0005-0000-0000-00004A060000}"/>
    <cellStyle name="—_EM_TCC_AUO forecast (GQ)2005_03" xfId="2797" xr:uid="{00000000-0005-0000-0000-00004B060000}"/>
    <cellStyle name="—_EM_TCC_new" xfId="2798" xr:uid="{00000000-0005-0000-0000-00004C060000}"/>
    <cellStyle name="—_EM_TCC_new_AUO consolidated 2004_02" xfId="2799" xr:uid="{00000000-0005-0000-0000-00004D060000}"/>
    <cellStyle name="—_EM_TCC_new_AUO forecast (GQ)2005_03" xfId="2800" xr:uid="{00000000-0005-0000-0000-00004E060000}"/>
    <cellStyle name="—_EM_TCC_new_new-Sub" xfId="2801" xr:uid="{00000000-0005-0000-0000-00004F060000}"/>
    <cellStyle name="—_EM_TCC_new_Novatek forecast 280404" xfId="2802" xr:uid="{00000000-0005-0000-0000-000050060000}"/>
    <cellStyle name="—_EM_TCC_new-Sub" xfId="2803" xr:uid="{00000000-0005-0000-0000-000051060000}"/>
    <cellStyle name="—_EM_TCC_Novatek forecast 280404" xfId="2804" xr:uid="{00000000-0005-0000-0000-000052060000}"/>
    <cellStyle name="—_EM_UTStarcom_new" xfId="2805" xr:uid="{00000000-0005-0000-0000-000053060000}"/>
    <cellStyle name="—_EM_UTStarcom_new_AUO consolidated 2004_02" xfId="2806" xr:uid="{00000000-0005-0000-0000-000054060000}"/>
    <cellStyle name="—_EM_UTStarcom_new_AUO forecast (GQ)2005_03" xfId="2807" xr:uid="{00000000-0005-0000-0000-000055060000}"/>
    <cellStyle name="—_EM_UTStarcom_new_new-Sub" xfId="2808" xr:uid="{00000000-0005-0000-0000-000056060000}"/>
    <cellStyle name="—_EM_UTStarcom_new_Novatek forecast 280404" xfId="2809" xr:uid="{00000000-0005-0000-0000-000057060000}"/>
    <cellStyle name="—_EM-AISnew" xfId="2810" xr:uid="{00000000-0005-0000-0000-000058060000}"/>
    <cellStyle name="—_EM-AISnew_new-Sub" xfId="2811" xr:uid="{00000000-0005-0000-0000-000059060000}"/>
    <cellStyle name="—_EM-Chunghwa" xfId="2812" xr:uid="{00000000-0005-0000-0000-00005A060000}"/>
    <cellStyle name="—_EM-Chunghwa sense 060503" xfId="2813" xr:uid="{00000000-0005-0000-0000-00005B060000}"/>
    <cellStyle name="—_EM-Chunghwa sense 060503_new-Sub" xfId="2814" xr:uid="{00000000-0005-0000-0000-00005C060000}"/>
    <cellStyle name="—_EM-Chunghwa_AUO consolidated 2004_02" xfId="2815" xr:uid="{00000000-0005-0000-0000-00005D060000}"/>
    <cellStyle name="—_EM-Chunghwa_AUO forecast (GQ)2005_03" xfId="2816" xr:uid="{00000000-0005-0000-0000-00005E060000}"/>
    <cellStyle name="—_EM-Chunghwa_new" xfId="2817" xr:uid="{00000000-0005-0000-0000-00005F060000}"/>
    <cellStyle name="—_EM-Chunghwa_new_new-Sub" xfId="2818" xr:uid="{00000000-0005-0000-0000-000060060000}"/>
    <cellStyle name="—_EM-Chunghwa_new-Sub" xfId="2819" xr:uid="{00000000-0005-0000-0000-000061060000}"/>
    <cellStyle name="—_EM-Chunghwa_Novatek forecast 280404" xfId="2820" xr:uid="{00000000-0005-0000-0000-000062060000}"/>
    <cellStyle name="—_EM-HTI" xfId="2821" xr:uid="{00000000-0005-0000-0000-000063060000}"/>
    <cellStyle name="—_EM-HTI_(GS) China Pharmaceutical Group model" xfId="2822" xr:uid="{00000000-0005-0000-0000-000064060000}"/>
    <cellStyle name="—_EM-HTI_(GS) Global Bio-chem model" xfId="2823" xr:uid="{00000000-0005-0000-0000-000065060000}"/>
    <cellStyle name="—_EM-HTI_100902 Helen NTT FCF to be sent" xfId="2824" xr:uid="{00000000-0005-0000-0000-000066060000}"/>
    <cellStyle name="—_EM-HTI_AUO consolidated 2004_02" xfId="2825" xr:uid="{00000000-0005-0000-0000-000067060000}"/>
    <cellStyle name="—_EM-HTI_AUO forecast (GQ)2005_03" xfId="2826" xr:uid="{00000000-0005-0000-0000-000068060000}"/>
    <cellStyle name="—_EM-HTI_Book4" xfId="2827" xr:uid="{00000000-0005-0000-0000-000069060000}"/>
    <cellStyle name="—_EM-HTI_Book4_BS" xfId="2828" xr:uid="{00000000-0005-0000-0000-00006A060000}"/>
    <cellStyle name="—_EM-HTI_Book4_BS_BS" xfId="2829" xr:uid="{00000000-0005-0000-0000-00006B060000}"/>
    <cellStyle name="—_EM-HTI_Book4_BS_Capex" xfId="2830" xr:uid="{00000000-0005-0000-0000-00006C060000}"/>
    <cellStyle name="—_EM-HTI_Book4_BS_CF" xfId="2831" xr:uid="{00000000-0005-0000-0000-00006D060000}"/>
    <cellStyle name="—_EM-HTI_Book4_BS_COFCO (506.HK)" xfId="2832" xr:uid="{00000000-0005-0000-0000-00006E060000}"/>
    <cellStyle name="—_EM-HTI_Book4_BS_COFCO_051010" xfId="2833" xr:uid="{00000000-0005-0000-0000-00006F060000}"/>
    <cellStyle name="—_EM-HTI_Book4_BS_COFCO_backup" xfId="2834" xr:uid="{00000000-0005-0000-0000-000070060000}"/>
    <cellStyle name="—_EM-HTI_Book4_BS_DCF" xfId="2835" xr:uid="{00000000-0005-0000-0000-000071060000}"/>
    <cellStyle name="—_EM-HTI_Book4_BS_Front page" xfId="2836" xr:uid="{00000000-0005-0000-0000-000072060000}"/>
    <cellStyle name="—_EM-HTI_Book4_BS_LT assets" xfId="2837" xr:uid="{00000000-0005-0000-0000-000073060000}"/>
    <cellStyle name="—_EM-HTI_Book4_BS_Monthly" xfId="2838" xr:uid="{00000000-0005-0000-0000-000074060000}"/>
    <cellStyle name="—_EM-HTI_Book4_BS_P&amp;L" xfId="2839" xr:uid="{00000000-0005-0000-0000-000075060000}"/>
    <cellStyle name="—_EM-HTI_Book4_BS_Valuation" xfId="2840" xr:uid="{00000000-0005-0000-0000-000076060000}"/>
    <cellStyle name="—_EM-HTI_Book4_Yifan template 2" xfId="2841" xr:uid="{00000000-0005-0000-0000-000077060000}"/>
    <cellStyle name="—_EM-HTI_Book4_Yifan template 2_BS" xfId="2842" xr:uid="{00000000-0005-0000-0000-000078060000}"/>
    <cellStyle name="—_EM-HTI_Book4_Yifan template 2_Capex" xfId="2843" xr:uid="{00000000-0005-0000-0000-000079060000}"/>
    <cellStyle name="—_EM-HTI_Book4_Yifan template 2_CF" xfId="2844" xr:uid="{00000000-0005-0000-0000-00007A060000}"/>
    <cellStyle name="—_EM-HTI_Book4_Yifan template 2_COFCO (506.HK)" xfId="2845" xr:uid="{00000000-0005-0000-0000-00007B060000}"/>
    <cellStyle name="—_EM-HTI_Book4_Yifan template 2_COFCO_051010" xfId="2846" xr:uid="{00000000-0005-0000-0000-00007C060000}"/>
    <cellStyle name="—_EM-HTI_Book4_Yifan template 2_COFCO_backup" xfId="2847" xr:uid="{00000000-0005-0000-0000-00007D060000}"/>
    <cellStyle name="—_EM-HTI_Book4_Yifan template 2_DCF" xfId="2848" xr:uid="{00000000-0005-0000-0000-00007E060000}"/>
    <cellStyle name="—_EM-HTI_Book4_Yifan template 2_Front page" xfId="2849" xr:uid="{00000000-0005-0000-0000-00007F060000}"/>
    <cellStyle name="—_EM-HTI_Book4_Yifan template 2_LT assets" xfId="2850" xr:uid="{00000000-0005-0000-0000-000080060000}"/>
    <cellStyle name="—_EM-HTI_Book4_Yifan template 2_Monthly" xfId="2851" xr:uid="{00000000-0005-0000-0000-000081060000}"/>
    <cellStyle name="—_EM-HTI_Book4_Yifan template 2_P&amp;L" xfId="2852" xr:uid="{00000000-0005-0000-0000-000082060000}"/>
    <cellStyle name="—_EM-HTI_Book4_Yifan template 2_Valuation" xfId="2853" xr:uid="{00000000-0005-0000-0000-000083060000}"/>
    <cellStyle name="—_EM-HTI_BS" xfId="2854" xr:uid="{00000000-0005-0000-0000-000084060000}"/>
    <cellStyle name="—_EM-HTI_BS_1" xfId="2855" xr:uid="{00000000-0005-0000-0000-000085060000}"/>
    <cellStyle name="—_EM-HTI_BS_BS" xfId="2856" xr:uid="{00000000-0005-0000-0000-000086060000}"/>
    <cellStyle name="—_EM-HTI_BS_Capex" xfId="2857" xr:uid="{00000000-0005-0000-0000-000087060000}"/>
    <cellStyle name="—_EM-HTI_BS_CF" xfId="2858" xr:uid="{00000000-0005-0000-0000-000088060000}"/>
    <cellStyle name="—_EM-HTI_BS_COFCO (506.HK)" xfId="2859" xr:uid="{00000000-0005-0000-0000-000089060000}"/>
    <cellStyle name="—_EM-HTI_BS_COFCO_051010" xfId="2860" xr:uid="{00000000-0005-0000-0000-00008A060000}"/>
    <cellStyle name="—_EM-HTI_BS_COFCO_backup" xfId="2861" xr:uid="{00000000-0005-0000-0000-00008B060000}"/>
    <cellStyle name="—_EM-HTI_BS_DCF" xfId="2862" xr:uid="{00000000-0005-0000-0000-00008C060000}"/>
    <cellStyle name="—_EM-HTI_BS_Front page" xfId="2863" xr:uid="{00000000-0005-0000-0000-00008D060000}"/>
    <cellStyle name="—_EM-HTI_BS_LT assets" xfId="2864" xr:uid="{00000000-0005-0000-0000-00008E060000}"/>
    <cellStyle name="—_EM-HTI_BS_Monthly" xfId="2865" xr:uid="{00000000-0005-0000-0000-00008F060000}"/>
    <cellStyle name="—_EM-HTI_BS_P&amp;L" xfId="2866" xr:uid="{00000000-0005-0000-0000-000090060000}"/>
    <cellStyle name="—_EM-HTI_BS_Valuation" xfId="2867" xr:uid="{00000000-0005-0000-0000-000091060000}"/>
    <cellStyle name="—_EM-HTI_CF" xfId="2868" xr:uid="{00000000-0005-0000-0000-000092060000}"/>
    <cellStyle name="—_EM-HTI_Cheng Shin Model" xfId="2869" xr:uid="{00000000-0005-0000-0000-000093060000}"/>
    <cellStyle name="—_EM-HTI_Drive" xfId="2870" xr:uid="{00000000-0005-0000-0000-000094060000}"/>
    <cellStyle name="—_EM-HTI_EM_ChinaTelecom" xfId="2871" xr:uid="{00000000-0005-0000-0000-000095060000}"/>
    <cellStyle name="—_EM-HTI_EM_ChinaTelecom_AUO consolidated 2004_02" xfId="2872" xr:uid="{00000000-0005-0000-0000-000096060000}"/>
    <cellStyle name="—_EM-HTI_EM_ChinaTelecom_AUO forecast (GQ)2005_03" xfId="2873" xr:uid="{00000000-0005-0000-0000-000097060000}"/>
    <cellStyle name="—_EM-HTI_EM_ChinaTelecom_new-Sub" xfId="2874" xr:uid="{00000000-0005-0000-0000-000098060000}"/>
    <cellStyle name="—_EM-HTI_EM_ChinaTelecom_Novatek forecast 280404" xfId="2875" xr:uid="{00000000-0005-0000-0000-000099060000}"/>
    <cellStyle name="—_EM-HTI_EM_FETone_new" xfId="2876" xr:uid="{00000000-0005-0000-0000-00009A060000}"/>
    <cellStyle name="—_EM-HTI_EM_FETone_new_AUO consolidated 2004_02" xfId="2877" xr:uid="{00000000-0005-0000-0000-00009B060000}"/>
    <cellStyle name="—_EM-HTI_EM_FETone_new_AUO forecast (GQ)2005_03" xfId="2878" xr:uid="{00000000-0005-0000-0000-00009C060000}"/>
    <cellStyle name="—_EM-HTI_EM_FETone_new_new-Sub" xfId="2879" xr:uid="{00000000-0005-0000-0000-00009D060000}"/>
    <cellStyle name="—_EM-HTI_EM_FETone_new_Novatek forecast 280404" xfId="2880" xr:uid="{00000000-0005-0000-0000-00009E060000}"/>
    <cellStyle name="—_EM-HTI_EM_NZT" xfId="2881" xr:uid="{00000000-0005-0000-0000-00009F060000}"/>
    <cellStyle name="—_EM-HTI_EM_NZT_BS" xfId="2882" xr:uid="{00000000-0005-0000-0000-0000A0060000}"/>
    <cellStyle name="—_EM-HTI_EM_NZT_BS_BS" xfId="2883" xr:uid="{00000000-0005-0000-0000-0000A1060000}"/>
    <cellStyle name="—_EM-HTI_EM_NZT_BS_Capex" xfId="2884" xr:uid="{00000000-0005-0000-0000-0000A2060000}"/>
    <cellStyle name="—_EM-HTI_EM_NZT_BS_CF" xfId="2885" xr:uid="{00000000-0005-0000-0000-0000A3060000}"/>
    <cellStyle name="—_EM-HTI_EM_NZT_BS_COFCO (506.HK)" xfId="2886" xr:uid="{00000000-0005-0000-0000-0000A4060000}"/>
    <cellStyle name="—_EM-HTI_EM_NZT_BS_COFCO_051010" xfId="2887" xr:uid="{00000000-0005-0000-0000-0000A5060000}"/>
    <cellStyle name="—_EM-HTI_EM_NZT_BS_COFCO_backup" xfId="2888" xr:uid="{00000000-0005-0000-0000-0000A6060000}"/>
    <cellStyle name="—_EM-HTI_EM_NZT_BS_DCF" xfId="2889" xr:uid="{00000000-0005-0000-0000-0000A7060000}"/>
    <cellStyle name="—_EM-HTI_EM_NZT_BS_Front page" xfId="2890" xr:uid="{00000000-0005-0000-0000-0000A8060000}"/>
    <cellStyle name="—_EM-HTI_EM_NZT_BS_LT assets" xfId="2891" xr:uid="{00000000-0005-0000-0000-0000A9060000}"/>
    <cellStyle name="—_EM-HTI_EM_NZT_BS_Monthly" xfId="2892" xr:uid="{00000000-0005-0000-0000-0000AA060000}"/>
    <cellStyle name="—_EM-HTI_EM_NZT_BS_P&amp;L" xfId="2893" xr:uid="{00000000-0005-0000-0000-0000AB060000}"/>
    <cellStyle name="—_EM-HTI_EM_NZT_BS_Valuation" xfId="2894" xr:uid="{00000000-0005-0000-0000-0000AC060000}"/>
    <cellStyle name="—_EM-HTI_EM_NZT_Yifan template 2" xfId="2895" xr:uid="{00000000-0005-0000-0000-0000AD060000}"/>
    <cellStyle name="—_EM-HTI_EM_NZT_Yifan template 2_BS" xfId="2896" xr:uid="{00000000-0005-0000-0000-0000AE060000}"/>
    <cellStyle name="—_EM-HTI_EM_NZT_Yifan template 2_Capex" xfId="2897" xr:uid="{00000000-0005-0000-0000-0000AF060000}"/>
    <cellStyle name="—_EM-HTI_EM_NZT_Yifan template 2_CF" xfId="2898" xr:uid="{00000000-0005-0000-0000-0000B0060000}"/>
    <cellStyle name="—_EM-HTI_EM_NZT_Yifan template 2_COFCO (506.HK)" xfId="2899" xr:uid="{00000000-0005-0000-0000-0000B1060000}"/>
    <cellStyle name="—_EM-HTI_EM_NZT_Yifan template 2_COFCO_051010" xfId="2900" xr:uid="{00000000-0005-0000-0000-0000B2060000}"/>
    <cellStyle name="—_EM-HTI_EM_NZT_Yifan template 2_COFCO_backup" xfId="2901" xr:uid="{00000000-0005-0000-0000-0000B3060000}"/>
    <cellStyle name="—_EM-HTI_EM_NZT_Yifan template 2_DCF" xfId="2902" xr:uid="{00000000-0005-0000-0000-0000B4060000}"/>
    <cellStyle name="—_EM-HTI_EM_NZT_Yifan template 2_Front page" xfId="2903" xr:uid="{00000000-0005-0000-0000-0000B5060000}"/>
    <cellStyle name="—_EM-HTI_EM_NZT_Yifan template 2_LT assets" xfId="2904" xr:uid="{00000000-0005-0000-0000-0000B6060000}"/>
    <cellStyle name="—_EM-HTI_EM_NZT_Yifan template 2_Monthly" xfId="2905" xr:uid="{00000000-0005-0000-0000-0000B7060000}"/>
    <cellStyle name="—_EM-HTI_EM_NZT_Yifan template 2_P&amp;L" xfId="2906" xr:uid="{00000000-0005-0000-0000-0000B8060000}"/>
    <cellStyle name="—_EM-HTI_EM_NZT_Yifan template 2_Valuation" xfId="2907" xr:uid="{00000000-0005-0000-0000-0000B9060000}"/>
    <cellStyle name="—_EM-HTI_EM_TCC" xfId="2908" xr:uid="{00000000-0005-0000-0000-0000BA060000}"/>
    <cellStyle name="—_EM-HTI_EM_TCC_AUO consolidated 2004_02" xfId="2909" xr:uid="{00000000-0005-0000-0000-0000BB060000}"/>
    <cellStyle name="—_EM-HTI_EM_TCC_AUO forecast (GQ)2005_03" xfId="2910" xr:uid="{00000000-0005-0000-0000-0000BC060000}"/>
    <cellStyle name="—_EM-HTI_EM_TCC_new" xfId="2911" xr:uid="{00000000-0005-0000-0000-0000BD060000}"/>
    <cellStyle name="—_EM-HTI_EM_TCC_new_AUO consolidated 2004_02" xfId="2912" xr:uid="{00000000-0005-0000-0000-0000BE060000}"/>
    <cellStyle name="—_EM-HTI_EM_TCC_new_AUO forecast (GQ)2005_03" xfId="2913" xr:uid="{00000000-0005-0000-0000-0000BF060000}"/>
    <cellStyle name="—_EM-HTI_EM_TCC_new_new-Sub" xfId="2914" xr:uid="{00000000-0005-0000-0000-0000C0060000}"/>
    <cellStyle name="—_EM-HTI_EM_TCC_new_Novatek forecast 280404" xfId="2915" xr:uid="{00000000-0005-0000-0000-0000C1060000}"/>
    <cellStyle name="—_EM-HTI_EM_TCC_new-Sub" xfId="2916" xr:uid="{00000000-0005-0000-0000-0000C2060000}"/>
    <cellStyle name="—_EM-HTI_EM_TCC_Novatek forecast 280404" xfId="2917" xr:uid="{00000000-0005-0000-0000-0000C3060000}"/>
    <cellStyle name="—_EM-HTI_EM-Chunghwa" xfId="2918" xr:uid="{00000000-0005-0000-0000-0000C4060000}"/>
    <cellStyle name="—_EM-HTI_EM-Chunghwa_AUO consolidated 2004_02" xfId="2919" xr:uid="{00000000-0005-0000-0000-0000C5060000}"/>
    <cellStyle name="—_EM-HTI_EM-Chunghwa_AUO forecast (GQ)2005_03" xfId="2920" xr:uid="{00000000-0005-0000-0000-0000C6060000}"/>
    <cellStyle name="—_EM-HTI_EM-Chunghwa_new-Sub" xfId="2921" xr:uid="{00000000-0005-0000-0000-0000C7060000}"/>
    <cellStyle name="—_EM-HTI_EM-Chunghwa_Novatek forecast 280404" xfId="2922" xr:uid="{00000000-0005-0000-0000-0000C8060000}"/>
    <cellStyle name="—_EM-HTI_GlobalValuation_Japan" xfId="2923" xr:uid="{00000000-0005-0000-0000-0000C9060000}"/>
    <cellStyle name="—_EM-HTI_GQ" xfId="2924" xr:uid="{00000000-0005-0000-0000-0000CA060000}"/>
    <cellStyle name="—_EM-HTI_JT CROCI" xfId="2925" xr:uid="{00000000-0005-0000-0000-0000CB060000}"/>
    <cellStyle name="—_EM-HTI_KDDI CROCI" xfId="2926" xr:uid="{00000000-0005-0000-0000-0000CC060000}"/>
    <cellStyle name="—_EM-HTI_new-Sub" xfId="2927" xr:uid="{00000000-0005-0000-0000-0000CD060000}"/>
    <cellStyle name="—_EM-HTI_Novatek forecast 280404" xfId="2928" xr:uid="{00000000-0005-0000-0000-0000CE060000}"/>
    <cellStyle name="—_EM-HTI_NTT CROCI" xfId="2929" xr:uid="{00000000-0005-0000-0000-0000CF060000}"/>
    <cellStyle name="—_EM-HTI_NTT proportionate" xfId="2930" xr:uid="{00000000-0005-0000-0000-0000D0060000}"/>
    <cellStyle name="—_EM-HTI_P&amp;L" xfId="2931" xr:uid="{00000000-0005-0000-0000-0000D1060000}"/>
    <cellStyle name="—_EM-HTI_Sheet1" xfId="2932" xr:uid="{00000000-0005-0000-0000-0000D2060000}"/>
    <cellStyle name="—_EM-HTI_Yifan template 2" xfId="2933" xr:uid="{00000000-0005-0000-0000-0000D3060000}"/>
    <cellStyle name="—_EM-HTI_Yifan template 2_BS" xfId="2934" xr:uid="{00000000-0005-0000-0000-0000D4060000}"/>
    <cellStyle name="—_EM-HTI_Yifan template 2_Capex" xfId="2935" xr:uid="{00000000-0005-0000-0000-0000D5060000}"/>
    <cellStyle name="—_EM-HTI_Yifan template 2_CF" xfId="2936" xr:uid="{00000000-0005-0000-0000-0000D6060000}"/>
    <cellStyle name="—_EM-HTI_Yifan template 2_COFCO (506.HK)" xfId="2937" xr:uid="{00000000-0005-0000-0000-0000D7060000}"/>
    <cellStyle name="—_EM-HTI_Yifan template 2_COFCO_051010" xfId="2938" xr:uid="{00000000-0005-0000-0000-0000D8060000}"/>
    <cellStyle name="—_EM-HTI_Yifan template 2_COFCO_backup" xfId="2939" xr:uid="{00000000-0005-0000-0000-0000D9060000}"/>
    <cellStyle name="—_EM-HTI_Yifan template 2_DCF" xfId="2940" xr:uid="{00000000-0005-0000-0000-0000DA060000}"/>
    <cellStyle name="—_EM-HTI_Yifan template 2_Front page" xfId="2941" xr:uid="{00000000-0005-0000-0000-0000DB060000}"/>
    <cellStyle name="—_EM-HTI_Yifan template 2_LT assets" xfId="2942" xr:uid="{00000000-0005-0000-0000-0000DC060000}"/>
    <cellStyle name="—_EM-HTI_Yifan template 2_Monthly" xfId="2943" xr:uid="{00000000-0005-0000-0000-0000DD060000}"/>
    <cellStyle name="—_EM-HTI_Yifan template 2_P&amp;L" xfId="2944" xr:uid="{00000000-0005-0000-0000-0000DE060000}"/>
    <cellStyle name="—_EM-HTI_Yifan template 2_Valuation" xfId="2945" xr:uid="{00000000-0005-0000-0000-0000DF060000}"/>
    <cellStyle name="—_EM-HTIL" xfId="2946" xr:uid="{00000000-0005-0000-0000-0000E0060000}"/>
    <cellStyle name="—_EM-HTIL_new-Sub" xfId="2947" xr:uid="{00000000-0005-0000-0000-0000E1060000}"/>
    <cellStyle name="—_EM-KT" xfId="2948" xr:uid="{00000000-0005-0000-0000-0000E2060000}"/>
    <cellStyle name="—_EM-KT.xls Chart 1" xfId="4650" xr:uid="{00000000-0005-0000-0000-0000E3060000}"/>
    <cellStyle name="—_EM-KT.xls Chart 1_Beta" xfId="4651" xr:uid="{00000000-0005-0000-0000-0000E4060000}"/>
    <cellStyle name="—_EM-KT.xls Chart 1_Cashflow" xfId="4652" xr:uid="{00000000-0005-0000-0000-0000E5060000}"/>
    <cellStyle name="—_EM-KT.xls Chart 1_Cashflow_Honghua MSTR" xfId="4653" xr:uid="{00000000-0005-0000-0000-0000E6060000}"/>
    <cellStyle name="—_EM-KT.xls Chart 1_P&amp;L" xfId="4654" xr:uid="{00000000-0005-0000-0000-0000E7060000}"/>
    <cellStyle name="—_EM-KT.xls Chart 1_P&amp;L_Honghua MSTR" xfId="4655" xr:uid="{00000000-0005-0000-0000-0000E8060000}"/>
    <cellStyle name="—_EM-KT.xls Chart 1_PetroChina Master" xfId="4656" xr:uid="{00000000-0005-0000-0000-0000E9060000}"/>
    <cellStyle name="—_EM-KT.xls Chart 1_PetroChina Master_WIP(20-F update)" xfId="4657" xr:uid="{00000000-0005-0000-0000-0000EA060000}"/>
    <cellStyle name="—_EM-KT.xls Chart 1_PetroChina Master_WIP(20-F update)_Cashflow" xfId="4658" xr:uid="{00000000-0005-0000-0000-0000EB060000}"/>
    <cellStyle name="—_EM-KT.xls Chart 1_PetroChina Master_WIP(20-F update)_Cashflow_Honghua MSTR" xfId="4659" xr:uid="{00000000-0005-0000-0000-0000EC060000}"/>
    <cellStyle name="—_EM-KT.xls Chart 1_PetroChina Master_WIP(20-F update)_P&amp;L" xfId="4660" xr:uid="{00000000-0005-0000-0000-0000ED060000}"/>
    <cellStyle name="—_EM-KT.xls Chart 1_PetroChina Master_WIP(20-F update)_P&amp;L_Honghua MSTR" xfId="4661" xr:uid="{00000000-0005-0000-0000-0000EE060000}"/>
    <cellStyle name="—_EM-KT.xls Chart 1_PetroChina Master_WIP(20-F update)_Sinopec MSTR" xfId="4662" xr:uid="{00000000-0005-0000-0000-0000EF060000}"/>
    <cellStyle name="—_EM-KT.xls Chart 1_PetroChina Master_WIP(20-F update)_Sinopec MSTR Wip" xfId="4663" xr:uid="{00000000-0005-0000-0000-0000F0060000}"/>
    <cellStyle name="—_EM-KT.xls Chart 1_PetroChina Master_WIP(20-F update)_Sinopec MSTR_WIP_KK" xfId="4664" xr:uid="{00000000-0005-0000-0000-0000F1060000}"/>
    <cellStyle name="—_EM-KT.xls Chart 1_Sinopec MSTR" xfId="4665" xr:uid="{00000000-0005-0000-0000-0000F2060000}"/>
    <cellStyle name="—_EM-KT.xls Chart 1_Sinopec MSTR Wip" xfId="4666" xr:uid="{00000000-0005-0000-0000-0000F3060000}"/>
    <cellStyle name="—_EM-KT.xls Chart 1_Sinopec MSTR_WIP_KK" xfId="4667" xr:uid="{00000000-0005-0000-0000-0000F4060000}"/>
    <cellStyle name="—_EM-KT.xls Chart 1_Sinopec MSTR-WIP_20F update" xfId="4668" xr:uid="{00000000-0005-0000-0000-0000F5060000}"/>
    <cellStyle name="—_EM-KT.xls Chart 2" xfId="4669" xr:uid="{00000000-0005-0000-0000-0000F6060000}"/>
    <cellStyle name="—_EM-KT.xls Chart 2_Beta" xfId="4670" xr:uid="{00000000-0005-0000-0000-0000F7060000}"/>
    <cellStyle name="—_EM-KT.xls Chart 2_Cashflow" xfId="4671" xr:uid="{00000000-0005-0000-0000-0000F8060000}"/>
    <cellStyle name="—_EM-KT.xls Chart 2_Cashflow_Honghua MSTR" xfId="4672" xr:uid="{00000000-0005-0000-0000-0000F9060000}"/>
    <cellStyle name="—_EM-KT.xls Chart 2_P&amp;L" xfId="4673" xr:uid="{00000000-0005-0000-0000-0000FA060000}"/>
    <cellStyle name="—_EM-KT.xls Chart 2_P&amp;L_Honghua MSTR" xfId="4674" xr:uid="{00000000-0005-0000-0000-0000FB060000}"/>
    <cellStyle name="—_EM-KT.xls Chart 2_PetroChina Master" xfId="4675" xr:uid="{00000000-0005-0000-0000-0000FC060000}"/>
    <cellStyle name="—_EM-KT.xls Chart 2_PetroChina Master_WIP(20-F update)" xfId="4676" xr:uid="{00000000-0005-0000-0000-0000FD060000}"/>
    <cellStyle name="—_EM-KT.xls Chart 2_PetroChina Master_WIP(20-F update)_Cashflow" xfId="4677" xr:uid="{00000000-0005-0000-0000-0000FE060000}"/>
    <cellStyle name="—_EM-KT.xls Chart 2_PetroChina Master_WIP(20-F update)_Cashflow_Honghua MSTR" xfId="4678" xr:uid="{00000000-0005-0000-0000-0000FF060000}"/>
    <cellStyle name="—_EM-KT.xls Chart 2_PetroChina Master_WIP(20-F update)_P&amp;L" xfId="4679" xr:uid="{00000000-0005-0000-0000-000000070000}"/>
    <cellStyle name="—_EM-KT.xls Chart 2_PetroChina Master_WIP(20-F update)_P&amp;L_Honghua MSTR" xfId="4680" xr:uid="{00000000-0005-0000-0000-000001070000}"/>
    <cellStyle name="—_EM-KT.xls Chart 2_PetroChina Master_WIP(20-F update)_Sinopec MSTR" xfId="4681" xr:uid="{00000000-0005-0000-0000-000002070000}"/>
    <cellStyle name="—_EM-KT.xls Chart 2_PetroChina Master_WIP(20-F update)_Sinopec MSTR Wip" xfId="4682" xr:uid="{00000000-0005-0000-0000-000003070000}"/>
    <cellStyle name="—_EM-KT.xls Chart 2_PetroChina Master_WIP(20-F update)_Sinopec MSTR_WIP_KK" xfId="4683" xr:uid="{00000000-0005-0000-0000-000004070000}"/>
    <cellStyle name="—_EM-KT.xls Chart 2_Sinopec MSTR" xfId="4684" xr:uid="{00000000-0005-0000-0000-000005070000}"/>
    <cellStyle name="—_EM-KT.xls Chart 2_Sinopec MSTR Wip" xfId="4685" xr:uid="{00000000-0005-0000-0000-000006070000}"/>
    <cellStyle name="—_EM-KT.xls Chart 2_Sinopec MSTR_WIP_KK" xfId="4686" xr:uid="{00000000-0005-0000-0000-000007070000}"/>
    <cellStyle name="—_EM-KT.xls Chart 2_Sinopec MSTR-WIP_20F update" xfId="4687" xr:uid="{00000000-0005-0000-0000-000008070000}"/>
    <cellStyle name="—_EM-KT.xls Chart 3" xfId="4688" xr:uid="{00000000-0005-0000-0000-000009070000}"/>
    <cellStyle name="—_EM-KT.xls Chart 3_Beta" xfId="4689" xr:uid="{00000000-0005-0000-0000-00000A070000}"/>
    <cellStyle name="—_EM-KT.xls Chart 3_Cashflow" xfId="4690" xr:uid="{00000000-0005-0000-0000-00000B070000}"/>
    <cellStyle name="—_EM-KT.xls Chart 3_Cashflow_Honghua MSTR" xfId="4691" xr:uid="{00000000-0005-0000-0000-00000C070000}"/>
    <cellStyle name="—_EM-KT.xls Chart 3_P&amp;L" xfId="4692" xr:uid="{00000000-0005-0000-0000-00000D070000}"/>
    <cellStyle name="—_EM-KT.xls Chart 3_P&amp;L_Honghua MSTR" xfId="4693" xr:uid="{00000000-0005-0000-0000-00000E070000}"/>
    <cellStyle name="—_EM-KT.xls Chart 3_PetroChina Master" xfId="4694" xr:uid="{00000000-0005-0000-0000-00000F070000}"/>
    <cellStyle name="—_EM-KT.xls Chart 3_PetroChina Master_WIP(20-F update)" xfId="4695" xr:uid="{00000000-0005-0000-0000-000010070000}"/>
    <cellStyle name="—_EM-KT.xls Chart 3_PetroChina Master_WIP(20-F update)_Cashflow" xfId="4696" xr:uid="{00000000-0005-0000-0000-000011070000}"/>
    <cellStyle name="—_EM-KT.xls Chart 3_PetroChina Master_WIP(20-F update)_Cashflow_Honghua MSTR" xfId="4697" xr:uid="{00000000-0005-0000-0000-000012070000}"/>
    <cellStyle name="—_EM-KT.xls Chart 3_PetroChina Master_WIP(20-F update)_P&amp;L" xfId="4698" xr:uid="{00000000-0005-0000-0000-000013070000}"/>
    <cellStyle name="—_EM-KT.xls Chart 3_PetroChina Master_WIP(20-F update)_P&amp;L_Honghua MSTR" xfId="4699" xr:uid="{00000000-0005-0000-0000-000014070000}"/>
    <cellStyle name="—_EM-KT.xls Chart 3_PetroChina Master_WIP(20-F update)_Sinopec MSTR" xfId="4700" xr:uid="{00000000-0005-0000-0000-000015070000}"/>
    <cellStyle name="—_EM-KT.xls Chart 3_PetroChina Master_WIP(20-F update)_Sinopec MSTR Wip" xfId="4701" xr:uid="{00000000-0005-0000-0000-000016070000}"/>
    <cellStyle name="—_EM-KT.xls Chart 3_PetroChina Master_WIP(20-F update)_Sinopec MSTR_WIP_KK" xfId="4702" xr:uid="{00000000-0005-0000-0000-000017070000}"/>
    <cellStyle name="—_EM-KT.xls Chart 3_Sinopec MSTR" xfId="4703" xr:uid="{00000000-0005-0000-0000-000018070000}"/>
    <cellStyle name="—_EM-KT.xls Chart 3_Sinopec MSTR Wip" xfId="4704" xr:uid="{00000000-0005-0000-0000-000019070000}"/>
    <cellStyle name="—_EM-KT.xls Chart 3_Sinopec MSTR_WIP_KK" xfId="4705" xr:uid="{00000000-0005-0000-0000-00001A070000}"/>
    <cellStyle name="—_EM-KT.xls Chart 3_Sinopec MSTR-WIP_20F update" xfId="4706" xr:uid="{00000000-0005-0000-0000-00001B070000}"/>
    <cellStyle name="—_EM-KT_AUO consolidated 2004_02" xfId="2949" xr:uid="{00000000-0005-0000-0000-00001C070000}"/>
    <cellStyle name="—_EM-KT_AUO forecast (GQ)2005_03" xfId="2950" xr:uid="{00000000-0005-0000-0000-00001D070000}"/>
    <cellStyle name="—_EM-KT_BS" xfId="2951" xr:uid="{00000000-0005-0000-0000-00001E070000}"/>
    <cellStyle name="—_EM-KT_BS_BS" xfId="2952" xr:uid="{00000000-0005-0000-0000-00001F070000}"/>
    <cellStyle name="—_EM-KT_BS_Capex" xfId="2953" xr:uid="{00000000-0005-0000-0000-000020070000}"/>
    <cellStyle name="—_EM-KT_BS_CF" xfId="2954" xr:uid="{00000000-0005-0000-0000-000021070000}"/>
    <cellStyle name="—_EM-KT_BS_COFCO (506.HK)" xfId="2955" xr:uid="{00000000-0005-0000-0000-000022070000}"/>
    <cellStyle name="—_EM-KT_BS_COFCO_051010" xfId="2956" xr:uid="{00000000-0005-0000-0000-000023070000}"/>
    <cellStyle name="—_EM-KT_BS_COFCO_backup" xfId="2957" xr:uid="{00000000-0005-0000-0000-000024070000}"/>
    <cellStyle name="—_EM-KT_BS_DCF" xfId="2958" xr:uid="{00000000-0005-0000-0000-000025070000}"/>
    <cellStyle name="—_EM-KT_BS_Front page" xfId="2959" xr:uid="{00000000-0005-0000-0000-000026070000}"/>
    <cellStyle name="—_EM-KT_BS_LT assets" xfId="2960" xr:uid="{00000000-0005-0000-0000-000027070000}"/>
    <cellStyle name="—_EM-KT_BS_Monthly" xfId="2961" xr:uid="{00000000-0005-0000-0000-000028070000}"/>
    <cellStyle name="—_EM-KT_BS_P&amp;L" xfId="2962" xr:uid="{00000000-0005-0000-0000-000029070000}"/>
    <cellStyle name="—_EM-KT_BS_Valuation" xfId="2963" xr:uid="{00000000-0005-0000-0000-00002A070000}"/>
    <cellStyle name="—_EM-KT_Cheng Shin Model" xfId="2964" xr:uid="{00000000-0005-0000-0000-00002B070000}"/>
    <cellStyle name="—_EM-KT_new-Sub" xfId="2965" xr:uid="{00000000-0005-0000-0000-00002C070000}"/>
    <cellStyle name="—_EM-KT_Novatek forecast 280404" xfId="2966" xr:uid="{00000000-0005-0000-0000-00002D070000}"/>
    <cellStyle name="—_EM-KT_Yifan template 2" xfId="2967" xr:uid="{00000000-0005-0000-0000-00002E070000}"/>
    <cellStyle name="—_EM-KT_Yifan template 2_BS" xfId="2968" xr:uid="{00000000-0005-0000-0000-00002F070000}"/>
    <cellStyle name="—_EM-KT_Yifan template 2_Capex" xfId="2969" xr:uid="{00000000-0005-0000-0000-000030070000}"/>
    <cellStyle name="—_EM-KT_Yifan template 2_CF" xfId="2970" xr:uid="{00000000-0005-0000-0000-000031070000}"/>
    <cellStyle name="—_EM-KT_Yifan template 2_COFCO (506.HK)" xfId="2971" xr:uid="{00000000-0005-0000-0000-000032070000}"/>
    <cellStyle name="—_EM-KT_Yifan template 2_COFCO_051010" xfId="2972" xr:uid="{00000000-0005-0000-0000-000033070000}"/>
    <cellStyle name="—_EM-KT_Yifan template 2_COFCO_backup" xfId="2973" xr:uid="{00000000-0005-0000-0000-000034070000}"/>
    <cellStyle name="—_EM-KT_Yifan template 2_DCF" xfId="2974" xr:uid="{00000000-0005-0000-0000-000035070000}"/>
    <cellStyle name="—_EM-KT_Yifan template 2_Front page" xfId="2975" xr:uid="{00000000-0005-0000-0000-000036070000}"/>
    <cellStyle name="—_EM-KT_Yifan template 2_LT assets" xfId="2976" xr:uid="{00000000-0005-0000-0000-000037070000}"/>
    <cellStyle name="—_EM-KT_Yifan template 2_Monthly" xfId="2977" xr:uid="{00000000-0005-0000-0000-000038070000}"/>
    <cellStyle name="—_EM-KT_Yifan template 2_P&amp;L" xfId="2978" xr:uid="{00000000-0005-0000-0000-000039070000}"/>
    <cellStyle name="—_EM-KT_Yifan template 2_Valuation" xfId="2979" xr:uid="{00000000-0005-0000-0000-00003A070000}"/>
    <cellStyle name="—_EM-KTnew" xfId="4707" xr:uid="{00000000-0005-0000-0000-00003B070000}"/>
    <cellStyle name="—_EM-KTnew_Beta" xfId="4708" xr:uid="{00000000-0005-0000-0000-00003C070000}"/>
    <cellStyle name="—_EM-KTnew_Cashflow" xfId="4709" xr:uid="{00000000-0005-0000-0000-00003D070000}"/>
    <cellStyle name="—_EM-KTnew_Cashflow_Honghua MSTR" xfId="4710" xr:uid="{00000000-0005-0000-0000-00003E070000}"/>
    <cellStyle name="—_EM-KTnew_P&amp;L" xfId="4711" xr:uid="{00000000-0005-0000-0000-00003F070000}"/>
    <cellStyle name="—_EM-KTnew_P&amp;L_Honghua MSTR" xfId="4712" xr:uid="{00000000-0005-0000-0000-000040070000}"/>
    <cellStyle name="—_EM-KTnew_PetroChina Master" xfId="4713" xr:uid="{00000000-0005-0000-0000-000041070000}"/>
    <cellStyle name="—_EM-KTnew_PetroChina Master_WIP(20-F update)" xfId="4714" xr:uid="{00000000-0005-0000-0000-000042070000}"/>
    <cellStyle name="—_EM-KTnew_PetroChina Master_WIP(20-F update)_Cashflow" xfId="4715" xr:uid="{00000000-0005-0000-0000-000043070000}"/>
    <cellStyle name="—_EM-KTnew_PetroChina Master_WIP(20-F update)_Cashflow_Honghua MSTR" xfId="4716" xr:uid="{00000000-0005-0000-0000-000044070000}"/>
    <cellStyle name="—_EM-KTnew_PetroChina Master_WIP(20-F update)_P&amp;L" xfId="4717" xr:uid="{00000000-0005-0000-0000-000045070000}"/>
    <cellStyle name="—_EM-KTnew_PetroChina Master_WIP(20-F update)_P&amp;L_Honghua MSTR" xfId="4718" xr:uid="{00000000-0005-0000-0000-000046070000}"/>
    <cellStyle name="—_EM-KTnew_PetroChina Master_WIP(20-F update)_Sinopec MSTR" xfId="4719" xr:uid="{00000000-0005-0000-0000-000047070000}"/>
    <cellStyle name="—_EM-KTnew_PetroChina Master_WIP(20-F update)_Sinopec MSTR Wip" xfId="4720" xr:uid="{00000000-0005-0000-0000-000048070000}"/>
    <cellStyle name="—_EM-KTnew_PetroChina Master_WIP(20-F update)_Sinopec MSTR_WIP_KK" xfId="4721" xr:uid="{00000000-0005-0000-0000-000049070000}"/>
    <cellStyle name="—_EM-KTnew_Sinopec MSTR" xfId="4722" xr:uid="{00000000-0005-0000-0000-00004A070000}"/>
    <cellStyle name="—_EM-KTnew_Sinopec MSTR Wip" xfId="4723" xr:uid="{00000000-0005-0000-0000-00004B070000}"/>
    <cellStyle name="—_EM-KTnew_Sinopec MSTR_WIP_KK" xfId="4724" xr:uid="{00000000-0005-0000-0000-00004C070000}"/>
    <cellStyle name="—_EM-KTnew_Sinopec MSTR-WIP_20F update" xfId="4725" xr:uid="{00000000-0005-0000-0000-00004D070000}"/>
    <cellStyle name="—_EM-MobileOne" xfId="2980" xr:uid="{00000000-0005-0000-0000-00004E070000}"/>
    <cellStyle name="—_EM-MobileOne_new-Sub" xfId="2981" xr:uid="{00000000-0005-0000-0000-00004F070000}"/>
    <cellStyle name="—_EM-Optus" xfId="2982" xr:uid="{00000000-0005-0000-0000-000050070000}"/>
    <cellStyle name="—_EM-Optus_AUO consolidated 2004_02" xfId="2983" xr:uid="{00000000-0005-0000-0000-000051070000}"/>
    <cellStyle name="—_EM-Optus_AUO forecast (GQ)2005_03" xfId="2984" xr:uid="{00000000-0005-0000-0000-000052070000}"/>
    <cellStyle name="—_EM-Optus_BS" xfId="2985" xr:uid="{00000000-0005-0000-0000-000053070000}"/>
    <cellStyle name="—_EM-Optus_BS_BS" xfId="2986" xr:uid="{00000000-0005-0000-0000-000054070000}"/>
    <cellStyle name="—_EM-Optus_BS_Capex" xfId="2987" xr:uid="{00000000-0005-0000-0000-000055070000}"/>
    <cellStyle name="—_EM-Optus_BS_CF" xfId="2988" xr:uid="{00000000-0005-0000-0000-000056070000}"/>
    <cellStyle name="—_EM-Optus_BS_COFCO (506.HK)" xfId="2989" xr:uid="{00000000-0005-0000-0000-000057070000}"/>
    <cellStyle name="—_EM-Optus_BS_COFCO_051010" xfId="2990" xr:uid="{00000000-0005-0000-0000-000058070000}"/>
    <cellStyle name="—_EM-Optus_BS_COFCO_backup" xfId="2991" xr:uid="{00000000-0005-0000-0000-000059070000}"/>
    <cellStyle name="—_EM-Optus_BS_DCF" xfId="2992" xr:uid="{00000000-0005-0000-0000-00005A070000}"/>
    <cellStyle name="—_EM-Optus_BS_Front page" xfId="2993" xr:uid="{00000000-0005-0000-0000-00005B070000}"/>
    <cellStyle name="—_EM-Optus_BS_LT assets" xfId="2994" xr:uid="{00000000-0005-0000-0000-00005C070000}"/>
    <cellStyle name="—_EM-Optus_BS_Monthly" xfId="2995" xr:uid="{00000000-0005-0000-0000-00005D070000}"/>
    <cellStyle name="—_EM-Optus_BS_P&amp;L" xfId="2996" xr:uid="{00000000-0005-0000-0000-00005E070000}"/>
    <cellStyle name="—_EM-Optus_BS_Valuation" xfId="2997" xr:uid="{00000000-0005-0000-0000-00005F070000}"/>
    <cellStyle name="—_EM-Optus_Cheng Shin Model" xfId="2998" xr:uid="{00000000-0005-0000-0000-000060070000}"/>
    <cellStyle name="—_EM-Optus_new-Sub" xfId="2999" xr:uid="{00000000-0005-0000-0000-000061070000}"/>
    <cellStyle name="—_EM-Optus_Novatek forecast 280404" xfId="3000" xr:uid="{00000000-0005-0000-0000-000062070000}"/>
    <cellStyle name="—_EM-Optus_Yifan template 2" xfId="3001" xr:uid="{00000000-0005-0000-0000-000063070000}"/>
    <cellStyle name="—_EM-Optus_Yifan template 2_BS" xfId="3002" xr:uid="{00000000-0005-0000-0000-000064070000}"/>
    <cellStyle name="—_EM-Optus_Yifan template 2_Capex" xfId="3003" xr:uid="{00000000-0005-0000-0000-000065070000}"/>
    <cellStyle name="—_EM-Optus_Yifan template 2_CF" xfId="3004" xr:uid="{00000000-0005-0000-0000-000066070000}"/>
    <cellStyle name="—_EM-Optus_Yifan template 2_COFCO (506.HK)" xfId="3005" xr:uid="{00000000-0005-0000-0000-000067070000}"/>
    <cellStyle name="—_EM-Optus_Yifan template 2_COFCO_051010" xfId="3006" xr:uid="{00000000-0005-0000-0000-000068070000}"/>
    <cellStyle name="—_EM-Optus_Yifan template 2_COFCO_backup" xfId="3007" xr:uid="{00000000-0005-0000-0000-000069070000}"/>
    <cellStyle name="—_EM-Optus_Yifan template 2_DCF" xfId="3008" xr:uid="{00000000-0005-0000-0000-00006A070000}"/>
    <cellStyle name="—_EM-Optus_Yifan template 2_Front page" xfId="3009" xr:uid="{00000000-0005-0000-0000-00006B070000}"/>
    <cellStyle name="—_EM-Optus_Yifan template 2_LT assets" xfId="3010" xr:uid="{00000000-0005-0000-0000-00006C070000}"/>
    <cellStyle name="—_EM-Optus_Yifan template 2_Monthly" xfId="3011" xr:uid="{00000000-0005-0000-0000-00006D070000}"/>
    <cellStyle name="—_EM-Optus_Yifan template 2_P&amp;L" xfId="3012" xr:uid="{00000000-0005-0000-0000-00006E070000}"/>
    <cellStyle name="—_EM-Optus_Yifan template 2_Valuation" xfId="3013" xr:uid="{00000000-0005-0000-0000-00006F070000}"/>
    <cellStyle name="—_EM-PLDT" xfId="3014" xr:uid="{00000000-0005-0000-0000-000070070000}"/>
    <cellStyle name="—_EM-PLDT consolidatednew.xls Chart 1" xfId="7010" xr:uid="{00000000-0005-0000-0000-000071070000}"/>
    <cellStyle name="—_EM-PLDT_AUO consolidated 2004_02" xfId="3015" xr:uid="{00000000-0005-0000-0000-000072070000}"/>
    <cellStyle name="—_EM-PLDT_AUO forecast (GQ)2005_03" xfId="3016" xr:uid="{00000000-0005-0000-0000-000073070000}"/>
    <cellStyle name="—_EM-PLDT_Beta" xfId="4726" xr:uid="{00000000-0005-0000-0000-000074070000}"/>
    <cellStyle name="—_EM-PLDT_Cashflow" xfId="4727" xr:uid="{00000000-0005-0000-0000-000075070000}"/>
    <cellStyle name="—_EM-PLDT_Cashflow_Honghua MSTR" xfId="4728" xr:uid="{00000000-0005-0000-0000-000076070000}"/>
    <cellStyle name="—_EM-PLDT_new-Sub" xfId="3017" xr:uid="{00000000-0005-0000-0000-000077070000}"/>
    <cellStyle name="—_EM-PLDT_Novatek forecast 280404" xfId="3018" xr:uid="{00000000-0005-0000-0000-000078070000}"/>
    <cellStyle name="—_EM-PLDT_P&amp;L" xfId="4729" xr:uid="{00000000-0005-0000-0000-000079070000}"/>
    <cellStyle name="—_EM-PLDT_P&amp;L_Honghua MSTR" xfId="4730" xr:uid="{00000000-0005-0000-0000-00007A070000}"/>
    <cellStyle name="—_EM-PLDT_PetroChina Master" xfId="4731" xr:uid="{00000000-0005-0000-0000-00007B070000}"/>
    <cellStyle name="—_EM-PLDT_PetroChina Master_WIP(20-F update)" xfId="4732" xr:uid="{00000000-0005-0000-0000-00007C070000}"/>
    <cellStyle name="—_EM-PLDT_PetroChina Master_WIP(20-F update)_Cashflow" xfId="4733" xr:uid="{00000000-0005-0000-0000-00007D070000}"/>
    <cellStyle name="—_EM-PLDT_PetroChina Master_WIP(20-F update)_Cashflow_Honghua MSTR" xfId="4734" xr:uid="{00000000-0005-0000-0000-00007E070000}"/>
    <cellStyle name="—_EM-PLDT_PetroChina Master_WIP(20-F update)_P&amp;L" xfId="4735" xr:uid="{00000000-0005-0000-0000-00007F070000}"/>
    <cellStyle name="—_EM-PLDT_PetroChina Master_WIP(20-F update)_P&amp;L_Honghua MSTR" xfId="4736" xr:uid="{00000000-0005-0000-0000-000080070000}"/>
    <cellStyle name="—_EM-PLDT_PetroChina Master_WIP(20-F update)_Sinopec MSTR" xfId="4737" xr:uid="{00000000-0005-0000-0000-000081070000}"/>
    <cellStyle name="—_EM-PLDT_PetroChina Master_WIP(20-F update)_Sinopec MSTR Wip" xfId="4738" xr:uid="{00000000-0005-0000-0000-000082070000}"/>
    <cellStyle name="—_EM-PLDT_PetroChina Master_WIP(20-F update)_Sinopec MSTR_WIP_KK" xfId="4739" xr:uid="{00000000-0005-0000-0000-000083070000}"/>
    <cellStyle name="—_EM-PLDT_Sinopec MSTR" xfId="4740" xr:uid="{00000000-0005-0000-0000-000084070000}"/>
    <cellStyle name="—_EM-SKTelecom_old" xfId="3019" xr:uid="{00000000-0005-0000-0000-000085070000}"/>
    <cellStyle name="—_EM-SKTelecom_old_(GS) China Pharmaceutical Group model" xfId="3020" xr:uid="{00000000-0005-0000-0000-000086070000}"/>
    <cellStyle name="—_EM-SKTelecom_old_(GS) Global Bio-chem model" xfId="3021" xr:uid="{00000000-0005-0000-0000-000087070000}"/>
    <cellStyle name="—_EM-SKTelecom_old_AUO consolidated 2004_02" xfId="3022" xr:uid="{00000000-0005-0000-0000-000088070000}"/>
    <cellStyle name="—_EM-SKTelecom_old_AUO forecast (GQ)2005_03" xfId="3023" xr:uid="{00000000-0005-0000-0000-000089070000}"/>
    <cellStyle name="—_EM-SKTelecom_old_Beta" xfId="4742" xr:uid="{00000000-0005-0000-0000-00008A070000}"/>
    <cellStyle name="—_EM-SKTelecom_old_Book7" xfId="3024" xr:uid="{00000000-0005-0000-0000-00008B070000}"/>
    <cellStyle name="—_EM-SKTelecom_old_Book7 2" xfId="4743" xr:uid="{00000000-0005-0000-0000-00008C070000}"/>
    <cellStyle name="—_EM-SKTelecom_old_Book7_AUO consolidated 2004_02" xfId="3025" xr:uid="{00000000-0005-0000-0000-00008D070000}"/>
    <cellStyle name="—_EM-SKTelecom_old_Book7_AUO forecast (GQ)2005_03" xfId="3026" xr:uid="{00000000-0005-0000-0000-00008E070000}"/>
    <cellStyle name="—_EM-SKTelecom_old_Book7_Beta" xfId="4744" xr:uid="{00000000-0005-0000-0000-00008F070000}"/>
    <cellStyle name="—_EM-SKTelecom_old_Book7_Cashflow" xfId="4745" xr:uid="{00000000-0005-0000-0000-000090070000}"/>
    <cellStyle name="—_EM-SKTelecom_old_Book7_Cashflow_Honghua MSTR" xfId="4746" xr:uid="{00000000-0005-0000-0000-000091070000}"/>
    <cellStyle name="—_EM-SKTelecom_old_Book7_new-Sub" xfId="3027" xr:uid="{00000000-0005-0000-0000-000092070000}"/>
    <cellStyle name="—_EM-SKTelecom_old_Book7_Novatek forecast 280404" xfId="3028" xr:uid="{00000000-0005-0000-0000-000093070000}"/>
    <cellStyle name="—_EM-SKTelecom_old_Book7_P&amp;L" xfId="4747" xr:uid="{00000000-0005-0000-0000-000094070000}"/>
    <cellStyle name="—_EM-SKTelecom_old_Book7_P&amp;L_Honghua MSTR" xfId="4748" xr:uid="{00000000-0005-0000-0000-000095070000}"/>
    <cellStyle name="—_EM-SKTelecom_old_Book7_PetroChina Master" xfId="4749" xr:uid="{00000000-0005-0000-0000-000096070000}"/>
    <cellStyle name="—_EM-SKTelecom_old_Book7_PetroChina Master_WIP(20-F update)" xfId="4750" xr:uid="{00000000-0005-0000-0000-000097070000}"/>
    <cellStyle name="—_EM-SKTelecom_old_Book7_PetroChina Master_WIP(20-F update)_Cashflow" xfId="4751" xr:uid="{00000000-0005-0000-0000-000098070000}"/>
    <cellStyle name="—_EM-SKTelecom_old_Book7_PetroChina Master_WIP(20-F update)_Cashflow_Honghua MSTR" xfId="4752" xr:uid="{00000000-0005-0000-0000-000099070000}"/>
    <cellStyle name="—_EM-SKTelecom_old_Book7_PetroChina Master_WIP(20-F update)_P&amp;L" xfId="4753" xr:uid="{00000000-0005-0000-0000-00009A070000}"/>
    <cellStyle name="—_EM-SKTelecom_old_Book7_PetroChina Master_WIP(20-F update)_P&amp;L_Honghua MSTR" xfId="4754" xr:uid="{00000000-0005-0000-0000-00009B070000}"/>
    <cellStyle name="—_EM-SKTelecom_old_Book7_PetroChina Master_WIP(20-F update)_Sinopec MSTR" xfId="4755" xr:uid="{00000000-0005-0000-0000-00009C070000}"/>
    <cellStyle name="—_EM-SKTelecom_old_Book7_PetroChina Master_WIP(20-F update)_Sinopec MSTR Wip" xfId="4756" xr:uid="{00000000-0005-0000-0000-00009D070000}"/>
    <cellStyle name="—_EM-SKTelecom_old_Book7_PetroChina Master_WIP(20-F update)_Sinopec MSTR_WIP_KK" xfId="4757" xr:uid="{00000000-0005-0000-0000-00009E070000}"/>
    <cellStyle name="—_EM-SKTelecom_old_Book7_Sinopec MSTR" xfId="4758" xr:uid="{00000000-0005-0000-0000-00009F070000}"/>
    <cellStyle name="—_EM-SKTelecom_old_Book7_Sinopec MSTR Wip" xfId="4759" xr:uid="{00000000-0005-0000-0000-0000A0070000}"/>
    <cellStyle name="—_EM-SKTelecom_old_Book7_Sinopec MSTR_WIP_KK" xfId="4760" xr:uid="{00000000-0005-0000-0000-0000A1070000}"/>
    <cellStyle name="—_EM-SKTelecom_old_Book7_Sinopec MSTR-WIP_20F update" xfId="4761" xr:uid="{00000000-0005-0000-0000-0000A2070000}"/>
    <cellStyle name="—_EM-SKTelecom_old_BS" xfId="3029" xr:uid="{00000000-0005-0000-0000-0000A3070000}"/>
    <cellStyle name="—_EM-SKTelecom_old_BS_1" xfId="3030" xr:uid="{00000000-0005-0000-0000-0000A4070000}"/>
    <cellStyle name="—_EM-SKTelecom_old_BS_BS" xfId="3031" xr:uid="{00000000-0005-0000-0000-0000A5070000}"/>
    <cellStyle name="—_EM-SKTelecom_old_BS_Capex" xfId="3032" xr:uid="{00000000-0005-0000-0000-0000A6070000}"/>
    <cellStyle name="—_EM-SKTelecom_old_BS_CF" xfId="3033" xr:uid="{00000000-0005-0000-0000-0000A7070000}"/>
    <cellStyle name="—_EM-SKTelecom_old_BS_COFCO (506.HK)" xfId="3034" xr:uid="{00000000-0005-0000-0000-0000A8070000}"/>
    <cellStyle name="—_EM-SKTelecom_old_BS_COFCO_051010" xfId="3035" xr:uid="{00000000-0005-0000-0000-0000A9070000}"/>
    <cellStyle name="—_EM-SKTelecom_old_BS_COFCO_backup" xfId="3036" xr:uid="{00000000-0005-0000-0000-0000AA070000}"/>
    <cellStyle name="—_EM-SKTelecom_old_BS_DCF" xfId="3037" xr:uid="{00000000-0005-0000-0000-0000AB070000}"/>
    <cellStyle name="—_EM-SKTelecom_old_BS_Front page" xfId="3038" xr:uid="{00000000-0005-0000-0000-0000AC070000}"/>
    <cellStyle name="—_EM-SKTelecom_old_BS_LT assets" xfId="3039" xr:uid="{00000000-0005-0000-0000-0000AD070000}"/>
    <cellStyle name="—_EM-SKTelecom_old_BS_Monthly" xfId="3040" xr:uid="{00000000-0005-0000-0000-0000AE070000}"/>
    <cellStyle name="—_EM-SKTelecom_old_BS_P&amp;L" xfId="3041" xr:uid="{00000000-0005-0000-0000-0000AF070000}"/>
    <cellStyle name="—_EM-SKTelecom_old_BS_Valuation" xfId="3042" xr:uid="{00000000-0005-0000-0000-0000B0070000}"/>
    <cellStyle name="—_EM-SKTelecom_old_Cashflow" xfId="4762" xr:uid="{00000000-0005-0000-0000-0000B1070000}"/>
    <cellStyle name="—_EM-SKTelecom_old_Cashflow_Honghua MSTR" xfId="4763" xr:uid="{00000000-0005-0000-0000-0000B2070000}"/>
    <cellStyle name="—_EM-SKTelecom_old_CF" xfId="3043" xr:uid="{00000000-0005-0000-0000-0000B3070000}"/>
    <cellStyle name="—_EM-SKTelecom_old_Cheng Shin Model" xfId="3044" xr:uid="{00000000-0005-0000-0000-0000B4070000}"/>
    <cellStyle name="—_EM-SKTelecom_old_Drive" xfId="3045" xr:uid="{00000000-0005-0000-0000-0000B5070000}"/>
    <cellStyle name="—_EM-SKTelecom_old_earnings" xfId="3046" xr:uid="{00000000-0005-0000-0000-0000B6070000}"/>
    <cellStyle name="—_EM-SKTelecom_old_earnings_AUO consolidated 2004_02" xfId="3047" xr:uid="{00000000-0005-0000-0000-0000B7070000}"/>
    <cellStyle name="—_EM-SKTelecom_old_earnings_AUO forecast (GQ)2005_03" xfId="3048" xr:uid="{00000000-0005-0000-0000-0000B8070000}"/>
    <cellStyle name="—_EM-SKTelecom_old_earnings_new-Sub" xfId="3049" xr:uid="{00000000-0005-0000-0000-0000B9070000}"/>
    <cellStyle name="—_EM-SKTelecom_old_earnings_Novatek forecast 280404" xfId="3050" xr:uid="{00000000-0005-0000-0000-0000BA070000}"/>
    <cellStyle name="—_EM-SKTelecom_old_EM_ChinaTelecom" xfId="3051" xr:uid="{00000000-0005-0000-0000-0000BB070000}"/>
    <cellStyle name="—_EM-SKTelecom_old_EM_ChinaTelecom_AUO consolidated 2004_02" xfId="3052" xr:uid="{00000000-0005-0000-0000-0000BC070000}"/>
    <cellStyle name="—_EM-SKTelecom_old_EM_ChinaTelecom_AUO forecast (GQ)2005_03" xfId="3053" xr:uid="{00000000-0005-0000-0000-0000BD070000}"/>
    <cellStyle name="—_EM-SKTelecom_old_EM_ChinaTelecom_new-Sub" xfId="3054" xr:uid="{00000000-0005-0000-0000-0000BE070000}"/>
    <cellStyle name="—_EM-SKTelecom_old_EM_ChinaTelecom_Novatek forecast 280404" xfId="3055" xr:uid="{00000000-0005-0000-0000-0000BF070000}"/>
    <cellStyle name="—_EM-SKTelecom_old_EM_CU" xfId="3056" xr:uid="{00000000-0005-0000-0000-0000C0070000}"/>
    <cellStyle name="—_EM-SKTelecom_old_EM_CU_AUO consolidated 2004_02" xfId="3057" xr:uid="{00000000-0005-0000-0000-0000C1070000}"/>
    <cellStyle name="—_EM-SKTelecom_old_EM_CU_AUO forecast (GQ)2005_03" xfId="3058" xr:uid="{00000000-0005-0000-0000-0000C2070000}"/>
    <cellStyle name="—_EM-SKTelecom_old_EM_CU_new-Sub" xfId="3059" xr:uid="{00000000-0005-0000-0000-0000C3070000}"/>
    <cellStyle name="—_EM-SKTelecom_old_EM_CU_Novatek forecast 280404" xfId="3060" xr:uid="{00000000-0005-0000-0000-0000C4070000}"/>
    <cellStyle name="—_EM-SKTelecom_old_EM_FETone" xfId="3061" xr:uid="{00000000-0005-0000-0000-0000C5070000}"/>
    <cellStyle name="—_EM-SKTelecom_old_EM_FETone_AUO consolidated 2004_02" xfId="3062" xr:uid="{00000000-0005-0000-0000-0000C6070000}"/>
    <cellStyle name="—_EM-SKTelecom_old_EM_FETone_AUO forecast (GQ)2005_03" xfId="3063" xr:uid="{00000000-0005-0000-0000-0000C7070000}"/>
    <cellStyle name="—_EM-SKTelecom_old_EM_FETone_new" xfId="3064" xr:uid="{00000000-0005-0000-0000-0000C8070000}"/>
    <cellStyle name="—_EM-SKTelecom_old_EM_FETone_new_AUO consolidated 2004_02" xfId="3065" xr:uid="{00000000-0005-0000-0000-0000C9070000}"/>
    <cellStyle name="—_EM-SKTelecom_old_EM_FETone_new_AUO forecast (GQ)2005_03" xfId="3066" xr:uid="{00000000-0005-0000-0000-0000CA070000}"/>
    <cellStyle name="—_EM-SKTelecom_old_EM_FETone_new_new-Sub" xfId="3067" xr:uid="{00000000-0005-0000-0000-0000CB070000}"/>
    <cellStyle name="—_EM-SKTelecom_old_EM_FETone_new_Novatek forecast 280404" xfId="3068" xr:uid="{00000000-0005-0000-0000-0000CC070000}"/>
    <cellStyle name="—_EM-SKTelecom_old_EM_FETone_new-Sub" xfId="3069" xr:uid="{00000000-0005-0000-0000-0000CD070000}"/>
    <cellStyle name="—_EM-SKTelecom_old_EM_FETone_Novatek forecast 280404" xfId="3070" xr:uid="{00000000-0005-0000-0000-0000CE070000}"/>
    <cellStyle name="—_EM-SKTelecom_old_EM_TCC" xfId="3071" xr:uid="{00000000-0005-0000-0000-0000CF070000}"/>
    <cellStyle name="—_EM-SKTelecom_old_EM_TCC_AUO consolidated 2004_02" xfId="3072" xr:uid="{00000000-0005-0000-0000-0000D0070000}"/>
    <cellStyle name="—_EM-SKTelecom_old_EM_TCC_AUO forecast (GQ)2005_03" xfId="3073" xr:uid="{00000000-0005-0000-0000-0000D1070000}"/>
    <cellStyle name="—_EM-SKTelecom_old_EM_TCC_new" xfId="3074" xr:uid="{00000000-0005-0000-0000-0000D2070000}"/>
    <cellStyle name="—_EM-SKTelecom_old_EM_TCC_new_AUO consolidated 2004_02" xfId="3075" xr:uid="{00000000-0005-0000-0000-0000D3070000}"/>
    <cellStyle name="—_EM-SKTelecom_old_EM_TCC_new_AUO forecast (GQ)2005_03" xfId="3076" xr:uid="{00000000-0005-0000-0000-0000D4070000}"/>
    <cellStyle name="—_EM-SKTelecom_old_EM_TCC_new_new-Sub" xfId="3077" xr:uid="{00000000-0005-0000-0000-0000D5070000}"/>
    <cellStyle name="—_EM-SKTelecom_old_EM_TCC_new_Novatek forecast 280404" xfId="3078" xr:uid="{00000000-0005-0000-0000-0000D6070000}"/>
    <cellStyle name="—_EM-SKTelecom_old_EM_TCC_new-Sub" xfId="3079" xr:uid="{00000000-0005-0000-0000-0000D7070000}"/>
    <cellStyle name="—_EM-SKTelecom_old_EM_TCC_Novatek forecast 280404" xfId="3080" xr:uid="{00000000-0005-0000-0000-0000D8070000}"/>
    <cellStyle name="—_EM-SKTelecom_old_EM-Chunghwa" xfId="3081" xr:uid="{00000000-0005-0000-0000-0000D9070000}"/>
    <cellStyle name="—_EM-SKTelecom_old_EM-Chunghwa sense 060503" xfId="3082" xr:uid="{00000000-0005-0000-0000-0000DA070000}"/>
    <cellStyle name="—_EM-SKTelecom_old_EM-Chunghwa sense 060503_new-Sub" xfId="3083" xr:uid="{00000000-0005-0000-0000-0000DB070000}"/>
    <cellStyle name="—_EM-SKTelecom_old_EM-Chunghwa_AUO consolidated 2004_02" xfId="3084" xr:uid="{00000000-0005-0000-0000-0000DC070000}"/>
    <cellStyle name="—_EM-SKTelecom_old_EM-Chunghwa_AUO forecast (GQ)2005_03" xfId="3085" xr:uid="{00000000-0005-0000-0000-0000DD070000}"/>
    <cellStyle name="—_EM-SKTelecom_old_EM-Chunghwa_new" xfId="3086" xr:uid="{00000000-0005-0000-0000-0000DE070000}"/>
    <cellStyle name="—_EM-SKTelecom_old_EM-Chunghwa_new_new-Sub" xfId="3087" xr:uid="{00000000-0005-0000-0000-0000DF070000}"/>
    <cellStyle name="—_EM-SKTelecom_old_EM-Chunghwa_new-Sub" xfId="3088" xr:uid="{00000000-0005-0000-0000-0000E0070000}"/>
    <cellStyle name="—_EM-SKTelecom_old_EM-Chunghwa_Novatek forecast 280404" xfId="3089" xr:uid="{00000000-0005-0000-0000-0000E1070000}"/>
    <cellStyle name="—_EM-SKTelecom_old_EM-HTI" xfId="3090" xr:uid="{00000000-0005-0000-0000-0000E2070000}"/>
    <cellStyle name="—_EM-SKTelecom_old_EM-HTI_(GS) China Pharmaceutical Group model" xfId="3091" xr:uid="{00000000-0005-0000-0000-0000E3070000}"/>
    <cellStyle name="—_EM-SKTelecom_old_EM-HTI_(GS) Global Bio-chem model" xfId="3092" xr:uid="{00000000-0005-0000-0000-0000E4070000}"/>
    <cellStyle name="—_EM-SKTelecom_old_EM-HTI_100902 Helen NTT FCF to be sent" xfId="3093" xr:uid="{00000000-0005-0000-0000-0000E5070000}"/>
    <cellStyle name="—_EM-SKTelecom_old_EM-HTI_AUO consolidated 2004_02" xfId="3094" xr:uid="{00000000-0005-0000-0000-0000E6070000}"/>
    <cellStyle name="—_EM-SKTelecom_old_EM-HTI_AUO forecast (GQ)2005_03" xfId="3095" xr:uid="{00000000-0005-0000-0000-0000E7070000}"/>
    <cellStyle name="—_EM-SKTelecom_old_EM-HTI_Book4" xfId="3096" xr:uid="{00000000-0005-0000-0000-0000E8070000}"/>
    <cellStyle name="—_EM-SKTelecom_old_EM-HTI_Book4_BS" xfId="3097" xr:uid="{00000000-0005-0000-0000-0000E9070000}"/>
    <cellStyle name="—_EM-SKTelecom_old_EM-HTI_Book4_BS_BS" xfId="3098" xr:uid="{00000000-0005-0000-0000-0000EA070000}"/>
    <cellStyle name="—_EM-SKTelecom_old_EM-HTI_Book4_BS_Capex" xfId="3099" xr:uid="{00000000-0005-0000-0000-0000EB070000}"/>
    <cellStyle name="—_EM-SKTelecom_old_EM-HTI_Book4_BS_CF" xfId="3100" xr:uid="{00000000-0005-0000-0000-0000EC070000}"/>
    <cellStyle name="—_EM-SKTelecom_old_EM-HTI_Book4_BS_COFCO (506.HK)" xfId="3101" xr:uid="{00000000-0005-0000-0000-0000ED070000}"/>
    <cellStyle name="—_EM-SKTelecom_old_EM-HTI_Book4_BS_COFCO_051010" xfId="3102" xr:uid="{00000000-0005-0000-0000-0000EE070000}"/>
    <cellStyle name="—_EM-SKTelecom_old_EM-HTI_Book4_BS_COFCO_backup" xfId="3103" xr:uid="{00000000-0005-0000-0000-0000EF070000}"/>
    <cellStyle name="—_EM-SKTelecom_old_EM-HTI_Book4_BS_DCF" xfId="3104" xr:uid="{00000000-0005-0000-0000-0000F0070000}"/>
    <cellStyle name="—_EM-SKTelecom_old_EM-HTI_Book4_BS_Front page" xfId="3105" xr:uid="{00000000-0005-0000-0000-0000F1070000}"/>
    <cellStyle name="—_EM-SKTelecom_old_EM-HTI_Book4_BS_LT assets" xfId="3106" xr:uid="{00000000-0005-0000-0000-0000F2070000}"/>
    <cellStyle name="—_EM-SKTelecom_old_EM-HTI_Book4_BS_Monthly" xfId="3107" xr:uid="{00000000-0005-0000-0000-0000F3070000}"/>
    <cellStyle name="—_EM-SKTelecom_old_EM-HTI_Book4_BS_P&amp;L" xfId="3108" xr:uid="{00000000-0005-0000-0000-0000F4070000}"/>
    <cellStyle name="—_EM-SKTelecom_old_EM-HTI_Book4_BS_Valuation" xfId="3109" xr:uid="{00000000-0005-0000-0000-0000F5070000}"/>
    <cellStyle name="—_EM-SKTelecom_old_EM-HTI_Book4_Yifan template 2" xfId="3110" xr:uid="{00000000-0005-0000-0000-0000F6070000}"/>
    <cellStyle name="—_EM-SKTelecom_old_EM-HTI_Book4_Yifan template 2_BS" xfId="3111" xr:uid="{00000000-0005-0000-0000-0000F7070000}"/>
    <cellStyle name="—_EM-SKTelecom_old_EM-HTI_Book4_Yifan template 2_Capex" xfId="3112" xr:uid="{00000000-0005-0000-0000-0000F8070000}"/>
    <cellStyle name="—_EM-SKTelecom_old_EM-HTI_Book4_Yifan template 2_CF" xfId="3113" xr:uid="{00000000-0005-0000-0000-0000F9070000}"/>
    <cellStyle name="—_EM-SKTelecom_old_EM-HTI_Book4_Yifan template 2_COFCO (506.HK)" xfId="3114" xr:uid="{00000000-0005-0000-0000-0000FA070000}"/>
    <cellStyle name="—_EM-SKTelecom_old_EM-HTI_Book4_Yifan template 2_COFCO_051010" xfId="3115" xr:uid="{00000000-0005-0000-0000-0000FB070000}"/>
    <cellStyle name="—_EM-SKTelecom_old_EM-HTI_Book4_Yifan template 2_COFCO_backup" xfId="3116" xr:uid="{00000000-0005-0000-0000-0000FC070000}"/>
    <cellStyle name="—_EM-SKTelecom_old_EM-HTI_Book4_Yifan template 2_DCF" xfId="3117" xr:uid="{00000000-0005-0000-0000-0000FD070000}"/>
    <cellStyle name="—_EM-SKTelecom_old_EM-HTI_Book4_Yifan template 2_Front page" xfId="3118" xr:uid="{00000000-0005-0000-0000-0000FE070000}"/>
    <cellStyle name="—_EM-SKTelecom_old_EM-HTI_Book4_Yifan template 2_LT assets" xfId="3119" xr:uid="{00000000-0005-0000-0000-0000FF070000}"/>
    <cellStyle name="—_EM-SKTelecom_old_EM-HTI_Book4_Yifan template 2_Monthly" xfId="3120" xr:uid="{00000000-0005-0000-0000-000000080000}"/>
    <cellStyle name="—_EM-SKTelecom_old_EM-HTI_Book4_Yifan template 2_P&amp;L" xfId="3121" xr:uid="{00000000-0005-0000-0000-000001080000}"/>
    <cellStyle name="—_EM-SKTelecom_old_EM-HTI_Book4_Yifan template 2_Valuation" xfId="3122" xr:uid="{00000000-0005-0000-0000-000002080000}"/>
    <cellStyle name="—_EM-SKTelecom_old_EM-HTI_BS" xfId="3123" xr:uid="{00000000-0005-0000-0000-000003080000}"/>
    <cellStyle name="—_EM-SKTelecom_old_EM-HTI_BS_1" xfId="3124" xr:uid="{00000000-0005-0000-0000-000004080000}"/>
    <cellStyle name="—_EM-SKTelecom_old_EM-HTI_BS_BS" xfId="3125" xr:uid="{00000000-0005-0000-0000-000005080000}"/>
    <cellStyle name="—_EM-SKTelecom_old_EM-HTI_BS_Capex" xfId="3126" xr:uid="{00000000-0005-0000-0000-000006080000}"/>
    <cellStyle name="—_EM-SKTelecom_old_EM-HTI_BS_CF" xfId="3127" xr:uid="{00000000-0005-0000-0000-000007080000}"/>
    <cellStyle name="—_EM-SKTelecom_old_EM-HTI_BS_COFCO (506.HK)" xfId="3128" xr:uid="{00000000-0005-0000-0000-000008080000}"/>
    <cellStyle name="—_EM-SKTelecom_old_EM-HTI_BS_COFCO_051010" xfId="3129" xr:uid="{00000000-0005-0000-0000-000009080000}"/>
    <cellStyle name="—_EM-SKTelecom_old_EM-HTI_BS_COFCO_backup" xfId="3130" xr:uid="{00000000-0005-0000-0000-00000A080000}"/>
    <cellStyle name="—_EM-SKTelecom_old_EM-HTI_BS_DCF" xfId="3131" xr:uid="{00000000-0005-0000-0000-00000B080000}"/>
    <cellStyle name="—_EM-SKTelecom_old_EM-HTI_BS_Front page" xfId="3132" xr:uid="{00000000-0005-0000-0000-00000C080000}"/>
    <cellStyle name="—_EM-SKTelecom_old_EM-HTI_BS_LT assets" xfId="3133" xr:uid="{00000000-0005-0000-0000-00000D080000}"/>
    <cellStyle name="—_EM-SKTelecom_old_EM-HTI_BS_Monthly" xfId="3134" xr:uid="{00000000-0005-0000-0000-00000E080000}"/>
    <cellStyle name="—_EM-SKTelecom_old_EM-HTI_BS_P&amp;L" xfId="3135" xr:uid="{00000000-0005-0000-0000-00000F080000}"/>
    <cellStyle name="—_EM-SKTelecom_old_EM-HTI_BS_Valuation" xfId="3136" xr:uid="{00000000-0005-0000-0000-000010080000}"/>
    <cellStyle name="—_EM-SKTelecom_old_EM-HTI_CF" xfId="3137" xr:uid="{00000000-0005-0000-0000-000011080000}"/>
    <cellStyle name="—_EM-SKTelecom_old_EM-HTI_Cheng Shin Model" xfId="3138" xr:uid="{00000000-0005-0000-0000-000012080000}"/>
    <cellStyle name="—_EM-SKTelecom_old_EM-HTI_Drive" xfId="3139" xr:uid="{00000000-0005-0000-0000-000013080000}"/>
    <cellStyle name="—_EM-SKTelecom_old_EM-HTI_EM_ChinaTelecom" xfId="3140" xr:uid="{00000000-0005-0000-0000-000014080000}"/>
    <cellStyle name="—_EM-SKTelecom_old_EM-HTI_EM_ChinaTelecom_AUO consolidated 2004_02" xfId="3141" xr:uid="{00000000-0005-0000-0000-000015080000}"/>
    <cellStyle name="—_EM-SKTelecom_old_EM-HTI_EM_ChinaTelecom_AUO forecast (GQ)2005_03" xfId="3142" xr:uid="{00000000-0005-0000-0000-000016080000}"/>
    <cellStyle name="—_EM-SKTelecom_old_EM-HTI_EM_ChinaTelecom_new-Sub" xfId="3143" xr:uid="{00000000-0005-0000-0000-000017080000}"/>
    <cellStyle name="—_EM-SKTelecom_old_EM-HTI_EM_ChinaTelecom_Novatek forecast 280404" xfId="3144" xr:uid="{00000000-0005-0000-0000-000018080000}"/>
    <cellStyle name="—_EM-SKTelecom_old_EM-HTI_EM_FETone_new" xfId="3145" xr:uid="{00000000-0005-0000-0000-000019080000}"/>
    <cellStyle name="—_EM-SKTelecom_old_EM-HTI_EM_FETone_new_AUO consolidated 2004_02" xfId="3146" xr:uid="{00000000-0005-0000-0000-00001A080000}"/>
    <cellStyle name="—_EM-SKTelecom_old_EM-HTI_EM_FETone_new_AUO forecast (GQ)2005_03" xfId="3147" xr:uid="{00000000-0005-0000-0000-00001B080000}"/>
    <cellStyle name="—_EM-SKTelecom_old_EM-HTI_EM_FETone_new_new-Sub" xfId="3148" xr:uid="{00000000-0005-0000-0000-00001C080000}"/>
    <cellStyle name="—_EM-SKTelecom_old_EM-HTI_EM_FETone_new_Novatek forecast 280404" xfId="3149" xr:uid="{00000000-0005-0000-0000-00001D080000}"/>
    <cellStyle name="—_EM-SKTelecom_old_EM-HTI_EM_NZT" xfId="3150" xr:uid="{00000000-0005-0000-0000-00001E080000}"/>
    <cellStyle name="—_EM-SKTelecom_old_EM-HTI_EM_NZT_BS" xfId="3151" xr:uid="{00000000-0005-0000-0000-00001F080000}"/>
    <cellStyle name="—_EM-SKTelecom_old_EM-HTI_EM_NZT_BS_BS" xfId="3152" xr:uid="{00000000-0005-0000-0000-000020080000}"/>
    <cellStyle name="—_EM-SKTelecom_old_EM-HTI_EM_NZT_BS_Capex" xfId="3153" xr:uid="{00000000-0005-0000-0000-000021080000}"/>
    <cellStyle name="—_EM-SKTelecom_old_EM-HTI_EM_NZT_BS_CF" xfId="3154" xr:uid="{00000000-0005-0000-0000-000022080000}"/>
    <cellStyle name="—_EM-SKTelecom_old_EM-HTI_EM_NZT_BS_COFCO (506.HK)" xfId="3155" xr:uid="{00000000-0005-0000-0000-000023080000}"/>
    <cellStyle name="—_EM-SKTelecom_old_EM-HTI_EM_NZT_BS_COFCO_051010" xfId="3156" xr:uid="{00000000-0005-0000-0000-000024080000}"/>
    <cellStyle name="—_EM-SKTelecom_old_EM-HTI_EM_NZT_BS_COFCO_backup" xfId="3157" xr:uid="{00000000-0005-0000-0000-000025080000}"/>
    <cellStyle name="—_EM-SKTelecom_old_EM-HTI_EM_NZT_BS_DCF" xfId="3158" xr:uid="{00000000-0005-0000-0000-000026080000}"/>
    <cellStyle name="—_EM-SKTelecom_old_EM-HTI_EM_NZT_BS_Front page" xfId="3159" xr:uid="{00000000-0005-0000-0000-000027080000}"/>
    <cellStyle name="—_EM-SKTelecom_old_EM-HTI_EM_NZT_BS_LT assets" xfId="3160" xr:uid="{00000000-0005-0000-0000-000028080000}"/>
    <cellStyle name="—_EM-SKTelecom_old_EM-HTI_EM_NZT_BS_Monthly" xfId="3161" xr:uid="{00000000-0005-0000-0000-000029080000}"/>
    <cellStyle name="—_EM-SKTelecom_old_EM-HTI_EM_NZT_BS_P&amp;L" xfId="3162" xr:uid="{00000000-0005-0000-0000-00002A080000}"/>
    <cellStyle name="—_EM-SKTelecom_old_EM-HTI_EM_NZT_BS_Valuation" xfId="3163" xr:uid="{00000000-0005-0000-0000-00002B080000}"/>
    <cellStyle name="—_EM-SKTelecom_old_EM-HTI_EM_NZT_Yifan template 2" xfId="3164" xr:uid="{00000000-0005-0000-0000-00002C080000}"/>
    <cellStyle name="—_EM-SKTelecom_old_EM-HTI_EM_NZT_Yifan template 2_BS" xfId="3165" xr:uid="{00000000-0005-0000-0000-00002D080000}"/>
    <cellStyle name="—_EM-SKTelecom_old_EM-HTI_EM_NZT_Yifan template 2_Capex" xfId="3166" xr:uid="{00000000-0005-0000-0000-00002E080000}"/>
    <cellStyle name="—_EM-SKTelecom_old_EM-HTI_EM_NZT_Yifan template 2_CF" xfId="3167" xr:uid="{00000000-0005-0000-0000-00002F080000}"/>
    <cellStyle name="—_EM-SKTelecom_old_EM-HTI_EM_NZT_Yifan template 2_COFCO (506.HK)" xfId="3168" xr:uid="{00000000-0005-0000-0000-000030080000}"/>
    <cellStyle name="—_EM-SKTelecom_old_EM-HTI_EM_NZT_Yifan template 2_COFCO_051010" xfId="3169" xr:uid="{00000000-0005-0000-0000-000031080000}"/>
    <cellStyle name="—_EM-SKTelecom_old_EM-HTI_EM_NZT_Yifan template 2_COFCO_backup" xfId="3170" xr:uid="{00000000-0005-0000-0000-000032080000}"/>
    <cellStyle name="—_EM-SKTelecom_old_EM-HTI_EM_NZT_Yifan template 2_DCF" xfId="3171" xr:uid="{00000000-0005-0000-0000-000033080000}"/>
    <cellStyle name="—_EM-SKTelecom_old_EM-HTI_EM_NZT_Yifan template 2_Front page" xfId="3172" xr:uid="{00000000-0005-0000-0000-000034080000}"/>
    <cellStyle name="—_EM-SKTelecom_old_EM-HTI_EM_NZT_Yifan template 2_LT assets" xfId="3173" xr:uid="{00000000-0005-0000-0000-000035080000}"/>
    <cellStyle name="—_EM-SKTelecom_old_EM-HTI_EM_NZT_Yifan template 2_Monthly" xfId="3174" xr:uid="{00000000-0005-0000-0000-000036080000}"/>
    <cellStyle name="—_EM-SKTelecom_old_EM-HTI_EM_NZT_Yifan template 2_P&amp;L" xfId="3175" xr:uid="{00000000-0005-0000-0000-000037080000}"/>
    <cellStyle name="—_EM-SKTelecom_old_EM-HTI_EM_NZT_Yifan template 2_Valuation" xfId="3176" xr:uid="{00000000-0005-0000-0000-000038080000}"/>
    <cellStyle name="—_EM-SKTelecom_old_EM-HTI_EM_TCC" xfId="3177" xr:uid="{00000000-0005-0000-0000-000039080000}"/>
    <cellStyle name="—_EM-SKTelecom_old_EM-HTI_EM_TCC_AUO consolidated 2004_02" xfId="3178" xr:uid="{00000000-0005-0000-0000-00003A080000}"/>
    <cellStyle name="—_EM-SKTelecom_old_EM-HTI_EM_TCC_AUO forecast (GQ)2005_03" xfId="3179" xr:uid="{00000000-0005-0000-0000-00003B080000}"/>
    <cellStyle name="—_EM-SKTelecom_old_EM-HTI_EM_TCC_new" xfId="3180" xr:uid="{00000000-0005-0000-0000-00003C080000}"/>
    <cellStyle name="—_EM-SKTelecom_old_EM-HTI_EM_TCC_new_AUO consolidated 2004_02" xfId="3181" xr:uid="{00000000-0005-0000-0000-00003D080000}"/>
    <cellStyle name="—_EM-SKTelecom_old_EM-HTI_EM_TCC_new_AUO forecast (GQ)2005_03" xfId="3182" xr:uid="{00000000-0005-0000-0000-00003E080000}"/>
    <cellStyle name="—_EM-SKTelecom_old_EM-HTI_EM_TCC_new_new-Sub" xfId="3183" xr:uid="{00000000-0005-0000-0000-00003F080000}"/>
    <cellStyle name="—_EM-SKTelecom_old_EM-HTI_EM_TCC_new_Novatek forecast 280404" xfId="3184" xr:uid="{00000000-0005-0000-0000-000040080000}"/>
    <cellStyle name="—_EM-SKTelecom_old_EM-HTI_EM_TCC_new-Sub" xfId="3185" xr:uid="{00000000-0005-0000-0000-000041080000}"/>
    <cellStyle name="—_EM-SKTelecom_old_EM-HTI_EM_TCC_Novatek forecast 280404" xfId="3186" xr:uid="{00000000-0005-0000-0000-000042080000}"/>
    <cellStyle name="—_EM-SKTelecom_old_EM-HTI_EM-Chunghwa" xfId="3187" xr:uid="{00000000-0005-0000-0000-000043080000}"/>
    <cellStyle name="—_EM-SKTelecom_old_EM-HTI_EM-Chunghwa_AUO consolidated 2004_02" xfId="3188" xr:uid="{00000000-0005-0000-0000-000044080000}"/>
    <cellStyle name="—_EM-SKTelecom_old_EM-HTI_EM-Chunghwa_AUO forecast (GQ)2005_03" xfId="3189" xr:uid="{00000000-0005-0000-0000-000045080000}"/>
    <cellStyle name="—_EM-SKTelecom_old_EM-HTI_EM-Chunghwa_new-Sub" xfId="3190" xr:uid="{00000000-0005-0000-0000-000046080000}"/>
    <cellStyle name="—_EM-SKTelecom_old_EM-HTI_EM-Chunghwa_Novatek forecast 280404" xfId="3191" xr:uid="{00000000-0005-0000-0000-000047080000}"/>
    <cellStyle name="—_EM-SKTelecom_old_EM-HTI_GlobalValuation_Japan" xfId="3192" xr:uid="{00000000-0005-0000-0000-000048080000}"/>
    <cellStyle name="—_EM-SKTelecom_old_EM-HTI_GQ" xfId="3193" xr:uid="{00000000-0005-0000-0000-000049080000}"/>
    <cellStyle name="—_EM-SKTelecom_old_EM-HTI_JT CROCI" xfId="3194" xr:uid="{00000000-0005-0000-0000-00004A080000}"/>
    <cellStyle name="—_EM-SKTelecom_old_EM-HTI_KDDI CROCI" xfId="3195" xr:uid="{00000000-0005-0000-0000-00004B080000}"/>
    <cellStyle name="—_EM-SKTelecom_old_EM-HTI_new-Sub" xfId="3196" xr:uid="{00000000-0005-0000-0000-00004C080000}"/>
    <cellStyle name="—_EM-SKTelecom_old_EM-HTI_Novatek forecast 280404" xfId="3197" xr:uid="{00000000-0005-0000-0000-00004D080000}"/>
    <cellStyle name="—_EM-SKTelecom_old_EM-HTI_NTT CROCI" xfId="3198" xr:uid="{00000000-0005-0000-0000-00004E080000}"/>
    <cellStyle name="—_EM-SKTelecom_old_EM-HTI_NTT proportionate" xfId="3199" xr:uid="{00000000-0005-0000-0000-00004F080000}"/>
    <cellStyle name="—_EM-SKTelecom_old_EM-HTI_P&amp;L" xfId="3200" xr:uid="{00000000-0005-0000-0000-000050080000}"/>
    <cellStyle name="—_EM-SKTelecom_old_EM-HTI_Sheet1" xfId="3201" xr:uid="{00000000-0005-0000-0000-000051080000}"/>
    <cellStyle name="—_EM-SKTelecom_old_EM-HTI_Yifan template 2" xfId="3202" xr:uid="{00000000-0005-0000-0000-000052080000}"/>
    <cellStyle name="—_EM-SKTelecom_old_EM-HTI_Yifan template 2_BS" xfId="3203" xr:uid="{00000000-0005-0000-0000-000053080000}"/>
    <cellStyle name="—_EM-SKTelecom_old_EM-HTI_Yifan template 2_Capex" xfId="3204" xr:uid="{00000000-0005-0000-0000-000054080000}"/>
    <cellStyle name="—_EM-SKTelecom_old_EM-HTI_Yifan template 2_CF" xfId="3205" xr:uid="{00000000-0005-0000-0000-000055080000}"/>
    <cellStyle name="—_EM-SKTelecom_old_EM-HTI_Yifan template 2_COFCO (506.HK)" xfId="3206" xr:uid="{00000000-0005-0000-0000-000056080000}"/>
    <cellStyle name="—_EM-SKTelecom_old_EM-HTI_Yifan template 2_COFCO_051010" xfId="3207" xr:uid="{00000000-0005-0000-0000-000057080000}"/>
    <cellStyle name="—_EM-SKTelecom_old_EM-HTI_Yifan template 2_COFCO_backup" xfId="3208" xr:uid="{00000000-0005-0000-0000-000058080000}"/>
    <cellStyle name="—_EM-SKTelecom_old_EM-HTI_Yifan template 2_DCF" xfId="3209" xr:uid="{00000000-0005-0000-0000-000059080000}"/>
    <cellStyle name="—_EM-SKTelecom_old_EM-HTI_Yifan template 2_Front page" xfId="3210" xr:uid="{00000000-0005-0000-0000-00005A080000}"/>
    <cellStyle name="—_EM-SKTelecom_old_EM-HTI_Yifan template 2_LT assets" xfId="3211" xr:uid="{00000000-0005-0000-0000-00005B080000}"/>
    <cellStyle name="—_EM-SKTelecom_old_EM-HTI_Yifan template 2_Monthly" xfId="3212" xr:uid="{00000000-0005-0000-0000-00005C080000}"/>
    <cellStyle name="—_EM-SKTelecom_old_EM-HTI_Yifan template 2_P&amp;L" xfId="3213" xr:uid="{00000000-0005-0000-0000-00005D080000}"/>
    <cellStyle name="—_EM-SKTelecom_old_EM-HTI_Yifan template 2_Valuation" xfId="3214" xr:uid="{00000000-0005-0000-0000-00005E080000}"/>
    <cellStyle name="—_EM-SKTelecom_old_EM-KT.xls Chart 1" xfId="4764" xr:uid="{00000000-0005-0000-0000-00005F080000}"/>
    <cellStyle name="—_EM-SKTelecom_old_EM-KT.xls Chart 1_Beta" xfId="4765" xr:uid="{00000000-0005-0000-0000-000060080000}"/>
    <cellStyle name="—_EM-SKTelecom_old_EM-KT.xls Chart 1_Cashflow" xfId="4766" xr:uid="{00000000-0005-0000-0000-000061080000}"/>
    <cellStyle name="—_EM-SKTelecom_old_EM-KT.xls Chart 1_Cashflow_Honghua MSTR" xfId="4767" xr:uid="{00000000-0005-0000-0000-000062080000}"/>
    <cellStyle name="—_EM-SKTelecom_old_EM-KT.xls Chart 1_P&amp;L" xfId="4768" xr:uid="{00000000-0005-0000-0000-000063080000}"/>
    <cellStyle name="—_EM-SKTelecom_old_EM-KT.xls Chart 1_P&amp;L_Honghua MSTR" xfId="4769" xr:uid="{00000000-0005-0000-0000-000064080000}"/>
    <cellStyle name="—_EM-SKTelecom_old_EM-KT.xls Chart 1_PetroChina Master" xfId="4770" xr:uid="{00000000-0005-0000-0000-000065080000}"/>
    <cellStyle name="—_EM-SKTelecom_old_EM-KT.xls Chart 1_PetroChina Master_WIP(20-F update)" xfId="4771" xr:uid="{00000000-0005-0000-0000-000066080000}"/>
    <cellStyle name="—_EM-SKTelecom_old_EM-KT.xls Chart 1_PetroChina Master_WIP(20-F update)_Cashflow" xfId="4772" xr:uid="{00000000-0005-0000-0000-000067080000}"/>
    <cellStyle name="—_EM-SKTelecom_old_EM-KT.xls Chart 1_PetroChina Master_WIP(20-F update)_Cashflow_Honghua MSTR" xfId="4773" xr:uid="{00000000-0005-0000-0000-000068080000}"/>
    <cellStyle name="—_EM-SKTelecom_old_EM-KT.xls Chart 1_PetroChina Master_WIP(20-F update)_P&amp;L" xfId="4774" xr:uid="{00000000-0005-0000-0000-000069080000}"/>
    <cellStyle name="—_EM-SKTelecom_old_EM-KT.xls Chart 1_PetroChina Master_WIP(20-F update)_P&amp;L_Honghua MSTR" xfId="4775" xr:uid="{00000000-0005-0000-0000-00006A080000}"/>
    <cellStyle name="—_EM-SKTelecom_old_EM-KT.xls Chart 1_PetroChina Master_WIP(20-F update)_Sinopec MSTR" xfId="4776" xr:uid="{00000000-0005-0000-0000-00006B080000}"/>
    <cellStyle name="—_EM-SKTelecom_old_EM-KT.xls Chart 1_PetroChina Master_WIP(20-F update)_Sinopec MSTR Wip" xfId="4777" xr:uid="{00000000-0005-0000-0000-00006C080000}"/>
    <cellStyle name="—_EM-SKTelecom_old_EM-KT.xls Chart 1_PetroChina Master_WIP(20-F update)_Sinopec MSTR_WIP_KK" xfId="4778" xr:uid="{00000000-0005-0000-0000-00006D080000}"/>
    <cellStyle name="—_EM-SKTelecom_old_EM-KT.xls Chart 1_Sinopec MSTR" xfId="4779" xr:uid="{00000000-0005-0000-0000-00006E080000}"/>
    <cellStyle name="—_EM-SKTelecom_old_EM-KT.xls Chart 1_Sinopec MSTR Wip" xfId="4780" xr:uid="{00000000-0005-0000-0000-00006F080000}"/>
    <cellStyle name="—_EM-SKTelecom_old_EM-KT.xls Chart 1_Sinopec MSTR_WIP_KK" xfId="4781" xr:uid="{00000000-0005-0000-0000-000070080000}"/>
    <cellStyle name="—_EM-SKTelecom_old_EM-KT.xls Chart 1_Sinopec MSTR-WIP_20F update" xfId="4782" xr:uid="{00000000-0005-0000-0000-000071080000}"/>
    <cellStyle name="—_EM-SKTelecom_old_EM-KT.xls Chart 2" xfId="4783" xr:uid="{00000000-0005-0000-0000-000072080000}"/>
    <cellStyle name="—_EM-SKTelecom_old_EM-KT.xls Chart 2_Beta" xfId="4784" xr:uid="{00000000-0005-0000-0000-000073080000}"/>
    <cellStyle name="—_EM-SKTelecom_old_EM-KT.xls Chart 2_Cashflow" xfId="4785" xr:uid="{00000000-0005-0000-0000-000074080000}"/>
    <cellStyle name="—_EM-SKTelecom_old_EM-KT.xls Chart 2_Cashflow_Honghua MSTR" xfId="4786" xr:uid="{00000000-0005-0000-0000-000075080000}"/>
    <cellStyle name="—_EM-SKTelecom_old_EM-KT.xls Chart 2_P&amp;L" xfId="4787" xr:uid="{00000000-0005-0000-0000-000076080000}"/>
    <cellStyle name="—_EM-SKTelecom_old_EM-KT.xls Chart 2_P&amp;L_Honghua MSTR" xfId="4788" xr:uid="{00000000-0005-0000-0000-000077080000}"/>
    <cellStyle name="—_EM-SKTelecom_old_EM-KT.xls Chart 2_PetroChina Master" xfId="4789" xr:uid="{00000000-0005-0000-0000-000078080000}"/>
    <cellStyle name="—_EM-SKTelecom_old_EM-KT.xls Chart 2_PetroChina Master_WIP(20-F update)" xfId="4790" xr:uid="{00000000-0005-0000-0000-000079080000}"/>
    <cellStyle name="—_EM-SKTelecom_old_EM-KT.xls Chart 2_PetroChina Master_WIP(20-F update)_Cashflow" xfId="4791" xr:uid="{00000000-0005-0000-0000-00007A080000}"/>
    <cellStyle name="—_EM-SKTelecom_old_EM-KT.xls Chart 2_PetroChina Master_WIP(20-F update)_Cashflow_Honghua MSTR" xfId="4792" xr:uid="{00000000-0005-0000-0000-00007B080000}"/>
    <cellStyle name="—_EM-SKTelecom_old_EM-KT.xls Chart 2_PetroChina Master_WIP(20-F update)_P&amp;L" xfId="4793" xr:uid="{00000000-0005-0000-0000-00007C080000}"/>
    <cellStyle name="—_EM-SKTelecom_old_EM-KT.xls Chart 2_PetroChina Master_WIP(20-F update)_P&amp;L_Honghua MSTR" xfId="4794" xr:uid="{00000000-0005-0000-0000-00007D080000}"/>
    <cellStyle name="—_EM-SKTelecom_old_EM-KT.xls Chart 2_PetroChina Master_WIP(20-F update)_Sinopec MSTR" xfId="4795" xr:uid="{00000000-0005-0000-0000-00007E080000}"/>
    <cellStyle name="—_EM-SKTelecom_old_EM-KT.xls Chart 2_PetroChina Master_WIP(20-F update)_Sinopec MSTR Wip" xfId="4796" xr:uid="{00000000-0005-0000-0000-00007F080000}"/>
    <cellStyle name="—_EM-SKTelecom_old_EM-KT.xls Chart 2_PetroChina Master_WIP(20-F update)_Sinopec MSTR_WIP_KK" xfId="4797" xr:uid="{00000000-0005-0000-0000-000080080000}"/>
    <cellStyle name="—_EM-SKTelecom_old_EM-KT.xls Chart 2_Sinopec MSTR" xfId="4798" xr:uid="{00000000-0005-0000-0000-000081080000}"/>
    <cellStyle name="—_EM-SKTelecom_old_EM-KT.xls Chart 2_Sinopec MSTR Wip" xfId="4799" xr:uid="{00000000-0005-0000-0000-000082080000}"/>
    <cellStyle name="—_EM-SKTelecom_old_EM-KT.xls Chart 2_Sinopec MSTR_WIP_KK" xfId="4800" xr:uid="{00000000-0005-0000-0000-000083080000}"/>
    <cellStyle name="—_EM-SKTelecom_old_EM-KT.xls Chart 2_Sinopec MSTR-WIP_20F update" xfId="4801" xr:uid="{00000000-0005-0000-0000-000084080000}"/>
    <cellStyle name="—_EM-SKTelecom_old_EM-KT.xls Chart 3" xfId="4802" xr:uid="{00000000-0005-0000-0000-000085080000}"/>
    <cellStyle name="—_EM-SKTelecom_old_EM-KT.xls Chart 3_Beta" xfId="4803" xr:uid="{00000000-0005-0000-0000-000086080000}"/>
    <cellStyle name="—_EM-SKTelecom_old_EM-KT.xls Chart 3_Cashflow" xfId="4804" xr:uid="{00000000-0005-0000-0000-000087080000}"/>
    <cellStyle name="—_EM-SKTelecom_old_EM-KT.xls Chart 3_Cashflow_Honghua MSTR" xfId="4805" xr:uid="{00000000-0005-0000-0000-000088080000}"/>
    <cellStyle name="—_EM-SKTelecom_old_EM-KT.xls Chart 3_P&amp;L" xfId="4806" xr:uid="{00000000-0005-0000-0000-000089080000}"/>
    <cellStyle name="—_EM-SKTelecom_old_EM-KT.xls Chart 3_P&amp;L_Honghua MSTR" xfId="4807" xr:uid="{00000000-0005-0000-0000-00008A080000}"/>
    <cellStyle name="—_EM-SKTelecom_old_EM-KT.xls Chart 3_PetroChina Master" xfId="4808" xr:uid="{00000000-0005-0000-0000-00008B080000}"/>
    <cellStyle name="—_EM-SKTelecom_old_EM-KT.xls Chart 3_PetroChina Master_WIP(20-F update)" xfId="4809" xr:uid="{00000000-0005-0000-0000-00008C080000}"/>
    <cellStyle name="—_EM-SKTelecom_old_EM-KT.xls Chart 3_PetroChina Master_WIP(20-F update)_Cashflow" xfId="4810" xr:uid="{00000000-0005-0000-0000-00008D080000}"/>
    <cellStyle name="—_EM-SKTelecom_old_EM-KT.xls Chart 3_PetroChina Master_WIP(20-F update)_Cashflow_Honghua MSTR" xfId="4811" xr:uid="{00000000-0005-0000-0000-00008E080000}"/>
    <cellStyle name="—_EM-SKTelecom_old_EM-KT.xls Chart 3_PetroChina Master_WIP(20-F update)_P&amp;L" xfId="4812" xr:uid="{00000000-0005-0000-0000-00008F080000}"/>
    <cellStyle name="—_EM-SKTelecom_old_EM-KT.xls Chart 3_PetroChina Master_WIP(20-F update)_P&amp;L_Honghua MSTR" xfId="4813" xr:uid="{00000000-0005-0000-0000-000090080000}"/>
    <cellStyle name="—_EM-SKTelecom_old_EM-KT.xls Chart 3_PetroChina Master_WIP(20-F update)_Sinopec MSTR" xfId="4814" xr:uid="{00000000-0005-0000-0000-000091080000}"/>
    <cellStyle name="—_EM-SKTelecom_old_EM-KT.xls Chart 3_PetroChina Master_WIP(20-F update)_Sinopec MSTR Wip" xfId="4815" xr:uid="{00000000-0005-0000-0000-000092080000}"/>
    <cellStyle name="—_EM-SKTelecom_old_EM-KT.xls Chart 3_PetroChina Master_WIP(20-F update)_Sinopec MSTR_WIP_KK" xfId="4816" xr:uid="{00000000-0005-0000-0000-000093080000}"/>
    <cellStyle name="—_EM-SKTelecom_old_EM-KT.xls Chart 3_Sinopec MSTR" xfId="4817" xr:uid="{00000000-0005-0000-0000-000094080000}"/>
    <cellStyle name="—_EM-SKTelecom_old_EM-KT.xls Chart 3_Sinopec MSTR Wip" xfId="4818" xr:uid="{00000000-0005-0000-0000-000095080000}"/>
    <cellStyle name="—_EM-SKTelecom_old_EM-KT.xls Chart 3_Sinopec MSTR_WIP_KK" xfId="4819" xr:uid="{00000000-0005-0000-0000-000096080000}"/>
    <cellStyle name="—_EM-SKTelecom_old_EM-KT.xls Chart 3_Sinopec MSTR-WIP_20F update" xfId="4820" xr:uid="{00000000-0005-0000-0000-000097080000}"/>
    <cellStyle name="—_EM-SKTelecom_old_EM-KTnew" xfId="4821" xr:uid="{00000000-0005-0000-0000-000098080000}"/>
    <cellStyle name="—_EM-SKTelecom_old_EM-KTnew_Beta" xfId="4822" xr:uid="{00000000-0005-0000-0000-000099080000}"/>
    <cellStyle name="—_EM-SKTelecom_old_EM-KTnew_Cashflow" xfId="4823" xr:uid="{00000000-0005-0000-0000-00009A080000}"/>
    <cellStyle name="—_EM-SKTelecom_old_EM-KTnew_Cashflow_Honghua MSTR" xfId="4824" xr:uid="{00000000-0005-0000-0000-00009B080000}"/>
    <cellStyle name="—_EM-SKTelecom_old_EM-KTnew_P&amp;L" xfId="4825" xr:uid="{00000000-0005-0000-0000-00009C080000}"/>
    <cellStyle name="—_EM-SKTelecom_old_EM-KTnew_P&amp;L_Honghua MSTR" xfId="4826" xr:uid="{00000000-0005-0000-0000-00009D080000}"/>
    <cellStyle name="—_EM-SKTelecom_old_EM-KTnew_PetroChina Master" xfId="4827" xr:uid="{00000000-0005-0000-0000-00009E080000}"/>
    <cellStyle name="—_EM-SKTelecom_old_EM-KTnew_PetroChina Master_WIP(20-F update)" xfId="4828" xr:uid="{00000000-0005-0000-0000-00009F080000}"/>
    <cellStyle name="—_EM-SKTelecom_old_EM-KTnew_PetroChina Master_WIP(20-F update)_Cashflow" xfId="4829" xr:uid="{00000000-0005-0000-0000-0000A0080000}"/>
    <cellStyle name="—_EM-SKTelecom_old_EM-KTnew_PetroChina Master_WIP(20-F update)_Cashflow_Honghua MSTR" xfId="4830" xr:uid="{00000000-0005-0000-0000-0000A1080000}"/>
    <cellStyle name="—_EM-SKTelecom_old_EM-KTnew_PetroChina Master_WIP(20-F update)_P&amp;L" xfId="4831" xr:uid="{00000000-0005-0000-0000-0000A2080000}"/>
    <cellStyle name="—_EM-SKTelecom_old_EM-KTnew_PetroChina Master_WIP(20-F update)_P&amp;L_Honghua MSTR" xfId="4832" xr:uid="{00000000-0005-0000-0000-0000A3080000}"/>
    <cellStyle name="—_EM-SKTelecom_old_EM-KTnew_PetroChina Master_WIP(20-F update)_Sinopec MSTR" xfId="4833" xr:uid="{00000000-0005-0000-0000-0000A4080000}"/>
    <cellStyle name="—_EM-SKTelecom_old_EM-KTnew_PetroChina Master_WIP(20-F update)_Sinopec MSTR Wip" xfId="4834" xr:uid="{00000000-0005-0000-0000-0000A5080000}"/>
    <cellStyle name="—_EM-SKTelecom_old_EM-KTnew_PetroChina Master_WIP(20-F update)_Sinopec MSTR_WIP_KK" xfId="4835" xr:uid="{00000000-0005-0000-0000-0000A6080000}"/>
    <cellStyle name="—_EM-SKTelecom_old_EM-KTnew_Sinopec MSTR" xfId="4836" xr:uid="{00000000-0005-0000-0000-0000A7080000}"/>
    <cellStyle name="—_EM-SKTelecom_old_EM-KTnew_Sinopec MSTR Wip" xfId="4837" xr:uid="{00000000-0005-0000-0000-0000A8080000}"/>
    <cellStyle name="—_EM-SKTelecom_old_EM-KTnew_Sinopec MSTR_WIP_KK" xfId="4838" xr:uid="{00000000-0005-0000-0000-0000A9080000}"/>
    <cellStyle name="—_EM-SKTelecom_old_EM-KTnew_Sinopec MSTR-WIP_20F update" xfId="4839" xr:uid="{00000000-0005-0000-0000-0000AA080000}"/>
    <cellStyle name="—_EM-SKTelecom_old_new-Sub" xfId="3215" xr:uid="{00000000-0005-0000-0000-0000AB080000}"/>
    <cellStyle name="—_EM-SKTelecom_old_Novatek forecast 280404" xfId="3216" xr:uid="{00000000-0005-0000-0000-0000AC080000}"/>
    <cellStyle name="—_EM-SKTelecom_old_P&amp;L" xfId="3217" xr:uid="{00000000-0005-0000-0000-0000AD080000}"/>
    <cellStyle name="—_EM-SKTelecom_old_P&amp;L 2" xfId="4840" xr:uid="{00000000-0005-0000-0000-0000AE080000}"/>
    <cellStyle name="—_EM-SKTelecom_old_P&amp;L_Honghua MSTR" xfId="4841" xr:uid="{00000000-0005-0000-0000-0000AF080000}"/>
    <cellStyle name="—_EM-SKTelecom_old_PetroChina Master" xfId="4842" xr:uid="{00000000-0005-0000-0000-0000B0080000}"/>
    <cellStyle name="—_EM-SKTelecom_old_PetroChina Master_WIP(20-F update)" xfId="4843" xr:uid="{00000000-0005-0000-0000-0000B1080000}"/>
    <cellStyle name="—_EM-SKTelecom_old_PetroChina Master_WIP(20-F update)_Cashflow" xfId="4844" xr:uid="{00000000-0005-0000-0000-0000B2080000}"/>
    <cellStyle name="—_EM-SKTelecom_old_PetroChina Master_WIP(20-F update)_Cashflow_Honghua MSTR" xfId="4845" xr:uid="{00000000-0005-0000-0000-0000B3080000}"/>
    <cellStyle name="—_EM-SKTelecom_old_PetroChina Master_WIP(20-F update)_P&amp;L" xfId="4846" xr:uid="{00000000-0005-0000-0000-0000B4080000}"/>
    <cellStyle name="—_EM-SKTelecom_old_PetroChina Master_WIP(20-F update)_P&amp;L_Honghua MSTR" xfId="4847" xr:uid="{00000000-0005-0000-0000-0000B5080000}"/>
    <cellStyle name="—_EM-SKTelecom_old_PetroChina Master_WIP(20-F update)_Sinopec MSTR" xfId="4848" xr:uid="{00000000-0005-0000-0000-0000B6080000}"/>
    <cellStyle name="—_EM-SKTelecom_old_PetroChina Master_WIP(20-F update)_Sinopec MSTR Wip" xfId="4849" xr:uid="{00000000-0005-0000-0000-0000B7080000}"/>
    <cellStyle name="—_EM-SKTelecom_old_PetroChina Master_WIP(20-F update)_Sinopec MSTR_WIP_KK" xfId="4850" xr:uid="{00000000-0005-0000-0000-0000B8080000}"/>
    <cellStyle name="—_EM-SKTelecom_old_qrtly" xfId="4851" xr:uid="{00000000-0005-0000-0000-0000B9080000}"/>
    <cellStyle name="—_EM-SKTelecom_old_qrtly_Beta" xfId="4852" xr:uid="{00000000-0005-0000-0000-0000BA080000}"/>
    <cellStyle name="—_EM-SKTelecom_old_qrtly_Cashflow" xfId="4853" xr:uid="{00000000-0005-0000-0000-0000BB080000}"/>
    <cellStyle name="—_EM-SKTelecom_old_qrtly_Cashflow_Honghua MSTR" xfId="4854" xr:uid="{00000000-0005-0000-0000-0000BC080000}"/>
    <cellStyle name="—_EM-SKTelecom_old_qrtly_P&amp;L" xfId="4855" xr:uid="{00000000-0005-0000-0000-0000BD080000}"/>
    <cellStyle name="—_EM-SKTelecom_old_qrtly_P&amp;L_Honghua MSTR" xfId="4856" xr:uid="{00000000-0005-0000-0000-0000BE080000}"/>
    <cellStyle name="—_EM-SKTelecom_old_qrtly_PetroChina Master" xfId="4857" xr:uid="{00000000-0005-0000-0000-0000BF080000}"/>
    <cellStyle name="—_EM-SKTelecom_old_qrtly_PetroChina Master_WIP(20-F update)" xfId="4858" xr:uid="{00000000-0005-0000-0000-0000C0080000}"/>
    <cellStyle name="—_EM-SKTelecom_old_qrtly_PetroChina Master_WIP(20-F update)_Cashflow" xfId="4859" xr:uid="{00000000-0005-0000-0000-0000C1080000}"/>
    <cellStyle name="—_EM-SKTelecom_old_qrtly_PetroChina Master_WIP(20-F update)_Cashflow_Honghua MSTR" xfId="4860" xr:uid="{00000000-0005-0000-0000-0000C2080000}"/>
    <cellStyle name="—_EM-SKTelecom_old_qrtly_PetroChina Master_WIP(20-F update)_P&amp;L" xfId="4861" xr:uid="{00000000-0005-0000-0000-0000C3080000}"/>
    <cellStyle name="—_EM-SKTelecom_old_qrtly_PetroChina Master_WIP(20-F update)_P&amp;L_Honghua MSTR" xfId="4862" xr:uid="{00000000-0005-0000-0000-0000C4080000}"/>
    <cellStyle name="—_EM-SKTelecom_old_qrtly_PetroChina Master_WIP(20-F update)_Sinopec MSTR" xfId="4863" xr:uid="{00000000-0005-0000-0000-0000C5080000}"/>
    <cellStyle name="—_EM-SKTelecom_old_qrtly_PetroChina Master_WIP(20-F update)_Sinopec MSTR Wip" xfId="4864" xr:uid="{00000000-0005-0000-0000-0000C6080000}"/>
    <cellStyle name="—_EM-SKTelecom_old_qrtly_PetroChina Master_WIP(20-F update)_Sinopec MSTR_WIP_KK" xfId="4865" xr:uid="{00000000-0005-0000-0000-0000C7080000}"/>
    <cellStyle name="—_EM-SKTelecom_old_qrtly_Sinopec MSTR" xfId="4866" xr:uid="{00000000-0005-0000-0000-0000C8080000}"/>
    <cellStyle name="—_EM-SKTelecom_old_qrtly_Sinopec MSTR Wip" xfId="4867" xr:uid="{00000000-0005-0000-0000-0000C9080000}"/>
    <cellStyle name="—_EM-SKTelecom_old_qrtly_Sinopec MSTR_WIP_KK" xfId="4868" xr:uid="{00000000-0005-0000-0000-0000CA080000}"/>
    <cellStyle name="—_EM-SKTelecom_old_qrtly_Sinopec MSTR-WIP_20F update" xfId="4869" xr:uid="{00000000-0005-0000-0000-0000CB080000}"/>
    <cellStyle name="—_EM-SKTelecom_old_Revenue" xfId="3218" xr:uid="{00000000-0005-0000-0000-0000CC080000}"/>
    <cellStyle name="—_EM-SKTelecom_old_Revenue_AUO consolidated 2004_02" xfId="3219" xr:uid="{00000000-0005-0000-0000-0000CD080000}"/>
    <cellStyle name="—_EM-SKTelecom_old_Revenue_AUO forecast (GQ)2005_03" xfId="3220" xr:uid="{00000000-0005-0000-0000-0000CE080000}"/>
    <cellStyle name="—_EM-SKTelecom_old_Revenue_new-Sub" xfId="3221" xr:uid="{00000000-0005-0000-0000-0000CF080000}"/>
    <cellStyle name="—_EM-SKTelecom_old_Revenue_Novatek forecast 280404" xfId="3222" xr:uid="{00000000-0005-0000-0000-0000D0080000}"/>
    <cellStyle name="—_EM-SKTelecom_old_Sinopec MSTR" xfId="4870" xr:uid="{00000000-0005-0000-0000-0000D1080000}"/>
    <cellStyle name="—_EM-SKTelecom_old_Sinopec MSTR Wip" xfId="4871" xr:uid="{00000000-0005-0000-0000-0000D2080000}"/>
    <cellStyle name="—_EM-SKTelecom_old_Sinopec MSTR_WIP_KK" xfId="4872" xr:uid="{00000000-0005-0000-0000-0000D3080000}"/>
    <cellStyle name="—_EM-SKTelecom_old_Sinopec MSTR-WIP_20F update" xfId="4873" xr:uid="{00000000-0005-0000-0000-0000D4080000}"/>
    <cellStyle name="—_EM-SKTelecom_old_Strategy_data_update" xfId="3223" xr:uid="{00000000-0005-0000-0000-0000D5080000}"/>
    <cellStyle name="—_EM-SKTelecom_old_Strategy_data_update_AUO consolidated 2004_02" xfId="3224" xr:uid="{00000000-0005-0000-0000-0000D6080000}"/>
    <cellStyle name="—_EM-SKTelecom_old_Strategy_data_update_AUO forecast (GQ)2005_03" xfId="3225" xr:uid="{00000000-0005-0000-0000-0000D7080000}"/>
    <cellStyle name="—_EM-SKTelecom_old_Strategy_data_update_new-Sub" xfId="3226" xr:uid="{00000000-0005-0000-0000-0000D8080000}"/>
    <cellStyle name="—_EM-SKTelecom_old_Strategy_data_update_Novatek forecast 280404" xfId="3227" xr:uid="{00000000-0005-0000-0000-0000D9080000}"/>
    <cellStyle name="—_EM-SKTelecom_old_Yifan template 2" xfId="3228" xr:uid="{00000000-0005-0000-0000-0000DA080000}"/>
    <cellStyle name="—_EM-SKTelecom_old_Yifan template 2_BS" xfId="3229" xr:uid="{00000000-0005-0000-0000-0000DB080000}"/>
    <cellStyle name="—_EM-SKTelecom_old_Yifan template 2_Capex" xfId="3230" xr:uid="{00000000-0005-0000-0000-0000DC080000}"/>
    <cellStyle name="—_EM-SKTelecom_old_Yifan template 2_CF" xfId="3231" xr:uid="{00000000-0005-0000-0000-0000DD080000}"/>
    <cellStyle name="—_EM-SKTelecom_old_Yifan template 2_COFCO (506.HK)" xfId="3232" xr:uid="{00000000-0005-0000-0000-0000DE080000}"/>
    <cellStyle name="—_EM-SKTelecom_old_Yifan template 2_COFCO_051010" xfId="3233" xr:uid="{00000000-0005-0000-0000-0000DF080000}"/>
    <cellStyle name="—_EM-SKTelecom_old_Yifan template 2_COFCO_backup" xfId="3234" xr:uid="{00000000-0005-0000-0000-0000E0080000}"/>
    <cellStyle name="—_EM-SKTelecom_old_Yifan template 2_DCF" xfId="3235" xr:uid="{00000000-0005-0000-0000-0000E1080000}"/>
    <cellStyle name="—_EM-SKTelecom_old_Yifan template 2_Front page" xfId="3236" xr:uid="{00000000-0005-0000-0000-0000E2080000}"/>
    <cellStyle name="—_EM-SKTelecom_old_Yifan template 2_LT assets" xfId="3237" xr:uid="{00000000-0005-0000-0000-0000E3080000}"/>
    <cellStyle name="—_EM-SKTelecom_old_Yifan template 2_Monthly" xfId="3238" xr:uid="{00000000-0005-0000-0000-0000E4080000}"/>
    <cellStyle name="—_EM-SKTelecom_old_Yifan template 2_P&amp;L" xfId="3239" xr:uid="{00000000-0005-0000-0000-0000E5080000}"/>
    <cellStyle name="—_EM-SKTelecom_old_Yifan template 2_Valuation" xfId="3240" xr:uid="{00000000-0005-0000-0000-0000E6080000}"/>
    <cellStyle name="—_EM-SmarTone" xfId="3241" xr:uid="{00000000-0005-0000-0000-0000E7080000}"/>
    <cellStyle name="—_EM-SmarTone_new-Sub" xfId="3242" xr:uid="{00000000-0005-0000-0000-0000E8080000}"/>
    <cellStyle name="—_EM-SmarTone-new" xfId="3243" xr:uid="{00000000-0005-0000-0000-0000E9080000}"/>
    <cellStyle name="—_EM-SmarTone-new_new-Sub" xfId="3244" xr:uid="{00000000-0005-0000-0000-0000EA080000}"/>
    <cellStyle name="_ET_STYLE_NoName_00_" xfId="3" xr:uid="{00000000-0005-0000-0000-0000EB080000}"/>
    <cellStyle name="_Euro" xfId="3245" xr:uid="{00000000-0005-0000-0000-0000EC080000}"/>
    <cellStyle name="_Euro 2" xfId="7816" xr:uid="{00000000-0005-0000-0000-0000ED080000}"/>
    <cellStyle name="_Euro_DCFTemplatev1" xfId="3246" xr:uid="{00000000-0005-0000-0000-0000EE080000}"/>
    <cellStyle name="_Euro_new-Sub" xfId="3247" xr:uid="{00000000-0005-0000-0000-0000EF080000}"/>
    <cellStyle name="_Euro_Sales charts 0728" xfId="3248" xr:uid="{00000000-0005-0000-0000-0000F0080000}"/>
    <cellStyle name="_F1 2005 Supporting Excell Worksheet April 4 2007 support for final signed version" xfId="3249" xr:uid="{00000000-0005-0000-0000-0000F1080000}"/>
    <cellStyle name="_F1 2007Q1 supporting V1 July 30 2007 Final Q1 filing" xfId="3250" xr:uid="{00000000-0005-0000-0000-0000F2080000}"/>
    <cellStyle name="—_Fidelity_wireless_May27_2002" xfId="4874" xr:uid="{00000000-0005-0000-0000-0000F3080000}"/>
    <cellStyle name="—_Fidelity_wireless_May27_2002_PetroChina Master_WIP(20-F update)" xfId="4875" xr:uid="{00000000-0005-0000-0000-0000F4080000}"/>
    <cellStyle name="—_Fidelity_wireless_May27_2002_Sinopec MSTR" xfId="4876" xr:uid="{00000000-0005-0000-0000-0000F5080000}"/>
    <cellStyle name="—_Fidelity_wireless_May27_2002_Sinopec MSTR Wip" xfId="4877" xr:uid="{00000000-0005-0000-0000-0000F6080000}"/>
    <cellStyle name="—_Fidelity_wireless_May27_2002_Sinopec MSTR_WIP_KK" xfId="4878" xr:uid="{00000000-0005-0000-0000-0000F7080000}"/>
    <cellStyle name="—_Fidelity_wireless_May27_2002_Sinopec MSTR-WIP_20F update" xfId="4879" xr:uid="{00000000-0005-0000-0000-0000F8080000}"/>
    <cellStyle name="_Final Switches 2001 before inserting in template" xfId="3251" xr:uid="{00000000-0005-0000-0000-0000F9080000}"/>
    <cellStyle name="_Final Switches 2001 before inserting in template_" xfId="3252" xr:uid="{00000000-0005-0000-0000-0000FA080000}"/>
    <cellStyle name="_Final Switches 2001 before inserting in template_1" xfId="3253" xr:uid="{00000000-0005-0000-0000-0000FB080000}"/>
    <cellStyle name="_Final Switches 2001 before inserting in template_2" xfId="3254" xr:uid="{00000000-0005-0000-0000-0000FC080000}"/>
    <cellStyle name="_Final Switches 2001 before inserting in template_2315_Comp Sheet" xfId="11150" xr:uid="{00000000-0005-0000-0000-0000FD080000}"/>
    <cellStyle name="_Final Switches 2001 before inserting in template_2315_Mitac_WIP v4" xfId="11151" xr:uid="{00000000-0005-0000-0000-0000FE080000}"/>
    <cellStyle name="_Final Switches 2001 before inserting in template_2474tw - WIP" xfId="11152" xr:uid="{00000000-0005-0000-0000-0000FF080000}"/>
    <cellStyle name="_Final Switches 2001 before inserting in template_3231tw_WIP 070105" xfId="11153" xr:uid="{00000000-0005-0000-0000-000000090000}"/>
    <cellStyle name="_Final Switches 2001 before inserting in template_ASUSTeK - 090507 (Updated DCF)" xfId="11154" xr:uid="{00000000-0005-0000-0000-000001090000}"/>
    <cellStyle name="_Final Switches 2001 before inserting in template_GS1" xfId="3255" xr:uid="{00000000-0005-0000-0000-000002090000}"/>
    <cellStyle name="_Final Switches 2001 before inserting in template_GS1_GS2" xfId="3256" xr:uid="{00000000-0005-0000-0000-000003090000}"/>
    <cellStyle name="_Final Switches 2001 before inserting in template_QA-GS1" xfId="3257" xr:uid="{00000000-0005-0000-0000-000004090000}"/>
    <cellStyle name="_Final Switches 2001 before inserting in template_QA-GS1_GS2" xfId="3258" xr:uid="{00000000-0005-0000-0000-000005090000}"/>
    <cellStyle name="_Final Switches 2001 before inserting in template_Quaterly operating data (FROM COMPANY) 2003-09-12" xfId="3259" xr:uid="{00000000-0005-0000-0000-000006090000}"/>
    <cellStyle name="_Final Switches 2001 before inserting in template_QUESTI~11" xfId="3260" xr:uid="{00000000-0005-0000-0000-000007090000}"/>
    <cellStyle name="_Final Switches 2001 before inserting in template_QUESTI~11_GS2" xfId="3261" xr:uid="{00000000-0005-0000-0000-000008090000}"/>
    <cellStyle name="_Final Switches 2001 before inserting in template_Unimicron Model" xfId="11155" xr:uid="{00000000-0005-0000-0000-000009090000}"/>
    <cellStyle name="_Forecast 2007 updated July 1 2007 for Lian Zong" xfId="3262" xr:uid="{00000000-0005-0000-0000-00000A090000}"/>
    <cellStyle name="_forecast annual stats" xfId="3263" xr:uid="{00000000-0005-0000-0000-00000B090000}"/>
    <cellStyle name="_forecast annual stats_" xfId="3264" xr:uid="{00000000-0005-0000-0000-00000C090000}"/>
    <cellStyle name="_forecast annual stats_1" xfId="3265" xr:uid="{00000000-0005-0000-0000-00000D090000}"/>
    <cellStyle name="_forecast annual stats_2" xfId="3266" xr:uid="{00000000-0005-0000-0000-00000E090000}"/>
    <cellStyle name="_forecast annual stats_2315_Comp Sheet" xfId="11156" xr:uid="{00000000-0005-0000-0000-00000F090000}"/>
    <cellStyle name="_forecast annual stats_2315_Mitac_WIP v4" xfId="11157" xr:uid="{00000000-0005-0000-0000-000010090000}"/>
    <cellStyle name="_forecast annual stats_2474tw - WIP" xfId="11158" xr:uid="{00000000-0005-0000-0000-000011090000}"/>
    <cellStyle name="_forecast annual stats_3231tw_WIP 070105" xfId="11159" xr:uid="{00000000-0005-0000-0000-000012090000}"/>
    <cellStyle name="_forecast annual stats_ASUSTeK - 090507 (Updated DCF)" xfId="11160" xr:uid="{00000000-0005-0000-0000-000013090000}"/>
    <cellStyle name="_forecast annual stats_GS1" xfId="3267" xr:uid="{00000000-0005-0000-0000-000014090000}"/>
    <cellStyle name="_forecast annual stats_GS1_GS2" xfId="3268" xr:uid="{00000000-0005-0000-0000-000015090000}"/>
    <cellStyle name="_forecast annual stats_QA-GS1" xfId="3269" xr:uid="{00000000-0005-0000-0000-000016090000}"/>
    <cellStyle name="_forecast annual stats_QA-GS1_GS2" xfId="3270" xr:uid="{00000000-0005-0000-0000-000017090000}"/>
    <cellStyle name="_forecast annual stats_Quaterly operating data (FROM COMPANY) 2003-09-12" xfId="3271" xr:uid="{00000000-0005-0000-0000-000018090000}"/>
    <cellStyle name="_forecast annual stats_QUESTI~11" xfId="3272" xr:uid="{00000000-0005-0000-0000-000019090000}"/>
    <cellStyle name="_forecast annual stats_QUESTI~11_GS2" xfId="3273" xr:uid="{00000000-0005-0000-0000-00001A090000}"/>
    <cellStyle name="_forecast annual stats_Unimicron Model" xfId="11161" xr:uid="{00000000-0005-0000-0000-00001B090000}"/>
    <cellStyle name="_Front page" xfId="3274" xr:uid="{00000000-0005-0000-0000-00001C090000}"/>
    <cellStyle name="_FX" xfId="4880" xr:uid="{00000000-0005-0000-0000-00001D090000}"/>
    <cellStyle name="_FX_Honghua MSTR" xfId="4881" xr:uid="{00000000-0005-0000-0000-00001E090000}"/>
    <cellStyle name="—_GlobalValuation_Japan" xfId="3275" xr:uid="{00000000-0005-0000-0000-00001F090000}"/>
    <cellStyle name="_GQ" xfId="3276" xr:uid="{00000000-0005-0000-0000-000020090000}"/>
    <cellStyle name="—_GS Assumptions-F" xfId="3277" xr:uid="{00000000-0005-0000-0000-000021090000}"/>
    <cellStyle name="—_GS Assumptions-F 2" xfId="4882" xr:uid="{00000000-0005-0000-0000-000022090000}"/>
    <cellStyle name="—_GS Assumptions-F_100902 Helen NTT FCF to be sent" xfId="3278" xr:uid="{00000000-0005-0000-0000-000023090000}"/>
    <cellStyle name="—_GS Assumptions-F_AUO consolidated 2004_02" xfId="3279" xr:uid="{00000000-0005-0000-0000-000024090000}"/>
    <cellStyle name="—_GS Assumptions-F_AUO forecast (GQ)2005_03" xfId="3280" xr:uid="{00000000-0005-0000-0000-000025090000}"/>
    <cellStyle name="—_GS Assumptions-F_Beta" xfId="4883" xr:uid="{00000000-0005-0000-0000-000026090000}"/>
    <cellStyle name="—_GS Assumptions-F_Book7" xfId="3281" xr:uid="{00000000-0005-0000-0000-000027090000}"/>
    <cellStyle name="—_GS Assumptions-F_Book7_AUO consolidated 2004_02" xfId="3282" xr:uid="{00000000-0005-0000-0000-000028090000}"/>
    <cellStyle name="—_GS Assumptions-F_Book7_AUO forecast (GQ)2005_03" xfId="3283" xr:uid="{00000000-0005-0000-0000-000029090000}"/>
    <cellStyle name="—_GS Assumptions-F_Book7_new-Sub" xfId="3284" xr:uid="{00000000-0005-0000-0000-00002A090000}"/>
    <cellStyle name="—_GS Assumptions-F_Book7_Novatek forecast 280404" xfId="3285" xr:uid="{00000000-0005-0000-0000-00002B090000}"/>
    <cellStyle name="—_GS Assumptions-F_BS" xfId="3286" xr:uid="{00000000-0005-0000-0000-00002C090000}"/>
    <cellStyle name="—_GS Assumptions-F_BS_BS" xfId="3287" xr:uid="{00000000-0005-0000-0000-00002D090000}"/>
    <cellStyle name="—_GS Assumptions-F_BS_Capex" xfId="3288" xr:uid="{00000000-0005-0000-0000-00002E090000}"/>
    <cellStyle name="—_GS Assumptions-F_BS_CF" xfId="3289" xr:uid="{00000000-0005-0000-0000-00002F090000}"/>
    <cellStyle name="—_GS Assumptions-F_BS_COFCO (506.HK)" xfId="3290" xr:uid="{00000000-0005-0000-0000-000030090000}"/>
    <cellStyle name="—_GS Assumptions-F_BS_COFCO_051010" xfId="3291" xr:uid="{00000000-0005-0000-0000-000031090000}"/>
    <cellStyle name="—_GS Assumptions-F_BS_COFCO_backup" xfId="3292" xr:uid="{00000000-0005-0000-0000-000032090000}"/>
    <cellStyle name="—_GS Assumptions-F_BS_DCF" xfId="3293" xr:uid="{00000000-0005-0000-0000-000033090000}"/>
    <cellStyle name="—_GS Assumptions-F_BS_Front page" xfId="3294" xr:uid="{00000000-0005-0000-0000-000034090000}"/>
    <cellStyle name="—_GS Assumptions-F_BS_LT assets" xfId="3295" xr:uid="{00000000-0005-0000-0000-000035090000}"/>
    <cellStyle name="—_GS Assumptions-F_BS_Monthly" xfId="3296" xr:uid="{00000000-0005-0000-0000-000036090000}"/>
    <cellStyle name="—_GS Assumptions-F_BS_P&amp;L" xfId="3297" xr:uid="{00000000-0005-0000-0000-000037090000}"/>
    <cellStyle name="—_GS Assumptions-F_BS_Valuation" xfId="3298" xr:uid="{00000000-0005-0000-0000-000038090000}"/>
    <cellStyle name="—_GS Assumptions-F_Cashflow" xfId="4884" xr:uid="{00000000-0005-0000-0000-000039090000}"/>
    <cellStyle name="—_GS Assumptions-F_Cashflow_Honghua MSTR" xfId="4885" xr:uid="{00000000-0005-0000-0000-00003A090000}"/>
    <cellStyle name="—_GS Assumptions-F_Cheng Shin Model" xfId="3299" xr:uid="{00000000-0005-0000-0000-00003B090000}"/>
    <cellStyle name="—_GS Assumptions-F_DoCoMo table 10July2000" xfId="3300" xr:uid="{00000000-0005-0000-0000-00003C090000}"/>
    <cellStyle name="—_GS Assumptions-F_DoCoMo table 10July2000_AUO consolidated 2004_02" xfId="3301" xr:uid="{00000000-0005-0000-0000-00003D090000}"/>
    <cellStyle name="—_GS Assumptions-F_DoCoMo table 10July2000_AUO forecast (GQ)2005_03" xfId="3302" xr:uid="{00000000-0005-0000-0000-00003E090000}"/>
    <cellStyle name="—_GS Assumptions-F_DoCoMo table 10July2000_new-Sub" xfId="3303" xr:uid="{00000000-0005-0000-0000-00003F090000}"/>
    <cellStyle name="—_GS Assumptions-F_DoCoMo table 10July2000_Novatek forecast 280404" xfId="3304" xr:uid="{00000000-0005-0000-0000-000040090000}"/>
    <cellStyle name="—_GS Assumptions-F_earnings" xfId="3305" xr:uid="{00000000-0005-0000-0000-000041090000}"/>
    <cellStyle name="—_GS Assumptions-F_earnings_AUO consolidated 2004_02" xfId="3306" xr:uid="{00000000-0005-0000-0000-000042090000}"/>
    <cellStyle name="—_GS Assumptions-F_earnings_AUO forecast (GQ)2005_03" xfId="3307" xr:uid="{00000000-0005-0000-0000-000043090000}"/>
    <cellStyle name="—_GS Assumptions-F_earnings_new-Sub" xfId="3308" xr:uid="{00000000-0005-0000-0000-000044090000}"/>
    <cellStyle name="—_GS Assumptions-F_earnings_Novatek forecast 280404" xfId="3309" xr:uid="{00000000-0005-0000-0000-000045090000}"/>
    <cellStyle name="—_GS Assumptions-F_EM_CMHK" xfId="3310" xr:uid="{00000000-0005-0000-0000-000046090000}"/>
    <cellStyle name="—_GS Assumptions-F_EM_CMHK_AUO consolidated 2004_02" xfId="3311" xr:uid="{00000000-0005-0000-0000-000047090000}"/>
    <cellStyle name="—_GS Assumptions-F_EM_CMHK_AUO forecast (GQ)2005_03" xfId="3312" xr:uid="{00000000-0005-0000-0000-000048090000}"/>
    <cellStyle name="—_GS Assumptions-F_EM_CMHK_new-Sub" xfId="3313" xr:uid="{00000000-0005-0000-0000-000049090000}"/>
    <cellStyle name="—_GS Assumptions-F_EM_CMHK_Novatek forecast 280404" xfId="3314" xr:uid="{00000000-0005-0000-0000-00004A090000}"/>
    <cellStyle name="—_GS Assumptions-F_EM_FETone_new" xfId="3315" xr:uid="{00000000-0005-0000-0000-00004B090000}"/>
    <cellStyle name="—_GS Assumptions-F_EM_FETone_new_AUO consolidated 2004_02" xfId="3316" xr:uid="{00000000-0005-0000-0000-00004C090000}"/>
    <cellStyle name="—_GS Assumptions-F_EM_FETone_new_AUO forecast (GQ)2005_03" xfId="3317" xr:uid="{00000000-0005-0000-0000-00004D090000}"/>
    <cellStyle name="—_GS Assumptions-F_EM_FETone_new_new-Sub" xfId="3318" xr:uid="{00000000-0005-0000-0000-00004E090000}"/>
    <cellStyle name="—_GS Assumptions-F_EM_FETone_new_Novatek forecast 280404" xfId="3319" xr:uid="{00000000-0005-0000-0000-00004F090000}"/>
    <cellStyle name="—_GS Assumptions-F_EM_NZT" xfId="3320" xr:uid="{00000000-0005-0000-0000-000050090000}"/>
    <cellStyle name="—_GS Assumptions-F_EM_NZT_BS" xfId="3321" xr:uid="{00000000-0005-0000-0000-000051090000}"/>
    <cellStyle name="—_GS Assumptions-F_EM_NZT_BS_BS" xfId="3322" xr:uid="{00000000-0005-0000-0000-000052090000}"/>
    <cellStyle name="—_GS Assumptions-F_EM_NZT_BS_Capex" xfId="3323" xr:uid="{00000000-0005-0000-0000-000053090000}"/>
    <cellStyle name="—_GS Assumptions-F_EM_NZT_BS_CF" xfId="3324" xr:uid="{00000000-0005-0000-0000-000054090000}"/>
    <cellStyle name="—_GS Assumptions-F_EM_NZT_BS_COFCO (506.HK)" xfId="3325" xr:uid="{00000000-0005-0000-0000-000055090000}"/>
    <cellStyle name="—_GS Assumptions-F_EM_NZT_BS_COFCO_051010" xfId="3326" xr:uid="{00000000-0005-0000-0000-000056090000}"/>
    <cellStyle name="—_GS Assumptions-F_EM_NZT_BS_COFCO_backup" xfId="3327" xr:uid="{00000000-0005-0000-0000-000057090000}"/>
    <cellStyle name="—_GS Assumptions-F_EM_NZT_BS_DCF" xfId="3328" xr:uid="{00000000-0005-0000-0000-000058090000}"/>
    <cellStyle name="—_GS Assumptions-F_EM_NZT_BS_Front page" xfId="3329" xr:uid="{00000000-0005-0000-0000-000059090000}"/>
    <cellStyle name="—_GS Assumptions-F_EM_NZT_BS_LT assets" xfId="3330" xr:uid="{00000000-0005-0000-0000-00005A090000}"/>
    <cellStyle name="—_GS Assumptions-F_EM_NZT_BS_Monthly" xfId="3331" xr:uid="{00000000-0005-0000-0000-00005B090000}"/>
    <cellStyle name="—_GS Assumptions-F_EM_NZT_BS_P&amp;L" xfId="3332" xr:uid="{00000000-0005-0000-0000-00005C090000}"/>
    <cellStyle name="—_GS Assumptions-F_EM_NZT_BS_Valuation" xfId="3333" xr:uid="{00000000-0005-0000-0000-00005D090000}"/>
    <cellStyle name="—_GS Assumptions-F_EM_NZT_Yifan template 2" xfId="3334" xr:uid="{00000000-0005-0000-0000-00005E090000}"/>
    <cellStyle name="—_GS Assumptions-F_EM_NZT_Yifan template 2_BS" xfId="3335" xr:uid="{00000000-0005-0000-0000-00005F090000}"/>
    <cellStyle name="—_GS Assumptions-F_EM_NZT_Yifan template 2_Capex" xfId="3336" xr:uid="{00000000-0005-0000-0000-000060090000}"/>
    <cellStyle name="—_GS Assumptions-F_EM_NZT_Yifan template 2_CF" xfId="3337" xr:uid="{00000000-0005-0000-0000-000061090000}"/>
    <cellStyle name="—_GS Assumptions-F_EM_NZT_Yifan template 2_COFCO (506.HK)" xfId="3338" xr:uid="{00000000-0005-0000-0000-000062090000}"/>
    <cellStyle name="—_GS Assumptions-F_EM_NZT_Yifan template 2_COFCO_051010" xfId="3339" xr:uid="{00000000-0005-0000-0000-000063090000}"/>
    <cellStyle name="—_GS Assumptions-F_EM_NZT_Yifan template 2_COFCO_backup" xfId="3340" xr:uid="{00000000-0005-0000-0000-000064090000}"/>
    <cellStyle name="—_GS Assumptions-F_EM_NZT_Yifan template 2_DCF" xfId="3341" xr:uid="{00000000-0005-0000-0000-000065090000}"/>
    <cellStyle name="—_GS Assumptions-F_EM_NZT_Yifan template 2_Front page" xfId="3342" xr:uid="{00000000-0005-0000-0000-000066090000}"/>
    <cellStyle name="—_GS Assumptions-F_EM_NZT_Yifan template 2_LT assets" xfId="3343" xr:uid="{00000000-0005-0000-0000-000067090000}"/>
    <cellStyle name="—_GS Assumptions-F_EM_NZT_Yifan template 2_Monthly" xfId="3344" xr:uid="{00000000-0005-0000-0000-000068090000}"/>
    <cellStyle name="—_GS Assumptions-F_EM_NZT_Yifan template 2_P&amp;L" xfId="3345" xr:uid="{00000000-0005-0000-0000-000069090000}"/>
    <cellStyle name="—_GS Assumptions-F_EM_NZT_Yifan template 2_Valuation" xfId="3346" xr:uid="{00000000-0005-0000-0000-00006A090000}"/>
    <cellStyle name="—_GS Assumptions-F_EM_TCC_new" xfId="3347" xr:uid="{00000000-0005-0000-0000-00006B090000}"/>
    <cellStyle name="—_GS Assumptions-F_EM_TCC_new_AUO consolidated 2004_02" xfId="3348" xr:uid="{00000000-0005-0000-0000-00006C090000}"/>
    <cellStyle name="—_GS Assumptions-F_EM_TCC_new_AUO forecast (GQ)2005_03" xfId="3349" xr:uid="{00000000-0005-0000-0000-00006D090000}"/>
    <cellStyle name="—_GS Assumptions-F_EM_TCC_new_new-Sub" xfId="3350" xr:uid="{00000000-0005-0000-0000-00006E090000}"/>
    <cellStyle name="—_GS Assumptions-F_EM_TCC_new_Novatek forecast 280404" xfId="3351" xr:uid="{00000000-0005-0000-0000-00006F090000}"/>
    <cellStyle name="—_GS Assumptions-F_EM-Optus" xfId="3352" xr:uid="{00000000-0005-0000-0000-000070090000}"/>
    <cellStyle name="—_GS Assumptions-F_EM-Optus_AUO consolidated 2004_02" xfId="3353" xr:uid="{00000000-0005-0000-0000-000071090000}"/>
    <cellStyle name="—_GS Assumptions-F_EM-Optus_AUO forecast (GQ)2005_03" xfId="3354" xr:uid="{00000000-0005-0000-0000-000072090000}"/>
    <cellStyle name="—_GS Assumptions-F_EM-Optus_BS" xfId="3355" xr:uid="{00000000-0005-0000-0000-000073090000}"/>
    <cellStyle name="—_GS Assumptions-F_EM-Optus_BS_BS" xfId="3356" xr:uid="{00000000-0005-0000-0000-000074090000}"/>
    <cellStyle name="—_GS Assumptions-F_EM-Optus_BS_Capex" xfId="3357" xr:uid="{00000000-0005-0000-0000-000075090000}"/>
    <cellStyle name="—_GS Assumptions-F_EM-Optus_BS_CF" xfId="3358" xr:uid="{00000000-0005-0000-0000-000076090000}"/>
    <cellStyle name="—_GS Assumptions-F_EM-Optus_BS_COFCO (506.HK)" xfId="3359" xr:uid="{00000000-0005-0000-0000-000077090000}"/>
    <cellStyle name="—_GS Assumptions-F_EM-Optus_BS_COFCO_051010" xfId="3360" xr:uid="{00000000-0005-0000-0000-000078090000}"/>
    <cellStyle name="—_GS Assumptions-F_EM-Optus_BS_COFCO_backup" xfId="3361" xr:uid="{00000000-0005-0000-0000-000079090000}"/>
    <cellStyle name="—_GS Assumptions-F_EM-Optus_BS_DCF" xfId="3362" xr:uid="{00000000-0005-0000-0000-00007A090000}"/>
    <cellStyle name="—_GS Assumptions-F_EM-Optus_BS_Front page" xfId="3363" xr:uid="{00000000-0005-0000-0000-00007B090000}"/>
    <cellStyle name="—_GS Assumptions-F_EM-Optus_BS_LT assets" xfId="3364" xr:uid="{00000000-0005-0000-0000-00007C090000}"/>
    <cellStyle name="—_GS Assumptions-F_EM-Optus_BS_Monthly" xfId="3365" xr:uid="{00000000-0005-0000-0000-00007D090000}"/>
    <cellStyle name="—_GS Assumptions-F_EM-Optus_BS_P&amp;L" xfId="3366" xr:uid="{00000000-0005-0000-0000-00007E090000}"/>
    <cellStyle name="—_GS Assumptions-F_EM-Optus_BS_Valuation" xfId="3367" xr:uid="{00000000-0005-0000-0000-00007F090000}"/>
    <cellStyle name="—_GS Assumptions-F_EM-Optus_Cheng Shin Model" xfId="3368" xr:uid="{00000000-0005-0000-0000-000080090000}"/>
    <cellStyle name="—_GS Assumptions-F_EM-Optus_new-Sub" xfId="3369" xr:uid="{00000000-0005-0000-0000-000081090000}"/>
    <cellStyle name="—_GS Assumptions-F_EM-Optus_Novatek forecast 280404" xfId="3370" xr:uid="{00000000-0005-0000-0000-000082090000}"/>
    <cellStyle name="—_GS Assumptions-F_EM-Optus_Yifan template 2" xfId="3371" xr:uid="{00000000-0005-0000-0000-000083090000}"/>
    <cellStyle name="—_GS Assumptions-F_EM-Optus_Yifan template 2_BS" xfId="3372" xr:uid="{00000000-0005-0000-0000-000084090000}"/>
    <cellStyle name="—_GS Assumptions-F_EM-Optus_Yifan template 2_Capex" xfId="3373" xr:uid="{00000000-0005-0000-0000-000085090000}"/>
    <cellStyle name="—_GS Assumptions-F_EM-Optus_Yifan template 2_CF" xfId="3374" xr:uid="{00000000-0005-0000-0000-000086090000}"/>
    <cellStyle name="—_GS Assumptions-F_EM-Optus_Yifan template 2_COFCO (506.HK)" xfId="3375" xr:uid="{00000000-0005-0000-0000-000087090000}"/>
    <cellStyle name="—_GS Assumptions-F_EM-Optus_Yifan template 2_COFCO_051010" xfId="3376" xr:uid="{00000000-0005-0000-0000-000088090000}"/>
    <cellStyle name="—_GS Assumptions-F_EM-Optus_Yifan template 2_COFCO_backup" xfId="3377" xr:uid="{00000000-0005-0000-0000-000089090000}"/>
    <cellStyle name="—_GS Assumptions-F_EM-Optus_Yifan template 2_DCF" xfId="3378" xr:uid="{00000000-0005-0000-0000-00008A090000}"/>
    <cellStyle name="—_GS Assumptions-F_EM-Optus_Yifan template 2_Front page" xfId="3379" xr:uid="{00000000-0005-0000-0000-00008B090000}"/>
    <cellStyle name="—_GS Assumptions-F_EM-Optus_Yifan template 2_LT assets" xfId="3380" xr:uid="{00000000-0005-0000-0000-00008C090000}"/>
    <cellStyle name="—_GS Assumptions-F_EM-Optus_Yifan template 2_Monthly" xfId="3381" xr:uid="{00000000-0005-0000-0000-00008D090000}"/>
    <cellStyle name="—_GS Assumptions-F_EM-Optus_Yifan template 2_P&amp;L" xfId="3382" xr:uid="{00000000-0005-0000-0000-00008E090000}"/>
    <cellStyle name="—_GS Assumptions-F_EM-Optus_Yifan template 2_Valuation" xfId="3383" xr:uid="{00000000-0005-0000-0000-00008F090000}"/>
    <cellStyle name="—_GS Assumptions-F_GlobalValuation_Japan" xfId="3384" xr:uid="{00000000-0005-0000-0000-000090090000}"/>
    <cellStyle name="—_GS Assumptions-F_honam -Quantum 220704" xfId="4886" xr:uid="{00000000-0005-0000-0000-000091090000}"/>
    <cellStyle name="—_GS Assumptions-F_JT CROCI" xfId="3385" xr:uid="{00000000-0005-0000-0000-000092090000}"/>
    <cellStyle name="—_GS Assumptions-F_KDDI CROCI" xfId="3386" xr:uid="{00000000-0005-0000-0000-000093090000}"/>
    <cellStyle name="—_GS Assumptions-F_Kelvin_SKT_dividend_Mar10_2003" xfId="4887" xr:uid="{00000000-0005-0000-0000-000094090000}"/>
    <cellStyle name="—_GS Assumptions-F_Kelvin_SKT_dividend_Mar10_2003_Beta" xfId="4888" xr:uid="{00000000-0005-0000-0000-000095090000}"/>
    <cellStyle name="—_GS Assumptions-F_Kelvin_SKT_dividend_Mar10_2003_Cashflow" xfId="4889" xr:uid="{00000000-0005-0000-0000-000096090000}"/>
    <cellStyle name="—_GS Assumptions-F_Kelvin_SKT_dividend_Mar10_2003_Cashflow_Honghua MSTR" xfId="4890" xr:uid="{00000000-0005-0000-0000-000097090000}"/>
    <cellStyle name="—_GS Assumptions-F_Kelvin_SKT_dividend_Mar10_2003_P&amp;L" xfId="4891" xr:uid="{00000000-0005-0000-0000-000098090000}"/>
    <cellStyle name="—_GS Assumptions-F_Kelvin_SKT_dividend_Mar10_2003_P&amp;L_Honghua MSTR" xfId="4892" xr:uid="{00000000-0005-0000-0000-000099090000}"/>
    <cellStyle name="—_GS Assumptions-F_Kelvin_SKT_dividend_Mar10_2003_PetroChina Master" xfId="4893" xr:uid="{00000000-0005-0000-0000-00009A090000}"/>
    <cellStyle name="—_GS Assumptions-F_Kelvin_SKT_dividend_Mar10_2003_PetroChina Master_WIP(20-F update)" xfId="4894" xr:uid="{00000000-0005-0000-0000-00009B090000}"/>
    <cellStyle name="—_GS Assumptions-F_Kelvin_SKT_dividend_Mar10_2003_PetroChina Master_WIP(20-F update)_Cashflow" xfId="4895" xr:uid="{00000000-0005-0000-0000-00009C090000}"/>
    <cellStyle name="—_GS Assumptions-F_Kelvin_SKT_dividend_Mar10_2003_PetroChina Master_WIP(20-F update)_Cashflow_Honghua MSTR" xfId="4896" xr:uid="{00000000-0005-0000-0000-00009D090000}"/>
    <cellStyle name="—_GS Assumptions-F_Kelvin_SKT_dividend_Mar10_2003_PetroChina Master_WIP(20-F update)_P&amp;L" xfId="4897" xr:uid="{00000000-0005-0000-0000-00009E090000}"/>
    <cellStyle name="—_GS Assumptions-F_Kelvin_SKT_dividend_Mar10_2003_PetroChina Master_WIP(20-F update)_P&amp;L_Honghua MSTR" xfId="4898" xr:uid="{00000000-0005-0000-0000-00009F090000}"/>
    <cellStyle name="—_GS Assumptions-F_Kelvin_SKT_dividend_Mar10_2003_PetroChina Master_WIP(20-F update)_Sinopec MSTR" xfId="4899" xr:uid="{00000000-0005-0000-0000-0000A0090000}"/>
    <cellStyle name="—_GS Assumptions-F_Kelvin_SKT_dividend_Mar10_2003_PetroChina Master_WIP(20-F update)_Sinopec MSTR Wip" xfId="4900" xr:uid="{00000000-0005-0000-0000-0000A1090000}"/>
    <cellStyle name="—_GS Assumptions-F_Kelvin_SKT_dividend_Mar10_2003_PetroChina Master_WIP(20-F update)_Sinopec MSTR_WIP_KK" xfId="4901" xr:uid="{00000000-0005-0000-0000-0000A2090000}"/>
    <cellStyle name="—_GS Assumptions-F_Kelvin_SKT_dividend_Mar10_2003_Sinopec MSTR" xfId="4902" xr:uid="{00000000-0005-0000-0000-0000A3090000}"/>
    <cellStyle name="—_GS Assumptions-F_new-Sub" xfId="3387" xr:uid="{00000000-0005-0000-0000-0000A4090000}"/>
    <cellStyle name="—_GS Assumptions-F_Novatek forecast 280404" xfId="3388" xr:uid="{00000000-0005-0000-0000-0000A5090000}"/>
    <cellStyle name="—_GS Assumptions-F_NTT CROCI" xfId="3389" xr:uid="{00000000-0005-0000-0000-0000A6090000}"/>
    <cellStyle name="—_GS Assumptions-F_NTT proportionate" xfId="3390" xr:uid="{00000000-0005-0000-0000-0000A7090000}"/>
    <cellStyle name="—_GS Assumptions-F_operating stats comp" xfId="3391" xr:uid="{00000000-0005-0000-0000-0000A8090000}"/>
    <cellStyle name="—_GS Assumptions-F_operating stats comp_AUO consolidated 2004_02" xfId="3392" xr:uid="{00000000-0005-0000-0000-0000A9090000}"/>
    <cellStyle name="—_GS Assumptions-F_operating stats comp_AUO forecast (GQ)2005_03" xfId="3393" xr:uid="{00000000-0005-0000-0000-0000AA090000}"/>
    <cellStyle name="—_GS Assumptions-F_operating stats comp_new-Sub" xfId="3394" xr:uid="{00000000-0005-0000-0000-0000AB090000}"/>
    <cellStyle name="—_GS Assumptions-F_operating stats comp_Novatek forecast 280404" xfId="3395" xr:uid="{00000000-0005-0000-0000-0000AC090000}"/>
    <cellStyle name="—_GS Assumptions-F_P&amp;L" xfId="4903" xr:uid="{00000000-0005-0000-0000-0000AD090000}"/>
    <cellStyle name="—_GS Assumptions-F_P&amp;L_Honghua MSTR" xfId="4904" xr:uid="{00000000-0005-0000-0000-0000AE090000}"/>
    <cellStyle name="—_GS Assumptions-F_PetroChina Master" xfId="4905" xr:uid="{00000000-0005-0000-0000-0000AF090000}"/>
    <cellStyle name="—_GS Assumptions-F_PetroChina Master_WIP(20-F update)" xfId="4906" xr:uid="{00000000-0005-0000-0000-0000B0090000}"/>
    <cellStyle name="—_GS Assumptions-F_PetroChina Master_WIP(20-F update)_Cashflow" xfId="4907" xr:uid="{00000000-0005-0000-0000-0000B1090000}"/>
    <cellStyle name="—_GS Assumptions-F_PetroChina Master_WIP(20-F update)_Cashflow_Honghua MSTR" xfId="4908" xr:uid="{00000000-0005-0000-0000-0000B2090000}"/>
    <cellStyle name="—_GS Assumptions-F_PetroChina Master_WIP(20-F update)_P&amp;L" xfId="4909" xr:uid="{00000000-0005-0000-0000-0000B3090000}"/>
    <cellStyle name="—_GS Assumptions-F_PetroChina Master_WIP(20-F update)_P&amp;L_Honghua MSTR" xfId="4910" xr:uid="{00000000-0005-0000-0000-0000B4090000}"/>
    <cellStyle name="—_GS Assumptions-F_PetroChina Master_WIP(20-F update)_Sinopec MSTR" xfId="4911" xr:uid="{00000000-0005-0000-0000-0000B5090000}"/>
    <cellStyle name="—_GS Assumptions-F_PetroChina Master_WIP(20-F update)_Sinopec MSTR Wip" xfId="4912" xr:uid="{00000000-0005-0000-0000-0000B6090000}"/>
    <cellStyle name="—_GS Assumptions-F_PetroChina Master_WIP(20-F update)_Sinopec MSTR_WIP_KK" xfId="4913" xr:uid="{00000000-0005-0000-0000-0000B7090000}"/>
    <cellStyle name="—_GS Assumptions-F_Sheet1" xfId="3396" xr:uid="{00000000-0005-0000-0000-0000B8090000}"/>
    <cellStyle name="—_GS Assumptions-F_Sinopec MSTR" xfId="4914" xr:uid="{00000000-0005-0000-0000-0000B9090000}"/>
    <cellStyle name="—_GS Assumptions-F_SK COrp - Quantum 290704" xfId="4915" xr:uid="{00000000-0005-0000-0000-0000BA090000}"/>
    <cellStyle name="—_GS Assumptions-F_S-Oil-Quantum 260704" xfId="4916" xr:uid="{00000000-0005-0000-0000-0000BB090000}"/>
    <cellStyle name="—_GS Assumptions-F_S-Oil-Quantum 260704_Beta" xfId="4917" xr:uid="{00000000-0005-0000-0000-0000BC090000}"/>
    <cellStyle name="—_GS Assumptions-F_S-Oil-Quantum 260704_Cashflow" xfId="4918" xr:uid="{00000000-0005-0000-0000-0000BD090000}"/>
    <cellStyle name="—_GS Assumptions-F_S-Oil-Quantum 260704_Cashflow_Honghua MSTR" xfId="4919" xr:uid="{00000000-0005-0000-0000-0000BE090000}"/>
    <cellStyle name="—_GS Assumptions-F_S-Oil-Quantum 260704_P&amp;L" xfId="4920" xr:uid="{00000000-0005-0000-0000-0000BF090000}"/>
    <cellStyle name="—_GS Assumptions-F_S-Oil-Quantum 260704_P&amp;L_Honghua MSTR" xfId="4921" xr:uid="{00000000-0005-0000-0000-0000C0090000}"/>
    <cellStyle name="—_GS Assumptions-F_S-Oil-Quantum 260704_PetroChina Master" xfId="4922" xr:uid="{00000000-0005-0000-0000-0000C1090000}"/>
    <cellStyle name="—_GS Assumptions-F_S-Oil-Quantum 260704_PetroChina Master_WIP(20-F update)" xfId="4923" xr:uid="{00000000-0005-0000-0000-0000C2090000}"/>
    <cellStyle name="—_GS Assumptions-F_S-Oil-Quantum 260704_PetroChina Master_WIP(20-F update)_Cashflow" xfId="4924" xr:uid="{00000000-0005-0000-0000-0000C3090000}"/>
    <cellStyle name="—_GS Assumptions-F_S-Oil-Quantum 260704_PetroChina Master_WIP(20-F update)_Cashflow_Honghua MSTR" xfId="4925" xr:uid="{00000000-0005-0000-0000-0000C4090000}"/>
    <cellStyle name="—_GS Assumptions-F_S-Oil-Quantum 260704_PetroChina Master_WIP(20-F update)_P&amp;L" xfId="4926" xr:uid="{00000000-0005-0000-0000-0000C5090000}"/>
    <cellStyle name="—_GS Assumptions-F_S-Oil-Quantum 260704_PetroChina Master_WIP(20-F update)_P&amp;L_Honghua MSTR" xfId="4927" xr:uid="{00000000-0005-0000-0000-0000C6090000}"/>
    <cellStyle name="—_GS Assumptions-F_S-Oil-Quantum 260704_PetroChina Master_WIP(20-F update)_Sinopec MSTR" xfId="4928" xr:uid="{00000000-0005-0000-0000-0000C7090000}"/>
    <cellStyle name="—_GS Assumptions-F_S-Oil-Quantum 260704_PetroChina Master_WIP(20-F update)_Sinopec MSTR Wip" xfId="4929" xr:uid="{00000000-0005-0000-0000-0000C8090000}"/>
    <cellStyle name="—_GS Assumptions-F_S-Oil-Quantum 260704_PetroChina Master_WIP(20-F update)_Sinopec MSTR_WIP_KK" xfId="4930" xr:uid="{00000000-0005-0000-0000-0000C9090000}"/>
    <cellStyle name="—_GS Assumptions-F_S-Oil-Quantum 260704_Sinopec MSTR" xfId="4931" xr:uid="{00000000-0005-0000-0000-0000CA090000}"/>
    <cellStyle name="—_GS Assumptions-F_Strategy_data_update" xfId="3397" xr:uid="{00000000-0005-0000-0000-0000CB090000}"/>
    <cellStyle name="—_GS Assumptions-F_Strategy_data_update_AUO consolidated 2004_02" xfId="3398" xr:uid="{00000000-0005-0000-0000-0000CC090000}"/>
    <cellStyle name="—_GS Assumptions-F_Strategy_data_update_AUO forecast (GQ)2005_03" xfId="3399" xr:uid="{00000000-0005-0000-0000-0000CD090000}"/>
    <cellStyle name="—_GS Assumptions-F_Strategy_data_update_new-Sub" xfId="3400" xr:uid="{00000000-0005-0000-0000-0000CE090000}"/>
    <cellStyle name="—_GS Assumptions-F_Strategy_data_update_Novatek forecast 280404" xfId="3401" xr:uid="{00000000-0005-0000-0000-0000CF090000}"/>
    <cellStyle name="—_GS Assumptions-F_Yifan template 2" xfId="3402" xr:uid="{00000000-0005-0000-0000-0000D0090000}"/>
    <cellStyle name="—_GS Assumptions-F_Yifan template 2_BS" xfId="3403" xr:uid="{00000000-0005-0000-0000-0000D1090000}"/>
    <cellStyle name="—_GS Assumptions-F_Yifan template 2_Capex" xfId="3404" xr:uid="{00000000-0005-0000-0000-0000D2090000}"/>
    <cellStyle name="—_GS Assumptions-F_Yifan template 2_CF" xfId="3405" xr:uid="{00000000-0005-0000-0000-0000D3090000}"/>
    <cellStyle name="—_GS Assumptions-F_Yifan template 2_COFCO (506.HK)" xfId="3406" xr:uid="{00000000-0005-0000-0000-0000D4090000}"/>
    <cellStyle name="—_GS Assumptions-F_Yifan template 2_COFCO_051010" xfId="3407" xr:uid="{00000000-0005-0000-0000-0000D5090000}"/>
    <cellStyle name="—_GS Assumptions-F_Yifan template 2_COFCO_backup" xfId="3408" xr:uid="{00000000-0005-0000-0000-0000D6090000}"/>
    <cellStyle name="—_GS Assumptions-F_Yifan template 2_DCF" xfId="3409" xr:uid="{00000000-0005-0000-0000-0000D7090000}"/>
    <cellStyle name="—_GS Assumptions-F_Yifan template 2_Front page" xfId="3410" xr:uid="{00000000-0005-0000-0000-0000D8090000}"/>
    <cellStyle name="—_GS Assumptions-F_Yifan template 2_LT assets" xfId="3411" xr:uid="{00000000-0005-0000-0000-0000D9090000}"/>
    <cellStyle name="—_GS Assumptions-F_Yifan template 2_Monthly" xfId="3412" xr:uid="{00000000-0005-0000-0000-0000DA090000}"/>
    <cellStyle name="—_GS Assumptions-F_Yifan template 2_P&amp;L" xfId="3413" xr:uid="{00000000-0005-0000-0000-0000DB090000}"/>
    <cellStyle name="—_GS Assumptions-F_Yifan template 2_Valuation" xfId="3414" xr:uid="{00000000-0005-0000-0000-0000DC090000}"/>
    <cellStyle name="—_GS FPC-MSTR_external3" xfId="4932" xr:uid="{00000000-0005-0000-0000-0000DD090000}"/>
    <cellStyle name="—_GS_Balance" xfId="3415" xr:uid="{00000000-0005-0000-0000-0000DE090000}"/>
    <cellStyle name="—_GS_Balance 2" xfId="4933" xr:uid="{00000000-0005-0000-0000-0000DF090000}"/>
    <cellStyle name="—_GS_Balance_100902 Helen NTT FCF to be sent" xfId="3416" xr:uid="{00000000-0005-0000-0000-0000E0090000}"/>
    <cellStyle name="—_GS_Balance_AUO consolidated 2004_02" xfId="3417" xr:uid="{00000000-0005-0000-0000-0000E1090000}"/>
    <cellStyle name="—_GS_Balance_AUO forecast (GQ)2005_03" xfId="3418" xr:uid="{00000000-0005-0000-0000-0000E2090000}"/>
    <cellStyle name="—_GS_Balance_Beta" xfId="4934" xr:uid="{00000000-0005-0000-0000-0000E3090000}"/>
    <cellStyle name="—_GS_Balance_Book7" xfId="3419" xr:uid="{00000000-0005-0000-0000-0000E4090000}"/>
    <cellStyle name="—_GS_Balance_Book7_AUO consolidated 2004_02" xfId="3420" xr:uid="{00000000-0005-0000-0000-0000E5090000}"/>
    <cellStyle name="—_GS_Balance_Book7_AUO forecast (GQ)2005_03" xfId="3421" xr:uid="{00000000-0005-0000-0000-0000E6090000}"/>
    <cellStyle name="—_GS_Balance_Book7_new-Sub" xfId="3422" xr:uid="{00000000-0005-0000-0000-0000E7090000}"/>
    <cellStyle name="—_GS_Balance_Book7_Novatek forecast 280404" xfId="3423" xr:uid="{00000000-0005-0000-0000-0000E8090000}"/>
    <cellStyle name="—_GS_Balance_BS" xfId="3424" xr:uid="{00000000-0005-0000-0000-0000E9090000}"/>
    <cellStyle name="—_GS_Balance_BS_BS" xfId="3425" xr:uid="{00000000-0005-0000-0000-0000EA090000}"/>
    <cellStyle name="—_GS_Balance_BS_Capex" xfId="3426" xr:uid="{00000000-0005-0000-0000-0000EB090000}"/>
    <cellStyle name="—_GS_Balance_BS_CF" xfId="3427" xr:uid="{00000000-0005-0000-0000-0000EC090000}"/>
    <cellStyle name="—_GS_Balance_BS_COFCO (506.HK)" xfId="3428" xr:uid="{00000000-0005-0000-0000-0000ED090000}"/>
    <cellStyle name="—_GS_Balance_BS_COFCO_051010" xfId="3429" xr:uid="{00000000-0005-0000-0000-0000EE090000}"/>
    <cellStyle name="—_GS_Balance_BS_COFCO_backup" xfId="3430" xr:uid="{00000000-0005-0000-0000-0000EF090000}"/>
    <cellStyle name="—_GS_Balance_BS_DCF" xfId="3431" xr:uid="{00000000-0005-0000-0000-0000F0090000}"/>
    <cellStyle name="—_GS_Balance_BS_Front page" xfId="3432" xr:uid="{00000000-0005-0000-0000-0000F1090000}"/>
    <cellStyle name="—_GS_Balance_BS_LT assets" xfId="3433" xr:uid="{00000000-0005-0000-0000-0000F2090000}"/>
    <cellStyle name="—_GS_Balance_BS_Monthly" xfId="3434" xr:uid="{00000000-0005-0000-0000-0000F3090000}"/>
    <cellStyle name="—_GS_Balance_BS_P&amp;L" xfId="3435" xr:uid="{00000000-0005-0000-0000-0000F4090000}"/>
    <cellStyle name="—_GS_Balance_BS_Valuation" xfId="3436" xr:uid="{00000000-0005-0000-0000-0000F5090000}"/>
    <cellStyle name="—_GS_Balance_Cashflow" xfId="4935" xr:uid="{00000000-0005-0000-0000-0000F6090000}"/>
    <cellStyle name="—_GS_Balance_Cashflow_Honghua MSTR" xfId="4936" xr:uid="{00000000-0005-0000-0000-0000F7090000}"/>
    <cellStyle name="—_GS_Balance_Cheng Shin Model" xfId="3437" xr:uid="{00000000-0005-0000-0000-0000F8090000}"/>
    <cellStyle name="—_GS_Balance_DoCoMo table 10July2000" xfId="3438" xr:uid="{00000000-0005-0000-0000-0000F9090000}"/>
    <cellStyle name="—_GS_Balance_DoCoMo table 10July2000_AUO consolidated 2004_02" xfId="3439" xr:uid="{00000000-0005-0000-0000-0000FA090000}"/>
    <cellStyle name="—_GS_Balance_DoCoMo table 10July2000_AUO forecast (GQ)2005_03" xfId="3440" xr:uid="{00000000-0005-0000-0000-0000FB090000}"/>
    <cellStyle name="—_GS_Balance_DoCoMo table 10July2000_new-Sub" xfId="3441" xr:uid="{00000000-0005-0000-0000-0000FC090000}"/>
    <cellStyle name="—_GS_Balance_DoCoMo table 10July2000_Novatek forecast 280404" xfId="3442" xr:uid="{00000000-0005-0000-0000-0000FD090000}"/>
    <cellStyle name="—_GS_Balance_earnings" xfId="3443" xr:uid="{00000000-0005-0000-0000-0000FE090000}"/>
    <cellStyle name="—_GS_Balance_earnings_AUO consolidated 2004_02" xfId="3444" xr:uid="{00000000-0005-0000-0000-0000FF090000}"/>
    <cellStyle name="—_GS_Balance_earnings_AUO forecast (GQ)2005_03" xfId="3445" xr:uid="{00000000-0005-0000-0000-0000000A0000}"/>
    <cellStyle name="—_GS_Balance_earnings_new-Sub" xfId="3446" xr:uid="{00000000-0005-0000-0000-0000010A0000}"/>
    <cellStyle name="—_GS_Balance_earnings_Novatek forecast 280404" xfId="3447" xr:uid="{00000000-0005-0000-0000-0000020A0000}"/>
    <cellStyle name="—_GS_Balance_EM_CMHK" xfId="3448" xr:uid="{00000000-0005-0000-0000-0000030A0000}"/>
    <cellStyle name="—_GS_Balance_EM_CMHK_AUO consolidated 2004_02" xfId="3449" xr:uid="{00000000-0005-0000-0000-0000040A0000}"/>
    <cellStyle name="—_GS_Balance_EM_CMHK_AUO forecast (GQ)2005_03" xfId="3450" xr:uid="{00000000-0005-0000-0000-0000050A0000}"/>
    <cellStyle name="—_GS_Balance_EM_CMHK_new-Sub" xfId="3451" xr:uid="{00000000-0005-0000-0000-0000060A0000}"/>
    <cellStyle name="—_GS_Balance_EM_CMHK_Novatek forecast 280404" xfId="3452" xr:uid="{00000000-0005-0000-0000-0000070A0000}"/>
    <cellStyle name="—_GS_Balance_EM_FETone_new" xfId="3453" xr:uid="{00000000-0005-0000-0000-0000080A0000}"/>
    <cellStyle name="—_GS_Balance_EM_FETone_new_AUO consolidated 2004_02" xfId="3454" xr:uid="{00000000-0005-0000-0000-0000090A0000}"/>
    <cellStyle name="—_GS_Balance_EM_FETone_new_AUO forecast (GQ)2005_03" xfId="3455" xr:uid="{00000000-0005-0000-0000-00000A0A0000}"/>
    <cellStyle name="—_GS_Balance_EM_FETone_new_new-Sub" xfId="3456" xr:uid="{00000000-0005-0000-0000-00000B0A0000}"/>
    <cellStyle name="—_GS_Balance_EM_FETone_new_Novatek forecast 280404" xfId="3457" xr:uid="{00000000-0005-0000-0000-00000C0A0000}"/>
    <cellStyle name="—_GS_Balance_EM_NZT" xfId="3458" xr:uid="{00000000-0005-0000-0000-00000D0A0000}"/>
    <cellStyle name="—_GS_Balance_EM_NZT_BS" xfId="3459" xr:uid="{00000000-0005-0000-0000-00000E0A0000}"/>
    <cellStyle name="—_GS_Balance_EM_NZT_BS_BS" xfId="3460" xr:uid="{00000000-0005-0000-0000-00000F0A0000}"/>
    <cellStyle name="—_GS_Balance_EM_NZT_BS_Capex" xfId="3461" xr:uid="{00000000-0005-0000-0000-0000100A0000}"/>
    <cellStyle name="—_GS_Balance_EM_NZT_BS_CF" xfId="3462" xr:uid="{00000000-0005-0000-0000-0000110A0000}"/>
    <cellStyle name="—_GS_Balance_EM_NZT_BS_COFCO (506.HK)" xfId="3463" xr:uid="{00000000-0005-0000-0000-0000120A0000}"/>
    <cellStyle name="—_GS_Balance_EM_NZT_BS_COFCO_051010" xfId="3464" xr:uid="{00000000-0005-0000-0000-0000130A0000}"/>
    <cellStyle name="—_GS_Balance_EM_NZT_BS_COFCO_backup" xfId="3465" xr:uid="{00000000-0005-0000-0000-0000140A0000}"/>
    <cellStyle name="—_GS_Balance_EM_NZT_BS_DCF" xfId="3466" xr:uid="{00000000-0005-0000-0000-0000150A0000}"/>
    <cellStyle name="—_GS_Balance_EM_NZT_BS_Front page" xfId="3467" xr:uid="{00000000-0005-0000-0000-0000160A0000}"/>
    <cellStyle name="—_GS_Balance_EM_NZT_BS_LT assets" xfId="3468" xr:uid="{00000000-0005-0000-0000-0000170A0000}"/>
    <cellStyle name="—_GS_Balance_EM_NZT_BS_Monthly" xfId="3469" xr:uid="{00000000-0005-0000-0000-0000180A0000}"/>
    <cellStyle name="—_GS_Balance_EM_NZT_BS_P&amp;L" xfId="3470" xr:uid="{00000000-0005-0000-0000-0000190A0000}"/>
    <cellStyle name="—_GS_Balance_EM_NZT_BS_Valuation" xfId="3471" xr:uid="{00000000-0005-0000-0000-00001A0A0000}"/>
    <cellStyle name="—_GS_Balance_EM_NZT_Yifan template 2" xfId="3472" xr:uid="{00000000-0005-0000-0000-00001B0A0000}"/>
    <cellStyle name="—_GS_Balance_EM_NZT_Yifan template 2_BS" xfId="3473" xr:uid="{00000000-0005-0000-0000-00001C0A0000}"/>
    <cellStyle name="—_GS_Balance_EM_NZT_Yifan template 2_Capex" xfId="3474" xr:uid="{00000000-0005-0000-0000-00001D0A0000}"/>
    <cellStyle name="—_GS_Balance_EM_NZT_Yifan template 2_CF" xfId="3475" xr:uid="{00000000-0005-0000-0000-00001E0A0000}"/>
    <cellStyle name="—_GS_Balance_EM_NZT_Yifan template 2_COFCO (506.HK)" xfId="3476" xr:uid="{00000000-0005-0000-0000-00001F0A0000}"/>
    <cellStyle name="—_GS_Balance_EM_NZT_Yifan template 2_COFCO_051010" xfId="3477" xr:uid="{00000000-0005-0000-0000-0000200A0000}"/>
    <cellStyle name="—_GS_Balance_EM_NZT_Yifan template 2_COFCO_backup" xfId="3478" xr:uid="{00000000-0005-0000-0000-0000210A0000}"/>
    <cellStyle name="—_GS_Balance_EM_NZT_Yifan template 2_DCF" xfId="3479" xr:uid="{00000000-0005-0000-0000-0000220A0000}"/>
    <cellStyle name="—_GS_Balance_EM_NZT_Yifan template 2_Front page" xfId="3480" xr:uid="{00000000-0005-0000-0000-0000230A0000}"/>
    <cellStyle name="—_GS_Balance_EM_NZT_Yifan template 2_LT assets" xfId="3481" xr:uid="{00000000-0005-0000-0000-0000240A0000}"/>
    <cellStyle name="—_GS_Balance_EM_NZT_Yifan template 2_Monthly" xfId="3482" xr:uid="{00000000-0005-0000-0000-0000250A0000}"/>
    <cellStyle name="—_GS_Balance_EM_NZT_Yifan template 2_P&amp;L" xfId="3483" xr:uid="{00000000-0005-0000-0000-0000260A0000}"/>
    <cellStyle name="—_GS_Balance_EM_NZT_Yifan template 2_Valuation" xfId="3484" xr:uid="{00000000-0005-0000-0000-0000270A0000}"/>
    <cellStyle name="—_GS_Balance_EM_TCC_new" xfId="3485" xr:uid="{00000000-0005-0000-0000-0000280A0000}"/>
    <cellStyle name="—_GS_Balance_EM_TCC_new_AUO consolidated 2004_02" xfId="3486" xr:uid="{00000000-0005-0000-0000-0000290A0000}"/>
    <cellStyle name="—_GS_Balance_EM_TCC_new_AUO forecast (GQ)2005_03" xfId="3487" xr:uid="{00000000-0005-0000-0000-00002A0A0000}"/>
    <cellStyle name="—_GS_Balance_EM_TCC_new_new-Sub" xfId="3488" xr:uid="{00000000-0005-0000-0000-00002B0A0000}"/>
    <cellStyle name="—_GS_Balance_EM_TCC_new_Novatek forecast 280404" xfId="3489" xr:uid="{00000000-0005-0000-0000-00002C0A0000}"/>
    <cellStyle name="—_GS_Balance_EM-Optus" xfId="3490" xr:uid="{00000000-0005-0000-0000-00002D0A0000}"/>
    <cellStyle name="—_GS_Balance_EM-Optus_AUO consolidated 2004_02" xfId="3491" xr:uid="{00000000-0005-0000-0000-00002E0A0000}"/>
    <cellStyle name="—_GS_Balance_EM-Optus_AUO forecast (GQ)2005_03" xfId="3492" xr:uid="{00000000-0005-0000-0000-00002F0A0000}"/>
    <cellStyle name="—_GS_Balance_EM-Optus_BS" xfId="3493" xr:uid="{00000000-0005-0000-0000-0000300A0000}"/>
    <cellStyle name="—_GS_Balance_EM-Optus_BS_BS" xfId="3494" xr:uid="{00000000-0005-0000-0000-0000310A0000}"/>
    <cellStyle name="—_GS_Balance_EM-Optus_BS_Capex" xfId="3495" xr:uid="{00000000-0005-0000-0000-0000320A0000}"/>
    <cellStyle name="—_GS_Balance_EM-Optus_BS_CF" xfId="3496" xr:uid="{00000000-0005-0000-0000-0000330A0000}"/>
    <cellStyle name="—_GS_Balance_EM-Optus_BS_COFCO (506.HK)" xfId="3497" xr:uid="{00000000-0005-0000-0000-0000340A0000}"/>
    <cellStyle name="—_GS_Balance_EM-Optus_BS_COFCO_051010" xfId="3498" xr:uid="{00000000-0005-0000-0000-0000350A0000}"/>
    <cellStyle name="—_GS_Balance_EM-Optus_BS_COFCO_backup" xfId="3499" xr:uid="{00000000-0005-0000-0000-0000360A0000}"/>
    <cellStyle name="—_GS_Balance_EM-Optus_BS_DCF" xfId="3500" xr:uid="{00000000-0005-0000-0000-0000370A0000}"/>
    <cellStyle name="—_GS_Balance_EM-Optus_BS_Front page" xfId="3501" xr:uid="{00000000-0005-0000-0000-0000380A0000}"/>
    <cellStyle name="—_GS_Balance_EM-Optus_BS_LT assets" xfId="3502" xr:uid="{00000000-0005-0000-0000-0000390A0000}"/>
    <cellStyle name="—_GS_Balance_EM-Optus_BS_Monthly" xfId="3503" xr:uid="{00000000-0005-0000-0000-00003A0A0000}"/>
    <cellStyle name="—_GS_Balance_EM-Optus_BS_P&amp;L" xfId="3504" xr:uid="{00000000-0005-0000-0000-00003B0A0000}"/>
    <cellStyle name="—_GS_Balance_EM-Optus_BS_Valuation" xfId="3505" xr:uid="{00000000-0005-0000-0000-00003C0A0000}"/>
    <cellStyle name="—_GS_Balance_EM-Optus_Cheng Shin Model" xfId="3506" xr:uid="{00000000-0005-0000-0000-00003D0A0000}"/>
    <cellStyle name="—_GS_Balance_EM-Optus_new-Sub" xfId="3507" xr:uid="{00000000-0005-0000-0000-00003E0A0000}"/>
    <cellStyle name="—_GS_Balance_EM-Optus_Novatek forecast 280404" xfId="3508" xr:uid="{00000000-0005-0000-0000-00003F0A0000}"/>
    <cellStyle name="—_GS_Balance_EM-Optus_Yifan template 2" xfId="3509" xr:uid="{00000000-0005-0000-0000-0000400A0000}"/>
    <cellStyle name="—_GS_Balance_EM-Optus_Yifan template 2_BS" xfId="3510" xr:uid="{00000000-0005-0000-0000-0000410A0000}"/>
    <cellStyle name="—_GS_Balance_EM-Optus_Yifan template 2_Capex" xfId="3511" xr:uid="{00000000-0005-0000-0000-0000420A0000}"/>
    <cellStyle name="—_GS_Balance_EM-Optus_Yifan template 2_CF" xfId="3512" xr:uid="{00000000-0005-0000-0000-0000430A0000}"/>
    <cellStyle name="—_GS_Balance_EM-Optus_Yifan template 2_COFCO (506.HK)" xfId="3513" xr:uid="{00000000-0005-0000-0000-0000440A0000}"/>
    <cellStyle name="—_GS_Balance_EM-Optus_Yifan template 2_COFCO_051010" xfId="3514" xr:uid="{00000000-0005-0000-0000-0000450A0000}"/>
    <cellStyle name="—_GS_Balance_EM-Optus_Yifan template 2_COFCO_backup" xfId="3515" xr:uid="{00000000-0005-0000-0000-0000460A0000}"/>
    <cellStyle name="—_GS_Balance_EM-Optus_Yifan template 2_DCF" xfId="3516" xr:uid="{00000000-0005-0000-0000-0000470A0000}"/>
    <cellStyle name="—_GS_Balance_EM-Optus_Yifan template 2_Front page" xfId="3517" xr:uid="{00000000-0005-0000-0000-0000480A0000}"/>
    <cellStyle name="—_GS_Balance_EM-Optus_Yifan template 2_LT assets" xfId="3518" xr:uid="{00000000-0005-0000-0000-0000490A0000}"/>
    <cellStyle name="—_GS_Balance_EM-Optus_Yifan template 2_Monthly" xfId="3519" xr:uid="{00000000-0005-0000-0000-00004A0A0000}"/>
    <cellStyle name="—_GS_Balance_EM-Optus_Yifan template 2_P&amp;L" xfId="3520" xr:uid="{00000000-0005-0000-0000-00004B0A0000}"/>
    <cellStyle name="—_GS_Balance_EM-Optus_Yifan template 2_Valuation" xfId="3521" xr:uid="{00000000-0005-0000-0000-00004C0A0000}"/>
    <cellStyle name="—_GS_Balance_GlobalValuation_Japan" xfId="3522" xr:uid="{00000000-0005-0000-0000-00004D0A0000}"/>
    <cellStyle name="—_GS_Balance_honam -Quantum 220704" xfId="4937" xr:uid="{00000000-0005-0000-0000-00004E0A0000}"/>
    <cellStyle name="—_GS_Balance_JT CROCI" xfId="3523" xr:uid="{00000000-0005-0000-0000-00004F0A0000}"/>
    <cellStyle name="—_GS_Balance_KDDI CROCI" xfId="3524" xr:uid="{00000000-0005-0000-0000-0000500A0000}"/>
    <cellStyle name="—_GS_Balance_Kelvin_SKT_dividend_Mar10_2003" xfId="4938" xr:uid="{00000000-0005-0000-0000-0000510A0000}"/>
    <cellStyle name="—_GS_Balance_Kelvin_SKT_dividend_Mar10_2003_Beta" xfId="4939" xr:uid="{00000000-0005-0000-0000-0000520A0000}"/>
    <cellStyle name="—_GS_Balance_Kelvin_SKT_dividend_Mar10_2003_Cashflow" xfId="4940" xr:uid="{00000000-0005-0000-0000-0000530A0000}"/>
    <cellStyle name="—_GS_Balance_Kelvin_SKT_dividend_Mar10_2003_Cashflow_Honghua MSTR" xfId="4941" xr:uid="{00000000-0005-0000-0000-0000540A0000}"/>
    <cellStyle name="—_GS_Balance_Kelvin_SKT_dividend_Mar10_2003_P&amp;L" xfId="4942" xr:uid="{00000000-0005-0000-0000-0000550A0000}"/>
    <cellStyle name="—_GS_Balance_Kelvin_SKT_dividend_Mar10_2003_P&amp;L_Honghua MSTR" xfId="4943" xr:uid="{00000000-0005-0000-0000-0000560A0000}"/>
    <cellStyle name="—_GS_Balance_Kelvin_SKT_dividend_Mar10_2003_PetroChina Master" xfId="4944" xr:uid="{00000000-0005-0000-0000-0000570A0000}"/>
    <cellStyle name="—_GS_Balance_Kelvin_SKT_dividend_Mar10_2003_PetroChina Master_WIP(20-F update)" xfId="4945" xr:uid="{00000000-0005-0000-0000-0000580A0000}"/>
    <cellStyle name="—_GS_Balance_Kelvin_SKT_dividend_Mar10_2003_PetroChina Master_WIP(20-F update)_Cashflow" xfId="4946" xr:uid="{00000000-0005-0000-0000-0000590A0000}"/>
    <cellStyle name="—_GS_Balance_Kelvin_SKT_dividend_Mar10_2003_PetroChina Master_WIP(20-F update)_Cashflow_Honghua MSTR" xfId="4947" xr:uid="{00000000-0005-0000-0000-00005A0A0000}"/>
    <cellStyle name="—_GS_Balance_Kelvin_SKT_dividend_Mar10_2003_PetroChina Master_WIP(20-F update)_P&amp;L" xfId="4948" xr:uid="{00000000-0005-0000-0000-00005B0A0000}"/>
    <cellStyle name="—_GS_Balance_Kelvin_SKT_dividend_Mar10_2003_PetroChina Master_WIP(20-F update)_P&amp;L_Honghua MSTR" xfId="4949" xr:uid="{00000000-0005-0000-0000-00005C0A0000}"/>
    <cellStyle name="—_GS_Balance_Kelvin_SKT_dividend_Mar10_2003_PetroChina Master_WIP(20-F update)_Sinopec MSTR" xfId="4950" xr:uid="{00000000-0005-0000-0000-00005D0A0000}"/>
    <cellStyle name="—_GS_Balance_Kelvin_SKT_dividend_Mar10_2003_PetroChina Master_WIP(20-F update)_Sinopec MSTR Wip" xfId="4951" xr:uid="{00000000-0005-0000-0000-00005E0A0000}"/>
    <cellStyle name="—_GS_Balance_Kelvin_SKT_dividend_Mar10_2003_PetroChina Master_WIP(20-F update)_Sinopec MSTR_WIP_KK" xfId="4952" xr:uid="{00000000-0005-0000-0000-00005F0A0000}"/>
    <cellStyle name="—_GS_Balance_Kelvin_SKT_dividend_Mar10_2003_Sinopec MSTR" xfId="4953" xr:uid="{00000000-0005-0000-0000-0000600A0000}"/>
    <cellStyle name="—_GS_Balance_new-Sub" xfId="3525" xr:uid="{00000000-0005-0000-0000-0000610A0000}"/>
    <cellStyle name="—_GS_Balance_Novatek forecast 280404" xfId="3526" xr:uid="{00000000-0005-0000-0000-0000620A0000}"/>
    <cellStyle name="—_GS_Balance_NTT CROCI" xfId="3527" xr:uid="{00000000-0005-0000-0000-0000630A0000}"/>
    <cellStyle name="—_GS_Balance_NTT proportionate" xfId="3528" xr:uid="{00000000-0005-0000-0000-0000640A0000}"/>
    <cellStyle name="—_GS_Balance_operating stats comp" xfId="3529" xr:uid="{00000000-0005-0000-0000-0000650A0000}"/>
    <cellStyle name="—_GS_Balance_operating stats comp_AUO consolidated 2004_02" xfId="3530" xr:uid="{00000000-0005-0000-0000-0000660A0000}"/>
    <cellStyle name="—_GS_Balance_operating stats comp_AUO forecast (GQ)2005_03" xfId="3531" xr:uid="{00000000-0005-0000-0000-0000670A0000}"/>
    <cellStyle name="—_GS_Balance_operating stats comp_new-Sub" xfId="3532" xr:uid="{00000000-0005-0000-0000-0000680A0000}"/>
    <cellStyle name="—_GS_Balance_operating stats comp_Novatek forecast 280404" xfId="3533" xr:uid="{00000000-0005-0000-0000-0000690A0000}"/>
    <cellStyle name="—_GS_Balance_P&amp;L" xfId="4954" xr:uid="{00000000-0005-0000-0000-00006A0A0000}"/>
    <cellStyle name="—_GS_Balance_P&amp;L_Honghua MSTR" xfId="4955" xr:uid="{00000000-0005-0000-0000-00006B0A0000}"/>
    <cellStyle name="—_GS_Balance_PetroChina Master" xfId="4956" xr:uid="{00000000-0005-0000-0000-00006C0A0000}"/>
    <cellStyle name="—_GS_Balance_PetroChina Master_WIP(20-F update)" xfId="4957" xr:uid="{00000000-0005-0000-0000-00006D0A0000}"/>
    <cellStyle name="—_GS_Balance_PetroChina Master_WIP(20-F update)_Cashflow" xfId="4958" xr:uid="{00000000-0005-0000-0000-00006E0A0000}"/>
    <cellStyle name="—_GS_Balance_PetroChina Master_WIP(20-F update)_Cashflow_Honghua MSTR" xfId="4959" xr:uid="{00000000-0005-0000-0000-00006F0A0000}"/>
    <cellStyle name="—_GS_Balance_PetroChina Master_WIP(20-F update)_P&amp;L" xfId="4960" xr:uid="{00000000-0005-0000-0000-0000700A0000}"/>
    <cellStyle name="—_GS_Balance_PetroChina Master_WIP(20-F update)_P&amp;L_Honghua MSTR" xfId="4961" xr:uid="{00000000-0005-0000-0000-0000710A0000}"/>
    <cellStyle name="—_GS_Balance_PetroChina Master_WIP(20-F update)_Sinopec MSTR" xfId="4962" xr:uid="{00000000-0005-0000-0000-0000720A0000}"/>
    <cellStyle name="—_GS_Balance_PetroChina Master_WIP(20-F update)_Sinopec MSTR Wip" xfId="4963" xr:uid="{00000000-0005-0000-0000-0000730A0000}"/>
    <cellStyle name="—_GS_Balance_PetroChina Master_WIP(20-F update)_Sinopec MSTR_WIP_KK" xfId="4964" xr:uid="{00000000-0005-0000-0000-0000740A0000}"/>
    <cellStyle name="—_GS_Balance_Sheet1" xfId="3534" xr:uid="{00000000-0005-0000-0000-0000750A0000}"/>
    <cellStyle name="—_GS_Balance_Sinopec MSTR" xfId="4965" xr:uid="{00000000-0005-0000-0000-0000760A0000}"/>
    <cellStyle name="—_GS_Balance_SK COrp - Quantum 290704" xfId="4966" xr:uid="{00000000-0005-0000-0000-0000770A0000}"/>
    <cellStyle name="—_GS_Balance_S-Oil-Quantum 260704" xfId="4967" xr:uid="{00000000-0005-0000-0000-0000780A0000}"/>
    <cellStyle name="—_GS_Balance_S-Oil-Quantum 260704_Beta" xfId="4968" xr:uid="{00000000-0005-0000-0000-0000790A0000}"/>
    <cellStyle name="—_GS_Balance_S-Oil-Quantum 260704_Cashflow" xfId="4969" xr:uid="{00000000-0005-0000-0000-00007A0A0000}"/>
    <cellStyle name="—_GS_Balance_S-Oil-Quantum 260704_Cashflow_Honghua MSTR" xfId="4970" xr:uid="{00000000-0005-0000-0000-00007B0A0000}"/>
    <cellStyle name="—_GS_Balance_S-Oil-Quantum 260704_P&amp;L" xfId="4971" xr:uid="{00000000-0005-0000-0000-00007C0A0000}"/>
    <cellStyle name="—_GS_Balance_S-Oil-Quantum 260704_P&amp;L_Honghua MSTR" xfId="4972" xr:uid="{00000000-0005-0000-0000-00007D0A0000}"/>
    <cellStyle name="—_GS_Balance_S-Oil-Quantum 260704_PetroChina Master" xfId="4973" xr:uid="{00000000-0005-0000-0000-00007E0A0000}"/>
    <cellStyle name="—_GS_Balance_S-Oil-Quantum 260704_PetroChina Master_WIP(20-F update)" xfId="4974" xr:uid="{00000000-0005-0000-0000-00007F0A0000}"/>
    <cellStyle name="—_GS_Balance_S-Oil-Quantum 260704_PetroChina Master_WIP(20-F update)_Cashflow" xfId="4975" xr:uid="{00000000-0005-0000-0000-0000800A0000}"/>
    <cellStyle name="—_GS_Balance_S-Oil-Quantum 260704_PetroChina Master_WIP(20-F update)_Cashflow_Honghua MSTR" xfId="4976" xr:uid="{00000000-0005-0000-0000-0000810A0000}"/>
    <cellStyle name="—_GS_Balance_S-Oil-Quantum 260704_PetroChina Master_WIP(20-F update)_P&amp;L" xfId="4977" xr:uid="{00000000-0005-0000-0000-0000820A0000}"/>
    <cellStyle name="—_GS_Balance_S-Oil-Quantum 260704_PetroChina Master_WIP(20-F update)_P&amp;L_Honghua MSTR" xfId="4978" xr:uid="{00000000-0005-0000-0000-0000830A0000}"/>
    <cellStyle name="—_GS_Balance_S-Oil-Quantum 260704_PetroChina Master_WIP(20-F update)_Sinopec MSTR" xfId="4979" xr:uid="{00000000-0005-0000-0000-0000840A0000}"/>
    <cellStyle name="—_GS_Balance_S-Oil-Quantum 260704_PetroChina Master_WIP(20-F update)_Sinopec MSTR Wip" xfId="4980" xr:uid="{00000000-0005-0000-0000-0000850A0000}"/>
    <cellStyle name="—_GS_Balance_S-Oil-Quantum 260704_PetroChina Master_WIP(20-F update)_Sinopec MSTR_WIP_KK" xfId="4981" xr:uid="{00000000-0005-0000-0000-0000860A0000}"/>
    <cellStyle name="—_GS_Balance_S-Oil-Quantum 260704_Sinopec MSTR" xfId="4982" xr:uid="{00000000-0005-0000-0000-0000870A0000}"/>
    <cellStyle name="—_GS_Balance_Strategy_data_update" xfId="3535" xr:uid="{00000000-0005-0000-0000-0000880A0000}"/>
    <cellStyle name="—_GS_Balance_Strategy_data_update_AUO consolidated 2004_02" xfId="3536" xr:uid="{00000000-0005-0000-0000-0000890A0000}"/>
    <cellStyle name="—_GS_Balance_Strategy_data_update_AUO forecast (GQ)2005_03" xfId="3537" xr:uid="{00000000-0005-0000-0000-00008A0A0000}"/>
    <cellStyle name="—_GS_Balance_Strategy_data_update_new-Sub" xfId="3538" xr:uid="{00000000-0005-0000-0000-00008B0A0000}"/>
    <cellStyle name="—_GS_Balance_Strategy_data_update_Novatek forecast 280404" xfId="3539" xr:uid="{00000000-0005-0000-0000-00008C0A0000}"/>
    <cellStyle name="—_GS_Balance_Yifan template 2" xfId="3540" xr:uid="{00000000-0005-0000-0000-00008D0A0000}"/>
    <cellStyle name="—_GS_Balance_Yifan template 2_BS" xfId="3541" xr:uid="{00000000-0005-0000-0000-00008E0A0000}"/>
    <cellStyle name="—_GS_Balance_Yifan template 2_Capex" xfId="3542" xr:uid="{00000000-0005-0000-0000-00008F0A0000}"/>
    <cellStyle name="—_GS_Balance_Yifan template 2_CF" xfId="3543" xr:uid="{00000000-0005-0000-0000-0000900A0000}"/>
    <cellStyle name="—_GS_Balance_Yifan template 2_COFCO (506.HK)" xfId="3544" xr:uid="{00000000-0005-0000-0000-0000910A0000}"/>
    <cellStyle name="—_GS_Balance_Yifan template 2_COFCO_051010" xfId="3545" xr:uid="{00000000-0005-0000-0000-0000920A0000}"/>
    <cellStyle name="—_GS_Balance_Yifan template 2_COFCO_backup" xfId="3546" xr:uid="{00000000-0005-0000-0000-0000930A0000}"/>
    <cellStyle name="—_GS_Balance_Yifan template 2_DCF" xfId="3547" xr:uid="{00000000-0005-0000-0000-0000940A0000}"/>
    <cellStyle name="—_GS_Balance_Yifan template 2_Front page" xfId="3548" xr:uid="{00000000-0005-0000-0000-0000950A0000}"/>
    <cellStyle name="—_GS_Balance_Yifan template 2_LT assets" xfId="3549" xr:uid="{00000000-0005-0000-0000-0000960A0000}"/>
    <cellStyle name="—_GS_Balance_Yifan template 2_Monthly" xfId="3550" xr:uid="{00000000-0005-0000-0000-0000970A0000}"/>
    <cellStyle name="—_GS_Balance_Yifan template 2_P&amp;L" xfId="3551" xr:uid="{00000000-0005-0000-0000-0000980A0000}"/>
    <cellStyle name="—_GS_Balance_Yifan template 2_Valuation" xfId="3552" xr:uid="{00000000-0005-0000-0000-0000990A0000}"/>
    <cellStyle name="—_GS_Cash " xfId="4" xr:uid="{00000000-0005-0000-0000-00009A0A0000}"/>
    <cellStyle name="—_GS_Cash  (2)" xfId="3553" xr:uid="{00000000-0005-0000-0000-00009B0A0000}"/>
    <cellStyle name="—_GS_Cash  (2) 2" xfId="4983" xr:uid="{00000000-0005-0000-0000-00009C0A0000}"/>
    <cellStyle name="—_GS_Cash  (2)_100902 Helen NTT FCF to be sent" xfId="3554" xr:uid="{00000000-0005-0000-0000-00009D0A0000}"/>
    <cellStyle name="—_GS_Cash  (2)_AUO consolidated 2004_02" xfId="3555" xr:uid="{00000000-0005-0000-0000-00009E0A0000}"/>
    <cellStyle name="—_GS_Cash  (2)_AUO forecast (GQ)2005_03" xfId="3556" xr:uid="{00000000-0005-0000-0000-00009F0A0000}"/>
    <cellStyle name="—_GS_Cash  (2)_Beta" xfId="4984" xr:uid="{00000000-0005-0000-0000-0000A00A0000}"/>
    <cellStyle name="—_GS_Cash  (2)_Book7" xfId="3557" xr:uid="{00000000-0005-0000-0000-0000A10A0000}"/>
    <cellStyle name="—_GS_Cash  (2)_Book7_AUO consolidated 2004_02" xfId="3558" xr:uid="{00000000-0005-0000-0000-0000A20A0000}"/>
    <cellStyle name="—_GS_Cash  (2)_Book7_AUO forecast (GQ)2005_03" xfId="3559" xr:uid="{00000000-0005-0000-0000-0000A30A0000}"/>
    <cellStyle name="—_GS_Cash  (2)_Book7_new-Sub" xfId="3560" xr:uid="{00000000-0005-0000-0000-0000A40A0000}"/>
    <cellStyle name="—_GS_Cash  (2)_Book7_Novatek forecast 280404" xfId="3561" xr:uid="{00000000-0005-0000-0000-0000A50A0000}"/>
    <cellStyle name="—_GS_Cash  (2)_BS" xfId="3562" xr:uid="{00000000-0005-0000-0000-0000A60A0000}"/>
    <cellStyle name="—_GS_Cash  (2)_BS_BS" xfId="3563" xr:uid="{00000000-0005-0000-0000-0000A70A0000}"/>
    <cellStyle name="—_GS_Cash  (2)_BS_Capex" xfId="3564" xr:uid="{00000000-0005-0000-0000-0000A80A0000}"/>
    <cellStyle name="—_GS_Cash  (2)_BS_CF" xfId="3565" xr:uid="{00000000-0005-0000-0000-0000A90A0000}"/>
    <cellStyle name="—_GS_Cash  (2)_BS_COFCO (506.HK)" xfId="3566" xr:uid="{00000000-0005-0000-0000-0000AA0A0000}"/>
    <cellStyle name="—_GS_Cash  (2)_BS_COFCO_051010" xfId="3567" xr:uid="{00000000-0005-0000-0000-0000AB0A0000}"/>
    <cellStyle name="—_GS_Cash  (2)_BS_COFCO_backup" xfId="3568" xr:uid="{00000000-0005-0000-0000-0000AC0A0000}"/>
    <cellStyle name="—_GS_Cash  (2)_BS_DCF" xfId="3569" xr:uid="{00000000-0005-0000-0000-0000AD0A0000}"/>
    <cellStyle name="—_GS_Cash  (2)_BS_Front page" xfId="3570" xr:uid="{00000000-0005-0000-0000-0000AE0A0000}"/>
    <cellStyle name="—_GS_Cash  (2)_BS_LT assets" xfId="3571" xr:uid="{00000000-0005-0000-0000-0000AF0A0000}"/>
    <cellStyle name="—_GS_Cash  (2)_BS_Monthly" xfId="3572" xr:uid="{00000000-0005-0000-0000-0000B00A0000}"/>
    <cellStyle name="—_GS_Cash  (2)_BS_P&amp;L" xfId="3573" xr:uid="{00000000-0005-0000-0000-0000B10A0000}"/>
    <cellStyle name="—_GS_Cash  (2)_BS_Valuation" xfId="3574" xr:uid="{00000000-0005-0000-0000-0000B20A0000}"/>
    <cellStyle name="—_GS_Cash  (2)_Cashflow" xfId="4985" xr:uid="{00000000-0005-0000-0000-0000B30A0000}"/>
    <cellStyle name="—_GS_Cash  (2)_Cashflow_Honghua MSTR" xfId="4986" xr:uid="{00000000-0005-0000-0000-0000B40A0000}"/>
    <cellStyle name="—_GS_Cash  (2)_Cheng Shin Model" xfId="3575" xr:uid="{00000000-0005-0000-0000-0000B50A0000}"/>
    <cellStyle name="—_GS_Cash  (2)_DoCoMo table 10July2000" xfId="3576" xr:uid="{00000000-0005-0000-0000-0000B60A0000}"/>
    <cellStyle name="—_GS_Cash  (2)_DoCoMo table 10July2000_AUO consolidated 2004_02" xfId="3577" xr:uid="{00000000-0005-0000-0000-0000B70A0000}"/>
    <cellStyle name="—_GS_Cash  (2)_DoCoMo table 10July2000_AUO forecast (GQ)2005_03" xfId="3578" xr:uid="{00000000-0005-0000-0000-0000B80A0000}"/>
    <cellStyle name="—_GS_Cash  (2)_DoCoMo table 10July2000_new-Sub" xfId="3579" xr:uid="{00000000-0005-0000-0000-0000B90A0000}"/>
    <cellStyle name="—_GS_Cash  (2)_DoCoMo table 10July2000_Novatek forecast 280404" xfId="3580" xr:uid="{00000000-0005-0000-0000-0000BA0A0000}"/>
    <cellStyle name="—_GS_Cash  (2)_earnings" xfId="3581" xr:uid="{00000000-0005-0000-0000-0000BB0A0000}"/>
    <cellStyle name="—_GS_Cash  (2)_earnings_AUO consolidated 2004_02" xfId="3582" xr:uid="{00000000-0005-0000-0000-0000BC0A0000}"/>
    <cellStyle name="—_GS_Cash  (2)_earnings_AUO forecast (GQ)2005_03" xfId="3583" xr:uid="{00000000-0005-0000-0000-0000BD0A0000}"/>
    <cellStyle name="—_GS_Cash  (2)_earnings_new-Sub" xfId="3584" xr:uid="{00000000-0005-0000-0000-0000BE0A0000}"/>
    <cellStyle name="—_GS_Cash  (2)_earnings_Novatek forecast 280404" xfId="3585" xr:uid="{00000000-0005-0000-0000-0000BF0A0000}"/>
    <cellStyle name="—_GS_Cash  (2)_EM_CMHK" xfId="3586" xr:uid="{00000000-0005-0000-0000-0000C00A0000}"/>
    <cellStyle name="—_GS_Cash  (2)_EM_CMHK_AUO consolidated 2004_02" xfId="3587" xr:uid="{00000000-0005-0000-0000-0000C10A0000}"/>
    <cellStyle name="—_GS_Cash  (2)_EM_CMHK_AUO forecast (GQ)2005_03" xfId="3588" xr:uid="{00000000-0005-0000-0000-0000C20A0000}"/>
    <cellStyle name="—_GS_Cash  (2)_EM_CMHK_new-Sub" xfId="3589" xr:uid="{00000000-0005-0000-0000-0000C30A0000}"/>
    <cellStyle name="—_GS_Cash  (2)_EM_CMHK_Novatek forecast 280404" xfId="3590" xr:uid="{00000000-0005-0000-0000-0000C40A0000}"/>
    <cellStyle name="—_GS_Cash  (2)_EM_FETone_new" xfId="3591" xr:uid="{00000000-0005-0000-0000-0000C50A0000}"/>
    <cellStyle name="—_GS_Cash  (2)_EM_FETone_new_AUO consolidated 2004_02" xfId="3592" xr:uid="{00000000-0005-0000-0000-0000C60A0000}"/>
    <cellStyle name="—_GS_Cash  (2)_EM_FETone_new_AUO forecast (GQ)2005_03" xfId="3593" xr:uid="{00000000-0005-0000-0000-0000C70A0000}"/>
    <cellStyle name="—_GS_Cash  (2)_EM_FETone_new_new-Sub" xfId="3594" xr:uid="{00000000-0005-0000-0000-0000C80A0000}"/>
    <cellStyle name="—_GS_Cash  (2)_EM_FETone_new_Novatek forecast 280404" xfId="3595" xr:uid="{00000000-0005-0000-0000-0000C90A0000}"/>
    <cellStyle name="—_GS_Cash  (2)_EM_NZT" xfId="3596" xr:uid="{00000000-0005-0000-0000-0000CA0A0000}"/>
    <cellStyle name="—_GS_Cash  (2)_EM_NZT_BS" xfId="3597" xr:uid="{00000000-0005-0000-0000-0000CB0A0000}"/>
    <cellStyle name="—_GS_Cash  (2)_EM_NZT_BS_BS" xfId="3598" xr:uid="{00000000-0005-0000-0000-0000CC0A0000}"/>
    <cellStyle name="—_GS_Cash  (2)_EM_NZT_BS_Capex" xfId="3599" xr:uid="{00000000-0005-0000-0000-0000CD0A0000}"/>
    <cellStyle name="—_GS_Cash  (2)_EM_NZT_BS_CF" xfId="3600" xr:uid="{00000000-0005-0000-0000-0000CE0A0000}"/>
    <cellStyle name="—_GS_Cash  (2)_EM_NZT_BS_COFCO (506.HK)" xfId="3601" xr:uid="{00000000-0005-0000-0000-0000CF0A0000}"/>
    <cellStyle name="—_GS_Cash  (2)_EM_NZT_BS_COFCO_051010" xfId="3602" xr:uid="{00000000-0005-0000-0000-0000D00A0000}"/>
    <cellStyle name="—_GS_Cash  (2)_EM_NZT_BS_COFCO_backup" xfId="3603" xr:uid="{00000000-0005-0000-0000-0000D10A0000}"/>
    <cellStyle name="—_GS_Cash  (2)_EM_NZT_BS_DCF" xfId="3604" xr:uid="{00000000-0005-0000-0000-0000D20A0000}"/>
    <cellStyle name="—_GS_Cash  (2)_EM_NZT_BS_Front page" xfId="3605" xr:uid="{00000000-0005-0000-0000-0000D30A0000}"/>
    <cellStyle name="—_GS_Cash  (2)_EM_NZT_BS_LT assets" xfId="3606" xr:uid="{00000000-0005-0000-0000-0000D40A0000}"/>
    <cellStyle name="—_GS_Cash  (2)_EM_NZT_BS_Monthly" xfId="3607" xr:uid="{00000000-0005-0000-0000-0000D50A0000}"/>
    <cellStyle name="—_GS_Cash  (2)_EM_NZT_BS_P&amp;L" xfId="3608" xr:uid="{00000000-0005-0000-0000-0000D60A0000}"/>
    <cellStyle name="—_GS_Cash  (2)_EM_NZT_BS_Valuation" xfId="3609" xr:uid="{00000000-0005-0000-0000-0000D70A0000}"/>
    <cellStyle name="—_GS_Cash  (2)_EM_NZT_Yifan template 2" xfId="3610" xr:uid="{00000000-0005-0000-0000-0000D80A0000}"/>
    <cellStyle name="—_GS_Cash  (2)_EM_NZT_Yifan template 2_BS" xfId="3611" xr:uid="{00000000-0005-0000-0000-0000D90A0000}"/>
    <cellStyle name="—_GS_Cash  (2)_EM_NZT_Yifan template 2_Capex" xfId="3612" xr:uid="{00000000-0005-0000-0000-0000DA0A0000}"/>
    <cellStyle name="—_GS_Cash  (2)_EM_NZT_Yifan template 2_CF" xfId="3613" xr:uid="{00000000-0005-0000-0000-0000DB0A0000}"/>
    <cellStyle name="—_GS_Cash  (2)_EM_NZT_Yifan template 2_COFCO (506.HK)" xfId="3614" xr:uid="{00000000-0005-0000-0000-0000DC0A0000}"/>
    <cellStyle name="—_GS_Cash  (2)_EM_NZT_Yifan template 2_COFCO_051010" xfId="3615" xr:uid="{00000000-0005-0000-0000-0000DD0A0000}"/>
    <cellStyle name="—_GS_Cash  (2)_EM_NZT_Yifan template 2_COFCO_backup" xfId="3616" xr:uid="{00000000-0005-0000-0000-0000DE0A0000}"/>
    <cellStyle name="—_GS_Cash  (2)_EM_NZT_Yifan template 2_DCF" xfId="3617" xr:uid="{00000000-0005-0000-0000-0000DF0A0000}"/>
    <cellStyle name="—_GS_Cash  (2)_EM_NZT_Yifan template 2_Front page" xfId="3618" xr:uid="{00000000-0005-0000-0000-0000E00A0000}"/>
    <cellStyle name="—_GS_Cash  (2)_EM_NZT_Yifan template 2_LT assets" xfId="3619" xr:uid="{00000000-0005-0000-0000-0000E10A0000}"/>
    <cellStyle name="—_GS_Cash  (2)_EM_NZT_Yifan template 2_Monthly" xfId="3620" xr:uid="{00000000-0005-0000-0000-0000E20A0000}"/>
    <cellStyle name="—_GS_Cash  (2)_EM_NZT_Yifan template 2_P&amp;L" xfId="3621" xr:uid="{00000000-0005-0000-0000-0000E30A0000}"/>
    <cellStyle name="—_GS_Cash  (2)_EM_NZT_Yifan template 2_Valuation" xfId="3622" xr:uid="{00000000-0005-0000-0000-0000E40A0000}"/>
    <cellStyle name="—_GS_Cash  (2)_EM_TCC_new" xfId="3623" xr:uid="{00000000-0005-0000-0000-0000E50A0000}"/>
    <cellStyle name="—_GS_Cash  (2)_EM_TCC_new_AUO consolidated 2004_02" xfId="3624" xr:uid="{00000000-0005-0000-0000-0000E60A0000}"/>
    <cellStyle name="—_GS_Cash  (2)_EM_TCC_new_AUO forecast (GQ)2005_03" xfId="3625" xr:uid="{00000000-0005-0000-0000-0000E70A0000}"/>
    <cellStyle name="—_GS_Cash  (2)_EM_TCC_new_new-Sub" xfId="3626" xr:uid="{00000000-0005-0000-0000-0000E80A0000}"/>
    <cellStyle name="—_GS_Cash  (2)_EM_TCC_new_Novatek forecast 280404" xfId="3627" xr:uid="{00000000-0005-0000-0000-0000E90A0000}"/>
    <cellStyle name="—_GS_Cash  (2)_EM-Optus" xfId="3628" xr:uid="{00000000-0005-0000-0000-0000EA0A0000}"/>
    <cellStyle name="—_GS_Cash  (2)_EM-Optus_AUO consolidated 2004_02" xfId="3629" xr:uid="{00000000-0005-0000-0000-0000EB0A0000}"/>
    <cellStyle name="—_GS_Cash  (2)_EM-Optus_AUO forecast (GQ)2005_03" xfId="3630" xr:uid="{00000000-0005-0000-0000-0000EC0A0000}"/>
    <cellStyle name="—_GS_Cash  (2)_EM-Optus_BS" xfId="3631" xr:uid="{00000000-0005-0000-0000-0000ED0A0000}"/>
    <cellStyle name="—_GS_Cash  (2)_EM-Optus_BS_BS" xfId="3632" xr:uid="{00000000-0005-0000-0000-0000EE0A0000}"/>
    <cellStyle name="—_GS_Cash  (2)_EM-Optus_BS_Capex" xfId="3633" xr:uid="{00000000-0005-0000-0000-0000EF0A0000}"/>
    <cellStyle name="—_GS_Cash  (2)_EM-Optus_BS_CF" xfId="3634" xr:uid="{00000000-0005-0000-0000-0000F00A0000}"/>
    <cellStyle name="—_GS_Cash  (2)_EM-Optus_BS_COFCO (506.HK)" xfId="3635" xr:uid="{00000000-0005-0000-0000-0000F10A0000}"/>
    <cellStyle name="—_GS_Cash  (2)_EM-Optus_BS_COFCO_051010" xfId="3636" xr:uid="{00000000-0005-0000-0000-0000F20A0000}"/>
    <cellStyle name="—_GS_Cash  (2)_EM-Optus_BS_COFCO_backup" xfId="3637" xr:uid="{00000000-0005-0000-0000-0000F30A0000}"/>
    <cellStyle name="—_GS_Cash  (2)_EM-Optus_BS_DCF" xfId="3638" xr:uid="{00000000-0005-0000-0000-0000F40A0000}"/>
    <cellStyle name="—_GS_Cash  (2)_EM-Optus_BS_Front page" xfId="3639" xr:uid="{00000000-0005-0000-0000-0000F50A0000}"/>
    <cellStyle name="—_GS_Cash  (2)_EM-Optus_BS_LT assets" xfId="3640" xr:uid="{00000000-0005-0000-0000-0000F60A0000}"/>
    <cellStyle name="—_GS_Cash  (2)_EM-Optus_BS_Monthly" xfId="3641" xr:uid="{00000000-0005-0000-0000-0000F70A0000}"/>
    <cellStyle name="—_GS_Cash  (2)_EM-Optus_BS_P&amp;L" xfId="3642" xr:uid="{00000000-0005-0000-0000-0000F80A0000}"/>
    <cellStyle name="—_GS_Cash  (2)_EM-Optus_BS_Valuation" xfId="3643" xr:uid="{00000000-0005-0000-0000-0000F90A0000}"/>
    <cellStyle name="—_GS_Cash  (2)_EM-Optus_Cheng Shin Model" xfId="3644" xr:uid="{00000000-0005-0000-0000-0000FA0A0000}"/>
    <cellStyle name="—_GS_Cash  (2)_EM-Optus_new-Sub" xfId="3645" xr:uid="{00000000-0005-0000-0000-0000FB0A0000}"/>
    <cellStyle name="—_GS_Cash  (2)_EM-Optus_Novatek forecast 280404" xfId="3646" xr:uid="{00000000-0005-0000-0000-0000FC0A0000}"/>
    <cellStyle name="—_GS_Cash  (2)_EM-Optus_Yifan template 2" xfId="3647" xr:uid="{00000000-0005-0000-0000-0000FD0A0000}"/>
    <cellStyle name="—_GS_Cash  (2)_EM-Optus_Yifan template 2_BS" xfId="3648" xr:uid="{00000000-0005-0000-0000-0000FE0A0000}"/>
    <cellStyle name="—_GS_Cash  (2)_EM-Optus_Yifan template 2_Capex" xfId="3649" xr:uid="{00000000-0005-0000-0000-0000FF0A0000}"/>
    <cellStyle name="—_GS_Cash  (2)_EM-Optus_Yifan template 2_CF" xfId="3650" xr:uid="{00000000-0005-0000-0000-0000000B0000}"/>
    <cellStyle name="—_GS_Cash  (2)_EM-Optus_Yifan template 2_COFCO (506.HK)" xfId="3651" xr:uid="{00000000-0005-0000-0000-0000010B0000}"/>
    <cellStyle name="—_GS_Cash  (2)_EM-Optus_Yifan template 2_COFCO_051010" xfId="3652" xr:uid="{00000000-0005-0000-0000-0000020B0000}"/>
    <cellStyle name="—_GS_Cash  (2)_EM-Optus_Yifan template 2_COFCO_backup" xfId="3653" xr:uid="{00000000-0005-0000-0000-0000030B0000}"/>
    <cellStyle name="—_GS_Cash  (2)_EM-Optus_Yifan template 2_DCF" xfId="3654" xr:uid="{00000000-0005-0000-0000-0000040B0000}"/>
    <cellStyle name="—_GS_Cash  (2)_EM-Optus_Yifan template 2_Front page" xfId="3655" xr:uid="{00000000-0005-0000-0000-0000050B0000}"/>
    <cellStyle name="—_GS_Cash  (2)_EM-Optus_Yifan template 2_LT assets" xfId="3656" xr:uid="{00000000-0005-0000-0000-0000060B0000}"/>
    <cellStyle name="—_GS_Cash  (2)_EM-Optus_Yifan template 2_Monthly" xfId="3657" xr:uid="{00000000-0005-0000-0000-0000070B0000}"/>
    <cellStyle name="—_GS_Cash  (2)_EM-Optus_Yifan template 2_P&amp;L" xfId="3658" xr:uid="{00000000-0005-0000-0000-0000080B0000}"/>
    <cellStyle name="—_GS_Cash  (2)_EM-Optus_Yifan template 2_Valuation" xfId="3659" xr:uid="{00000000-0005-0000-0000-0000090B0000}"/>
    <cellStyle name="—_GS_Cash  (2)_GlobalValuation_Japan" xfId="3660" xr:uid="{00000000-0005-0000-0000-00000A0B0000}"/>
    <cellStyle name="—_GS_Cash  (2)_honam -Quantum 220704" xfId="4987" xr:uid="{00000000-0005-0000-0000-00000B0B0000}"/>
    <cellStyle name="—_GS_Cash  (2)_JT CROCI" xfId="3661" xr:uid="{00000000-0005-0000-0000-00000C0B0000}"/>
    <cellStyle name="—_GS_Cash  (2)_KDDI CROCI" xfId="3662" xr:uid="{00000000-0005-0000-0000-00000D0B0000}"/>
    <cellStyle name="—_GS_Cash  (2)_Kelvin_SKT_dividend_Mar10_2003" xfId="4988" xr:uid="{00000000-0005-0000-0000-00000E0B0000}"/>
    <cellStyle name="—_GS_Cash  (2)_Kelvin_SKT_dividend_Mar10_2003_Beta" xfId="4989" xr:uid="{00000000-0005-0000-0000-00000F0B0000}"/>
    <cellStyle name="—_GS_Cash  (2)_Kelvin_SKT_dividend_Mar10_2003_Cashflow" xfId="4990" xr:uid="{00000000-0005-0000-0000-0000100B0000}"/>
    <cellStyle name="—_GS_Cash  (2)_Kelvin_SKT_dividend_Mar10_2003_Cashflow_Honghua MSTR" xfId="4991" xr:uid="{00000000-0005-0000-0000-0000110B0000}"/>
    <cellStyle name="—_GS_Cash  (2)_Kelvin_SKT_dividend_Mar10_2003_P&amp;L" xfId="4992" xr:uid="{00000000-0005-0000-0000-0000120B0000}"/>
    <cellStyle name="—_GS_Cash  (2)_Kelvin_SKT_dividend_Mar10_2003_P&amp;L_Honghua MSTR" xfId="4993" xr:uid="{00000000-0005-0000-0000-0000130B0000}"/>
    <cellStyle name="—_GS_Cash  (2)_Kelvin_SKT_dividend_Mar10_2003_PetroChina Master" xfId="4994" xr:uid="{00000000-0005-0000-0000-0000140B0000}"/>
    <cellStyle name="—_GS_Cash  (2)_Kelvin_SKT_dividend_Mar10_2003_PetroChina Master_WIP(20-F update)" xfId="4995" xr:uid="{00000000-0005-0000-0000-0000150B0000}"/>
    <cellStyle name="—_GS_Cash  (2)_Kelvin_SKT_dividend_Mar10_2003_PetroChina Master_WIP(20-F update)_Cashflow" xfId="4996" xr:uid="{00000000-0005-0000-0000-0000160B0000}"/>
    <cellStyle name="—_GS_Cash  (2)_Kelvin_SKT_dividend_Mar10_2003_PetroChina Master_WIP(20-F update)_Cashflow_Honghua MSTR" xfId="4997" xr:uid="{00000000-0005-0000-0000-0000170B0000}"/>
    <cellStyle name="—_GS_Cash  (2)_Kelvin_SKT_dividend_Mar10_2003_PetroChina Master_WIP(20-F update)_P&amp;L" xfId="4998" xr:uid="{00000000-0005-0000-0000-0000180B0000}"/>
    <cellStyle name="—_GS_Cash  (2)_Kelvin_SKT_dividend_Mar10_2003_PetroChina Master_WIP(20-F update)_P&amp;L_Honghua MSTR" xfId="4999" xr:uid="{00000000-0005-0000-0000-0000190B0000}"/>
    <cellStyle name="—_GS_Cash  (2)_Kelvin_SKT_dividend_Mar10_2003_PetroChina Master_WIP(20-F update)_Sinopec MSTR" xfId="5000" xr:uid="{00000000-0005-0000-0000-00001A0B0000}"/>
    <cellStyle name="—_GS_Cash  (2)_Kelvin_SKT_dividend_Mar10_2003_PetroChina Master_WIP(20-F update)_Sinopec MSTR Wip" xfId="5001" xr:uid="{00000000-0005-0000-0000-00001B0B0000}"/>
    <cellStyle name="—_GS_Cash  (2)_Kelvin_SKT_dividend_Mar10_2003_PetroChina Master_WIP(20-F update)_Sinopec MSTR_WIP_KK" xfId="5002" xr:uid="{00000000-0005-0000-0000-00001C0B0000}"/>
    <cellStyle name="—_GS_Cash  (2)_Kelvin_SKT_dividend_Mar10_2003_Sinopec MSTR" xfId="5003" xr:uid="{00000000-0005-0000-0000-00001D0B0000}"/>
    <cellStyle name="—_GS_Cash  (2)_new-Sub" xfId="3663" xr:uid="{00000000-0005-0000-0000-00001E0B0000}"/>
    <cellStyle name="—_GS_Cash  (2)_Novatek forecast 280404" xfId="3664" xr:uid="{00000000-0005-0000-0000-00001F0B0000}"/>
    <cellStyle name="—_GS_Cash  (2)_NTT CROCI" xfId="3665" xr:uid="{00000000-0005-0000-0000-0000200B0000}"/>
    <cellStyle name="—_GS_Cash  (2)_NTT proportionate" xfId="3666" xr:uid="{00000000-0005-0000-0000-0000210B0000}"/>
    <cellStyle name="—_GS_Cash  (2)_operating stats comp" xfId="3667" xr:uid="{00000000-0005-0000-0000-0000220B0000}"/>
    <cellStyle name="—_GS_Cash  (2)_operating stats comp_AUO consolidated 2004_02" xfId="3668" xr:uid="{00000000-0005-0000-0000-0000230B0000}"/>
    <cellStyle name="—_GS_Cash  (2)_operating stats comp_AUO forecast (GQ)2005_03" xfId="3669" xr:uid="{00000000-0005-0000-0000-0000240B0000}"/>
    <cellStyle name="—_GS_Cash  (2)_operating stats comp_new-Sub" xfId="3670" xr:uid="{00000000-0005-0000-0000-0000250B0000}"/>
    <cellStyle name="—_GS_Cash  (2)_operating stats comp_Novatek forecast 280404" xfId="3671" xr:uid="{00000000-0005-0000-0000-0000260B0000}"/>
    <cellStyle name="—_GS_Cash  (2)_P&amp;L" xfId="5004" xr:uid="{00000000-0005-0000-0000-0000270B0000}"/>
    <cellStyle name="—_GS_Cash  (2)_P&amp;L_Honghua MSTR" xfId="5005" xr:uid="{00000000-0005-0000-0000-0000280B0000}"/>
    <cellStyle name="—_GS_Cash  (2)_PetroChina Master" xfId="5006" xr:uid="{00000000-0005-0000-0000-0000290B0000}"/>
    <cellStyle name="—_GS_Cash  (2)_PetroChina Master_WIP(20-F update)" xfId="5007" xr:uid="{00000000-0005-0000-0000-00002A0B0000}"/>
    <cellStyle name="—_GS_Cash  (2)_PetroChina Master_WIP(20-F update)_Cashflow" xfId="5008" xr:uid="{00000000-0005-0000-0000-00002B0B0000}"/>
    <cellStyle name="—_GS_Cash  (2)_PetroChina Master_WIP(20-F update)_Cashflow_Honghua MSTR" xfId="5009" xr:uid="{00000000-0005-0000-0000-00002C0B0000}"/>
    <cellStyle name="—_GS_Cash  (2)_PetroChina Master_WIP(20-F update)_P&amp;L" xfId="5010" xr:uid="{00000000-0005-0000-0000-00002D0B0000}"/>
    <cellStyle name="—_GS_Cash  (2)_PetroChina Master_WIP(20-F update)_P&amp;L_Honghua MSTR" xfId="5011" xr:uid="{00000000-0005-0000-0000-00002E0B0000}"/>
    <cellStyle name="—_GS_Cash  (2)_PetroChina Master_WIP(20-F update)_Sinopec MSTR" xfId="5012" xr:uid="{00000000-0005-0000-0000-00002F0B0000}"/>
    <cellStyle name="—_GS_Cash  (2)_PetroChina Master_WIP(20-F update)_Sinopec MSTR Wip" xfId="5013" xr:uid="{00000000-0005-0000-0000-0000300B0000}"/>
    <cellStyle name="—_GS_Cash  (2)_PetroChina Master_WIP(20-F update)_Sinopec MSTR_WIP_KK" xfId="5014" xr:uid="{00000000-0005-0000-0000-0000310B0000}"/>
    <cellStyle name="—_GS_Cash  (2)_Sheet1" xfId="3672" xr:uid="{00000000-0005-0000-0000-0000320B0000}"/>
    <cellStyle name="—_GS_Cash  (2)_Sinopec MSTR" xfId="5015" xr:uid="{00000000-0005-0000-0000-0000330B0000}"/>
    <cellStyle name="—_GS_Cash  (2)_SK COrp - Quantum 290704" xfId="5016" xr:uid="{00000000-0005-0000-0000-0000340B0000}"/>
    <cellStyle name="—_GS_Cash  (2)_S-Oil-Quantum 260704" xfId="5017" xr:uid="{00000000-0005-0000-0000-0000350B0000}"/>
    <cellStyle name="—_GS_Cash  (2)_S-Oil-Quantum 260704_Beta" xfId="5018" xr:uid="{00000000-0005-0000-0000-0000360B0000}"/>
    <cellStyle name="—_GS_Cash  (2)_S-Oil-Quantum 260704_Cashflow" xfId="5019" xr:uid="{00000000-0005-0000-0000-0000370B0000}"/>
    <cellStyle name="—_GS_Cash  (2)_S-Oil-Quantum 260704_Cashflow_Honghua MSTR" xfId="5020" xr:uid="{00000000-0005-0000-0000-0000380B0000}"/>
    <cellStyle name="—_GS_Cash  (2)_S-Oil-Quantum 260704_P&amp;L" xfId="5021" xr:uid="{00000000-0005-0000-0000-0000390B0000}"/>
    <cellStyle name="—_GS_Cash  (2)_S-Oil-Quantum 260704_P&amp;L_Honghua MSTR" xfId="5022" xr:uid="{00000000-0005-0000-0000-00003A0B0000}"/>
    <cellStyle name="—_GS_Cash  (2)_S-Oil-Quantum 260704_PetroChina Master" xfId="5023" xr:uid="{00000000-0005-0000-0000-00003B0B0000}"/>
    <cellStyle name="—_GS_Cash  (2)_S-Oil-Quantum 260704_PetroChina Master_WIP(20-F update)" xfId="5024" xr:uid="{00000000-0005-0000-0000-00003C0B0000}"/>
    <cellStyle name="—_GS_Cash  (2)_S-Oil-Quantum 260704_PetroChina Master_WIP(20-F update)_Cashflow" xfId="5025" xr:uid="{00000000-0005-0000-0000-00003D0B0000}"/>
    <cellStyle name="—_GS_Cash  (2)_S-Oil-Quantum 260704_PetroChina Master_WIP(20-F update)_Cashflow_Honghua MSTR" xfId="5026" xr:uid="{00000000-0005-0000-0000-00003E0B0000}"/>
    <cellStyle name="—_GS_Cash  (2)_S-Oil-Quantum 260704_PetroChina Master_WIP(20-F update)_P&amp;L" xfId="5027" xr:uid="{00000000-0005-0000-0000-00003F0B0000}"/>
    <cellStyle name="—_GS_Cash  (2)_S-Oil-Quantum 260704_PetroChina Master_WIP(20-F update)_P&amp;L_Honghua MSTR" xfId="5028" xr:uid="{00000000-0005-0000-0000-0000400B0000}"/>
    <cellStyle name="—_GS_Cash  (2)_S-Oil-Quantum 260704_PetroChina Master_WIP(20-F update)_Sinopec MSTR" xfId="5029" xr:uid="{00000000-0005-0000-0000-0000410B0000}"/>
    <cellStyle name="—_GS_Cash  (2)_S-Oil-Quantum 260704_PetroChina Master_WIP(20-F update)_Sinopec MSTR Wip" xfId="5030" xr:uid="{00000000-0005-0000-0000-0000420B0000}"/>
    <cellStyle name="—_GS_Cash  (2)_S-Oil-Quantum 260704_PetroChina Master_WIP(20-F update)_Sinopec MSTR_WIP_KK" xfId="5031" xr:uid="{00000000-0005-0000-0000-0000430B0000}"/>
    <cellStyle name="—_GS_Cash  (2)_S-Oil-Quantum 260704_Sinopec MSTR" xfId="5032" xr:uid="{00000000-0005-0000-0000-0000440B0000}"/>
    <cellStyle name="—_GS_Cash  (2)_Strategy_data_update" xfId="3673" xr:uid="{00000000-0005-0000-0000-0000450B0000}"/>
    <cellStyle name="—_GS_Cash  (2)_Strategy_data_update_AUO consolidated 2004_02" xfId="3674" xr:uid="{00000000-0005-0000-0000-0000460B0000}"/>
    <cellStyle name="—_GS_Cash  (2)_Strategy_data_update_AUO forecast (GQ)2005_03" xfId="3675" xr:uid="{00000000-0005-0000-0000-0000470B0000}"/>
    <cellStyle name="—_GS_Cash  (2)_Strategy_data_update_new-Sub" xfId="3676" xr:uid="{00000000-0005-0000-0000-0000480B0000}"/>
    <cellStyle name="—_GS_Cash  (2)_Strategy_data_update_Novatek forecast 280404" xfId="3677" xr:uid="{00000000-0005-0000-0000-0000490B0000}"/>
    <cellStyle name="—_GS_Cash  (2)_Yifan template 2" xfId="3678" xr:uid="{00000000-0005-0000-0000-00004A0B0000}"/>
    <cellStyle name="—_GS_Cash  (2)_Yifan template 2_BS" xfId="3679" xr:uid="{00000000-0005-0000-0000-00004B0B0000}"/>
    <cellStyle name="—_GS_Cash  (2)_Yifan template 2_Capex" xfId="3680" xr:uid="{00000000-0005-0000-0000-00004C0B0000}"/>
    <cellStyle name="—_GS_Cash  (2)_Yifan template 2_CF" xfId="3681" xr:uid="{00000000-0005-0000-0000-00004D0B0000}"/>
    <cellStyle name="—_GS_Cash  (2)_Yifan template 2_COFCO (506.HK)" xfId="3682" xr:uid="{00000000-0005-0000-0000-00004E0B0000}"/>
    <cellStyle name="—_GS_Cash  (2)_Yifan template 2_COFCO_051010" xfId="3683" xr:uid="{00000000-0005-0000-0000-00004F0B0000}"/>
    <cellStyle name="—_GS_Cash  (2)_Yifan template 2_COFCO_backup" xfId="3684" xr:uid="{00000000-0005-0000-0000-0000500B0000}"/>
    <cellStyle name="—_GS_Cash  (2)_Yifan template 2_DCF" xfId="3685" xr:uid="{00000000-0005-0000-0000-0000510B0000}"/>
    <cellStyle name="—_GS_Cash  (2)_Yifan template 2_Front page" xfId="3686" xr:uid="{00000000-0005-0000-0000-0000520B0000}"/>
    <cellStyle name="—_GS_Cash  (2)_Yifan template 2_LT assets" xfId="3687" xr:uid="{00000000-0005-0000-0000-0000530B0000}"/>
    <cellStyle name="—_GS_Cash  (2)_Yifan template 2_Monthly" xfId="3688" xr:uid="{00000000-0005-0000-0000-0000540B0000}"/>
    <cellStyle name="—_GS_Cash  (2)_Yifan template 2_P&amp;L" xfId="3689" xr:uid="{00000000-0005-0000-0000-0000550B0000}"/>
    <cellStyle name="—_GS_Cash  (2)_Yifan template 2_Valuation" xfId="3690" xr:uid="{00000000-0005-0000-0000-0000560B0000}"/>
    <cellStyle name="—_GS_Cash  2" xfId="7011" xr:uid="{00000000-0005-0000-0000-0000570B0000}"/>
    <cellStyle name="—_GS_Cash _100902 Helen NTT FCF to be sent" xfId="3691" xr:uid="{00000000-0005-0000-0000-0000580B0000}"/>
    <cellStyle name="—_GS_Cash _1st take" xfId="11162" xr:uid="{00000000-0005-0000-0000-0000590B0000}"/>
    <cellStyle name="—_GS_Cash _AsiaInfo Model 110308" xfId="3692" xr:uid="{00000000-0005-0000-0000-00005A0B0000}"/>
    <cellStyle name="—_GS_Cash _AUO consolidated 2004_02" xfId="3693" xr:uid="{00000000-0005-0000-0000-00005B0B0000}"/>
    <cellStyle name="—_GS_Cash _AUO forecast (GQ)2005_03" xfId="3694" xr:uid="{00000000-0005-0000-0000-00005C0B0000}"/>
    <cellStyle name="—_GS_Cash _Beta" xfId="5033" xr:uid="{00000000-0005-0000-0000-00005D0B0000}"/>
    <cellStyle name="—_GS_Cash _Book7" xfId="3695" xr:uid="{00000000-0005-0000-0000-00005E0B0000}"/>
    <cellStyle name="—_GS_Cash _Book7_AUO consolidated 2004_02" xfId="3696" xr:uid="{00000000-0005-0000-0000-00005F0B0000}"/>
    <cellStyle name="—_GS_Cash _Book7_AUO forecast (GQ)2005_03" xfId="3697" xr:uid="{00000000-0005-0000-0000-0000600B0000}"/>
    <cellStyle name="—_GS_Cash _Book7_new-Sub" xfId="3698" xr:uid="{00000000-0005-0000-0000-0000610B0000}"/>
    <cellStyle name="—_GS_Cash _Book7_Novatek forecast 280404" xfId="3699" xr:uid="{00000000-0005-0000-0000-0000620B0000}"/>
    <cellStyle name="—_GS_Cash _BS" xfId="3700" xr:uid="{00000000-0005-0000-0000-0000630B0000}"/>
    <cellStyle name="—_GS_Cash _BS_BS" xfId="3701" xr:uid="{00000000-0005-0000-0000-0000640B0000}"/>
    <cellStyle name="—_GS_Cash _BS_Capex" xfId="3702" xr:uid="{00000000-0005-0000-0000-0000650B0000}"/>
    <cellStyle name="—_GS_Cash _BS_CF" xfId="3703" xr:uid="{00000000-0005-0000-0000-0000660B0000}"/>
    <cellStyle name="—_GS_Cash _BS_COFCO (506.HK)" xfId="3704" xr:uid="{00000000-0005-0000-0000-0000670B0000}"/>
    <cellStyle name="—_GS_Cash _BS_COFCO_051010" xfId="3705" xr:uid="{00000000-0005-0000-0000-0000680B0000}"/>
    <cellStyle name="—_GS_Cash _BS_COFCO_backup" xfId="3706" xr:uid="{00000000-0005-0000-0000-0000690B0000}"/>
    <cellStyle name="—_GS_Cash _BS_DCF" xfId="3707" xr:uid="{00000000-0005-0000-0000-00006A0B0000}"/>
    <cellStyle name="—_GS_Cash _BS_Front page" xfId="3708" xr:uid="{00000000-0005-0000-0000-00006B0B0000}"/>
    <cellStyle name="—_GS_Cash _BS_LT assets" xfId="3709" xr:uid="{00000000-0005-0000-0000-00006C0B0000}"/>
    <cellStyle name="—_GS_Cash _BS_Monthly" xfId="3710" xr:uid="{00000000-0005-0000-0000-00006D0B0000}"/>
    <cellStyle name="—_GS_Cash _BS_P&amp;L" xfId="3711" xr:uid="{00000000-0005-0000-0000-00006E0B0000}"/>
    <cellStyle name="—_GS_Cash _BS_Valuation" xfId="3712" xr:uid="{00000000-0005-0000-0000-00006F0B0000}"/>
    <cellStyle name="—_GS_Cash _Cashflow" xfId="5034" xr:uid="{00000000-0005-0000-0000-0000700B0000}"/>
    <cellStyle name="—_GS_Cash _Cashflow_Honghua MSTR" xfId="5035" xr:uid="{00000000-0005-0000-0000-0000710B0000}"/>
    <cellStyle name="—_GS_Cash _Cheng Shin Model" xfId="3713" xr:uid="{00000000-0005-0000-0000-0000720B0000}"/>
    <cellStyle name="—_GS_Cash _DoCoMo table 10July2000" xfId="3714" xr:uid="{00000000-0005-0000-0000-0000730B0000}"/>
    <cellStyle name="—_GS_Cash _DoCoMo table 10July2000_AUO consolidated 2004_02" xfId="3715" xr:uid="{00000000-0005-0000-0000-0000740B0000}"/>
    <cellStyle name="—_GS_Cash _DoCoMo table 10July2000_AUO forecast (GQ)2005_03" xfId="3716" xr:uid="{00000000-0005-0000-0000-0000750B0000}"/>
    <cellStyle name="—_GS_Cash _DoCoMo table 10July2000_new-Sub" xfId="3717" xr:uid="{00000000-0005-0000-0000-0000760B0000}"/>
    <cellStyle name="—_GS_Cash _DoCoMo table 10July2000_Novatek forecast 280404" xfId="3718" xr:uid="{00000000-0005-0000-0000-0000770B0000}"/>
    <cellStyle name="—_GS_Cash _earnings" xfId="3719" xr:uid="{00000000-0005-0000-0000-0000780B0000}"/>
    <cellStyle name="—_GS_Cash _earnings_AUO consolidated 2004_02" xfId="3720" xr:uid="{00000000-0005-0000-0000-0000790B0000}"/>
    <cellStyle name="—_GS_Cash _earnings_AUO forecast (GQ)2005_03" xfId="3721" xr:uid="{00000000-0005-0000-0000-00007A0B0000}"/>
    <cellStyle name="—_GS_Cash _earnings_new-Sub" xfId="3722" xr:uid="{00000000-0005-0000-0000-00007B0B0000}"/>
    <cellStyle name="—_GS_Cash _earnings_Novatek forecast 280404" xfId="3723" xr:uid="{00000000-0005-0000-0000-00007C0B0000}"/>
    <cellStyle name="—_GS_Cash _EM_CMHK" xfId="3724" xr:uid="{00000000-0005-0000-0000-00007D0B0000}"/>
    <cellStyle name="—_GS_Cash _EM_CMHK_AUO consolidated 2004_02" xfId="3725" xr:uid="{00000000-0005-0000-0000-00007E0B0000}"/>
    <cellStyle name="—_GS_Cash _EM_CMHK_AUO forecast (GQ)2005_03" xfId="3726" xr:uid="{00000000-0005-0000-0000-00007F0B0000}"/>
    <cellStyle name="—_GS_Cash _EM_CMHK_new-Sub" xfId="3727" xr:uid="{00000000-0005-0000-0000-0000800B0000}"/>
    <cellStyle name="—_GS_Cash _EM_CMHK_Novatek forecast 280404" xfId="3728" xr:uid="{00000000-0005-0000-0000-0000810B0000}"/>
    <cellStyle name="—_GS_Cash _EM_FETone_new" xfId="3729" xr:uid="{00000000-0005-0000-0000-0000820B0000}"/>
    <cellStyle name="—_GS_Cash _EM_FETone_new_AUO consolidated 2004_02" xfId="3730" xr:uid="{00000000-0005-0000-0000-0000830B0000}"/>
    <cellStyle name="—_GS_Cash _EM_FETone_new_AUO forecast (GQ)2005_03" xfId="3731" xr:uid="{00000000-0005-0000-0000-0000840B0000}"/>
    <cellStyle name="—_GS_Cash _EM_FETone_new_new-Sub" xfId="3732" xr:uid="{00000000-0005-0000-0000-0000850B0000}"/>
    <cellStyle name="—_GS_Cash _EM_FETone_new_Novatek forecast 280404" xfId="3733" xr:uid="{00000000-0005-0000-0000-0000860B0000}"/>
    <cellStyle name="—_GS_Cash _EM_NZT" xfId="3734" xr:uid="{00000000-0005-0000-0000-0000870B0000}"/>
    <cellStyle name="—_GS_Cash _EM_NZT_BS" xfId="3735" xr:uid="{00000000-0005-0000-0000-0000880B0000}"/>
    <cellStyle name="—_GS_Cash _EM_NZT_BS_BS" xfId="3736" xr:uid="{00000000-0005-0000-0000-0000890B0000}"/>
    <cellStyle name="—_GS_Cash _EM_NZT_BS_Capex" xfId="3737" xr:uid="{00000000-0005-0000-0000-00008A0B0000}"/>
    <cellStyle name="—_GS_Cash _EM_NZT_BS_CF" xfId="3738" xr:uid="{00000000-0005-0000-0000-00008B0B0000}"/>
    <cellStyle name="—_GS_Cash _EM_NZT_BS_COFCO (506.HK)" xfId="3739" xr:uid="{00000000-0005-0000-0000-00008C0B0000}"/>
    <cellStyle name="—_GS_Cash _EM_NZT_BS_COFCO_051010" xfId="3740" xr:uid="{00000000-0005-0000-0000-00008D0B0000}"/>
    <cellStyle name="—_GS_Cash _EM_NZT_BS_COFCO_backup" xfId="3741" xr:uid="{00000000-0005-0000-0000-00008E0B0000}"/>
    <cellStyle name="—_GS_Cash _EM_NZT_BS_DCF" xfId="3742" xr:uid="{00000000-0005-0000-0000-00008F0B0000}"/>
    <cellStyle name="—_GS_Cash _EM_NZT_BS_Front page" xfId="3743" xr:uid="{00000000-0005-0000-0000-0000900B0000}"/>
    <cellStyle name="—_GS_Cash _EM_NZT_BS_LT assets" xfId="3744" xr:uid="{00000000-0005-0000-0000-0000910B0000}"/>
    <cellStyle name="—_GS_Cash _EM_NZT_BS_Monthly" xfId="3745" xr:uid="{00000000-0005-0000-0000-0000920B0000}"/>
    <cellStyle name="—_GS_Cash _EM_NZT_BS_P&amp;L" xfId="3746" xr:uid="{00000000-0005-0000-0000-0000930B0000}"/>
    <cellStyle name="—_GS_Cash _EM_NZT_BS_Valuation" xfId="3747" xr:uid="{00000000-0005-0000-0000-0000940B0000}"/>
    <cellStyle name="—_GS_Cash _EM_NZT_Yifan template 2" xfId="3748" xr:uid="{00000000-0005-0000-0000-0000950B0000}"/>
    <cellStyle name="—_GS_Cash _EM_NZT_Yifan template 2_BS" xfId="3749" xr:uid="{00000000-0005-0000-0000-0000960B0000}"/>
    <cellStyle name="—_GS_Cash _EM_NZT_Yifan template 2_Capex" xfId="3750" xr:uid="{00000000-0005-0000-0000-0000970B0000}"/>
    <cellStyle name="—_GS_Cash _EM_NZT_Yifan template 2_CF" xfId="3751" xr:uid="{00000000-0005-0000-0000-0000980B0000}"/>
    <cellStyle name="—_GS_Cash _EM_NZT_Yifan template 2_COFCO (506.HK)" xfId="3752" xr:uid="{00000000-0005-0000-0000-0000990B0000}"/>
    <cellStyle name="—_GS_Cash _EM_NZT_Yifan template 2_COFCO_051010" xfId="3753" xr:uid="{00000000-0005-0000-0000-00009A0B0000}"/>
    <cellStyle name="—_GS_Cash _EM_NZT_Yifan template 2_COFCO_backup" xfId="3754" xr:uid="{00000000-0005-0000-0000-00009B0B0000}"/>
    <cellStyle name="—_GS_Cash _EM_NZT_Yifan template 2_DCF" xfId="3755" xr:uid="{00000000-0005-0000-0000-00009C0B0000}"/>
    <cellStyle name="—_GS_Cash _EM_NZT_Yifan template 2_Front page" xfId="3756" xr:uid="{00000000-0005-0000-0000-00009D0B0000}"/>
    <cellStyle name="—_GS_Cash _EM_NZT_Yifan template 2_LT assets" xfId="3757" xr:uid="{00000000-0005-0000-0000-00009E0B0000}"/>
    <cellStyle name="—_GS_Cash _EM_NZT_Yifan template 2_Monthly" xfId="3758" xr:uid="{00000000-0005-0000-0000-00009F0B0000}"/>
    <cellStyle name="—_GS_Cash _EM_NZT_Yifan template 2_P&amp;L" xfId="3759" xr:uid="{00000000-0005-0000-0000-0000A00B0000}"/>
    <cellStyle name="—_GS_Cash _EM_NZT_Yifan template 2_Valuation" xfId="3760" xr:uid="{00000000-0005-0000-0000-0000A10B0000}"/>
    <cellStyle name="—_GS_Cash _EM_TCC_new" xfId="3761" xr:uid="{00000000-0005-0000-0000-0000A20B0000}"/>
    <cellStyle name="—_GS_Cash _EM_TCC_new_AUO consolidated 2004_02" xfId="3762" xr:uid="{00000000-0005-0000-0000-0000A30B0000}"/>
    <cellStyle name="—_GS_Cash _EM_TCC_new_AUO forecast (GQ)2005_03" xfId="3763" xr:uid="{00000000-0005-0000-0000-0000A40B0000}"/>
    <cellStyle name="—_GS_Cash _EM_TCC_new_new-Sub" xfId="3764" xr:uid="{00000000-0005-0000-0000-0000A50B0000}"/>
    <cellStyle name="—_GS_Cash _EM_TCC_new_Novatek forecast 280404" xfId="3765" xr:uid="{00000000-0005-0000-0000-0000A60B0000}"/>
    <cellStyle name="—_GS_Cash _EM-Optus" xfId="3766" xr:uid="{00000000-0005-0000-0000-0000A70B0000}"/>
    <cellStyle name="—_GS_Cash _EM-Optus_AUO consolidated 2004_02" xfId="3767" xr:uid="{00000000-0005-0000-0000-0000A80B0000}"/>
    <cellStyle name="—_GS_Cash _EM-Optus_AUO forecast (GQ)2005_03" xfId="3768" xr:uid="{00000000-0005-0000-0000-0000A90B0000}"/>
    <cellStyle name="—_GS_Cash _EM-Optus_BS" xfId="3769" xr:uid="{00000000-0005-0000-0000-0000AA0B0000}"/>
    <cellStyle name="—_GS_Cash _EM-Optus_BS_BS" xfId="3770" xr:uid="{00000000-0005-0000-0000-0000AB0B0000}"/>
    <cellStyle name="—_GS_Cash _EM-Optus_BS_Capex" xfId="3771" xr:uid="{00000000-0005-0000-0000-0000AC0B0000}"/>
    <cellStyle name="—_GS_Cash _EM-Optus_BS_CF" xfId="3772" xr:uid="{00000000-0005-0000-0000-0000AD0B0000}"/>
    <cellStyle name="—_GS_Cash _EM-Optus_BS_COFCO (506.HK)" xfId="3773" xr:uid="{00000000-0005-0000-0000-0000AE0B0000}"/>
    <cellStyle name="—_GS_Cash _EM-Optus_BS_COFCO_051010" xfId="3774" xr:uid="{00000000-0005-0000-0000-0000AF0B0000}"/>
    <cellStyle name="—_GS_Cash _EM-Optus_BS_COFCO_backup" xfId="3775" xr:uid="{00000000-0005-0000-0000-0000B00B0000}"/>
    <cellStyle name="—_GS_Cash _EM-Optus_BS_DCF" xfId="3776" xr:uid="{00000000-0005-0000-0000-0000B10B0000}"/>
    <cellStyle name="—_GS_Cash _EM-Optus_BS_Front page" xfId="3777" xr:uid="{00000000-0005-0000-0000-0000B20B0000}"/>
    <cellStyle name="—_GS_Cash _EM-Optus_BS_LT assets" xfId="3778" xr:uid="{00000000-0005-0000-0000-0000B30B0000}"/>
    <cellStyle name="—_GS_Cash _EM-Optus_BS_Monthly" xfId="3779" xr:uid="{00000000-0005-0000-0000-0000B40B0000}"/>
    <cellStyle name="—_GS_Cash _EM-Optus_BS_P&amp;L" xfId="3780" xr:uid="{00000000-0005-0000-0000-0000B50B0000}"/>
    <cellStyle name="—_GS_Cash _EM-Optus_BS_Valuation" xfId="3781" xr:uid="{00000000-0005-0000-0000-0000B60B0000}"/>
    <cellStyle name="—_GS_Cash _EM-Optus_Cheng Shin Model" xfId="3782" xr:uid="{00000000-0005-0000-0000-0000B70B0000}"/>
    <cellStyle name="—_GS_Cash _EM-Optus_new-Sub" xfId="3783" xr:uid="{00000000-0005-0000-0000-0000B80B0000}"/>
    <cellStyle name="—_GS_Cash _EM-Optus_Novatek forecast 280404" xfId="3784" xr:uid="{00000000-0005-0000-0000-0000B90B0000}"/>
    <cellStyle name="—_GS_Cash _EM-Optus_Yifan template 2" xfId="3785" xr:uid="{00000000-0005-0000-0000-0000BA0B0000}"/>
    <cellStyle name="—_GS_Cash _EM-Optus_Yifan template 2_BS" xfId="3786" xr:uid="{00000000-0005-0000-0000-0000BB0B0000}"/>
    <cellStyle name="—_GS_Cash _EM-Optus_Yifan template 2_Capex" xfId="3787" xr:uid="{00000000-0005-0000-0000-0000BC0B0000}"/>
    <cellStyle name="—_GS_Cash _EM-Optus_Yifan template 2_CF" xfId="3788" xr:uid="{00000000-0005-0000-0000-0000BD0B0000}"/>
    <cellStyle name="—_GS_Cash _EM-Optus_Yifan template 2_COFCO (506.HK)" xfId="3789" xr:uid="{00000000-0005-0000-0000-0000BE0B0000}"/>
    <cellStyle name="—_GS_Cash _EM-Optus_Yifan template 2_COFCO_051010" xfId="3790" xr:uid="{00000000-0005-0000-0000-0000BF0B0000}"/>
    <cellStyle name="—_GS_Cash _EM-Optus_Yifan template 2_COFCO_backup" xfId="3791" xr:uid="{00000000-0005-0000-0000-0000C00B0000}"/>
    <cellStyle name="—_GS_Cash _EM-Optus_Yifan template 2_DCF" xfId="3792" xr:uid="{00000000-0005-0000-0000-0000C10B0000}"/>
    <cellStyle name="—_GS_Cash _EM-Optus_Yifan template 2_Front page" xfId="3793" xr:uid="{00000000-0005-0000-0000-0000C20B0000}"/>
    <cellStyle name="—_GS_Cash _EM-Optus_Yifan template 2_LT assets" xfId="3794" xr:uid="{00000000-0005-0000-0000-0000C30B0000}"/>
    <cellStyle name="—_GS_Cash _EM-Optus_Yifan template 2_Monthly" xfId="3795" xr:uid="{00000000-0005-0000-0000-0000C40B0000}"/>
    <cellStyle name="—_GS_Cash _EM-Optus_Yifan template 2_P&amp;L" xfId="3796" xr:uid="{00000000-0005-0000-0000-0000C50B0000}"/>
    <cellStyle name="—_GS_Cash _EM-Optus_Yifan template 2_Valuation" xfId="3797" xr:uid="{00000000-0005-0000-0000-0000C60B0000}"/>
    <cellStyle name="—_GS_Cash _FX" xfId="5036" xr:uid="{00000000-0005-0000-0000-0000C70B0000}"/>
    <cellStyle name="—_GS_Cash _FX_Honghua MSTR" xfId="5037" xr:uid="{00000000-0005-0000-0000-0000C80B0000}"/>
    <cellStyle name="—_GS_Cash _GlobalValuation_Japan" xfId="3798" xr:uid="{00000000-0005-0000-0000-0000C90B0000}"/>
    <cellStyle name="—_GS_Cash _honam -Quantum 220704" xfId="5038" xr:uid="{00000000-0005-0000-0000-0000CA0B0000}"/>
    <cellStyle name="—_GS_Cash _JT CROCI" xfId="3799" xr:uid="{00000000-0005-0000-0000-0000CB0B0000}"/>
    <cellStyle name="—_GS_Cash _KDDI CROCI" xfId="3800" xr:uid="{00000000-0005-0000-0000-0000CC0B0000}"/>
    <cellStyle name="—_GS_Cash _Kelvin_SKT_dividend_Mar10_2003" xfId="5039" xr:uid="{00000000-0005-0000-0000-0000CD0B0000}"/>
    <cellStyle name="—_GS_Cash _Kelvin_SKT_dividend_Mar10_2003_Beta" xfId="5040" xr:uid="{00000000-0005-0000-0000-0000CE0B0000}"/>
    <cellStyle name="—_GS_Cash _Kelvin_SKT_dividend_Mar10_2003_Cashflow" xfId="5041" xr:uid="{00000000-0005-0000-0000-0000CF0B0000}"/>
    <cellStyle name="—_GS_Cash _Kelvin_SKT_dividend_Mar10_2003_Cashflow_Honghua MSTR" xfId="5042" xr:uid="{00000000-0005-0000-0000-0000D00B0000}"/>
    <cellStyle name="—_GS_Cash _Kelvin_SKT_dividend_Mar10_2003_P&amp;L" xfId="5043" xr:uid="{00000000-0005-0000-0000-0000D10B0000}"/>
    <cellStyle name="—_GS_Cash _Kelvin_SKT_dividend_Mar10_2003_P&amp;L_Honghua MSTR" xfId="5044" xr:uid="{00000000-0005-0000-0000-0000D20B0000}"/>
    <cellStyle name="—_GS_Cash _Kelvin_SKT_dividend_Mar10_2003_PetroChina Master" xfId="5045" xr:uid="{00000000-0005-0000-0000-0000D30B0000}"/>
    <cellStyle name="—_GS_Cash _Kelvin_SKT_dividend_Mar10_2003_PetroChina Master_WIP(20-F update)" xfId="5046" xr:uid="{00000000-0005-0000-0000-0000D40B0000}"/>
    <cellStyle name="—_GS_Cash _Kelvin_SKT_dividend_Mar10_2003_PetroChina Master_WIP(20-F update)_Cashflow" xfId="5047" xr:uid="{00000000-0005-0000-0000-0000D50B0000}"/>
    <cellStyle name="—_GS_Cash _Kelvin_SKT_dividend_Mar10_2003_PetroChina Master_WIP(20-F update)_Cashflow_Honghua MSTR" xfId="5048" xr:uid="{00000000-0005-0000-0000-0000D60B0000}"/>
    <cellStyle name="—_GS_Cash _Kelvin_SKT_dividend_Mar10_2003_PetroChina Master_WIP(20-F update)_P&amp;L" xfId="5049" xr:uid="{00000000-0005-0000-0000-0000D70B0000}"/>
    <cellStyle name="—_GS_Cash _Kelvin_SKT_dividend_Mar10_2003_PetroChina Master_WIP(20-F update)_P&amp;L_Honghua MSTR" xfId="5050" xr:uid="{00000000-0005-0000-0000-0000D80B0000}"/>
    <cellStyle name="—_GS_Cash _Kelvin_SKT_dividend_Mar10_2003_PetroChina Master_WIP(20-F update)_Sinopec MSTR" xfId="5051" xr:uid="{00000000-0005-0000-0000-0000D90B0000}"/>
    <cellStyle name="—_GS_Cash _Kelvin_SKT_dividend_Mar10_2003_PetroChina Master_WIP(20-F update)_Sinopec MSTR Wip" xfId="5052" xr:uid="{00000000-0005-0000-0000-0000DA0B0000}"/>
    <cellStyle name="—_GS_Cash _Kelvin_SKT_dividend_Mar10_2003_PetroChina Master_WIP(20-F update)_Sinopec MSTR_WIP_KK" xfId="5053" xr:uid="{00000000-0005-0000-0000-0000DB0B0000}"/>
    <cellStyle name="—_GS_Cash _Kelvin_SKT_dividend_Mar10_2003_Sinopec MSTR" xfId="5054" xr:uid="{00000000-0005-0000-0000-0000DC0B0000}"/>
    <cellStyle name="—_GS_Cash _Model" xfId="5055" xr:uid="{00000000-0005-0000-0000-0000DD0B0000}"/>
    <cellStyle name="—_GS_Cash _Model-Parent" xfId="11163" xr:uid="{00000000-0005-0000-0000-0000DE0B0000}"/>
    <cellStyle name="—_GS_Cash _new-Sub" xfId="3801" xr:uid="{00000000-0005-0000-0000-0000DF0B0000}"/>
    <cellStyle name="—_GS_Cash _Novatek forecast 280404" xfId="3802" xr:uid="{00000000-0005-0000-0000-0000E00B0000}"/>
    <cellStyle name="—_GS_Cash _NTT CROCI" xfId="3803" xr:uid="{00000000-0005-0000-0000-0000E10B0000}"/>
    <cellStyle name="—_GS_Cash _NTT proportionate" xfId="3804" xr:uid="{00000000-0005-0000-0000-0000E20B0000}"/>
    <cellStyle name="—_GS_Cash _operating stats comp" xfId="3805" xr:uid="{00000000-0005-0000-0000-0000E30B0000}"/>
    <cellStyle name="—_GS_Cash _operating stats comp_AUO consolidated 2004_02" xfId="3806" xr:uid="{00000000-0005-0000-0000-0000E40B0000}"/>
    <cellStyle name="—_GS_Cash _operating stats comp_AUO forecast (GQ)2005_03" xfId="3807" xr:uid="{00000000-0005-0000-0000-0000E50B0000}"/>
    <cellStyle name="—_GS_Cash _operating stats comp_new-Sub" xfId="3808" xr:uid="{00000000-0005-0000-0000-0000E60B0000}"/>
    <cellStyle name="—_GS_Cash _operating stats comp_Novatek forecast 280404" xfId="3809" xr:uid="{00000000-0005-0000-0000-0000E70B0000}"/>
    <cellStyle name="—_GS_Cash _P&amp;L" xfId="5056" xr:uid="{00000000-0005-0000-0000-0000E80B0000}"/>
    <cellStyle name="—_GS_Cash _P&amp;L_Honghua MSTR" xfId="5057" xr:uid="{00000000-0005-0000-0000-0000E90B0000}"/>
    <cellStyle name="—_GS_Cash _PetroChina Master" xfId="5058" xr:uid="{00000000-0005-0000-0000-0000EA0B0000}"/>
    <cellStyle name="—_GS_Cash _PetroChina Master_WIP(20-F update)" xfId="5059" xr:uid="{00000000-0005-0000-0000-0000EB0B0000}"/>
    <cellStyle name="—_GS_Cash _PetroChina Master_WIP(20-F update)_Cashflow" xfId="5060" xr:uid="{00000000-0005-0000-0000-0000EC0B0000}"/>
    <cellStyle name="—_GS_Cash _PetroChina Master_WIP(20-F update)_Cashflow_Honghua MSTR" xfId="5061" xr:uid="{00000000-0005-0000-0000-0000ED0B0000}"/>
    <cellStyle name="—_GS_Cash _PetroChina Master_WIP(20-F update)_P&amp;L" xfId="5062" xr:uid="{00000000-0005-0000-0000-0000EE0B0000}"/>
    <cellStyle name="—_GS_Cash _PetroChina Master_WIP(20-F update)_P&amp;L_Honghua MSTR" xfId="5063" xr:uid="{00000000-0005-0000-0000-0000EF0B0000}"/>
    <cellStyle name="—_GS_Cash _PetroChina Master_WIP(20-F update)_Sinopec MSTR" xfId="5064" xr:uid="{00000000-0005-0000-0000-0000F00B0000}"/>
    <cellStyle name="—_GS_Cash _PetroChina Master_WIP(20-F update)_Sinopec MSTR Wip" xfId="5065" xr:uid="{00000000-0005-0000-0000-0000F10B0000}"/>
    <cellStyle name="—_GS_Cash _PetroChina Master_WIP(20-F update)_Sinopec MSTR_WIP_KK" xfId="5066" xr:uid="{00000000-0005-0000-0000-0000F20B0000}"/>
    <cellStyle name="—_GS_Cash _QP_0883.HK" xfId="5067" xr:uid="{00000000-0005-0000-0000-0000F30B0000}"/>
    <cellStyle name="—_GS_Cash _QP_2408.TW" xfId="11164" xr:uid="{00000000-0005-0000-0000-0000F40B0000}"/>
    <cellStyle name="—_GS_Cash _QP_5387.TW" xfId="11165" xr:uid="{00000000-0005-0000-0000-0000F50B0000}"/>
    <cellStyle name="—_GS_Cash _Ratios" xfId="5068" xr:uid="{00000000-0005-0000-0000-0000F60B0000}"/>
    <cellStyle name="—_GS_Cash _Raw Data" xfId="5069" xr:uid="{00000000-0005-0000-0000-0000F70B0000}"/>
    <cellStyle name="—_GS_Cash _Revenue" xfId="5070" xr:uid="{00000000-0005-0000-0000-0000F80B0000}"/>
    <cellStyle name="—_GS_Cash _Sheet1" xfId="3810" xr:uid="{00000000-0005-0000-0000-0000F90B0000}"/>
    <cellStyle name="—_GS_Cash _Sheet1 2" xfId="5071" xr:uid="{00000000-0005-0000-0000-0000FA0B0000}"/>
    <cellStyle name="—_GS_Cash _Sheet1_Honghua MSTR" xfId="5072" xr:uid="{00000000-0005-0000-0000-0000FB0B0000}"/>
    <cellStyle name="—_GS_Cash _Sheet2" xfId="5073" xr:uid="{00000000-0005-0000-0000-0000FC0B0000}"/>
    <cellStyle name="—_GS_Cash _Sheet2_Honghua MSTR" xfId="5074" xr:uid="{00000000-0005-0000-0000-0000FD0B0000}"/>
    <cellStyle name="—_GS_Cash _Sinopec MSTR" xfId="5075" xr:uid="{00000000-0005-0000-0000-0000FE0B0000}"/>
    <cellStyle name="—_GS_Cash _SK COrp - Quantum 290704" xfId="5076" xr:uid="{00000000-0005-0000-0000-0000FF0B0000}"/>
    <cellStyle name="—_GS_Cash _S-Oil-Quantum 260704" xfId="5077" xr:uid="{00000000-0005-0000-0000-0000000C0000}"/>
    <cellStyle name="—_GS_Cash _S-Oil-Quantum 260704_Beta" xfId="5078" xr:uid="{00000000-0005-0000-0000-0000010C0000}"/>
    <cellStyle name="—_GS_Cash _S-Oil-Quantum 260704_Cashflow" xfId="5079" xr:uid="{00000000-0005-0000-0000-0000020C0000}"/>
    <cellStyle name="—_GS_Cash _S-Oil-Quantum 260704_Cashflow_Honghua MSTR" xfId="5080" xr:uid="{00000000-0005-0000-0000-0000030C0000}"/>
    <cellStyle name="—_GS_Cash _S-Oil-Quantum 260704_P&amp;L" xfId="5081" xr:uid="{00000000-0005-0000-0000-0000040C0000}"/>
    <cellStyle name="—_GS_Cash _S-Oil-Quantum 260704_P&amp;L_Honghua MSTR" xfId="5082" xr:uid="{00000000-0005-0000-0000-0000050C0000}"/>
    <cellStyle name="—_GS_Cash _S-Oil-Quantum 260704_PetroChina Master" xfId="5083" xr:uid="{00000000-0005-0000-0000-0000060C0000}"/>
    <cellStyle name="—_GS_Cash _S-Oil-Quantum 260704_PetroChina Master_WIP(20-F update)" xfId="5084" xr:uid="{00000000-0005-0000-0000-0000070C0000}"/>
    <cellStyle name="—_GS_Cash _S-Oil-Quantum 260704_PetroChina Master_WIP(20-F update)_Cashflow" xfId="5085" xr:uid="{00000000-0005-0000-0000-0000080C0000}"/>
    <cellStyle name="—_GS_Cash _S-Oil-Quantum 260704_PetroChina Master_WIP(20-F update)_Cashflow_Honghua MSTR" xfId="5086" xr:uid="{00000000-0005-0000-0000-0000090C0000}"/>
    <cellStyle name="—_GS_Cash _S-Oil-Quantum 260704_PetroChina Master_WIP(20-F update)_P&amp;L" xfId="5087" xr:uid="{00000000-0005-0000-0000-00000A0C0000}"/>
    <cellStyle name="—_GS_Cash _S-Oil-Quantum 260704_PetroChina Master_WIP(20-F update)_P&amp;L_Honghua MSTR" xfId="5088" xr:uid="{00000000-0005-0000-0000-00000B0C0000}"/>
    <cellStyle name="—_GS_Cash _S-Oil-Quantum 260704_PetroChina Master_WIP(20-F update)_Sinopec MSTR" xfId="5089" xr:uid="{00000000-0005-0000-0000-00000C0C0000}"/>
    <cellStyle name="—_GS_Cash _S-Oil-Quantum 260704_PetroChina Master_WIP(20-F update)_Sinopec MSTR Wip" xfId="5090" xr:uid="{00000000-0005-0000-0000-00000D0C0000}"/>
    <cellStyle name="—_GS_Cash _S-Oil-Quantum 260704_PetroChina Master_WIP(20-F update)_Sinopec MSTR_WIP_KK" xfId="5091" xr:uid="{00000000-0005-0000-0000-00000E0C0000}"/>
    <cellStyle name="—_GS_Cash _S-Oil-Quantum 260704_Sinopec MSTR" xfId="5092" xr:uid="{00000000-0005-0000-0000-00000F0C0000}"/>
    <cellStyle name="—_GS_Cash _Strategy_data_update" xfId="3811" xr:uid="{00000000-0005-0000-0000-0000100C0000}"/>
    <cellStyle name="—_GS_Cash _Strategy_data_update_AUO consolidated 2004_02" xfId="3812" xr:uid="{00000000-0005-0000-0000-0000110C0000}"/>
    <cellStyle name="—_GS_Cash _Strategy_data_update_AUO forecast (GQ)2005_03" xfId="3813" xr:uid="{00000000-0005-0000-0000-0000120C0000}"/>
    <cellStyle name="—_GS_Cash _Strategy_data_update_new-Sub" xfId="3814" xr:uid="{00000000-0005-0000-0000-0000130C0000}"/>
    <cellStyle name="—_GS_Cash _Strategy_data_update_Novatek forecast 280404" xfId="3815" xr:uid="{00000000-0005-0000-0000-0000140C0000}"/>
    <cellStyle name="—_GS_Cash _UMC Model - WIP" xfId="11166" xr:uid="{00000000-0005-0000-0000-0000150C0000}"/>
    <cellStyle name="—_GS_Cash _Valuation" xfId="5093" xr:uid="{00000000-0005-0000-0000-0000160C0000}"/>
    <cellStyle name="—_GS_Cash _Yifan template 2" xfId="3816" xr:uid="{00000000-0005-0000-0000-0000170C0000}"/>
    <cellStyle name="—_GS_Cash _Yifan template 2_BS" xfId="3817" xr:uid="{00000000-0005-0000-0000-0000180C0000}"/>
    <cellStyle name="—_GS_Cash _Yifan template 2_Capex" xfId="3818" xr:uid="{00000000-0005-0000-0000-0000190C0000}"/>
    <cellStyle name="—_GS_Cash _Yifan template 2_CF" xfId="3819" xr:uid="{00000000-0005-0000-0000-00001A0C0000}"/>
    <cellStyle name="—_GS_Cash _Yifan template 2_COFCO (506.HK)" xfId="3820" xr:uid="{00000000-0005-0000-0000-00001B0C0000}"/>
    <cellStyle name="—_GS_Cash _Yifan template 2_COFCO_051010" xfId="3821" xr:uid="{00000000-0005-0000-0000-00001C0C0000}"/>
    <cellStyle name="—_GS_Cash _Yifan template 2_COFCO_backup" xfId="3822" xr:uid="{00000000-0005-0000-0000-00001D0C0000}"/>
    <cellStyle name="—_GS_Cash _Yifan template 2_DCF" xfId="3823" xr:uid="{00000000-0005-0000-0000-00001E0C0000}"/>
    <cellStyle name="—_GS_Cash _Yifan template 2_Front page" xfId="3824" xr:uid="{00000000-0005-0000-0000-00001F0C0000}"/>
    <cellStyle name="—_GS_Cash _Yifan template 2_LT assets" xfId="3825" xr:uid="{00000000-0005-0000-0000-0000200C0000}"/>
    <cellStyle name="—_GS_Cash _Yifan template 2_Monthly" xfId="3826" xr:uid="{00000000-0005-0000-0000-0000210C0000}"/>
    <cellStyle name="—_GS_Cash _Yifan template 2_P&amp;L" xfId="3827" xr:uid="{00000000-0005-0000-0000-0000220C0000}"/>
    <cellStyle name="—_GS_Cash _Yifan template 2_Valuation" xfId="3828" xr:uid="{00000000-0005-0000-0000-0000230C0000}"/>
    <cellStyle name="—_GS_DCF" xfId="3829" xr:uid="{00000000-0005-0000-0000-0000240C0000}"/>
    <cellStyle name="—_GS_DCF 2" xfId="5094" xr:uid="{00000000-0005-0000-0000-0000250C0000}"/>
    <cellStyle name="—_GS_DCF_100902 Helen NTT FCF to be sent" xfId="3830" xr:uid="{00000000-0005-0000-0000-0000260C0000}"/>
    <cellStyle name="—_GS_DCF_AUO consolidated 2004_02" xfId="3831" xr:uid="{00000000-0005-0000-0000-0000270C0000}"/>
    <cellStyle name="—_GS_DCF_AUO forecast (GQ)2005_03" xfId="3832" xr:uid="{00000000-0005-0000-0000-0000280C0000}"/>
    <cellStyle name="—_GS_DCF_Beta" xfId="5095" xr:uid="{00000000-0005-0000-0000-0000290C0000}"/>
    <cellStyle name="—_GS_DCF_Book7" xfId="3833" xr:uid="{00000000-0005-0000-0000-00002A0C0000}"/>
    <cellStyle name="—_GS_DCF_Book7_AUO consolidated 2004_02" xfId="3834" xr:uid="{00000000-0005-0000-0000-00002B0C0000}"/>
    <cellStyle name="—_GS_DCF_Book7_AUO forecast (GQ)2005_03" xfId="3835" xr:uid="{00000000-0005-0000-0000-00002C0C0000}"/>
    <cellStyle name="—_GS_DCF_Book7_new-Sub" xfId="3836" xr:uid="{00000000-0005-0000-0000-00002D0C0000}"/>
    <cellStyle name="—_GS_DCF_Book7_Novatek forecast 280404" xfId="3837" xr:uid="{00000000-0005-0000-0000-00002E0C0000}"/>
    <cellStyle name="—_GS_DCF_BS" xfId="3838" xr:uid="{00000000-0005-0000-0000-00002F0C0000}"/>
    <cellStyle name="—_GS_DCF_BS_BS" xfId="3839" xr:uid="{00000000-0005-0000-0000-0000300C0000}"/>
    <cellStyle name="—_GS_DCF_BS_Capex" xfId="3840" xr:uid="{00000000-0005-0000-0000-0000310C0000}"/>
    <cellStyle name="—_GS_DCF_BS_CF" xfId="3841" xr:uid="{00000000-0005-0000-0000-0000320C0000}"/>
    <cellStyle name="—_GS_DCF_BS_COFCO (506.HK)" xfId="3842" xr:uid="{00000000-0005-0000-0000-0000330C0000}"/>
    <cellStyle name="—_GS_DCF_BS_COFCO_051010" xfId="3843" xr:uid="{00000000-0005-0000-0000-0000340C0000}"/>
    <cellStyle name="—_GS_DCF_BS_COFCO_backup" xfId="3844" xr:uid="{00000000-0005-0000-0000-0000350C0000}"/>
    <cellStyle name="—_GS_DCF_BS_DCF" xfId="3845" xr:uid="{00000000-0005-0000-0000-0000360C0000}"/>
    <cellStyle name="—_GS_DCF_BS_Front page" xfId="3846" xr:uid="{00000000-0005-0000-0000-0000370C0000}"/>
    <cellStyle name="—_GS_DCF_BS_LT assets" xfId="3847" xr:uid="{00000000-0005-0000-0000-0000380C0000}"/>
    <cellStyle name="—_GS_DCF_BS_Monthly" xfId="3848" xr:uid="{00000000-0005-0000-0000-0000390C0000}"/>
    <cellStyle name="—_GS_DCF_BS_P&amp;L" xfId="3849" xr:uid="{00000000-0005-0000-0000-00003A0C0000}"/>
    <cellStyle name="—_GS_DCF_BS_Valuation" xfId="3850" xr:uid="{00000000-0005-0000-0000-00003B0C0000}"/>
    <cellStyle name="—_GS_DCF_Cashflow" xfId="5096" xr:uid="{00000000-0005-0000-0000-00003C0C0000}"/>
    <cellStyle name="—_GS_DCF_Cashflow_Honghua MSTR" xfId="5097" xr:uid="{00000000-0005-0000-0000-00003D0C0000}"/>
    <cellStyle name="—_GS_DCF_Cheng Shin Model" xfId="3851" xr:uid="{00000000-0005-0000-0000-00003E0C0000}"/>
    <cellStyle name="—_GS_DCF_DoCoMo table 10July2000" xfId="3852" xr:uid="{00000000-0005-0000-0000-00003F0C0000}"/>
    <cellStyle name="—_GS_DCF_DoCoMo table 10July2000_AUO consolidated 2004_02" xfId="3853" xr:uid="{00000000-0005-0000-0000-0000400C0000}"/>
    <cellStyle name="—_GS_DCF_DoCoMo table 10July2000_AUO forecast (GQ)2005_03" xfId="3854" xr:uid="{00000000-0005-0000-0000-0000410C0000}"/>
    <cellStyle name="—_GS_DCF_DoCoMo table 10July2000_new-Sub" xfId="3855" xr:uid="{00000000-0005-0000-0000-0000420C0000}"/>
    <cellStyle name="—_GS_DCF_DoCoMo table 10July2000_Novatek forecast 280404" xfId="3856" xr:uid="{00000000-0005-0000-0000-0000430C0000}"/>
    <cellStyle name="—_GS_DCF_earnings" xfId="3857" xr:uid="{00000000-0005-0000-0000-0000440C0000}"/>
    <cellStyle name="—_GS_DCF_earnings_AUO consolidated 2004_02" xfId="3858" xr:uid="{00000000-0005-0000-0000-0000450C0000}"/>
    <cellStyle name="—_GS_DCF_earnings_AUO forecast (GQ)2005_03" xfId="3859" xr:uid="{00000000-0005-0000-0000-0000460C0000}"/>
    <cellStyle name="—_GS_DCF_earnings_new-Sub" xfId="3860" xr:uid="{00000000-0005-0000-0000-0000470C0000}"/>
    <cellStyle name="—_GS_DCF_earnings_Novatek forecast 280404" xfId="3861" xr:uid="{00000000-0005-0000-0000-0000480C0000}"/>
    <cellStyle name="—_GS_DCF_EM_CMHK" xfId="3862" xr:uid="{00000000-0005-0000-0000-0000490C0000}"/>
    <cellStyle name="—_GS_DCF_EM_CMHK_AUO consolidated 2004_02" xfId="3863" xr:uid="{00000000-0005-0000-0000-00004A0C0000}"/>
    <cellStyle name="—_GS_DCF_EM_CMHK_AUO forecast (GQ)2005_03" xfId="3864" xr:uid="{00000000-0005-0000-0000-00004B0C0000}"/>
    <cellStyle name="—_GS_DCF_EM_CMHK_new-Sub" xfId="3865" xr:uid="{00000000-0005-0000-0000-00004C0C0000}"/>
    <cellStyle name="—_GS_DCF_EM_CMHK_Novatek forecast 280404" xfId="3866" xr:uid="{00000000-0005-0000-0000-00004D0C0000}"/>
    <cellStyle name="—_GS_DCF_EM_FETone_new" xfId="3867" xr:uid="{00000000-0005-0000-0000-00004E0C0000}"/>
    <cellStyle name="—_GS_DCF_EM_FETone_new_AUO consolidated 2004_02" xfId="3868" xr:uid="{00000000-0005-0000-0000-00004F0C0000}"/>
    <cellStyle name="—_GS_DCF_EM_FETone_new_AUO forecast (GQ)2005_03" xfId="3869" xr:uid="{00000000-0005-0000-0000-0000500C0000}"/>
    <cellStyle name="—_GS_DCF_EM_FETone_new_new-Sub" xfId="3870" xr:uid="{00000000-0005-0000-0000-0000510C0000}"/>
    <cellStyle name="—_GS_DCF_EM_FETone_new_Novatek forecast 280404" xfId="3871" xr:uid="{00000000-0005-0000-0000-0000520C0000}"/>
    <cellStyle name="—_GS_DCF_EM_NZT" xfId="3872" xr:uid="{00000000-0005-0000-0000-0000530C0000}"/>
    <cellStyle name="—_GS_DCF_EM_NZT_BS" xfId="3873" xr:uid="{00000000-0005-0000-0000-0000540C0000}"/>
    <cellStyle name="—_GS_DCF_EM_NZT_BS_BS" xfId="3874" xr:uid="{00000000-0005-0000-0000-0000550C0000}"/>
    <cellStyle name="—_GS_DCF_EM_NZT_BS_Capex" xfId="3875" xr:uid="{00000000-0005-0000-0000-0000560C0000}"/>
    <cellStyle name="—_GS_DCF_EM_NZT_BS_CF" xfId="3876" xr:uid="{00000000-0005-0000-0000-0000570C0000}"/>
    <cellStyle name="—_GS_DCF_EM_NZT_BS_COFCO (506.HK)" xfId="3877" xr:uid="{00000000-0005-0000-0000-0000580C0000}"/>
    <cellStyle name="—_GS_DCF_EM_NZT_BS_COFCO_051010" xfId="3878" xr:uid="{00000000-0005-0000-0000-0000590C0000}"/>
    <cellStyle name="—_GS_DCF_EM_NZT_BS_COFCO_backup" xfId="3879" xr:uid="{00000000-0005-0000-0000-00005A0C0000}"/>
    <cellStyle name="—_GS_DCF_EM_NZT_BS_DCF" xfId="3880" xr:uid="{00000000-0005-0000-0000-00005B0C0000}"/>
    <cellStyle name="—_GS_DCF_EM_NZT_BS_Front page" xfId="3881" xr:uid="{00000000-0005-0000-0000-00005C0C0000}"/>
    <cellStyle name="—_GS_DCF_EM_NZT_BS_LT assets" xfId="3882" xr:uid="{00000000-0005-0000-0000-00005D0C0000}"/>
    <cellStyle name="—_GS_DCF_EM_NZT_BS_Monthly" xfId="3883" xr:uid="{00000000-0005-0000-0000-00005E0C0000}"/>
    <cellStyle name="—_GS_DCF_EM_NZT_BS_P&amp;L" xfId="3884" xr:uid="{00000000-0005-0000-0000-00005F0C0000}"/>
    <cellStyle name="—_GS_DCF_EM_NZT_BS_Valuation" xfId="3885" xr:uid="{00000000-0005-0000-0000-0000600C0000}"/>
    <cellStyle name="—_GS_DCF_EM_NZT_Yifan template 2" xfId="3886" xr:uid="{00000000-0005-0000-0000-0000610C0000}"/>
    <cellStyle name="—_GS_DCF_EM_NZT_Yifan template 2_BS" xfId="3887" xr:uid="{00000000-0005-0000-0000-0000620C0000}"/>
    <cellStyle name="—_GS_DCF_EM_NZT_Yifan template 2_Capex" xfId="3888" xr:uid="{00000000-0005-0000-0000-0000630C0000}"/>
    <cellStyle name="—_GS_DCF_EM_NZT_Yifan template 2_CF" xfId="3889" xr:uid="{00000000-0005-0000-0000-0000640C0000}"/>
    <cellStyle name="—_GS_DCF_EM_NZT_Yifan template 2_COFCO (506.HK)" xfId="3890" xr:uid="{00000000-0005-0000-0000-0000650C0000}"/>
    <cellStyle name="—_GS_DCF_EM_NZT_Yifan template 2_COFCO_051010" xfId="3891" xr:uid="{00000000-0005-0000-0000-0000660C0000}"/>
    <cellStyle name="—_GS_DCF_EM_NZT_Yifan template 2_COFCO_backup" xfId="3892" xr:uid="{00000000-0005-0000-0000-0000670C0000}"/>
    <cellStyle name="—_GS_DCF_EM_NZT_Yifan template 2_DCF" xfId="3893" xr:uid="{00000000-0005-0000-0000-0000680C0000}"/>
    <cellStyle name="—_GS_DCF_EM_NZT_Yifan template 2_Front page" xfId="3894" xr:uid="{00000000-0005-0000-0000-0000690C0000}"/>
    <cellStyle name="—_GS_DCF_EM_NZT_Yifan template 2_LT assets" xfId="3895" xr:uid="{00000000-0005-0000-0000-00006A0C0000}"/>
    <cellStyle name="—_GS_DCF_EM_NZT_Yifan template 2_Monthly" xfId="3896" xr:uid="{00000000-0005-0000-0000-00006B0C0000}"/>
    <cellStyle name="—_GS_DCF_EM_NZT_Yifan template 2_P&amp;L" xfId="3897" xr:uid="{00000000-0005-0000-0000-00006C0C0000}"/>
    <cellStyle name="—_GS_DCF_EM_NZT_Yifan template 2_Valuation" xfId="3898" xr:uid="{00000000-0005-0000-0000-00006D0C0000}"/>
    <cellStyle name="—_GS_DCF_EM_TCC_new" xfId="3899" xr:uid="{00000000-0005-0000-0000-00006E0C0000}"/>
    <cellStyle name="—_GS_DCF_EM_TCC_new_AUO consolidated 2004_02" xfId="3900" xr:uid="{00000000-0005-0000-0000-00006F0C0000}"/>
    <cellStyle name="—_GS_DCF_EM_TCC_new_AUO forecast (GQ)2005_03" xfId="3901" xr:uid="{00000000-0005-0000-0000-0000700C0000}"/>
    <cellStyle name="—_GS_DCF_EM_TCC_new_new-Sub" xfId="3902" xr:uid="{00000000-0005-0000-0000-0000710C0000}"/>
    <cellStyle name="—_GS_DCF_EM_TCC_new_Novatek forecast 280404" xfId="3903" xr:uid="{00000000-0005-0000-0000-0000720C0000}"/>
    <cellStyle name="—_GS_DCF_EM-Optus" xfId="3904" xr:uid="{00000000-0005-0000-0000-0000730C0000}"/>
    <cellStyle name="—_GS_DCF_EM-Optus_AUO consolidated 2004_02" xfId="3905" xr:uid="{00000000-0005-0000-0000-0000740C0000}"/>
    <cellStyle name="—_GS_DCF_EM-Optus_AUO forecast (GQ)2005_03" xfId="3906" xr:uid="{00000000-0005-0000-0000-0000750C0000}"/>
    <cellStyle name="—_GS_DCF_EM-Optus_BS" xfId="3907" xr:uid="{00000000-0005-0000-0000-0000760C0000}"/>
    <cellStyle name="—_GS_DCF_EM-Optus_BS_BS" xfId="3908" xr:uid="{00000000-0005-0000-0000-0000770C0000}"/>
    <cellStyle name="—_GS_DCF_EM-Optus_BS_Capex" xfId="3909" xr:uid="{00000000-0005-0000-0000-0000780C0000}"/>
    <cellStyle name="—_GS_DCF_EM-Optus_BS_CF" xfId="3910" xr:uid="{00000000-0005-0000-0000-0000790C0000}"/>
    <cellStyle name="—_GS_DCF_EM-Optus_BS_COFCO (506.HK)" xfId="3911" xr:uid="{00000000-0005-0000-0000-00007A0C0000}"/>
    <cellStyle name="—_GS_DCF_EM-Optus_new-Sub" xfId="3912" xr:uid="{00000000-0005-0000-0000-00007B0C0000}"/>
    <cellStyle name="—_GS_DCF_GlobalValuation_Japan" xfId="11167" xr:uid="{00000000-0005-0000-0000-00007C0C0000}"/>
    <cellStyle name="—_GS_DCF_honam -Quantum 220704" xfId="5098" xr:uid="{00000000-0005-0000-0000-00007D0C0000}"/>
    <cellStyle name="—_GS_DCF_JT CROCI" xfId="11168" xr:uid="{00000000-0005-0000-0000-00007E0C0000}"/>
    <cellStyle name="—_GS_DCF_KDDI CROCI" xfId="11169" xr:uid="{00000000-0005-0000-0000-00007F0C0000}"/>
    <cellStyle name="—_GS_DCF_Kelvin_SKT_dividend_Mar10_2003" xfId="5099" xr:uid="{00000000-0005-0000-0000-0000800C0000}"/>
    <cellStyle name="—_GS_DCF_Kelvin_SKT_dividend_Mar10_2003_Beta" xfId="5100" xr:uid="{00000000-0005-0000-0000-0000810C0000}"/>
    <cellStyle name="—_GS_DCF_Kelvin_SKT_dividend_Mar10_2003_Cashflow" xfId="5101" xr:uid="{00000000-0005-0000-0000-0000820C0000}"/>
    <cellStyle name="—_GS_DCF_Kelvin_SKT_dividend_Mar10_2003_Cashflow_Honghua MSTR" xfId="5102" xr:uid="{00000000-0005-0000-0000-0000830C0000}"/>
    <cellStyle name="—_GS_DCF_Kelvin_SKT_dividend_Mar10_2003_P&amp;L" xfId="5103" xr:uid="{00000000-0005-0000-0000-0000840C0000}"/>
    <cellStyle name="—_GS_DCF_Kelvin_SKT_dividend_Mar10_2003_P&amp;L_Honghua MSTR" xfId="5104" xr:uid="{00000000-0005-0000-0000-0000850C0000}"/>
    <cellStyle name="—_GS_DCF_Kelvin_SKT_dividend_Mar10_2003_PetroChina Master" xfId="5105" xr:uid="{00000000-0005-0000-0000-0000860C0000}"/>
    <cellStyle name="—_GS_DCF_Kelvin_SKT_dividend_Mar10_2003_PetroChina Master_WIP(20-F update)" xfId="5106" xr:uid="{00000000-0005-0000-0000-0000870C0000}"/>
    <cellStyle name="—_GS_DCF_Kelvin_SKT_dividend_Mar10_2003_PetroChina Master_WIP(20-F update)_Cashflow" xfId="5107" xr:uid="{00000000-0005-0000-0000-0000880C0000}"/>
    <cellStyle name="—_GS_DCF_Kelvin_SKT_dividend_Mar10_2003_PetroChina Master_WIP(20-F update)_Cashflow_Honghua MSTR" xfId="5108" xr:uid="{00000000-0005-0000-0000-0000890C0000}"/>
    <cellStyle name="—_GS_DCF_Kelvin_SKT_dividend_Mar10_2003_PetroChina Master_WIP(20-F update)_P&amp;L" xfId="5109" xr:uid="{00000000-0005-0000-0000-00008A0C0000}"/>
    <cellStyle name="—_GS_DCF_Kelvin_SKT_dividend_Mar10_2003_PetroChina Master_WIP(20-F update)_P&amp;L_Honghua MSTR" xfId="5110" xr:uid="{00000000-0005-0000-0000-00008B0C0000}"/>
    <cellStyle name="—_GS_DCF_Kelvin_SKT_dividend_Mar10_2003_PetroChina Master_WIP(20-F update)_Sinopec MSTR" xfId="5111" xr:uid="{00000000-0005-0000-0000-00008C0C0000}"/>
    <cellStyle name="—_GS_DCF_Kelvin_SKT_dividend_Mar10_2003_PetroChina Master_WIP(20-F update)_Sinopec MSTR Wip" xfId="5112" xr:uid="{00000000-0005-0000-0000-00008D0C0000}"/>
    <cellStyle name="—_GS_DCF_Kelvin_SKT_dividend_Mar10_2003_PetroChina Master_WIP(20-F update)_Sinopec MSTR_WIP_KK" xfId="5113" xr:uid="{00000000-0005-0000-0000-00008E0C0000}"/>
    <cellStyle name="—_GS_DCF_Kelvin_SKT_dividend_Mar10_2003_Sinopec MSTR" xfId="5114" xr:uid="{00000000-0005-0000-0000-00008F0C0000}"/>
    <cellStyle name="—_GS_DCF_new-Sub" xfId="3913" xr:uid="{00000000-0005-0000-0000-0000900C0000}"/>
    <cellStyle name="—_GS_DCF_NTT CROCI" xfId="11170" xr:uid="{00000000-0005-0000-0000-0000910C0000}"/>
    <cellStyle name="—_GS_DCF_NTT proportionate" xfId="11171" xr:uid="{00000000-0005-0000-0000-0000920C0000}"/>
    <cellStyle name="—_GS_DCF_operating stats comp" xfId="3914" xr:uid="{00000000-0005-0000-0000-0000930C0000}"/>
    <cellStyle name="—_GS_DCF_operating stats comp_new-Sub" xfId="3915" xr:uid="{00000000-0005-0000-0000-0000940C0000}"/>
    <cellStyle name="—_GS_DCF_P&amp;L" xfId="5115" xr:uid="{00000000-0005-0000-0000-0000950C0000}"/>
    <cellStyle name="—_GS_DCF_P&amp;L_Honghua MSTR" xfId="5116" xr:uid="{00000000-0005-0000-0000-0000960C0000}"/>
    <cellStyle name="—_GS_DCF_PetroChina Master" xfId="5117" xr:uid="{00000000-0005-0000-0000-0000970C0000}"/>
    <cellStyle name="—_GS_DCF_PetroChina Master_WIP(20-F update)" xfId="5118" xr:uid="{00000000-0005-0000-0000-0000980C0000}"/>
    <cellStyle name="—_GS_DCF_PetroChina Master_WIP(20-F update)_Cashflow" xfId="5119" xr:uid="{00000000-0005-0000-0000-0000990C0000}"/>
    <cellStyle name="—_GS_DCF_PetroChina Master_WIP(20-F update)_Cashflow_Honghua MSTR" xfId="5120" xr:uid="{00000000-0005-0000-0000-00009A0C0000}"/>
    <cellStyle name="—_GS_DCF_PetroChina Master_WIP(20-F update)_P&amp;L" xfId="5121" xr:uid="{00000000-0005-0000-0000-00009B0C0000}"/>
    <cellStyle name="—_GS_DCF_PetroChina Master_WIP(20-F update)_P&amp;L_Honghua MSTR" xfId="5122" xr:uid="{00000000-0005-0000-0000-00009C0C0000}"/>
    <cellStyle name="—_GS_DCF_PetroChina Master_WIP(20-F update)_Sinopec MSTR" xfId="5123" xr:uid="{00000000-0005-0000-0000-00009D0C0000}"/>
    <cellStyle name="—_GS_DCF_PetroChina Master_WIP(20-F update)_Sinopec MSTR Wip" xfId="5124" xr:uid="{00000000-0005-0000-0000-00009E0C0000}"/>
    <cellStyle name="—_GS_DCF_PetroChina Master_WIP(20-F update)_Sinopec MSTR_WIP_KK" xfId="5125" xr:uid="{00000000-0005-0000-0000-00009F0C0000}"/>
    <cellStyle name="—_GS_DCF_Sheet1" xfId="11172" xr:uid="{00000000-0005-0000-0000-0000A00C0000}"/>
    <cellStyle name="—_GS_DCF_Sinopec MSTR" xfId="5126" xr:uid="{00000000-0005-0000-0000-0000A10C0000}"/>
    <cellStyle name="—_GS_DCF_SK COrp - Quantum 290704" xfId="5127" xr:uid="{00000000-0005-0000-0000-0000A20C0000}"/>
    <cellStyle name="—_GS_DCF_S-Oil-Quantum 260704" xfId="5128" xr:uid="{00000000-0005-0000-0000-0000A30C0000}"/>
    <cellStyle name="—_GS_DCF_S-Oil-Quantum 260704_Beta" xfId="5129" xr:uid="{00000000-0005-0000-0000-0000A40C0000}"/>
    <cellStyle name="—_GS_DCF_S-Oil-Quantum 260704_Cashflow" xfId="5130" xr:uid="{00000000-0005-0000-0000-0000A50C0000}"/>
    <cellStyle name="—_GS_DCF_S-Oil-Quantum 260704_Cashflow_Honghua MSTR" xfId="5131" xr:uid="{00000000-0005-0000-0000-0000A60C0000}"/>
    <cellStyle name="—_GS_DCF_S-Oil-Quantum 260704_P&amp;L" xfId="5132" xr:uid="{00000000-0005-0000-0000-0000A70C0000}"/>
    <cellStyle name="—_GS_DCF_S-Oil-Quantum 260704_P&amp;L_Honghua MSTR" xfId="5133" xr:uid="{00000000-0005-0000-0000-0000A80C0000}"/>
    <cellStyle name="—_GS_DCF_S-Oil-Quantum 260704_PetroChina Master" xfId="5134" xr:uid="{00000000-0005-0000-0000-0000A90C0000}"/>
    <cellStyle name="—_GS_DCF_S-Oil-Quantum 260704_PetroChina Master_WIP(20-F update)" xfId="5135" xr:uid="{00000000-0005-0000-0000-0000AA0C0000}"/>
    <cellStyle name="—_GS_DCF_S-Oil-Quantum 260704_PetroChina Master_WIP(20-F update)_Cashflow" xfId="5136" xr:uid="{00000000-0005-0000-0000-0000AB0C0000}"/>
    <cellStyle name="—_GS_DCF_S-Oil-Quantum 260704_PetroChina Master_WIP(20-F update)_Cashflow_Honghua MSTR" xfId="5137" xr:uid="{00000000-0005-0000-0000-0000AC0C0000}"/>
    <cellStyle name="—_GS_DCF_S-Oil-Quantum 260704_PetroChina Master_WIP(20-F update)_P&amp;L" xfId="5138" xr:uid="{00000000-0005-0000-0000-0000AD0C0000}"/>
    <cellStyle name="—_GS_DCF_S-Oil-Quantum 260704_PetroChina Master_WIP(20-F update)_P&amp;L_Honghua MSTR" xfId="5139" xr:uid="{00000000-0005-0000-0000-0000AE0C0000}"/>
    <cellStyle name="—_GS_DCF_S-Oil-Quantum 260704_PetroChina Master_WIP(20-F update)_Sinopec MSTR" xfId="5140" xr:uid="{00000000-0005-0000-0000-0000AF0C0000}"/>
    <cellStyle name="—_GS_DCF_S-Oil-Quantum 260704_PetroChina Master_WIP(20-F update)_Sinopec MSTR Wip" xfId="5141" xr:uid="{00000000-0005-0000-0000-0000B00C0000}"/>
    <cellStyle name="—_GS_DCF_S-Oil-Quantum 260704_PetroChina Master_WIP(20-F update)_Sinopec MSTR_WIP_KK" xfId="5142" xr:uid="{00000000-0005-0000-0000-0000B10C0000}"/>
    <cellStyle name="—_GS_DCF_S-Oil-Quantum 260704_Sinopec MSTR" xfId="5143" xr:uid="{00000000-0005-0000-0000-0000B20C0000}"/>
    <cellStyle name="—_GS_DCF_Strategy_data_update" xfId="3916" xr:uid="{00000000-0005-0000-0000-0000B30C0000}"/>
    <cellStyle name="—_GS_DCF_Strategy_data_update_new-Sub" xfId="3917" xr:uid="{00000000-0005-0000-0000-0000B40C0000}"/>
    <cellStyle name="—_GS_PNL" xfId="3918" xr:uid="{00000000-0005-0000-0000-0000B50C0000}"/>
    <cellStyle name="—_GS_PNL 2" xfId="5144" xr:uid="{00000000-0005-0000-0000-0000B60C0000}"/>
    <cellStyle name="—_GS_PNL_100902 Helen NTT FCF to be sent" xfId="11173" xr:uid="{00000000-0005-0000-0000-0000B70C0000}"/>
    <cellStyle name="—_GS_PNL_Beta" xfId="5145" xr:uid="{00000000-0005-0000-0000-0000B80C0000}"/>
    <cellStyle name="—_GS_PNL_Book7" xfId="3919" xr:uid="{00000000-0005-0000-0000-0000B90C0000}"/>
    <cellStyle name="—_GS_PNL_Book7_new-Sub" xfId="3920" xr:uid="{00000000-0005-0000-0000-0000BA0C0000}"/>
    <cellStyle name="—_GS_PNL_Cashflow" xfId="5146" xr:uid="{00000000-0005-0000-0000-0000BB0C0000}"/>
    <cellStyle name="—_GS_PNL_Cashflow_Honghua MSTR" xfId="5147" xr:uid="{00000000-0005-0000-0000-0000BC0C0000}"/>
    <cellStyle name="—_GS_PNL_DoCoMo table 10July2000" xfId="3921" xr:uid="{00000000-0005-0000-0000-0000BD0C0000}"/>
    <cellStyle name="—_GS_PNL_DoCoMo table 10July2000_new-Sub" xfId="3922" xr:uid="{00000000-0005-0000-0000-0000BE0C0000}"/>
    <cellStyle name="—_GS_PNL_earnings" xfId="3923" xr:uid="{00000000-0005-0000-0000-0000BF0C0000}"/>
    <cellStyle name="—_GS_PNL_earnings_new-Sub" xfId="3924" xr:uid="{00000000-0005-0000-0000-0000C00C0000}"/>
    <cellStyle name="—_GS_PNL_EM_CMHK" xfId="3925" xr:uid="{00000000-0005-0000-0000-0000C10C0000}"/>
    <cellStyle name="—_GS_PNL_EM_CMHK_new-Sub" xfId="3926" xr:uid="{00000000-0005-0000-0000-0000C20C0000}"/>
    <cellStyle name="—_GS_PNL_EM_FETone_new" xfId="3927" xr:uid="{00000000-0005-0000-0000-0000C30C0000}"/>
    <cellStyle name="—_GS_PNL_EM_FETone_new_new-Sub" xfId="3928" xr:uid="{00000000-0005-0000-0000-0000C40C0000}"/>
    <cellStyle name="—_GS_PNL_EM_TCC_new" xfId="3929" xr:uid="{00000000-0005-0000-0000-0000C50C0000}"/>
    <cellStyle name="—_GS_PNL_EM_TCC_new_new-Sub" xfId="3930" xr:uid="{00000000-0005-0000-0000-0000C60C0000}"/>
    <cellStyle name="—_GS_PNL_EM-Optus" xfId="3931" xr:uid="{00000000-0005-0000-0000-0000C70C0000}"/>
    <cellStyle name="—_GS_PNL_EM-Optus_new-Sub" xfId="3932" xr:uid="{00000000-0005-0000-0000-0000C80C0000}"/>
    <cellStyle name="—_GS_PNL_GlobalValuation_Japan" xfId="11174" xr:uid="{00000000-0005-0000-0000-0000C90C0000}"/>
    <cellStyle name="—_GS_PNL_honam -Quantum 220704" xfId="5148" xr:uid="{00000000-0005-0000-0000-0000CA0C0000}"/>
    <cellStyle name="—_GS_PNL_JT CROCI" xfId="11175" xr:uid="{00000000-0005-0000-0000-0000CB0C0000}"/>
    <cellStyle name="—_GS_PNL_KDDI CROCI" xfId="11176" xr:uid="{00000000-0005-0000-0000-0000CC0C0000}"/>
    <cellStyle name="—_GS_PNL_Kelvin_SKT_dividend_Mar10_2003" xfId="5149" xr:uid="{00000000-0005-0000-0000-0000CD0C0000}"/>
    <cellStyle name="—_GS_PNL_Kelvin_SKT_dividend_Mar10_2003_Beta" xfId="5150" xr:uid="{00000000-0005-0000-0000-0000CE0C0000}"/>
    <cellStyle name="—_GS_PNL_Kelvin_SKT_dividend_Mar10_2003_Cashflow" xfId="5151" xr:uid="{00000000-0005-0000-0000-0000CF0C0000}"/>
    <cellStyle name="—_GS_PNL_Kelvin_SKT_dividend_Mar10_2003_Cashflow_Honghua MSTR" xfId="5152" xr:uid="{00000000-0005-0000-0000-0000D00C0000}"/>
    <cellStyle name="—_GS_PNL_Kelvin_SKT_dividend_Mar10_2003_P&amp;L" xfId="5153" xr:uid="{00000000-0005-0000-0000-0000D10C0000}"/>
    <cellStyle name="—_GS_PNL_Kelvin_SKT_dividend_Mar10_2003_P&amp;L_Honghua MSTR" xfId="5154" xr:uid="{00000000-0005-0000-0000-0000D20C0000}"/>
    <cellStyle name="—_GS_PNL_Kelvin_SKT_dividend_Mar10_2003_PetroChina Master" xfId="5155" xr:uid="{00000000-0005-0000-0000-0000D30C0000}"/>
    <cellStyle name="—_GS_PNL_Kelvin_SKT_dividend_Mar10_2003_PetroChina Master_WIP(20-F update)" xfId="5156" xr:uid="{00000000-0005-0000-0000-0000D40C0000}"/>
    <cellStyle name="—_GS_PNL_Kelvin_SKT_dividend_Mar10_2003_PetroChina Master_WIP(20-F update)_Cashflow" xfId="5157" xr:uid="{00000000-0005-0000-0000-0000D50C0000}"/>
    <cellStyle name="—_GS_PNL_Kelvin_SKT_dividend_Mar10_2003_PetroChina Master_WIP(20-F update)_Cashflow_Honghua MSTR" xfId="5158" xr:uid="{00000000-0005-0000-0000-0000D60C0000}"/>
    <cellStyle name="—_GS_PNL_Kelvin_SKT_dividend_Mar10_2003_PetroChina Master_WIP(20-F update)_P&amp;L" xfId="5159" xr:uid="{00000000-0005-0000-0000-0000D70C0000}"/>
    <cellStyle name="—_GS_PNL_Kelvin_SKT_dividend_Mar10_2003_PetroChina Master_WIP(20-F update)_P&amp;L_Honghua MSTR" xfId="5160" xr:uid="{00000000-0005-0000-0000-0000D80C0000}"/>
    <cellStyle name="—_GS_PNL_Kelvin_SKT_dividend_Mar10_2003_PetroChina Master_WIP(20-F update)_Sinopec MSTR" xfId="5161" xr:uid="{00000000-0005-0000-0000-0000D90C0000}"/>
    <cellStyle name="—_GS_PNL_Kelvin_SKT_dividend_Mar10_2003_PetroChina Master_WIP(20-F update)_Sinopec MSTR Wip" xfId="5162" xr:uid="{00000000-0005-0000-0000-0000DA0C0000}"/>
    <cellStyle name="—_GS_PNL_Kelvin_SKT_dividend_Mar10_2003_PetroChina Master_WIP(20-F update)_Sinopec MSTR_WIP_KK" xfId="5163" xr:uid="{00000000-0005-0000-0000-0000DB0C0000}"/>
    <cellStyle name="—_GS_PNL_Kelvin_SKT_dividend_Mar10_2003_Sinopec MSTR" xfId="5164" xr:uid="{00000000-0005-0000-0000-0000DC0C0000}"/>
    <cellStyle name="—_GS_PNL_new-Sub" xfId="3933" xr:uid="{00000000-0005-0000-0000-0000DD0C0000}"/>
    <cellStyle name="—_GS_PNL_NTT CROCI" xfId="11177" xr:uid="{00000000-0005-0000-0000-0000DE0C0000}"/>
    <cellStyle name="—_GS_PNL_NTT proportionate" xfId="11178" xr:uid="{00000000-0005-0000-0000-0000DF0C0000}"/>
    <cellStyle name="—_GS_PNL_operating stats comp" xfId="3934" xr:uid="{00000000-0005-0000-0000-0000E00C0000}"/>
    <cellStyle name="—_GS_PNL_operating stats comp_new-Sub" xfId="3935" xr:uid="{00000000-0005-0000-0000-0000E10C0000}"/>
    <cellStyle name="—_GS_PNL_P&amp;L" xfId="5165" xr:uid="{00000000-0005-0000-0000-0000E20C0000}"/>
    <cellStyle name="—_GS_PNL_P&amp;L_Honghua MSTR" xfId="5166" xr:uid="{00000000-0005-0000-0000-0000E30C0000}"/>
    <cellStyle name="—_GS_PNL_PetroChina Master" xfId="5167" xr:uid="{00000000-0005-0000-0000-0000E40C0000}"/>
    <cellStyle name="—_GS_PNL_PetroChina Master_WIP(20-F update)" xfId="5168" xr:uid="{00000000-0005-0000-0000-0000E50C0000}"/>
    <cellStyle name="—_GS_PNL_PetroChina Master_WIP(20-F update)_Cashflow" xfId="5169" xr:uid="{00000000-0005-0000-0000-0000E60C0000}"/>
    <cellStyle name="—_GS_PNL_PetroChina Master_WIP(20-F update)_Cashflow_Honghua MSTR" xfId="5170" xr:uid="{00000000-0005-0000-0000-0000E70C0000}"/>
    <cellStyle name="—_GS_PNL_PetroChina Master_WIP(20-F update)_P&amp;L" xfId="5171" xr:uid="{00000000-0005-0000-0000-0000E80C0000}"/>
    <cellStyle name="—_GS_PNL_PetroChina Master_WIP(20-F update)_P&amp;L_Honghua MSTR" xfId="5172" xr:uid="{00000000-0005-0000-0000-0000E90C0000}"/>
    <cellStyle name="—_GS_PNL_PetroChina Master_WIP(20-F update)_Sinopec MSTR" xfId="5173" xr:uid="{00000000-0005-0000-0000-0000EA0C0000}"/>
    <cellStyle name="—_GS_PNL_PetroChina Master_WIP(20-F update)_Sinopec MSTR Wip" xfId="5174" xr:uid="{00000000-0005-0000-0000-0000EB0C0000}"/>
    <cellStyle name="—_GS_PNL_PetroChina Master_WIP(20-F update)_Sinopec MSTR_WIP_KK" xfId="5175" xr:uid="{00000000-0005-0000-0000-0000EC0C0000}"/>
    <cellStyle name="—_GS_PNL_Sheet1" xfId="11179" xr:uid="{00000000-0005-0000-0000-0000ED0C0000}"/>
    <cellStyle name="—_GS_PNL_Sinopec MSTR" xfId="5176" xr:uid="{00000000-0005-0000-0000-0000EE0C0000}"/>
    <cellStyle name="—_GS_PNL_SK COrp - Quantum 290704" xfId="5177" xr:uid="{00000000-0005-0000-0000-0000EF0C0000}"/>
    <cellStyle name="—_GS_PNL_S-Oil-Quantum 260704" xfId="5178" xr:uid="{00000000-0005-0000-0000-0000F00C0000}"/>
    <cellStyle name="—_GS_PNL_S-Oil-Quantum 260704_Beta" xfId="5179" xr:uid="{00000000-0005-0000-0000-0000F10C0000}"/>
    <cellStyle name="—_GS_PNL_S-Oil-Quantum 260704_Cashflow" xfId="5180" xr:uid="{00000000-0005-0000-0000-0000F20C0000}"/>
    <cellStyle name="—_GS_PNL_S-Oil-Quantum 260704_Cashflow_Honghua MSTR" xfId="5181" xr:uid="{00000000-0005-0000-0000-0000F30C0000}"/>
    <cellStyle name="—_GS_PNL_S-Oil-Quantum 260704_P&amp;L" xfId="5182" xr:uid="{00000000-0005-0000-0000-0000F40C0000}"/>
    <cellStyle name="—_GS_PNL_S-Oil-Quantum 260704_P&amp;L_Honghua MSTR" xfId="5183" xr:uid="{00000000-0005-0000-0000-0000F50C0000}"/>
    <cellStyle name="—_GS_PNL_S-Oil-Quantum 260704_PetroChina Master" xfId="5184" xr:uid="{00000000-0005-0000-0000-0000F60C0000}"/>
    <cellStyle name="—_GS_PNL_S-Oil-Quantum 260704_PetroChina Master_WIP(20-F update)" xfId="5185" xr:uid="{00000000-0005-0000-0000-0000F70C0000}"/>
    <cellStyle name="—_GS_PNL_S-Oil-Quantum 260704_PetroChina Master_WIP(20-F update)_Cashflow" xfId="5186" xr:uid="{00000000-0005-0000-0000-0000F80C0000}"/>
    <cellStyle name="—_GS_PNL_S-Oil-Quantum 260704_PetroChina Master_WIP(20-F update)_Cashflow_Honghua MSTR" xfId="5187" xr:uid="{00000000-0005-0000-0000-0000F90C0000}"/>
    <cellStyle name="—_GS_PNL_S-Oil-Quantum 260704_PetroChina Master_WIP(20-F update)_P&amp;L" xfId="5188" xr:uid="{00000000-0005-0000-0000-0000FA0C0000}"/>
    <cellStyle name="—_GS_PNL_S-Oil-Quantum 260704_PetroChina Master_WIP(20-F update)_P&amp;L_Honghua MSTR" xfId="5189" xr:uid="{00000000-0005-0000-0000-0000FB0C0000}"/>
    <cellStyle name="—_GS_PNL_S-Oil-Quantum 260704_PetroChina Master_WIP(20-F update)_Sinopec MSTR" xfId="5190" xr:uid="{00000000-0005-0000-0000-0000FC0C0000}"/>
    <cellStyle name="—_GS_PNL_S-Oil-Quantum 260704_PetroChina Master_WIP(20-F update)_Sinopec MSTR Wip" xfId="5191" xr:uid="{00000000-0005-0000-0000-0000FD0C0000}"/>
    <cellStyle name="—_GS_PNL_S-Oil-Quantum 260704_PetroChina Master_WIP(20-F update)_Sinopec MSTR_WIP_KK" xfId="5192" xr:uid="{00000000-0005-0000-0000-0000FE0C0000}"/>
    <cellStyle name="—_GS_PNL_S-Oil-Quantum 260704_Sinopec MSTR" xfId="5193" xr:uid="{00000000-0005-0000-0000-0000FF0C0000}"/>
    <cellStyle name="—_GS_PNL_Strategy_data_update" xfId="3936" xr:uid="{00000000-0005-0000-0000-0000000D0000}"/>
    <cellStyle name="—_GS_PNL_Strategy_data_update_new-Sub" xfId="3937" xr:uid="{00000000-0005-0000-0000-0000010D0000}"/>
    <cellStyle name="_GSJBW 250506hub1" xfId="7012" xr:uid="{00000000-0005-0000-0000-0000020D0000}"/>
    <cellStyle name="_GSJBW 250506hub2" xfId="7013" xr:uid="{00000000-0005-0000-0000-0000030D0000}"/>
    <cellStyle name="_GSJBW 250506hub3" xfId="7014" xr:uid="{00000000-0005-0000-0000-0000040D0000}"/>
    <cellStyle name="_Heading" xfId="3938" xr:uid="{00000000-0005-0000-0000-0000050D0000}"/>
    <cellStyle name="_Heading_prestemp" xfId="7455" xr:uid="{00000000-0005-0000-0000-0000060D0000}"/>
    <cellStyle name="_Highlight" xfId="3939" xr:uid="{00000000-0005-0000-0000-0000070D0000}"/>
    <cellStyle name="—_Honam Master" xfId="5194" xr:uid="{00000000-0005-0000-0000-0000080D0000}"/>
    <cellStyle name="—_honam -Quantum 220704" xfId="5195" xr:uid="{00000000-0005-0000-0000-0000090D0000}"/>
    <cellStyle name="—_I&amp;O Report Tables" xfId="3940" xr:uid="{00000000-0005-0000-0000-00000A0D0000}"/>
    <cellStyle name="—_I&amp;O Report Tables 2" xfId="5196" xr:uid="{00000000-0005-0000-0000-00000B0D0000}"/>
    <cellStyle name="—_I&amp;O Report Tables_Beta" xfId="5197" xr:uid="{00000000-0005-0000-0000-00000C0D0000}"/>
    <cellStyle name="—_I&amp;O Report Tables_Beta_1" xfId="5198" xr:uid="{00000000-0005-0000-0000-00000D0D0000}"/>
    <cellStyle name="—_I&amp;O Report Tables_Book1" xfId="5199" xr:uid="{00000000-0005-0000-0000-00000E0D0000}"/>
    <cellStyle name="—_I&amp;O Report Tables_Book2" xfId="5200" xr:uid="{00000000-0005-0000-0000-00000F0D0000}"/>
    <cellStyle name="—_I&amp;O Report Tables_Book2_Beta" xfId="5201" xr:uid="{00000000-0005-0000-0000-0000100D0000}"/>
    <cellStyle name="—_I&amp;O Report Tables_Book2_Cashflow" xfId="5202" xr:uid="{00000000-0005-0000-0000-0000110D0000}"/>
    <cellStyle name="—_I&amp;O Report Tables_Book2_Cashflow_Honghua MSTR" xfId="5203" xr:uid="{00000000-0005-0000-0000-0000120D0000}"/>
    <cellStyle name="—_I&amp;O Report Tables_Book2_P&amp;L" xfId="5204" xr:uid="{00000000-0005-0000-0000-0000130D0000}"/>
    <cellStyle name="—_I&amp;O Report Tables_Book2_P&amp;L_Honghua MSTR" xfId="5205" xr:uid="{00000000-0005-0000-0000-0000140D0000}"/>
    <cellStyle name="—_I&amp;O Report Tables_Book2_PetroChina Master" xfId="5206" xr:uid="{00000000-0005-0000-0000-0000150D0000}"/>
    <cellStyle name="—_I&amp;O Report Tables_Book2_PetroChina Master_WIP(20-F update)" xfId="5207" xr:uid="{00000000-0005-0000-0000-0000160D0000}"/>
    <cellStyle name="—_I&amp;O Report Tables_Book2_PetroChina Master_WIP(20-F update)_Cashflow" xfId="5208" xr:uid="{00000000-0005-0000-0000-0000170D0000}"/>
    <cellStyle name="—_I&amp;O Report Tables_Book2_PetroChina Master_WIP(20-F update)_Cashflow_Honghua MSTR" xfId="5209" xr:uid="{00000000-0005-0000-0000-0000180D0000}"/>
    <cellStyle name="—_I&amp;O Report Tables_Book2_PetroChina Master_WIP(20-F update)_P&amp;L" xfId="5210" xr:uid="{00000000-0005-0000-0000-0000190D0000}"/>
    <cellStyle name="—_I&amp;O Report Tables_Book2_PetroChina Master_WIP(20-F update)_P&amp;L_Honghua MSTR" xfId="5211" xr:uid="{00000000-0005-0000-0000-00001A0D0000}"/>
    <cellStyle name="—_I&amp;O Report Tables_Book2_PetroChina Master_WIP(20-F update)_Sinopec MSTR" xfId="5212" xr:uid="{00000000-0005-0000-0000-00001B0D0000}"/>
    <cellStyle name="—_I&amp;O Report Tables_Book2_PetroChina Master_WIP(20-F update)_Sinopec MSTR Wip" xfId="5213" xr:uid="{00000000-0005-0000-0000-00001C0D0000}"/>
    <cellStyle name="—_I&amp;O Report Tables_Book2_PetroChina Master_WIP(20-F update)_Sinopec MSTR_WIP_KK" xfId="5214" xr:uid="{00000000-0005-0000-0000-00001D0D0000}"/>
    <cellStyle name="—_I&amp;O Report Tables_Book2_Sinopec MSTR" xfId="5215" xr:uid="{00000000-0005-0000-0000-00001E0D0000}"/>
    <cellStyle name="—_I&amp;O Report Tables_Book3" xfId="5216" xr:uid="{00000000-0005-0000-0000-00001F0D0000}"/>
    <cellStyle name="—_I&amp;O Report Tables_Book3_Beta" xfId="5217" xr:uid="{00000000-0005-0000-0000-0000200D0000}"/>
    <cellStyle name="—_I&amp;O Report Tables_Book3_Cashflow" xfId="5218" xr:uid="{00000000-0005-0000-0000-0000210D0000}"/>
    <cellStyle name="—_I&amp;O Report Tables_Book3_Cashflow_Honghua MSTR" xfId="5219" xr:uid="{00000000-0005-0000-0000-0000220D0000}"/>
    <cellStyle name="—_I&amp;O Report Tables_Book3_P&amp;L" xfId="5220" xr:uid="{00000000-0005-0000-0000-0000230D0000}"/>
    <cellStyle name="—_I&amp;O Report Tables_Book3_P&amp;L_Honghua MSTR" xfId="5221" xr:uid="{00000000-0005-0000-0000-0000240D0000}"/>
    <cellStyle name="—_I&amp;O Report Tables_Book3_PetroChina Master" xfId="5222" xr:uid="{00000000-0005-0000-0000-0000250D0000}"/>
    <cellStyle name="—_I&amp;O Report Tables_Book3_PetroChina Master_WIP(20-F update)" xfId="5223" xr:uid="{00000000-0005-0000-0000-0000260D0000}"/>
    <cellStyle name="—_I&amp;O Report Tables_Book3_PetroChina Master_WIP(20-F update)_Cashflow" xfId="5224" xr:uid="{00000000-0005-0000-0000-0000270D0000}"/>
    <cellStyle name="—_I&amp;O Report Tables_Book3_PetroChina Master_WIP(20-F update)_Cashflow_Honghua MSTR" xfId="5225" xr:uid="{00000000-0005-0000-0000-0000280D0000}"/>
    <cellStyle name="—_I&amp;O Report Tables_Book3_PetroChina Master_WIP(20-F update)_P&amp;L" xfId="5226" xr:uid="{00000000-0005-0000-0000-0000290D0000}"/>
    <cellStyle name="—_I&amp;O Report Tables_Book3_PetroChina Master_WIP(20-F update)_P&amp;L_Honghua MSTR" xfId="5227" xr:uid="{00000000-0005-0000-0000-00002A0D0000}"/>
    <cellStyle name="—_I&amp;O Report Tables_Book3_PetroChina Master_WIP(20-F update)_Sinopec MSTR" xfId="5228" xr:uid="{00000000-0005-0000-0000-00002B0D0000}"/>
    <cellStyle name="—_I&amp;O Report Tables_Book3_PetroChina Master_WIP(20-F update)_Sinopec MSTR Wip" xfId="5229" xr:uid="{00000000-0005-0000-0000-00002C0D0000}"/>
    <cellStyle name="—_I&amp;O Report Tables_Book3_PetroChina Master_WIP(20-F update)_Sinopec MSTR_WIP_KK" xfId="5230" xr:uid="{00000000-0005-0000-0000-00002D0D0000}"/>
    <cellStyle name="—_I&amp;O Report Tables_Book3_Sinopec MSTR" xfId="5231" xr:uid="{00000000-0005-0000-0000-00002E0D0000}"/>
    <cellStyle name="—_I&amp;O Report Tables_Book7" xfId="3941" xr:uid="{00000000-0005-0000-0000-00002F0D0000}"/>
    <cellStyle name="—_I&amp;O Report Tables_Book7_new-Sub" xfId="3942" xr:uid="{00000000-0005-0000-0000-0000300D0000}"/>
    <cellStyle name="—_I&amp;O Report Tables_BPCL Master" xfId="5232" xr:uid="{00000000-0005-0000-0000-0000310D0000}"/>
    <cellStyle name="—_I&amp;O Report Tables_BPCL Master_Beta" xfId="5233" xr:uid="{00000000-0005-0000-0000-0000320D0000}"/>
    <cellStyle name="—_I&amp;O Report Tables_BPCL Master_Cashflow" xfId="5234" xr:uid="{00000000-0005-0000-0000-0000330D0000}"/>
    <cellStyle name="—_I&amp;O Report Tables_BPCL Master_Cashflow_Honghua MSTR" xfId="5235" xr:uid="{00000000-0005-0000-0000-0000340D0000}"/>
    <cellStyle name="—_I&amp;O Report Tables_BPCL Master_P&amp;L" xfId="5236" xr:uid="{00000000-0005-0000-0000-0000350D0000}"/>
    <cellStyle name="—_I&amp;O Report Tables_BPCL Master_P&amp;L_Honghua MSTR" xfId="5237" xr:uid="{00000000-0005-0000-0000-0000360D0000}"/>
    <cellStyle name="—_I&amp;O Report Tables_BPCL Master_PetroChina Master" xfId="5238" xr:uid="{00000000-0005-0000-0000-0000370D0000}"/>
    <cellStyle name="—_I&amp;O Report Tables_BPCL Master_PetroChina Master_WIP(20-F update)" xfId="5239" xr:uid="{00000000-0005-0000-0000-0000380D0000}"/>
    <cellStyle name="—_I&amp;O Report Tables_BPCL Master_PetroChina Master_WIP(20-F update)_Cashflow" xfId="5240" xr:uid="{00000000-0005-0000-0000-0000390D0000}"/>
    <cellStyle name="—_I&amp;O Report Tables_BPCL Master_PetroChina Master_WIP(20-F update)_Cashflow_Honghua MSTR" xfId="5241" xr:uid="{00000000-0005-0000-0000-00003A0D0000}"/>
    <cellStyle name="—_I&amp;O Report Tables_BPCL Master_PetroChina Master_WIP(20-F update)_P&amp;L" xfId="5242" xr:uid="{00000000-0005-0000-0000-00003B0D0000}"/>
    <cellStyle name="—_I&amp;O Report Tables_BPCL Master_PetroChina Master_WIP(20-F update)_P&amp;L_Honghua MSTR" xfId="5243" xr:uid="{00000000-0005-0000-0000-00003C0D0000}"/>
    <cellStyle name="—_I&amp;O Report Tables_BPCL Master_PetroChina Master_WIP(20-F update)_Sinopec MSTR" xfId="5244" xr:uid="{00000000-0005-0000-0000-00003D0D0000}"/>
    <cellStyle name="—_I&amp;O Report Tables_BPCL Master_PetroChina Master_WIP(20-F update)_Sinopec MSTR Wip" xfId="5245" xr:uid="{00000000-0005-0000-0000-00003E0D0000}"/>
    <cellStyle name="—_I&amp;O Report Tables_BPCL Master_PetroChina Master_WIP(20-F update)_Sinopec MSTR_WIP_KK" xfId="5246" xr:uid="{00000000-0005-0000-0000-00003F0D0000}"/>
    <cellStyle name="—_I&amp;O Report Tables_BPCL Master_Sinopec MSTR" xfId="5247" xr:uid="{00000000-0005-0000-0000-0000400D0000}"/>
    <cellStyle name="—_I&amp;O Report Tables_candicetables" xfId="3943" xr:uid="{00000000-0005-0000-0000-0000410D0000}"/>
    <cellStyle name="—_I&amp;O Report Tables_candicetables 2" xfId="5248" xr:uid="{00000000-0005-0000-0000-0000420D0000}"/>
    <cellStyle name="—_I&amp;O Report Tables_candicetables_Beta" xfId="5249" xr:uid="{00000000-0005-0000-0000-0000430D0000}"/>
    <cellStyle name="—_I&amp;O Report Tables_candicetables_Beta_1" xfId="5250" xr:uid="{00000000-0005-0000-0000-0000440D0000}"/>
    <cellStyle name="—_I&amp;O Report Tables_candicetables_Book1" xfId="5251" xr:uid="{00000000-0005-0000-0000-0000450D0000}"/>
    <cellStyle name="—_I&amp;O Report Tables_candicetables_Book2" xfId="5252" xr:uid="{00000000-0005-0000-0000-0000460D0000}"/>
    <cellStyle name="—_I&amp;O Report Tables_candicetables_Book2_Beta" xfId="5253" xr:uid="{00000000-0005-0000-0000-0000470D0000}"/>
    <cellStyle name="—_I&amp;O Report Tables_candicetables_Book2_Cashflow" xfId="5254" xr:uid="{00000000-0005-0000-0000-0000480D0000}"/>
    <cellStyle name="—_I&amp;O Report Tables_candicetables_Book2_Cashflow_Honghua MSTR" xfId="5255" xr:uid="{00000000-0005-0000-0000-0000490D0000}"/>
    <cellStyle name="—_I&amp;O Report Tables_candicetables_Book2_P&amp;L" xfId="5256" xr:uid="{00000000-0005-0000-0000-00004A0D0000}"/>
    <cellStyle name="—_I&amp;O Report Tables_candicetables_Book2_P&amp;L_Honghua MSTR" xfId="5257" xr:uid="{00000000-0005-0000-0000-00004B0D0000}"/>
    <cellStyle name="—_I&amp;O Report Tables_candicetables_Book2_PetroChina Master" xfId="5258" xr:uid="{00000000-0005-0000-0000-00004C0D0000}"/>
    <cellStyle name="—_I&amp;O Report Tables_candicetables_Book2_PetroChina Master_WIP(20-F update)" xfId="5259" xr:uid="{00000000-0005-0000-0000-00004D0D0000}"/>
    <cellStyle name="—_I&amp;O Report Tables_candicetables_Book2_PetroChina Master_WIP(20-F update)_Cashflow" xfId="5260" xr:uid="{00000000-0005-0000-0000-00004E0D0000}"/>
    <cellStyle name="—_I&amp;O Report Tables_candicetables_Book2_PetroChina Master_WIP(20-F update)_Cashflow_Honghua MSTR" xfId="5261" xr:uid="{00000000-0005-0000-0000-00004F0D0000}"/>
    <cellStyle name="—_I&amp;O Report Tables_candicetables_Book2_PetroChina Master_WIP(20-F update)_P&amp;L" xfId="5262" xr:uid="{00000000-0005-0000-0000-0000500D0000}"/>
    <cellStyle name="—_I&amp;O Report Tables_candicetables_Book2_PetroChina Master_WIP(20-F update)_P&amp;L_Honghua MSTR" xfId="5263" xr:uid="{00000000-0005-0000-0000-0000510D0000}"/>
    <cellStyle name="—_I&amp;O Report Tables_candicetables_Book2_PetroChina Master_WIP(20-F update)_Sinopec MSTR" xfId="5264" xr:uid="{00000000-0005-0000-0000-0000520D0000}"/>
    <cellStyle name="—_I&amp;O Report Tables_candicetables_Book2_PetroChina Master_WIP(20-F update)_Sinopec MSTR Wip" xfId="5265" xr:uid="{00000000-0005-0000-0000-0000530D0000}"/>
    <cellStyle name="—_I&amp;O Report Tables_candicetables_Book2_PetroChina Master_WIP(20-F update)_Sinopec MSTR_WIP_KK" xfId="5266" xr:uid="{00000000-0005-0000-0000-0000540D0000}"/>
    <cellStyle name="—_I&amp;O Report Tables_candicetables_Book2_Sinopec MSTR" xfId="5267" xr:uid="{00000000-0005-0000-0000-0000550D0000}"/>
    <cellStyle name="—_I&amp;O Report Tables_candicetables_Book3" xfId="5268" xr:uid="{00000000-0005-0000-0000-0000560D0000}"/>
    <cellStyle name="—_I&amp;O Report Tables_candicetables_Book3_Beta" xfId="5269" xr:uid="{00000000-0005-0000-0000-0000570D0000}"/>
    <cellStyle name="—_I&amp;O Report Tables_candicetables_Book3_Cashflow" xfId="5270" xr:uid="{00000000-0005-0000-0000-0000580D0000}"/>
    <cellStyle name="—_I&amp;O Report Tables_candicetables_Book3_Cashflow_Honghua MSTR" xfId="5271" xr:uid="{00000000-0005-0000-0000-0000590D0000}"/>
    <cellStyle name="—_I&amp;O Report Tables_candicetables_Book3_P&amp;L" xfId="5272" xr:uid="{00000000-0005-0000-0000-00005A0D0000}"/>
    <cellStyle name="—_I&amp;O Report Tables_candicetables_Book3_P&amp;L_Honghua MSTR" xfId="5273" xr:uid="{00000000-0005-0000-0000-00005B0D0000}"/>
    <cellStyle name="—_I&amp;O Report Tables_candicetables_Book3_PetroChina Master" xfId="5274" xr:uid="{00000000-0005-0000-0000-00005C0D0000}"/>
    <cellStyle name="—_I&amp;O Report Tables_candicetables_Book3_PetroChina Master_WIP(20-F update)" xfId="5275" xr:uid="{00000000-0005-0000-0000-00005D0D0000}"/>
    <cellStyle name="—_I&amp;O Report Tables_candicetables_Book3_PetroChina Master_WIP(20-F update)_Cashflow" xfId="5276" xr:uid="{00000000-0005-0000-0000-00005E0D0000}"/>
    <cellStyle name="—_I&amp;O Report Tables_candicetables_Book3_PetroChina Master_WIP(20-F update)_Cashflow_Honghua MSTR" xfId="5277" xr:uid="{00000000-0005-0000-0000-00005F0D0000}"/>
    <cellStyle name="—_I&amp;O Report Tables_candicetables_Book3_PetroChina Master_WIP(20-F update)_P&amp;L" xfId="5278" xr:uid="{00000000-0005-0000-0000-0000600D0000}"/>
    <cellStyle name="—_I&amp;O Report Tables_candicetables_Book3_PetroChina Master_WIP(20-F update)_P&amp;L_Honghua MSTR" xfId="5279" xr:uid="{00000000-0005-0000-0000-0000610D0000}"/>
    <cellStyle name="—_I&amp;O Report Tables_candicetables_Book3_PetroChina Master_WIP(20-F update)_Sinopec MSTR" xfId="5280" xr:uid="{00000000-0005-0000-0000-0000620D0000}"/>
    <cellStyle name="—_I&amp;O Report Tables_candicetables_Book3_PetroChina Master_WIP(20-F update)_Sinopec MSTR Wip" xfId="5281" xr:uid="{00000000-0005-0000-0000-0000630D0000}"/>
    <cellStyle name="—_I&amp;O Report Tables_candicetables_Book3_PetroChina Master_WIP(20-F update)_Sinopec MSTR_WIP_KK" xfId="5282" xr:uid="{00000000-0005-0000-0000-0000640D0000}"/>
    <cellStyle name="—_I&amp;O Report Tables_candicetables_Book3_Sinopec MSTR" xfId="5283" xr:uid="{00000000-0005-0000-0000-0000650D0000}"/>
    <cellStyle name="—_I&amp;O Report Tables_candicetables_Book7" xfId="3944" xr:uid="{00000000-0005-0000-0000-0000660D0000}"/>
    <cellStyle name="—_I&amp;O Report Tables_candicetables_Book7_new-Sub" xfId="3945" xr:uid="{00000000-0005-0000-0000-0000670D0000}"/>
    <cellStyle name="—_I&amp;O Report Tables_candicetables_BPCL Master" xfId="5284" xr:uid="{00000000-0005-0000-0000-0000680D0000}"/>
    <cellStyle name="—_I&amp;O Report Tables_candicetables_BPCL Master_Beta" xfId="5285" xr:uid="{00000000-0005-0000-0000-0000690D0000}"/>
    <cellStyle name="—_I&amp;O Report Tables_candicetables_BPCL Master_Cashflow" xfId="5286" xr:uid="{00000000-0005-0000-0000-00006A0D0000}"/>
    <cellStyle name="—_I&amp;O Report Tables_candicetables_BPCL Master_Cashflow_Honghua MSTR" xfId="5287" xr:uid="{00000000-0005-0000-0000-00006B0D0000}"/>
    <cellStyle name="—_I&amp;O Report Tables_candicetables_BPCL Master_P&amp;L" xfId="5288" xr:uid="{00000000-0005-0000-0000-00006C0D0000}"/>
    <cellStyle name="—_I&amp;O Report Tables_candicetables_BPCL Master_P&amp;L_Honghua MSTR" xfId="5289" xr:uid="{00000000-0005-0000-0000-00006D0D0000}"/>
    <cellStyle name="—_I&amp;O Report Tables_candicetables_BPCL Master_PetroChina Master" xfId="5290" xr:uid="{00000000-0005-0000-0000-00006E0D0000}"/>
    <cellStyle name="—_I&amp;O Report Tables_candicetables_BPCL Master_PetroChina Master_WIP(20-F update)" xfId="5291" xr:uid="{00000000-0005-0000-0000-00006F0D0000}"/>
    <cellStyle name="—_I&amp;O Report Tables_candicetables_BPCL Master_PetroChina Master_WIP(20-F update)_Cashflow" xfId="5292" xr:uid="{00000000-0005-0000-0000-0000700D0000}"/>
    <cellStyle name="—_I&amp;O Report Tables_candicetables_BPCL Master_PetroChina Master_WIP(20-F update)_Cashflow_Honghua MSTR" xfId="5293" xr:uid="{00000000-0005-0000-0000-0000710D0000}"/>
    <cellStyle name="—_I&amp;O Report Tables_candicetables_BPCL Master_PetroChina Master_WIP(20-F update)_P&amp;L" xfId="5294" xr:uid="{00000000-0005-0000-0000-0000720D0000}"/>
    <cellStyle name="—_I&amp;O Report Tables_candicetables_BPCL Master_PetroChina Master_WIP(20-F update)_P&amp;L_Honghua MSTR" xfId="5295" xr:uid="{00000000-0005-0000-0000-0000730D0000}"/>
    <cellStyle name="—_I&amp;O Report Tables_candicetables_BPCL Master_PetroChina Master_WIP(20-F update)_Sinopec MSTR" xfId="5296" xr:uid="{00000000-0005-0000-0000-0000740D0000}"/>
    <cellStyle name="—_I&amp;O Report Tables_candicetables_BPCL Master_PetroChina Master_WIP(20-F update)_Sinopec MSTR Wip" xfId="5297" xr:uid="{00000000-0005-0000-0000-0000750D0000}"/>
    <cellStyle name="—_I&amp;O Report Tables_candicetables_BPCL Master_PetroChina Master_WIP(20-F update)_Sinopec MSTR_WIP_KK" xfId="5298" xr:uid="{00000000-0005-0000-0000-0000760D0000}"/>
    <cellStyle name="—_I&amp;O Report Tables_candicetables_BPCL Master_Sinopec MSTR" xfId="5299" xr:uid="{00000000-0005-0000-0000-0000770D0000}"/>
    <cellStyle name="—_I&amp;O Report Tables_candicetables_Cashflow" xfId="5300" xr:uid="{00000000-0005-0000-0000-0000780D0000}"/>
    <cellStyle name="—_I&amp;O Report Tables_candicetables_Cashflow_Honghua MSTR" xfId="5301" xr:uid="{00000000-0005-0000-0000-0000790D0000}"/>
    <cellStyle name="—_I&amp;O Report Tables_candicetables_CNOOC Master" xfId="5302" xr:uid="{00000000-0005-0000-0000-00007A0D0000}"/>
    <cellStyle name="—_I&amp;O Report Tables_candicetables_CNOOC Master_1" xfId="5303" xr:uid="{00000000-0005-0000-0000-00007B0D0000}"/>
    <cellStyle name="—_I&amp;O Report Tables_candicetables_CNOOC Master_Beta" xfId="5304" xr:uid="{00000000-0005-0000-0000-00007C0D0000}"/>
    <cellStyle name="—_I&amp;O Report Tables_candicetables_CNOOC Master_Cashflow" xfId="5305" xr:uid="{00000000-0005-0000-0000-00007D0D0000}"/>
    <cellStyle name="—_I&amp;O Report Tables_candicetables_CNOOC Master_Cashflow_Honghua MSTR" xfId="5306" xr:uid="{00000000-0005-0000-0000-00007E0D0000}"/>
    <cellStyle name="—_I&amp;O Report Tables_candicetables_CNOOC Master_P&amp;L" xfId="5307" xr:uid="{00000000-0005-0000-0000-00007F0D0000}"/>
    <cellStyle name="—_I&amp;O Report Tables_candicetables_CNOOC Master_P&amp;L_Honghua MSTR" xfId="5308" xr:uid="{00000000-0005-0000-0000-0000800D0000}"/>
    <cellStyle name="—_I&amp;O Report Tables_candicetables_CNOOC Master_PetroChina Master" xfId="5309" xr:uid="{00000000-0005-0000-0000-0000810D0000}"/>
    <cellStyle name="—_I&amp;O Report Tables_candicetables_CNOOC Master_PetroChina Master_WIP(20-F update)" xfId="5310" xr:uid="{00000000-0005-0000-0000-0000820D0000}"/>
    <cellStyle name="—_I&amp;O Report Tables_candicetables_CNOOC Master_PetroChina Master_WIP(20-F update)_Cashflow" xfId="5311" xr:uid="{00000000-0005-0000-0000-0000830D0000}"/>
    <cellStyle name="—_I&amp;O Report Tables_candicetables_CNOOC Master_PetroChina Master_WIP(20-F update)_Cashflow_Honghua MSTR" xfId="5312" xr:uid="{00000000-0005-0000-0000-0000840D0000}"/>
    <cellStyle name="—_I&amp;O Report Tables_candicetables_CNOOC Master_PetroChina Master_WIP(20-F update)_P&amp;L" xfId="5313" xr:uid="{00000000-0005-0000-0000-0000850D0000}"/>
    <cellStyle name="—_I&amp;O Report Tables_candicetables_CNOOC Master_PetroChina Master_WIP(20-F update)_P&amp;L_Honghua MSTR" xfId="5314" xr:uid="{00000000-0005-0000-0000-0000860D0000}"/>
    <cellStyle name="—_I&amp;O Report Tables_candicetables_CNOOC Master_PetroChina Master_WIP(20-F update)_Sinopec MSTR" xfId="5315" xr:uid="{00000000-0005-0000-0000-0000870D0000}"/>
    <cellStyle name="—_I&amp;O Report Tables_candicetables_CNOOC Master_PetroChina Master_WIP(20-F update)_Sinopec MSTR Wip" xfId="5316" xr:uid="{00000000-0005-0000-0000-0000880D0000}"/>
    <cellStyle name="—_I&amp;O Report Tables_candicetables_CNOOC Master_PetroChina Master_WIP(20-F update)_Sinopec MSTR_WIP_KK" xfId="5317" xr:uid="{00000000-0005-0000-0000-0000890D0000}"/>
    <cellStyle name="—_I&amp;O Report Tables_candicetables_CNOOC Master_Sinopec MSTR" xfId="5318" xr:uid="{00000000-0005-0000-0000-00008A0D0000}"/>
    <cellStyle name="—_I&amp;O Report Tables_candicetables_CNPC (HK) Master" xfId="5319" xr:uid="{00000000-0005-0000-0000-00008B0D0000}"/>
    <cellStyle name="—_I&amp;O Report Tables_candicetables_DCF" xfId="5320" xr:uid="{00000000-0005-0000-0000-00008C0D0000}"/>
    <cellStyle name="—_I&amp;O Report Tables_candicetables_DCF 08" xfId="5321" xr:uid="{00000000-0005-0000-0000-00008D0D0000}"/>
    <cellStyle name="—_I&amp;O Report Tables_candicetables_DoCoMo table 10July2000" xfId="3946" xr:uid="{00000000-0005-0000-0000-00008E0D0000}"/>
    <cellStyle name="—_I&amp;O Report Tables_candicetables_earnings" xfId="3947" xr:uid="{00000000-0005-0000-0000-00008F0D0000}"/>
    <cellStyle name="—_I&amp;O Report Tables_candicetables_earnings_new-Sub" xfId="3948" xr:uid="{00000000-0005-0000-0000-0000900D0000}"/>
    <cellStyle name="—_I&amp;O Report Tables_candicetables_EM_FETone_new" xfId="3949" xr:uid="{00000000-0005-0000-0000-0000910D0000}"/>
    <cellStyle name="—_I&amp;O Report Tables_candicetables_EM_FETone_new_new-Sub" xfId="3950" xr:uid="{00000000-0005-0000-0000-0000920D0000}"/>
    <cellStyle name="—_I&amp;O Report Tables_candicetables_EM_TCC_new" xfId="3951" xr:uid="{00000000-0005-0000-0000-0000930D0000}"/>
    <cellStyle name="—_I&amp;O Report Tables_candicetables_EM_TCC_new_new-Sub" xfId="3952" xr:uid="{00000000-0005-0000-0000-0000940D0000}"/>
    <cellStyle name="—_I&amp;O Report Tables_candicetables_Honam Master" xfId="5322" xr:uid="{00000000-0005-0000-0000-0000950D0000}"/>
    <cellStyle name="—_I&amp;O Report Tables_candicetables_honam -Quantum 220704" xfId="5323" xr:uid="{00000000-0005-0000-0000-0000960D0000}"/>
    <cellStyle name="—_I&amp;O Report Tables_candicetables_Kelvin_SKT_dividend_Mar10_2003" xfId="5324" xr:uid="{00000000-0005-0000-0000-0000970D0000}"/>
    <cellStyle name="—_I&amp;O Report Tables_candicetables_Kelvin_SKT_dividend_Mar10_2003_Beta" xfId="5325" xr:uid="{00000000-0005-0000-0000-0000980D0000}"/>
    <cellStyle name="—_I&amp;O Report Tables_candicetables_Kelvin_SKT_dividend_Mar10_2003_Cashflow" xfId="5326" xr:uid="{00000000-0005-0000-0000-0000990D0000}"/>
    <cellStyle name="—_I&amp;O Report Tables_candicetables_Kelvin_SKT_dividend_Mar10_2003_Cashflow_Honghua MSTR" xfId="5327" xr:uid="{00000000-0005-0000-0000-00009A0D0000}"/>
    <cellStyle name="—_I&amp;O Report Tables_candicetables_Kelvin_SKT_dividend_Mar10_2003_P&amp;L" xfId="5328" xr:uid="{00000000-0005-0000-0000-00009B0D0000}"/>
    <cellStyle name="—_I&amp;O Report Tables_candicetables_Kelvin_SKT_dividend_Mar10_2003_P&amp;L_Honghua MSTR" xfId="5329" xr:uid="{00000000-0005-0000-0000-00009C0D0000}"/>
    <cellStyle name="—_I&amp;O Report Tables_candicetables_Kelvin_SKT_dividend_Mar10_2003_PetroChina Master" xfId="5330" xr:uid="{00000000-0005-0000-0000-00009D0D0000}"/>
    <cellStyle name="—_I&amp;O Report Tables_candicetables_Kelvin_SKT_dividend_Mar10_2003_PetroChina Master_WIP(20-F update)" xfId="5331" xr:uid="{00000000-0005-0000-0000-00009E0D0000}"/>
    <cellStyle name="—_I&amp;O Report Tables_candicetables_Kelvin_SKT_dividend_Mar10_2003_PetroChina Master_WIP(20-F update)_Cashflow" xfId="5332" xr:uid="{00000000-0005-0000-0000-00009F0D0000}"/>
    <cellStyle name="—_I&amp;O Report Tables_candicetables_Kelvin_SKT_dividend_Mar10_2003_PetroChina Master_WIP(20-F update)_Cashflow_Honghua MSTR" xfId="5333" xr:uid="{00000000-0005-0000-0000-0000A00D0000}"/>
    <cellStyle name="—_I&amp;O Report Tables_candicetables_Kelvin_SKT_dividend_Mar10_2003_PetroChina Master_WIP(20-F update)_P&amp;L" xfId="5334" xr:uid="{00000000-0005-0000-0000-0000A10D0000}"/>
    <cellStyle name="—_I&amp;O Report Tables_candicetables_Kelvin_SKT_dividend_Mar10_2003_PetroChina Master_WIP(20-F update)_P&amp;L_Honghua MSTR" xfId="5335" xr:uid="{00000000-0005-0000-0000-0000A20D0000}"/>
    <cellStyle name="—_I&amp;O Report Tables_candicetables_Kelvin_SKT_dividend_Mar10_2003_PetroChina Master_WIP(20-F update)_Sinopec MSTR" xfId="5336" xr:uid="{00000000-0005-0000-0000-0000A30D0000}"/>
    <cellStyle name="—_I&amp;O Report Tables_candicetables_Kelvin_SKT_dividend_Mar10_2003_PetroChina Master_WIP(20-F update)_Sinopec MSTR Wip" xfId="5337" xr:uid="{00000000-0005-0000-0000-0000A40D0000}"/>
    <cellStyle name="—_I&amp;O Report Tables_candicetables_Kelvin_SKT_dividend_Mar10_2003_PetroChina Master_WIP(20-F update)_Sinopec MSTR_WIP_KK" xfId="5338" xr:uid="{00000000-0005-0000-0000-0000A50D0000}"/>
    <cellStyle name="—_I&amp;O Report Tables_candicetables_Kelvin_SKT_dividend_Mar10_2003_Sinopec MSTR" xfId="5339" xr:uid="{00000000-0005-0000-0000-0000A60D0000}"/>
    <cellStyle name="—_I&amp;O Report Tables_candicetables_new-Sub" xfId="3953" xr:uid="{00000000-0005-0000-0000-0000A70D0000}"/>
    <cellStyle name="—_I&amp;O Report Tables_candicetables_operating stats comp" xfId="3954" xr:uid="{00000000-0005-0000-0000-0000A80D0000}"/>
    <cellStyle name="—_I&amp;O Report Tables_candicetables_operating stats comp_new-Sub" xfId="3955" xr:uid="{00000000-0005-0000-0000-0000A90D0000}"/>
    <cellStyle name="—_I&amp;O Report Tables_candicetables_P&amp;L" xfId="5340" xr:uid="{00000000-0005-0000-0000-0000AA0D0000}"/>
    <cellStyle name="—_I&amp;O Report Tables_candicetables_P&amp;L_Honghua MSTR" xfId="5341" xr:uid="{00000000-0005-0000-0000-0000AB0D0000}"/>
    <cellStyle name="—_I&amp;O Report Tables_candicetables_PetroChina Master" xfId="5342" xr:uid="{00000000-0005-0000-0000-0000AC0D0000}"/>
    <cellStyle name="—_I&amp;O Report Tables_candicetables_PetroChina Master_WIP(20-F update)" xfId="5343" xr:uid="{00000000-0005-0000-0000-0000AD0D0000}"/>
    <cellStyle name="—_I&amp;O Report Tables_candicetables_PetroChina Master_WIP(20-F update)_Cashflow" xfId="5344" xr:uid="{00000000-0005-0000-0000-0000AE0D0000}"/>
    <cellStyle name="—_I&amp;O Report Tables_candicetables_PetroChina Master_WIP(20-F update)_Cashflow_Honghua MSTR" xfId="5345" xr:uid="{00000000-0005-0000-0000-0000AF0D0000}"/>
    <cellStyle name="—_I&amp;O Report Tables_candicetables_PetroChina Master_WIP(20-F update)_P&amp;L" xfId="5346" xr:uid="{00000000-0005-0000-0000-0000B00D0000}"/>
    <cellStyle name="—_I&amp;O Report Tables_candicetables_PetroChina Master_WIP(20-F update)_P&amp;L_Honghua MSTR" xfId="5347" xr:uid="{00000000-0005-0000-0000-0000B10D0000}"/>
    <cellStyle name="—_I&amp;O Report Tables_candicetables_PetroChina Master_WIP(20-F update)_Sinopec MSTR" xfId="5348" xr:uid="{00000000-0005-0000-0000-0000B20D0000}"/>
    <cellStyle name="—_I&amp;O Report Tables_candicetables_PetroChina Master_WIP(20-F update)_Sinopec MSTR Wip" xfId="5349" xr:uid="{00000000-0005-0000-0000-0000B30D0000}"/>
    <cellStyle name="—_I&amp;O Report Tables_candicetables_PetroChina Master_WIP(20-F update)_Sinopec MSTR_WIP_KK" xfId="5350" xr:uid="{00000000-0005-0000-0000-0000B40D0000}"/>
    <cellStyle name="—_I&amp;O Report Tables_candicetables_Profit" xfId="5351" xr:uid="{00000000-0005-0000-0000-0000B50D0000}"/>
    <cellStyle name="—_I&amp;O Report Tables_candicetables_PTTEP MASTER" xfId="5352" xr:uid="{00000000-0005-0000-0000-0000B60D0000}"/>
    <cellStyle name="—_I&amp;O Report Tables_candicetables_PTTEP MASTER WIP" xfId="5353" xr:uid="{00000000-0005-0000-0000-0000B70D0000}"/>
    <cellStyle name="—_I&amp;O Report Tables_candicetables_Sheet1" xfId="5354" xr:uid="{00000000-0005-0000-0000-0000B80D0000}"/>
    <cellStyle name="—_I&amp;O Report Tables_candicetables_Sinopec MSTR" xfId="5355" xr:uid="{00000000-0005-0000-0000-0000B90D0000}"/>
    <cellStyle name="—_I&amp;O Report Tables_candicetables_SK COrp - Quantum 290704" xfId="5356" xr:uid="{00000000-0005-0000-0000-0000BA0D0000}"/>
    <cellStyle name="—_I&amp;O Report Tables_candicetables_SK MSTR" xfId="5357" xr:uid="{00000000-0005-0000-0000-0000BB0D0000}"/>
    <cellStyle name="—_I&amp;O Report Tables_candicetables_SK MSTR_Beta" xfId="5358" xr:uid="{00000000-0005-0000-0000-0000BC0D0000}"/>
    <cellStyle name="—_I&amp;O Report Tables_candicetables_SK MSTR_Cashflow" xfId="5359" xr:uid="{00000000-0005-0000-0000-0000BD0D0000}"/>
    <cellStyle name="—_I&amp;O Report Tables_candicetables_SK MSTR_Cashflow_Honghua MSTR" xfId="5360" xr:uid="{00000000-0005-0000-0000-0000BE0D0000}"/>
    <cellStyle name="—_I&amp;O Report Tables_candicetables_SK MSTR_P&amp;L" xfId="5361" xr:uid="{00000000-0005-0000-0000-0000BF0D0000}"/>
    <cellStyle name="—_I&amp;O Report Tables_candicetables_SK MSTR_P&amp;L_Honghua MSTR" xfId="5362" xr:uid="{00000000-0005-0000-0000-0000C00D0000}"/>
    <cellStyle name="—_I&amp;O Report Tables_candicetables_SK MSTR_PetroChina Master" xfId="5363" xr:uid="{00000000-0005-0000-0000-0000C10D0000}"/>
    <cellStyle name="—_I&amp;O Report Tables_candicetables_SK MSTR_PetroChina Master_WIP(20-F update)" xfId="5364" xr:uid="{00000000-0005-0000-0000-0000C20D0000}"/>
    <cellStyle name="—_I&amp;O Report Tables_candicetables_SK MSTR_PetroChina Master_WIP(20-F update)_Cashflow" xfId="5365" xr:uid="{00000000-0005-0000-0000-0000C30D0000}"/>
    <cellStyle name="—_I&amp;O Report Tables_candicetables_SK MSTR_PetroChina Master_WIP(20-F update)_Cashflow_Honghua MSTR" xfId="5366" xr:uid="{00000000-0005-0000-0000-0000C40D0000}"/>
    <cellStyle name="—_I&amp;O Report Tables_candicetables_SK MSTR_PetroChina Master_WIP(20-F update)_P&amp;L" xfId="5367" xr:uid="{00000000-0005-0000-0000-0000C50D0000}"/>
    <cellStyle name="—_I&amp;O Report Tables_candicetables_SK MSTR_PetroChina Master_WIP(20-F update)_P&amp;L_Honghua MSTR" xfId="5368" xr:uid="{00000000-0005-0000-0000-0000C60D0000}"/>
    <cellStyle name="—_I&amp;O Report Tables_candicetables_SK MSTR_PetroChina Master_WIP(20-F update)_Sinopec MSTR" xfId="5369" xr:uid="{00000000-0005-0000-0000-0000C70D0000}"/>
    <cellStyle name="—_I&amp;O Report Tables_candicetables_SK MSTR_PetroChina Master_WIP(20-F update)_Sinopec MSTR Wip" xfId="5370" xr:uid="{00000000-0005-0000-0000-0000C80D0000}"/>
    <cellStyle name="—_I&amp;O Report Tables_candicetables_SK MSTR_PetroChina Master_WIP(20-F update)_Sinopec MSTR_WIP_KK" xfId="5371" xr:uid="{00000000-0005-0000-0000-0000C90D0000}"/>
    <cellStyle name="—_I&amp;O Report Tables_candicetables_SK MSTR_Sinopec MSTR" xfId="5372" xr:uid="{00000000-0005-0000-0000-0000CA0D0000}"/>
    <cellStyle name="—_I&amp;O Report Tables_candicetables_S-Oil Master" xfId="5373" xr:uid="{00000000-0005-0000-0000-0000CB0D0000}"/>
    <cellStyle name="—_I&amp;O Report Tables_candicetables_S-Oil Master KK New" xfId="5374" xr:uid="{00000000-0005-0000-0000-0000CC0D0000}"/>
    <cellStyle name="—_I&amp;O Report Tables_candicetables_S-Oil Master KK New_Beta" xfId="5375" xr:uid="{00000000-0005-0000-0000-0000CD0D0000}"/>
    <cellStyle name="—_I&amp;O Report Tables_candicetables_S-Oil Master KK New_Cashflow" xfId="5376" xr:uid="{00000000-0005-0000-0000-0000CE0D0000}"/>
    <cellStyle name="—_I&amp;O Report Tables_candicetables_S-Oil Master KK New_Cashflow_Honghua MSTR" xfId="5377" xr:uid="{00000000-0005-0000-0000-0000CF0D0000}"/>
    <cellStyle name="—_I&amp;O Report Tables_candicetables_S-Oil Master KK New_P&amp;L" xfId="5378" xr:uid="{00000000-0005-0000-0000-0000D00D0000}"/>
    <cellStyle name="—_I&amp;O Report Tables_candicetables_S-Oil Master KK New_P&amp;L_Honghua MSTR" xfId="5379" xr:uid="{00000000-0005-0000-0000-0000D10D0000}"/>
    <cellStyle name="—_I&amp;O Report Tables_candicetables_S-Oil Master KK New_PetroChina Master" xfId="5380" xr:uid="{00000000-0005-0000-0000-0000D20D0000}"/>
    <cellStyle name="—_I&amp;O Report Tables_candicetables_S-Oil Master KK New_PetroChina Master_WIP(20-F update)" xfId="5381" xr:uid="{00000000-0005-0000-0000-0000D30D0000}"/>
    <cellStyle name="—_I&amp;O Report Tables_candicetables_S-Oil Master KK New_PetroChina Master_WIP(20-F update)_Cashflow" xfId="5382" xr:uid="{00000000-0005-0000-0000-0000D40D0000}"/>
    <cellStyle name="—_I&amp;O Report Tables_candicetables_S-Oil Master KK New_PetroChina Master_WIP(20-F update)_Cashflow_Honghua MSTR" xfId="5383" xr:uid="{00000000-0005-0000-0000-0000D50D0000}"/>
    <cellStyle name="—_I&amp;O Report Tables_candicetables_S-Oil Master KK New_PetroChina Master_WIP(20-F update)_P&amp;L" xfId="5384" xr:uid="{00000000-0005-0000-0000-0000D60D0000}"/>
    <cellStyle name="—_I&amp;O Report Tables_candicetables_S-Oil Master KK New_PetroChina Master_WIP(20-F update)_P&amp;L_Honghua MSTR" xfId="5385" xr:uid="{00000000-0005-0000-0000-0000D70D0000}"/>
    <cellStyle name="—_I&amp;O Report Tables_candicetables_S-Oil Master KK New_PetroChina Master_WIP(20-F update)_Sinopec MSTR" xfId="5386" xr:uid="{00000000-0005-0000-0000-0000D80D0000}"/>
    <cellStyle name="—_I&amp;O Report Tables_candicetables_S-Oil Master KK New_PetroChina Master_WIP(20-F update)_Sinopec MSTR Wip" xfId="5387" xr:uid="{00000000-0005-0000-0000-0000D90D0000}"/>
    <cellStyle name="—_I&amp;O Report Tables_candicetables_S-Oil Master KK New_PetroChina Master_WIP(20-F update)_Sinopec MSTR_WIP_KK" xfId="5388" xr:uid="{00000000-0005-0000-0000-0000DA0D0000}"/>
    <cellStyle name="—_I&amp;O Report Tables_candicetables_S-Oil Master KK New_Sinopec MSTR" xfId="5389" xr:uid="{00000000-0005-0000-0000-0000DB0D0000}"/>
    <cellStyle name="—_I&amp;O Report Tables_candicetables_S-Oil Master_Beta" xfId="5390" xr:uid="{00000000-0005-0000-0000-0000DC0D0000}"/>
    <cellStyle name="—_I&amp;O Report Tables_candicetables_S-Oil Master_Cashflow" xfId="5391" xr:uid="{00000000-0005-0000-0000-0000DD0D0000}"/>
    <cellStyle name="—_I&amp;O Report Tables_candicetables_S-Oil Master_Cashflow_Honghua MSTR" xfId="5392" xr:uid="{00000000-0005-0000-0000-0000DE0D0000}"/>
    <cellStyle name="—_I&amp;O Report Tables_candicetables_S-Oil Master_P&amp;L" xfId="5393" xr:uid="{00000000-0005-0000-0000-0000DF0D0000}"/>
    <cellStyle name="—_I&amp;O Report Tables_candicetables_S-Oil Master_P&amp;L_Honghua MSTR" xfId="5394" xr:uid="{00000000-0005-0000-0000-0000E00D0000}"/>
    <cellStyle name="—_I&amp;O Report Tables_candicetables_S-Oil Master_PetroChina Master" xfId="5395" xr:uid="{00000000-0005-0000-0000-0000E10D0000}"/>
    <cellStyle name="—_I&amp;O Report Tables_candicetables_S-Oil Master_PetroChina Master_WIP(20-F update)" xfId="5396" xr:uid="{00000000-0005-0000-0000-0000E20D0000}"/>
    <cellStyle name="—_I&amp;O Report Tables_candicetables_S-Oil Master_PetroChina Master_WIP(20-F update)_Cashflow" xfId="5397" xr:uid="{00000000-0005-0000-0000-0000E30D0000}"/>
    <cellStyle name="—_I&amp;O Report Tables_candicetables_S-Oil Master_PetroChina Master_WIP(20-F update)_Cashflow_Honghua MSTR" xfId="5398" xr:uid="{00000000-0005-0000-0000-0000E40D0000}"/>
    <cellStyle name="—_I&amp;O Report Tables_candicetables_S-Oil Master_PetroChina Master_WIP(20-F update)_P&amp;L" xfId="5399" xr:uid="{00000000-0005-0000-0000-0000E50D0000}"/>
    <cellStyle name="—_I&amp;O Report Tables_candicetables_S-Oil Master_PetroChina Master_WIP(20-F update)_P&amp;L_Honghua MSTR" xfId="5400" xr:uid="{00000000-0005-0000-0000-0000E60D0000}"/>
    <cellStyle name="—_I&amp;O Report Tables_candicetables_S-Oil Master_PetroChina Master_WIP(20-F update)_Sinopec MSTR" xfId="5401" xr:uid="{00000000-0005-0000-0000-0000E70D0000}"/>
    <cellStyle name="—_I&amp;O Report Tables_candicetables_S-Oil Master_PetroChina Master_WIP(20-F update)_Sinopec MSTR Wip" xfId="5402" xr:uid="{00000000-0005-0000-0000-0000E80D0000}"/>
    <cellStyle name="—_I&amp;O Report Tables_candicetables_S-Oil Master_PetroChina Master_WIP(20-F update)_Sinopec MSTR_WIP_KK" xfId="5403" xr:uid="{00000000-0005-0000-0000-0000E90D0000}"/>
    <cellStyle name="—_I&amp;O Report Tables_candicetables_S-Oil Master_Sinopec MSTR" xfId="5404" xr:uid="{00000000-0005-0000-0000-0000EA0D0000}"/>
    <cellStyle name="—_I&amp;O Report Tables_candicetables_S-Oil-Quantum 260704" xfId="5405" xr:uid="{00000000-0005-0000-0000-0000EB0D0000}"/>
    <cellStyle name="—_I&amp;O Report Tables_candicetables_S-Oil-Quantum 260704_Beta" xfId="5406" xr:uid="{00000000-0005-0000-0000-0000EC0D0000}"/>
    <cellStyle name="—_I&amp;O Report Tables_candicetables_S-Oil-Quantum 260704_Cashflow" xfId="5407" xr:uid="{00000000-0005-0000-0000-0000ED0D0000}"/>
    <cellStyle name="—_I&amp;O Report Tables_candicetables_S-Oil-Quantum 260704_Cashflow_Honghua MSTR" xfId="5408" xr:uid="{00000000-0005-0000-0000-0000EE0D0000}"/>
    <cellStyle name="—_I&amp;O Report Tables_candicetables_S-Oil-Quantum 260704_P&amp;L" xfId="5409" xr:uid="{00000000-0005-0000-0000-0000EF0D0000}"/>
    <cellStyle name="—_I&amp;O Report Tables_candicetables_S-Oil-Quantum 260704_P&amp;L_Honghua MSTR" xfId="5410" xr:uid="{00000000-0005-0000-0000-0000F00D0000}"/>
    <cellStyle name="—_I&amp;O Report Tables_candicetables_S-Oil-Quantum 260704_PetroChina Master" xfId="5411" xr:uid="{00000000-0005-0000-0000-0000F10D0000}"/>
    <cellStyle name="—_I&amp;O Report Tables_candicetables_S-Oil-Quantum 260704_PetroChina Master_WIP(20-F update)" xfId="5412" xr:uid="{00000000-0005-0000-0000-0000F20D0000}"/>
    <cellStyle name="—_I&amp;O Report Tables_candicetables_S-Oil-Quantum 260704_PetroChina Master_WIP(20-F update)_Cashflow" xfId="5413" xr:uid="{00000000-0005-0000-0000-0000F30D0000}"/>
    <cellStyle name="—_I&amp;O Report Tables_candicetables_S-Oil-Quantum 260704_PetroChina Master_WIP(20-F update)_Cashflow_Honghua MSTR" xfId="5414" xr:uid="{00000000-0005-0000-0000-0000F40D0000}"/>
    <cellStyle name="—_I&amp;O Report Tables_candicetables_S-Oil-Quantum 260704_PetroChina Master_WIP(20-F update)_P&amp;L" xfId="5415" xr:uid="{00000000-0005-0000-0000-0000F50D0000}"/>
    <cellStyle name="—_I&amp;O Report Tables_candicetables_S-Oil-Quantum 260704_PetroChina Master_WIP(20-F update)_P&amp;L_Honghua MSTR" xfId="5416" xr:uid="{00000000-0005-0000-0000-0000F60D0000}"/>
    <cellStyle name="—_I&amp;O Report Tables_candicetables_S-Oil-Quantum 260704_PetroChina Master_WIP(20-F update)_Sinopec MSTR" xfId="5417" xr:uid="{00000000-0005-0000-0000-0000F70D0000}"/>
    <cellStyle name="—_I&amp;O Report Tables_candicetables_S-Oil-Quantum 260704_PetroChina Master_WIP(20-F update)_Sinopec MSTR Wip" xfId="5418" xr:uid="{00000000-0005-0000-0000-0000F80D0000}"/>
    <cellStyle name="—_I&amp;O Report Tables_candicetables_S-Oil-Quantum 260704_PetroChina Master_WIP(20-F update)_Sinopec MSTR_WIP_KK" xfId="5419" xr:uid="{00000000-0005-0000-0000-0000F90D0000}"/>
    <cellStyle name="—_I&amp;O Report Tables_candicetables_S-Oil-Quantum 260704_Sinopec MSTR" xfId="5420" xr:uid="{00000000-0005-0000-0000-0000FA0D0000}"/>
    <cellStyle name="—_I&amp;O Report Tables_candicetables_Strategy_data_update" xfId="3956" xr:uid="{00000000-0005-0000-0000-0000FB0D0000}"/>
    <cellStyle name="—_I&amp;O Report Tables_candicetables_Strategy_data_update_new-Sub" xfId="3957" xr:uid="{00000000-0005-0000-0000-0000FC0D0000}"/>
    <cellStyle name="—_I&amp;O Report Tables_Cashflow" xfId="5421" xr:uid="{00000000-0005-0000-0000-0000FD0D0000}"/>
    <cellStyle name="—_I&amp;O Report Tables_Cashflow_Honghua MSTR" xfId="5422" xr:uid="{00000000-0005-0000-0000-0000FE0D0000}"/>
    <cellStyle name="—_I&amp;O Report Tables_CNOOC Master" xfId="5423" xr:uid="{00000000-0005-0000-0000-0000FF0D0000}"/>
    <cellStyle name="—_I&amp;O Report Tables_CNOOC Master_1" xfId="5424" xr:uid="{00000000-0005-0000-0000-0000000E0000}"/>
    <cellStyle name="—_I&amp;O Report Tables_CNOOC Master_Beta" xfId="5425" xr:uid="{00000000-0005-0000-0000-0000010E0000}"/>
    <cellStyle name="—_I&amp;O Report Tables_CNOOC Master_Cashflow" xfId="5426" xr:uid="{00000000-0005-0000-0000-0000020E0000}"/>
    <cellStyle name="—_I&amp;O Report Tables_CNOOC Master_Cashflow_Honghua MSTR" xfId="5427" xr:uid="{00000000-0005-0000-0000-0000030E0000}"/>
    <cellStyle name="—_I&amp;O Report Tables_CNOOC Master_P&amp;L" xfId="5428" xr:uid="{00000000-0005-0000-0000-0000040E0000}"/>
    <cellStyle name="—_I&amp;O Report Tables_CNOOC Master_P&amp;L_Honghua MSTR" xfId="5429" xr:uid="{00000000-0005-0000-0000-0000050E0000}"/>
    <cellStyle name="—_I&amp;O Report Tables_CNOOC Master_PetroChina Master" xfId="5430" xr:uid="{00000000-0005-0000-0000-0000060E0000}"/>
    <cellStyle name="—_I&amp;O Report Tables_CNOOC Master_PetroChina Master_WIP(20-F update)" xfId="5431" xr:uid="{00000000-0005-0000-0000-0000070E0000}"/>
    <cellStyle name="—_I&amp;O Report Tables_CNOOC Master_PetroChina Master_WIP(20-F update)_Cashflow" xfId="5432" xr:uid="{00000000-0005-0000-0000-0000080E0000}"/>
    <cellStyle name="—_I&amp;O Report Tables_CNOOC Master_PetroChina Master_WIP(20-F update)_Cashflow_Honghua MSTR" xfId="5433" xr:uid="{00000000-0005-0000-0000-0000090E0000}"/>
    <cellStyle name="—_I&amp;O Report Tables_CNOOC Master_PetroChina Master_WIP(20-F update)_P&amp;L" xfId="5434" xr:uid="{00000000-0005-0000-0000-00000A0E0000}"/>
    <cellStyle name="—_I&amp;O Report Tables_CNOOC Master_PetroChina Master_WIP(20-F update)_P&amp;L_Honghua MSTR" xfId="5435" xr:uid="{00000000-0005-0000-0000-00000B0E0000}"/>
    <cellStyle name="—_I&amp;O Report Tables_CNOOC Master_PetroChina Master_WIP(20-F update)_Sinopec MSTR" xfId="5436" xr:uid="{00000000-0005-0000-0000-00000C0E0000}"/>
    <cellStyle name="—_I&amp;O Report Tables_CNOOC Master_PetroChina Master_WIP(20-F update)_Sinopec MSTR Wip" xfId="5437" xr:uid="{00000000-0005-0000-0000-00000D0E0000}"/>
    <cellStyle name="—_I&amp;O Report Tables_CNOOC Master_PetroChina Master_WIP(20-F update)_Sinopec MSTR_WIP_KK" xfId="5438" xr:uid="{00000000-0005-0000-0000-00000E0E0000}"/>
    <cellStyle name="—_I&amp;O Report Tables_CNOOC Master_Sinopec MSTR" xfId="5439" xr:uid="{00000000-0005-0000-0000-00000F0E0000}"/>
    <cellStyle name="—_I&amp;O Report Tables_CNPC (HK) Master" xfId="5440" xr:uid="{00000000-0005-0000-0000-0000100E0000}"/>
    <cellStyle name="—_I&amp;O Report Tables_DCF" xfId="5441" xr:uid="{00000000-0005-0000-0000-0000110E0000}"/>
    <cellStyle name="—_I&amp;O Report Tables_DCF 08" xfId="5442" xr:uid="{00000000-0005-0000-0000-0000120E0000}"/>
    <cellStyle name="—_I&amp;O Report Tables_DoCoMo table 10July2000" xfId="3958" xr:uid="{00000000-0005-0000-0000-0000130E0000}"/>
    <cellStyle name="—_I&amp;O Report Tables_earnings" xfId="3959" xr:uid="{00000000-0005-0000-0000-0000140E0000}"/>
    <cellStyle name="—_I&amp;O Report Tables_earnings_new-Sub" xfId="3960" xr:uid="{00000000-0005-0000-0000-0000150E0000}"/>
    <cellStyle name="—_I&amp;O Report Tables_EM_FETone_new" xfId="3961" xr:uid="{00000000-0005-0000-0000-0000160E0000}"/>
    <cellStyle name="—_I&amp;O Report Tables_EM_FETone_new_new-Sub" xfId="3962" xr:uid="{00000000-0005-0000-0000-0000170E0000}"/>
    <cellStyle name="—_I&amp;O Report Tables_EM_TCC_new" xfId="3963" xr:uid="{00000000-0005-0000-0000-0000180E0000}"/>
    <cellStyle name="—_I&amp;O Report Tables_EM_TCC_new_new-Sub" xfId="3964" xr:uid="{00000000-0005-0000-0000-0000190E0000}"/>
    <cellStyle name="—_I&amp;O Report Tables_Honam Master" xfId="5443" xr:uid="{00000000-0005-0000-0000-00001A0E0000}"/>
    <cellStyle name="—_I&amp;O Report Tables_honam -Quantum 220704" xfId="5444" xr:uid="{00000000-0005-0000-0000-00001B0E0000}"/>
    <cellStyle name="—_I&amp;O Report Tables_Kelvin_SKT_dividend_Mar10_2003" xfId="5445" xr:uid="{00000000-0005-0000-0000-00001C0E0000}"/>
    <cellStyle name="—_I&amp;O Report Tables_Kelvin_SKT_dividend_Mar10_2003_Beta" xfId="5446" xr:uid="{00000000-0005-0000-0000-00001D0E0000}"/>
    <cellStyle name="—_I&amp;O Report Tables_Kelvin_SKT_dividend_Mar10_2003_Cashflow" xfId="5447" xr:uid="{00000000-0005-0000-0000-00001E0E0000}"/>
    <cellStyle name="—_I&amp;O Report Tables_Kelvin_SKT_dividend_Mar10_2003_Cashflow_Honghua MSTR" xfId="5448" xr:uid="{00000000-0005-0000-0000-00001F0E0000}"/>
    <cellStyle name="—_I&amp;O Report Tables_Kelvin_SKT_dividend_Mar10_2003_P&amp;L" xfId="5449" xr:uid="{00000000-0005-0000-0000-0000200E0000}"/>
    <cellStyle name="—_I&amp;O Report Tables_Kelvin_SKT_dividend_Mar10_2003_P&amp;L_Honghua MSTR" xfId="5450" xr:uid="{00000000-0005-0000-0000-0000210E0000}"/>
    <cellStyle name="—_I&amp;O Report Tables_Kelvin_SKT_dividend_Mar10_2003_PetroChina Master" xfId="5451" xr:uid="{00000000-0005-0000-0000-0000220E0000}"/>
    <cellStyle name="—_I&amp;O Report Tables_Kelvin_SKT_dividend_Mar10_2003_PetroChina Master_WIP(20-F update)" xfId="5452" xr:uid="{00000000-0005-0000-0000-0000230E0000}"/>
    <cellStyle name="—_I&amp;O Report Tables_Kelvin_SKT_dividend_Mar10_2003_PetroChina Master_WIP(20-F update)_Cashflow" xfId="5453" xr:uid="{00000000-0005-0000-0000-0000240E0000}"/>
    <cellStyle name="—_I&amp;O Report Tables_Kelvin_SKT_dividend_Mar10_2003_PetroChina Master_WIP(20-F update)_Cashflow_Honghua MSTR" xfId="5454" xr:uid="{00000000-0005-0000-0000-0000250E0000}"/>
    <cellStyle name="—_I&amp;O Report Tables_Kelvin_SKT_dividend_Mar10_2003_PetroChina Master_WIP(20-F update)_P&amp;L" xfId="5455" xr:uid="{00000000-0005-0000-0000-0000260E0000}"/>
    <cellStyle name="—_I&amp;O Report Tables_Kelvin_SKT_dividend_Mar10_2003_PetroChina Master_WIP(20-F update)_P&amp;L_Honghua MSTR" xfId="5456" xr:uid="{00000000-0005-0000-0000-0000270E0000}"/>
    <cellStyle name="—_I&amp;O Report Tables_Kelvin_SKT_dividend_Mar10_2003_PetroChina Master_WIP(20-F update)_Sinopec MSTR" xfId="5457" xr:uid="{00000000-0005-0000-0000-0000280E0000}"/>
    <cellStyle name="—_I&amp;O Report Tables_Kelvin_SKT_dividend_Mar10_2003_PetroChina Master_WIP(20-F update)_Sinopec MSTR Wip" xfId="5458" xr:uid="{00000000-0005-0000-0000-0000290E0000}"/>
    <cellStyle name="—_I&amp;O Report Tables_Kelvin_SKT_dividend_Mar10_2003_PetroChina Master_WIP(20-F update)_Sinopec MSTR_WIP_KK" xfId="5459" xr:uid="{00000000-0005-0000-0000-00002A0E0000}"/>
    <cellStyle name="—_I&amp;O Report Tables_Kelvin_SKT_dividend_Mar10_2003_Sinopec MSTR" xfId="5460" xr:uid="{00000000-0005-0000-0000-00002B0E0000}"/>
    <cellStyle name="—_I&amp;O Report Tables_new-Sub" xfId="3965" xr:uid="{00000000-0005-0000-0000-00002C0E0000}"/>
    <cellStyle name="—_I&amp;O Report Tables_operating stats comp" xfId="3966" xr:uid="{00000000-0005-0000-0000-00002D0E0000}"/>
    <cellStyle name="—_I&amp;O Report Tables_operating stats comp_new-Sub" xfId="3967" xr:uid="{00000000-0005-0000-0000-00002E0E0000}"/>
    <cellStyle name="—_I&amp;O Report Tables_P&amp;L" xfId="5461" xr:uid="{00000000-0005-0000-0000-00002F0E0000}"/>
    <cellStyle name="—_I&amp;O Report Tables_P&amp;L_Honghua MSTR" xfId="5462" xr:uid="{00000000-0005-0000-0000-0000300E0000}"/>
    <cellStyle name="—_I&amp;O Report Tables_PetroChina Master" xfId="5463" xr:uid="{00000000-0005-0000-0000-0000310E0000}"/>
    <cellStyle name="—_I&amp;O Report Tables_PetroChina Master_WIP(20-F update)" xfId="5464" xr:uid="{00000000-0005-0000-0000-0000320E0000}"/>
    <cellStyle name="—_I&amp;O Report Tables_PetroChina Master_WIP(20-F update)_Cashflow" xfId="5465" xr:uid="{00000000-0005-0000-0000-0000330E0000}"/>
    <cellStyle name="—_I&amp;O Report Tables_PetroChina Master_WIP(20-F update)_Cashflow_Honghua MSTR" xfId="5466" xr:uid="{00000000-0005-0000-0000-0000340E0000}"/>
    <cellStyle name="—_I&amp;O Report Tables_PetroChina Master_WIP(20-F update)_P&amp;L" xfId="5467" xr:uid="{00000000-0005-0000-0000-0000350E0000}"/>
    <cellStyle name="—_I&amp;O Report Tables_PetroChina Master_WIP(20-F update)_P&amp;L_Honghua MSTR" xfId="5468" xr:uid="{00000000-0005-0000-0000-0000360E0000}"/>
    <cellStyle name="—_I&amp;O Report Tables_PetroChina Master_WIP(20-F update)_Sinopec MSTR" xfId="5469" xr:uid="{00000000-0005-0000-0000-0000370E0000}"/>
    <cellStyle name="—_I&amp;O Report Tables_PetroChina Master_WIP(20-F update)_Sinopec MSTR Wip" xfId="5470" xr:uid="{00000000-0005-0000-0000-0000380E0000}"/>
    <cellStyle name="—_I&amp;O Report Tables_PetroChina Master_WIP(20-F update)_Sinopec MSTR_WIP_KK" xfId="5471" xr:uid="{00000000-0005-0000-0000-0000390E0000}"/>
    <cellStyle name="—_I&amp;O Report Tables_Profit" xfId="5472" xr:uid="{00000000-0005-0000-0000-00003A0E0000}"/>
    <cellStyle name="—_I&amp;O Report Tables_PTTEP MASTER" xfId="5473" xr:uid="{00000000-0005-0000-0000-00003B0E0000}"/>
    <cellStyle name="—_I&amp;O Report Tables_PTTEP MASTER WIP" xfId="5474" xr:uid="{00000000-0005-0000-0000-00003C0E0000}"/>
    <cellStyle name="—_I&amp;O Report Tables_Sheet1" xfId="5475" xr:uid="{00000000-0005-0000-0000-00003D0E0000}"/>
    <cellStyle name="—_I&amp;O Report Tables_Sinopec MSTR" xfId="5476" xr:uid="{00000000-0005-0000-0000-00003E0E0000}"/>
    <cellStyle name="—_I&amp;O Report Tables_SK COrp - Quantum 290704" xfId="5477" xr:uid="{00000000-0005-0000-0000-00003F0E0000}"/>
    <cellStyle name="—_I&amp;O Report Tables_SK MSTR" xfId="5478" xr:uid="{00000000-0005-0000-0000-0000400E0000}"/>
    <cellStyle name="—_I&amp;O Report Tables_SK MSTR_Beta" xfId="5479" xr:uid="{00000000-0005-0000-0000-0000410E0000}"/>
    <cellStyle name="—_I&amp;O Report Tables_SK MSTR_Cashflow" xfId="5480" xr:uid="{00000000-0005-0000-0000-0000420E0000}"/>
    <cellStyle name="—_I&amp;O Report Tables_SK MSTR_Cashflow_Honghua MSTR" xfId="5481" xr:uid="{00000000-0005-0000-0000-0000430E0000}"/>
    <cellStyle name="—_I&amp;O Report Tables_SK MSTR_P&amp;L" xfId="5482" xr:uid="{00000000-0005-0000-0000-0000440E0000}"/>
    <cellStyle name="—_I&amp;O Report Tables_SK MSTR_P&amp;L_Honghua MSTR" xfId="5483" xr:uid="{00000000-0005-0000-0000-0000450E0000}"/>
    <cellStyle name="—_I&amp;O Report Tables_SK MSTR_PetroChina Master" xfId="5484" xr:uid="{00000000-0005-0000-0000-0000460E0000}"/>
    <cellStyle name="—_I&amp;O Report Tables_SK MSTR_PetroChina Master_WIP(20-F update)" xfId="5485" xr:uid="{00000000-0005-0000-0000-0000470E0000}"/>
    <cellStyle name="—_I&amp;O Report Tables_SK MSTR_PetroChina Master_WIP(20-F update)_Cashflow" xfId="5486" xr:uid="{00000000-0005-0000-0000-0000480E0000}"/>
    <cellStyle name="—_I&amp;O Report Tables_SK MSTR_PetroChina Master_WIP(20-F update)_Cashflow_Honghua MSTR" xfId="5487" xr:uid="{00000000-0005-0000-0000-0000490E0000}"/>
    <cellStyle name="—_I&amp;O Report Tables_SK MSTR_PetroChina Master_WIP(20-F update)_P&amp;L" xfId="5488" xr:uid="{00000000-0005-0000-0000-00004A0E0000}"/>
    <cellStyle name="—_I&amp;O Report Tables_SK MSTR_PetroChina Master_WIP(20-F update)_P&amp;L_Honghua MSTR" xfId="5489" xr:uid="{00000000-0005-0000-0000-00004B0E0000}"/>
    <cellStyle name="—_I&amp;O Report Tables_SK MSTR_PetroChina Master_WIP(20-F update)_Sinopec MSTR" xfId="5490" xr:uid="{00000000-0005-0000-0000-00004C0E0000}"/>
    <cellStyle name="—_I&amp;O Report Tables_SK MSTR_PetroChina Master_WIP(20-F update)_Sinopec MSTR Wip" xfId="5491" xr:uid="{00000000-0005-0000-0000-00004D0E0000}"/>
    <cellStyle name="—_I&amp;O Report Tables_SK MSTR_PetroChina Master_WIP(20-F update)_Sinopec MSTR_WIP_KK" xfId="5492" xr:uid="{00000000-0005-0000-0000-00004E0E0000}"/>
    <cellStyle name="—_I&amp;O Report Tables_SK MSTR_Sinopec MSTR" xfId="5493" xr:uid="{00000000-0005-0000-0000-00004F0E0000}"/>
    <cellStyle name="—_I&amp;O Report Tables_S-Oil Master" xfId="5494" xr:uid="{00000000-0005-0000-0000-0000500E0000}"/>
    <cellStyle name="—_I&amp;O Report Tables_S-Oil Master KK New" xfId="5495" xr:uid="{00000000-0005-0000-0000-0000510E0000}"/>
    <cellStyle name="—_I&amp;O Report Tables_S-Oil Master KK New_Beta" xfId="5496" xr:uid="{00000000-0005-0000-0000-0000520E0000}"/>
    <cellStyle name="—_I&amp;O Report Tables_S-Oil Master KK New_Cashflow" xfId="5497" xr:uid="{00000000-0005-0000-0000-0000530E0000}"/>
    <cellStyle name="—_I&amp;O Report Tables_S-Oil Master KK New_Cashflow_Honghua MSTR" xfId="5498" xr:uid="{00000000-0005-0000-0000-0000540E0000}"/>
    <cellStyle name="—_I&amp;O Report Tables_S-Oil Master KK New_P&amp;L" xfId="5499" xr:uid="{00000000-0005-0000-0000-0000550E0000}"/>
    <cellStyle name="—_I&amp;O Report Tables_S-Oil Master KK New_P&amp;L_Honghua MSTR" xfId="5500" xr:uid="{00000000-0005-0000-0000-0000560E0000}"/>
    <cellStyle name="—_I&amp;O Report Tables_S-Oil Master KK New_PetroChina Master" xfId="5501" xr:uid="{00000000-0005-0000-0000-0000570E0000}"/>
    <cellStyle name="—_I&amp;O Report Tables_S-Oil Master KK New_PetroChina Master_WIP(20-F update)" xfId="5502" xr:uid="{00000000-0005-0000-0000-0000580E0000}"/>
    <cellStyle name="—_I&amp;O Report Tables_S-Oil Master KK New_PetroChina Master_WIP(20-F update)_Cashflow" xfId="5503" xr:uid="{00000000-0005-0000-0000-0000590E0000}"/>
    <cellStyle name="—_I&amp;O Report Tables_S-Oil Master KK New_PetroChina Master_WIP(20-F update)_Cashflow_Honghua MSTR" xfId="5504" xr:uid="{00000000-0005-0000-0000-00005A0E0000}"/>
    <cellStyle name="—_I&amp;O Report Tables_S-Oil Master KK New_PetroChina Master_WIP(20-F update)_P&amp;L" xfId="5505" xr:uid="{00000000-0005-0000-0000-00005B0E0000}"/>
    <cellStyle name="—_I&amp;O Report Tables_S-Oil Master KK New_PetroChina Master_WIP(20-F update)_P&amp;L_Honghua MSTR" xfId="5506" xr:uid="{00000000-0005-0000-0000-00005C0E0000}"/>
    <cellStyle name="—_I&amp;O Report Tables_S-Oil Master KK New_PetroChina Master_WIP(20-F update)_Sinopec MSTR" xfId="5507" xr:uid="{00000000-0005-0000-0000-00005D0E0000}"/>
    <cellStyle name="—_I&amp;O Report Tables_S-Oil Master KK New_PetroChina Master_WIP(20-F update)_Sinopec MSTR Wip" xfId="5508" xr:uid="{00000000-0005-0000-0000-00005E0E0000}"/>
    <cellStyle name="—_I&amp;O Report Tables_S-Oil Master KK New_PetroChina Master_WIP(20-F update)_Sinopec MSTR_WIP_KK" xfId="5509" xr:uid="{00000000-0005-0000-0000-00005F0E0000}"/>
    <cellStyle name="—_I&amp;O Report Tables_S-Oil Master KK New_Sinopec MSTR" xfId="5510" xr:uid="{00000000-0005-0000-0000-0000600E0000}"/>
    <cellStyle name="—_I&amp;O Report Tables_S-Oil Master_Beta" xfId="5511" xr:uid="{00000000-0005-0000-0000-0000610E0000}"/>
    <cellStyle name="—_I&amp;O Report Tables_S-Oil Master_Cashflow" xfId="5512" xr:uid="{00000000-0005-0000-0000-0000620E0000}"/>
    <cellStyle name="—_I&amp;O Report Tables_S-Oil Master_Cashflow_Honghua MSTR" xfId="5513" xr:uid="{00000000-0005-0000-0000-0000630E0000}"/>
    <cellStyle name="—_I&amp;O Report Tables_S-Oil Master_P&amp;L" xfId="5514" xr:uid="{00000000-0005-0000-0000-0000640E0000}"/>
    <cellStyle name="—_I&amp;O Report Tables_S-Oil Master_P&amp;L_Honghua MSTR" xfId="5515" xr:uid="{00000000-0005-0000-0000-0000650E0000}"/>
    <cellStyle name="—_I&amp;O Report Tables_S-Oil Master_PetroChina Master" xfId="5516" xr:uid="{00000000-0005-0000-0000-0000660E0000}"/>
    <cellStyle name="—_I&amp;O Report Tables_S-Oil Master_PetroChina Master_WIP(20-F update)" xfId="5517" xr:uid="{00000000-0005-0000-0000-0000670E0000}"/>
    <cellStyle name="—_I&amp;O Report Tables_S-Oil Master_PetroChina Master_WIP(20-F update)_Cashflow" xfId="5518" xr:uid="{00000000-0005-0000-0000-0000680E0000}"/>
    <cellStyle name="—_I&amp;O Report Tables_S-Oil Master_PetroChina Master_WIP(20-F update)_Cashflow_Honghua MSTR" xfId="5519" xr:uid="{00000000-0005-0000-0000-0000690E0000}"/>
    <cellStyle name="—_I&amp;O Report Tables_S-Oil Master_PetroChina Master_WIP(20-F update)_P&amp;L" xfId="5520" xr:uid="{00000000-0005-0000-0000-00006A0E0000}"/>
    <cellStyle name="—_I&amp;O Report Tables_S-Oil Master_PetroChina Master_WIP(20-F update)_P&amp;L_Honghua MSTR" xfId="5521" xr:uid="{00000000-0005-0000-0000-00006B0E0000}"/>
    <cellStyle name="—_I&amp;O Report Tables_S-Oil Master_PetroChina Master_WIP(20-F update)_Sinopec MSTR" xfId="5522" xr:uid="{00000000-0005-0000-0000-00006C0E0000}"/>
    <cellStyle name="—_I&amp;O Report Tables_S-Oil Master_PetroChina Master_WIP(20-F update)_Sinopec MSTR Wip" xfId="5523" xr:uid="{00000000-0005-0000-0000-00006D0E0000}"/>
    <cellStyle name="—_I&amp;O Report Tables_S-Oil Master_PetroChina Master_WIP(20-F update)_Sinopec MSTR_WIP_KK" xfId="5524" xr:uid="{00000000-0005-0000-0000-00006E0E0000}"/>
    <cellStyle name="—_I&amp;O Report Tables_S-Oil Master_Sinopec MSTR" xfId="5525" xr:uid="{00000000-0005-0000-0000-00006F0E0000}"/>
    <cellStyle name="—_I&amp;O Report Tables_S-Oil-Quantum 260704" xfId="5526" xr:uid="{00000000-0005-0000-0000-0000700E0000}"/>
    <cellStyle name="—_I&amp;O Report Tables_S-Oil-Quantum 260704_Beta" xfId="5527" xr:uid="{00000000-0005-0000-0000-0000710E0000}"/>
    <cellStyle name="—_I&amp;O Report Tables_S-Oil-Quantum 260704_Cashflow" xfId="5528" xr:uid="{00000000-0005-0000-0000-0000720E0000}"/>
    <cellStyle name="—_I&amp;O Report Tables_S-Oil-Quantum 260704_Cashflow_Honghua MSTR" xfId="5529" xr:uid="{00000000-0005-0000-0000-0000730E0000}"/>
    <cellStyle name="—_I&amp;O Report Tables_S-Oil-Quantum 260704_P&amp;L" xfId="5530" xr:uid="{00000000-0005-0000-0000-0000740E0000}"/>
    <cellStyle name="—_I&amp;O Report Tables_S-Oil-Quantum 260704_P&amp;L_Honghua MSTR" xfId="5531" xr:uid="{00000000-0005-0000-0000-0000750E0000}"/>
    <cellStyle name="—_I&amp;O Report Tables_S-Oil-Quantum 260704_PetroChina Master" xfId="5532" xr:uid="{00000000-0005-0000-0000-0000760E0000}"/>
    <cellStyle name="—_I&amp;O Report Tables_S-Oil-Quantum 260704_PetroChina Master_WIP(20-F update)" xfId="5533" xr:uid="{00000000-0005-0000-0000-0000770E0000}"/>
    <cellStyle name="—_I&amp;O Report Tables_S-Oil-Quantum 260704_PetroChina Master_WIP(20-F update)_Cashflow" xfId="5534" xr:uid="{00000000-0005-0000-0000-0000780E0000}"/>
    <cellStyle name="—_I&amp;O Report Tables_S-Oil-Quantum 260704_PetroChina Master_WIP(20-F update)_Cashflow_Honghua MSTR" xfId="5535" xr:uid="{00000000-0005-0000-0000-0000790E0000}"/>
    <cellStyle name="—_I&amp;O Report Tables_S-Oil-Quantum 260704_PetroChina Master_WIP(20-F update)_P&amp;L" xfId="5536" xr:uid="{00000000-0005-0000-0000-00007A0E0000}"/>
    <cellStyle name="—_I&amp;O Report Tables_S-Oil-Quantum 260704_PetroChina Master_WIP(20-F update)_P&amp;L_Honghua MSTR" xfId="5537" xr:uid="{00000000-0005-0000-0000-00007B0E0000}"/>
    <cellStyle name="—_I&amp;O Report Tables_S-Oil-Quantum 260704_PetroChina Master_WIP(20-F update)_Sinopec MSTR" xfId="5538" xr:uid="{00000000-0005-0000-0000-00007C0E0000}"/>
    <cellStyle name="—_I&amp;O Report Tables_S-Oil-Quantum 260704_PetroChina Master_WIP(20-F update)_Sinopec MSTR Wip" xfId="5539" xr:uid="{00000000-0005-0000-0000-00007D0E0000}"/>
    <cellStyle name="—_I&amp;O Report Tables_S-Oil-Quantum 260704_PetroChina Master_WIP(20-F update)_Sinopec MSTR_WIP_KK" xfId="5540" xr:uid="{00000000-0005-0000-0000-00007E0E0000}"/>
    <cellStyle name="—_I&amp;O Report Tables_S-Oil-Quantum 260704_Sinopec MSTR" xfId="5541" xr:uid="{00000000-0005-0000-0000-00007F0E0000}"/>
    <cellStyle name="—_I&amp;O Report Tables_Strategy_data_update" xfId="3968" xr:uid="{00000000-0005-0000-0000-0000800E0000}"/>
    <cellStyle name="—_I&amp;O Report Tables_Strategy_data_update_new-Sub" xfId="3969" xr:uid="{00000000-0005-0000-0000-0000810E0000}"/>
    <cellStyle name="_IPO Budget" xfId="3970" xr:uid="{00000000-0005-0000-0000-0000820E0000}"/>
    <cellStyle name="_IT marketing chart" xfId="3971" xr:uid="{00000000-0005-0000-0000-0000830E0000}"/>
    <cellStyle name="_Jinduicheng Molybdenum_July 2009" xfId="5542" xr:uid="{00000000-0005-0000-0000-0000840E0000}"/>
    <cellStyle name="—_JT CROCI" xfId="11180" xr:uid="{00000000-0005-0000-0000-0000850E0000}"/>
    <cellStyle name="—_KDDI CROCI" xfId="11181" xr:uid="{00000000-0005-0000-0000-0000860E0000}"/>
    <cellStyle name="—_Kelvin_SKT_dividend_Mar10_2003" xfId="5543" xr:uid="{00000000-0005-0000-0000-0000870E0000}"/>
    <cellStyle name="—_Kelvin_SKT_dividend_Mar10_2003_Beta" xfId="5544" xr:uid="{00000000-0005-0000-0000-0000880E0000}"/>
    <cellStyle name="—_Kelvin_SKT_dividend_Mar10_2003_Cashflow" xfId="5545" xr:uid="{00000000-0005-0000-0000-0000890E0000}"/>
    <cellStyle name="—_Kelvin_SKT_dividend_Mar10_2003_Cashflow_Honghua MSTR" xfId="5546" xr:uid="{00000000-0005-0000-0000-00008A0E0000}"/>
    <cellStyle name="—_Kelvin_SKT_dividend_Mar10_2003_P&amp;L" xfId="5547" xr:uid="{00000000-0005-0000-0000-00008B0E0000}"/>
    <cellStyle name="—_Kelvin_SKT_dividend_Mar10_2003_P&amp;L_Honghua MSTR" xfId="5548" xr:uid="{00000000-0005-0000-0000-00008C0E0000}"/>
    <cellStyle name="—_Kelvin_SKT_dividend_Mar10_2003_PetroChina Master" xfId="5549" xr:uid="{00000000-0005-0000-0000-00008D0E0000}"/>
    <cellStyle name="—_Kelvin_SKT_dividend_Mar10_2003_PetroChina Master_WIP(20-F update)" xfId="5550" xr:uid="{00000000-0005-0000-0000-00008E0E0000}"/>
    <cellStyle name="—_Kelvin_SKT_dividend_Mar10_2003_PetroChina Master_WIP(20-F update)_Cashflow" xfId="5551" xr:uid="{00000000-0005-0000-0000-00008F0E0000}"/>
    <cellStyle name="—_Kelvin_SKT_dividend_Mar10_2003_PetroChina Master_WIP(20-F update)_Cashflow_Honghua MSTR" xfId="5552" xr:uid="{00000000-0005-0000-0000-0000900E0000}"/>
    <cellStyle name="—_Kelvin_SKT_dividend_Mar10_2003_PetroChina Master_WIP(20-F update)_P&amp;L" xfId="5553" xr:uid="{00000000-0005-0000-0000-0000910E0000}"/>
    <cellStyle name="—_Kelvin_SKT_dividend_Mar10_2003_PetroChina Master_WIP(20-F update)_P&amp;L_Honghua MSTR" xfId="5554" xr:uid="{00000000-0005-0000-0000-0000920E0000}"/>
    <cellStyle name="—_Kelvin_SKT_dividend_Mar10_2003_PetroChina Master_WIP(20-F update)_Sinopec MSTR" xfId="5555" xr:uid="{00000000-0005-0000-0000-0000930E0000}"/>
    <cellStyle name="—_Kelvin_SKT_dividend_Mar10_2003_PetroChina Master_WIP(20-F update)_Sinopec MSTR Wip" xfId="5556" xr:uid="{00000000-0005-0000-0000-0000940E0000}"/>
    <cellStyle name="—_Kelvin_SKT_dividend_Mar10_2003_PetroChina Master_WIP(20-F update)_Sinopec MSTR_WIP_KK" xfId="5557" xr:uid="{00000000-0005-0000-0000-0000950E0000}"/>
    <cellStyle name="—_Kelvin_SKT_dividend_Mar10_2003_Sinopec MSTR" xfId="5558" xr:uid="{00000000-0005-0000-0000-0000960E0000}"/>
    <cellStyle name="—_Kelvin_SKT_dividend_Mar10_2003_Sinopec MSTR Wip" xfId="5559" xr:uid="{00000000-0005-0000-0000-0000970E0000}"/>
    <cellStyle name="—_Kelvin_SKT_dividend_Mar10_2003_Sinopec MSTR_WIP_KK" xfId="5560" xr:uid="{00000000-0005-0000-0000-0000980E0000}"/>
    <cellStyle name="—_Kelvin_SKT_dividend_Mar10_2003_Sinopec MSTR-WIP_20F update" xfId="5561" xr:uid="{00000000-0005-0000-0000-0000990E0000}"/>
    <cellStyle name="_Master DB YR 2001 for Routers" xfId="11182" xr:uid="{00000000-0005-0000-0000-00009A0E0000}"/>
    <cellStyle name="_Master DB YR 2001 for Routers_2315_Comp Sheet" xfId="11183" xr:uid="{00000000-0005-0000-0000-00009B0E0000}"/>
    <cellStyle name="_Master DB YR 2001 for Routers_2315_Mitac_WIP v4" xfId="11184" xr:uid="{00000000-0005-0000-0000-00009C0E0000}"/>
    <cellStyle name="_Master DB YR 2001 for Routers_2474tw - WIP" xfId="11185" xr:uid="{00000000-0005-0000-0000-00009D0E0000}"/>
    <cellStyle name="_Master DB YR 2001 for Routers_3231tw_WIP 070105" xfId="11186" xr:uid="{00000000-0005-0000-0000-00009E0E0000}"/>
    <cellStyle name="_Master DB YR 2001 for Routers_ASUSTeK - 090507 (Updated DCF)" xfId="11187" xr:uid="{00000000-0005-0000-0000-00009F0E0000}"/>
    <cellStyle name="_Master DB YR 2001 for Routers_Unimicron Model" xfId="11188" xr:uid="{00000000-0005-0000-0000-0000A00E0000}"/>
    <cellStyle name="_MDA breakdown for revenue 2004 to 2006 revised for VSOE on Aug 2 07" xfId="3972" xr:uid="{00000000-0005-0000-0000-0000A10E0000}"/>
    <cellStyle name="_Model" xfId="5562" xr:uid="{00000000-0005-0000-0000-0000A20E0000}"/>
    <cellStyle name="_Model_1" xfId="5563" xr:uid="{00000000-0005-0000-0000-0000A30E0000}"/>
    <cellStyle name="_Model-Parent" xfId="11189" xr:uid="{00000000-0005-0000-0000-0000A40E0000}"/>
    <cellStyle name="_Multiple" xfId="3973" xr:uid="{00000000-0005-0000-0000-0000A50E0000}"/>
    <cellStyle name="_Multiple 2" xfId="7015" xr:uid="{00000000-0005-0000-0000-0000A60E0000}"/>
    <cellStyle name="_Multiple_01 adj for merger plan" xfId="7456" xr:uid="{00000000-0005-0000-0000-0000A70E0000}"/>
    <cellStyle name="_Multiple_Ability to Pay Analysis" xfId="7457" xr:uid="{00000000-0005-0000-0000-0000A80E0000}"/>
    <cellStyle name="_Multiple_AFL" xfId="7458" xr:uid="{00000000-0005-0000-0000-0000A90E0000}"/>
    <cellStyle name="_Multiple_AIZ" xfId="7459" xr:uid="{00000000-0005-0000-0000-0000AA0E0000}"/>
    <cellStyle name="_Multiple_AMP" xfId="7460" xr:uid="{00000000-0005-0000-0000-0000AB0E0000}"/>
    <cellStyle name="_Multiple_Balance Sheet" xfId="7461" xr:uid="{00000000-0005-0000-0000-0000AC0E0000}"/>
    <cellStyle name="_Multiple_Base" xfId="11190" xr:uid="{00000000-0005-0000-0000-0000AD0E0000}"/>
    <cellStyle name="_Multiple_Book1" xfId="7016" xr:uid="{00000000-0005-0000-0000-0000AE0E0000}"/>
    <cellStyle name="_Multiple_Book1_Book2" xfId="7017" xr:uid="{00000000-0005-0000-0000-0000AF0E0000}"/>
    <cellStyle name="_Multiple_Book1_Jazztel model 16DP3-Exhibits" xfId="7018" xr:uid="{00000000-0005-0000-0000-0000B00E0000}"/>
    <cellStyle name="_Multiple_Book1_Jazztel model 18DP-exhibits" xfId="7019" xr:uid="{00000000-0005-0000-0000-0000B10E0000}"/>
    <cellStyle name="_Multiple_Book1_Jazztel model 18DP-exhibits_KPNMobileMay01" xfId="7020" xr:uid="{00000000-0005-0000-0000-0000B20E0000}"/>
    <cellStyle name="_Multiple_Book1_Jazztel model 18DP-exhibits_T_MOBIL2" xfId="7021" xr:uid="{00000000-0005-0000-0000-0000B30E0000}"/>
    <cellStyle name="_Multiple_Book1_Jazztel model 18DP-exhibits_T_MOBIL2_Book2" xfId="7022" xr:uid="{00000000-0005-0000-0000-0000B40E0000}"/>
    <cellStyle name="_Multiple_Book1_Jazztel model 18DP-exhibits_T_MOBIL2_TDC-2Aug2001_UPD" xfId="7023" xr:uid="{00000000-0005-0000-0000-0000B50E0000}"/>
    <cellStyle name="_Multiple_Book1_Jazztel1" xfId="7024" xr:uid="{00000000-0005-0000-0000-0000B60E0000}"/>
    <cellStyle name="_Multiple_Book1_T_MOBIL2" xfId="7025" xr:uid="{00000000-0005-0000-0000-0000B70E0000}"/>
    <cellStyle name="_Multiple_Book1_TDC-2Aug2001_UPD" xfId="7026" xr:uid="{00000000-0005-0000-0000-0000B80E0000}"/>
    <cellStyle name="_Multiple_Book11" xfId="7027" xr:uid="{00000000-0005-0000-0000-0000B90E0000}"/>
    <cellStyle name="_Multiple_Book11_Book2" xfId="7028" xr:uid="{00000000-0005-0000-0000-0000BA0E0000}"/>
    <cellStyle name="_Multiple_Book11_Jazztel model 16DP3-Exhibits" xfId="7029" xr:uid="{00000000-0005-0000-0000-0000BB0E0000}"/>
    <cellStyle name="_Multiple_Book11_Jazztel model 18DP-exhibits" xfId="7030" xr:uid="{00000000-0005-0000-0000-0000BC0E0000}"/>
    <cellStyle name="_Multiple_Book11_Jazztel model 18DP-exhibits_KPNMobileMay01" xfId="7031" xr:uid="{00000000-0005-0000-0000-0000BD0E0000}"/>
    <cellStyle name="_Multiple_Book11_Jazztel model 18DP-exhibits_T_MOBIL2" xfId="7032" xr:uid="{00000000-0005-0000-0000-0000BE0E0000}"/>
    <cellStyle name="_Multiple_Book11_Jazztel model 18DP-exhibits_T_MOBIL2_Book2" xfId="7033" xr:uid="{00000000-0005-0000-0000-0000BF0E0000}"/>
    <cellStyle name="_Multiple_Book11_Jazztel model 18DP-exhibits_T_MOBIL2_TDC-2Aug2001_UPD" xfId="7034" xr:uid="{00000000-0005-0000-0000-0000C00E0000}"/>
    <cellStyle name="_Multiple_Book11_Jazztel1" xfId="7035" xr:uid="{00000000-0005-0000-0000-0000C10E0000}"/>
    <cellStyle name="_Multiple_Book11_T_MOBIL2" xfId="7036" xr:uid="{00000000-0005-0000-0000-0000C20E0000}"/>
    <cellStyle name="_Multiple_Book11_TDC-2Aug2001_UPD" xfId="7037" xr:uid="{00000000-0005-0000-0000-0000C30E0000}"/>
    <cellStyle name="_Multiple_Book12" xfId="7038" xr:uid="{00000000-0005-0000-0000-0000C40E0000}"/>
    <cellStyle name="_Multiple_Book12_Book2" xfId="7039" xr:uid="{00000000-0005-0000-0000-0000C50E0000}"/>
    <cellStyle name="_Multiple_Book12_Jazztel model 16DP3-Exhibits" xfId="7040" xr:uid="{00000000-0005-0000-0000-0000C60E0000}"/>
    <cellStyle name="_Multiple_Book12_Jazztel model 18DP-exhibits" xfId="7041" xr:uid="{00000000-0005-0000-0000-0000C70E0000}"/>
    <cellStyle name="_Multiple_Book12_Jazztel model 18DP-exhibits_KPNMobileMay01" xfId="7042" xr:uid="{00000000-0005-0000-0000-0000C80E0000}"/>
    <cellStyle name="_Multiple_Book12_Jazztel model 18DP-exhibits_T_MOBIL2" xfId="7043" xr:uid="{00000000-0005-0000-0000-0000C90E0000}"/>
    <cellStyle name="_Multiple_Book12_Jazztel model 18DP-exhibits_T_MOBIL2_Book2" xfId="7044" xr:uid="{00000000-0005-0000-0000-0000CA0E0000}"/>
    <cellStyle name="_Multiple_Book12_Jazztel model 18DP-exhibits_T_MOBIL2_TDC-2Aug2001_UPD" xfId="7045" xr:uid="{00000000-0005-0000-0000-0000CB0E0000}"/>
    <cellStyle name="_Multiple_Book12_Jazztel1" xfId="7046" xr:uid="{00000000-0005-0000-0000-0000CC0E0000}"/>
    <cellStyle name="_Multiple_Book12_T_MOBIL2" xfId="7047" xr:uid="{00000000-0005-0000-0000-0000CD0E0000}"/>
    <cellStyle name="_Multiple_Book12_TDC-2Aug2001_UPD" xfId="7048" xr:uid="{00000000-0005-0000-0000-0000CE0E0000}"/>
    <cellStyle name="_Multiple_Book29" xfId="7462" xr:uid="{00000000-0005-0000-0000-0000CF0E0000}"/>
    <cellStyle name="_Multiple_Book3" xfId="7463" xr:uid="{00000000-0005-0000-0000-0000D00E0000}"/>
    <cellStyle name="_Multiple_Book3_1" xfId="7464" xr:uid="{00000000-0005-0000-0000-0000D10E0000}"/>
    <cellStyle name="_Multiple_CNO" xfId="7465" xr:uid="{00000000-0005-0000-0000-0000D20E0000}"/>
    <cellStyle name="_Multiple_DCF Alexander Forbes" xfId="7466" xr:uid="{00000000-0005-0000-0000-0000D30E0000}"/>
    <cellStyle name="_Multiple_DCF Summary pages" xfId="7049" xr:uid="{00000000-0005-0000-0000-0000D40E0000}"/>
    <cellStyle name="_Multiple_DCF Summary pages_Book2" xfId="7050" xr:uid="{00000000-0005-0000-0000-0000D50E0000}"/>
    <cellStyle name="_Multiple_DCF Summary pages_Jazztel model 16DP3-Exhibits" xfId="7051" xr:uid="{00000000-0005-0000-0000-0000D60E0000}"/>
    <cellStyle name="_Multiple_DCF Summary pages_Jazztel model 18DP-exhibits" xfId="7052" xr:uid="{00000000-0005-0000-0000-0000D70E0000}"/>
    <cellStyle name="_Multiple_DCF Summary pages_Jazztel model 18DP-exhibits_KPNMobileMay01" xfId="7053" xr:uid="{00000000-0005-0000-0000-0000D80E0000}"/>
    <cellStyle name="_Multiple_DCF Summary pages_Jazztel model 18DP-exhibits_T_MOBIL2" xfId="7054" xr:uid="{00000000-0005-0000-0000-0000D90E0000}"/>
    <cellStyle name="_Multiple_DCF Summary pages_Jazztel model 18DP-exhibits_T_MOBIL2_Book2" xfId="7055" xr:uid="{00000000-0005-0000-0000-0000DA0E0000}"/>
    <cellStyle name="_Multiple_DCF Summary pages_Jazztel model 18DP-exhibits_T_MOBIL2_TDC-2Aug2001_UPD" xfId="7056" xr:uid="{00000000-0005-0000-0000-0000DB0E0000}"/>
    <cellStyle name="_Multiple_DCF Summary pages_Jazztel1" xfId="7057" xr:uid="{00000000-0005-0000-0000-0000DC0E0000}"/>
    <cellStyle name="_Multiple_DCF Summary pages_T_MOBIL2" xfId="7058" xr:uid="{00000000-0005-0000-0000-0000DD0E0000}"/>
    <cellStyle name="_Multiple_DCF Summary pages_TDC-2Aug2001_UPD" xfId="7059" xr:uid="{00000000-0005-0000-0000-0000DE0E0000}"/>
    <cellStyle name="_Multiple_fmbi counties" xfId="7467" xr:uid="{00000000-0005-0000-0000-0000DF0E0000}"/>
    <cellStyle name="_Multiple_FMBI MBHI Graphs" xfId="7468" xr:uid="{00000000-0005-0000-0000-0000E00E0000}"/>
    <cellStyle name="_Multiple_FMBI MBHI Graphs 07102001" xfId="7469" xr:uid="{00000000-0005-0000-0000-0000E10E0000}"/>
    <cellStyle name="_Multiple_FMBI MBHI Graphs_7601" xfId="7470" xr:uid="{00000000-0005-0000-0000-0000E20E0000}"/>
    <cellStyle name="_Multiple_GNW" xfId="7471" xr:uid="{00000000-0005-0000-0000-0000E30E0000}"/>
    <cellStyle name="_Multiple_Insurance Brokerage CSC_1Q2002" xfId="7472" xr:uid="{00000000-0005-0000-0000-0000E40E0000}"/>
    <cellStyle name="_Multiple_Jazztel model 15-exhibits" xfId="7060" xr:uid="{00000000-0005-0000-0000-0000E50E0000}"/>
    <cellStyle name="_Multiple_Jazztel model 15-exhibits bis" xfId="7061" xr:uid="{00000000-0005-0000-0000-0000E60E0000}"/>
    <cellStyle name="_Multiple_Jazztel model 15-exhibits_Book2" xfId="7062" xr:uid="{00000000-0005-0000-0000-0000E70E0000}"/>
    <cellStyle name="_Multiple_Jazztel model 15-exhibits_Jazztel model 16DP3-Exhibits" xfId="7063" xr:uid="{00000000-0005-0000-0000-0000E80E0000}"/>
    <cellStyle name="_Multiple_Jazztel model 15-exhibits_Jazztel model 18DP-exhibits" xfId="7064" xr:uid="{00000000-0005-0000-0000-0000E90E0000}"/>
    <cellStyle name="_Multiple_Jazztel model 15-exhibits_Jazztel model 18DP-exhibits_KPNMobileMay01" xfId="7065" xr:uid="{00000000-0005-0000-0000-0000EA0E0000}"/>
    <cellStyle name="_Multiple_Jazztel model 15-exhibits_Jazztel model 18DP-exhibits_T_MOBIL2" xfId="7066" xr:uid="{00000000-0005-0000-0000-0000EB0E0000}"/>
    <cellStyle name="_Multiple_Jazztel model 15-exhibits_Jazztel model 18DP-exhibits_T_MOBIL2_Book2" xfId="7067" xr:uid="{00000000-0005-0000-0000-0000EC0E0000}"/>
    <cellStyle name="_Multiple_Jazztel model 15-exhibits_Jazztel model 18DP-exhibits_T_MOBIL2_TDC-2Aug2001_UPD" xfId="7068" xr:uid="{00000000-0005-0000-0000-0000ED0E0000}"/>
    <cellStyle name="_Multiple_Jazztel model 15-exhibits_Jazztel1" xfId="7069" xr:uid="{00000000-0005-0000-0000-0000EE0E0000}"/>
    <cellStyle name="_Multiple_Jazztel model 15-exhibits_T_MOBIL2" xfId="7070" xr:uid="{00000000-0005-0000-0000-0000EF0E0000}"/>
    <cellStyle name="_Multiple_Jazztel model 15-exhibits_TDC-2Aug2001_UPD" xfId="7071" xr:uid="{00000000-0005-0000-0000-0000F00E0000}"/>
    <cellStyle name="_Multiple_Jazztel model 15-exhibits-Friso2" xfId="7072" xr:uid="{00000000-0005-0000-0000-0000F10E0000}"/>
    <cellStyle name="_Multiple_Jazztel model 15-exhibits-Friso2_Book2" xfId="7073" xr:uid="{00000000-0005-0000-0000-0000F20E0000}"/>
    <cellStyle name="_Multiple_Jazztel model 15-exhibits-Friso2_Jazztel model 16DP3-Exhibits" xfId="7074" xr:uid="{00000000-0005-0000-0000-0000F30E0000}"/>
    <cellStyle name="_Multiple_Jazztel model 15-exhibits-Friso2_Jazztel model 18DP-exhibits" xfId="7075" xr:uid="{00000000-0005-0000-0000-0000F40E0000}"/>
    <cellStyle name="_Multiple_Jazztel model 15-exhibits-Friso2_Jazztel model 18DP-exhibits_KPNMobileMay01" xfId="7076" xr:uid="{00000000-0005-0000-0000-0000F50E0000}"/>
    <cellStyle name="_Multiple_Jazztel model 15-exhibits-Friso2_Jazztel model 18DP-exhibits_T_MOBIL2" xfId="7077" xr:uid="{00000000-0005-0000-0000-0000F60E0000}"/>
    <cellStyle name="_Multiple_Jazztel model 15-exhibits-Friso2_Jazztel model 18DP-exhibits_T_MOBIL2_Book2" xfId="7078" xr:uid="{00000000-0005-0000-0000-0000F70E0000}"/>
    <cellStyle name="_Multiple_Jazztel model 15-exhibits-Friso2_Jazztel model 18DP-exhibits_T_MOBIL2_TDC-2Aug2001_UPD" xfId="7079" xr:uid="{00000000-0005-0000-0000-0000F80E0000}"/>
    <cellStyle name="_Multiple_Jazztel model 15-exhibits-Friso2_Jazztel1" xfId="7080" xr:uid="{00000000-0005-0000-0000-0000F90E0000}"/>
    <cellStyle name="_Multiple_Jazztel model 15-exhibits-Friso2_T_MOBIL2" xfId="7081" xr:uid="{00000000-0005-0000-0000-0000FA0E0000}"/>
    <cellStyle name="_Multiple_Jazztel model 15-exhibits-Friso2_TDC-2Aug2001_UPD" xfId="7082" xr:uid="{00000000-0005-0000-0000-0000FB0E0000}"/>
    <cellStyle name="_Multiple_Jazztel model 16DP2-Exhibits" xfId="7083" xr:uid="{00000000-0005-0000-0000-0000FC0E0000}"/>
    <cellStyle name="_Multiple_Jazztel model 16DP2-Exhibits_T_MOBIL2" xfId="7084" xr:uid="{00000000-0005-0000-0000-0000FD0E0000}"/>
    <cellStyle name="_Multiple_Jazztel model 16DP3-Exhibits" xfId="7085" xr:uid="{00000000-0005-0000-0000-0000FE0E0000}"/>
    <cellStyle name="_Multiple_Jazztel model 16DP3-Exhibits_T_MOBIL2" xfId="7086" xr:uid="{00000000-0005-0000-0000-0000FF0E0000}"/>
    <cellStyle name="_Multiple_JP" xfId="7473" xr:uid="{00000000-0005-0000-0000-0000000F0000}"/>
    <cellStyle name="_Multiple_LNC" xfId="7474" xr:uid="{00000000-0005-0000-0000-0000010F0000}"/>
    <cellStyle name="_Multiple_MET" xfId="7475" xr:uid="{00000000-0005-0000-0000-0000020F0000}"/>
    <cellStyle name="_Multiple_MET04" xfId="7476" xr:uid="{00000000-0005-0000-0000-0000030F0000}"/>
    <cellStyle name="_Multiple_NFS" xfId="7477" xr:uid="{00000000-0005-0000-0000-0000040F0000}"/>
    <cellStyle name="_Multiple_Overseas" xfId="11191" xr:uid="{00000000-0005-0000-0000-0000050F0000}"/>
    <cellStyle name="_Multiple_Overview3" xfId="7478" xr:uid="{00000000-0005-0000-0000-0000060F0000}"/>
    <cellStyle name="_Multiple_phil data" xfId="7479" xr:uid="{00000000-0005-0000-0000-0000070F0000}"/>
    <cellStyle name="_Multiple_Price Performance Charts" xfId="7480" xr:uid="{00000000-0005-0000-0000-0000080F0000}"/>
    <cellStyle name="_Multiple_PRU" xfId="7481" xr:uid="{00000000-0005-0000-0000-0000090F0000}"/>
    <cellStyle name="_Multiple_PRU04" xfId="7482" xr:uid="{00000000-0005-0000-0000-00000A0F0000}"/>
    <cellStyle name="_Multiple_RiskReward" xfId="7483" xr:uid="{00000000-0005-0000-0000-00000B0F0000}"/>
    <cellStyle name="_Multiple_SFG" xfId="7484" xr:uid="{00000000-0005-0000-0000-00000C0F0000}"/>
    <cellStyle name="_Multiple_Sheet1" xfId="7485" xr:uid="{00000000-0005-0000-0000-00000D0F0000}"/>
    <cellStyle name="_Multiple_Stock-QTR1 FDS" xfId="7486" xr:uid="{00000000-0005-0000-0000-00000E0F0000}"/>
    <cellStyle name="_Multiple_T_MOBIL2" xfId="7087" xr:uid="{00000000-0005-0000-0000-00000F0F0000}"/>
    <cellStyle name="_Multiple_TMK" xfId="7487" xr:uid="{00000000-0005-0000-0000-0000100F0000}"/>
    <cellStyle name="_Multiple_Updated Valuation Changes" xfId="7488" xr:uid="{00000000-0005-0000-0000-0000110F0000}"/>
    <cellStyle name="_Multiple_Valuation Graphs" xfId="7489" xr:uid="{00000000-0005-0000-0000-0000120F0000}"/>
    <cellStyle name="_Multiple_xratio - historical mkt val" xfId="7490" xr:uid="{00000000-0005-0000-0000-0000130F0000}"/>
    <cellStyle name="_MultipleSpace" xfId="3974" xr:uid="{00000000-0005-0000-0000-0000140F0000}"/>
    <cellStyle name="_MultipleSpace 2" xfId="7088" xr:uid="{00000000-0005-0000-0000-0000150F0000}"/>
    <cellStyle name="_MultipleSpace 3" xfId="7817" xr:uid="{00000000-0005-0000-0000-0000160F0000}"/>
    <cellStyle name="_MultipleSpace_01 adj for merger plan" xfId="7491" xr:uid="{00000000-0005-0000-0000-0000170F0000}"/>
    <cellStyle name="_MultipleSpace_Ability to Pay Analysis" xfId="7492" xr:uid="{00000000-0005-0000-0000-0000180F0000}"/>
    <cellStyle name="_MultipleSpace_AFL" xfId="7493" xr:uid="{00000000-0005-0000-0000-0000190F0000}"/>
    <cellStyle name="_MultipleSpace_AIZ" xfId="7494" xr:uid="{00000000-0005-0000-0000-00001A0F0000}"/>
    <cellStyle name="_MultipleSpace_AMP" xfId="7495" xr:uid="{00000000-0005-0000-0000-00001B0F0000}"/>
    <cellStyle name="_MultipleSpace_Balance Sheet" xfId="7496" xr:uid="{00000000-0005-0000-0000-00001C0F0000}"/>
    <cellStyle name="_MultipleSpace_Base" xfId="11192" xr:uid="{00000000-0005-0000-0000-00001D0F0000}"/>
    <cellStyle name="_MultipleSpace_Book1" xfId="7089" xr:uid="{00000000-0005-0000-0000-00001E0F0000}"/>
    <cellStyle name="_MultipleSpace_Book1_Jazztel" xfId="7090" xr:uid="{00000000-0005-0000-0000-00001F0F0000}"/>
    <cellStyle name="_MultipleSpace_Book1_Jazztel model 16DP3-Exhibits" xfId="7091" xr:uid="{00000000-0005-0000-0000-0000200F0000}"/>
    <cellStyle name="_MultipleSpace_Book1_Jazztel model 18DP-exhibits" xfId="7092" xr:uid="{00000000-0005-0000-0000-0000210F0000}"/>
    <cellStyle name="_MultipleSpace_Book1_Jazztel model 18DP-exhibits_KPNMobileMay01" xfId="7093" xr:uid="{00000000-0005-0000-0000-0000220F0000}"/>
    <cellStyle name="_MultipleSpace_Book1_Jazztel model 18DP-exhibits_T_MOBIL2" xfId="7094" xr:uid="{00000000-0005-0000-0000-0000230F0000}"/>
    <cellStyle name="_MultipleSpace_Book1_Jazztel model 18DP-exhibits_T_MOBIL2_Book2" xfId="7095" xr:uid="{00000000-0005-0000-0000-0000240F0000}"/>
    <cellStyle name="_MultipleSpace_Book1_Jazztel model 18DP-exhibits_T_MOBIL2_Fidelity FixedTel - Summer" xfId="11193" xr:uid="{00000000-0005-0000-0000-0000250F0000}"/>
    <cellStyle name="_MultipleSpace_Book1_Jazztel model 18DP-exhibits_T_MOBIL2_FixedTele" xfId="11194" xr:uid="{00000000-0005-0000-0000-0000260F0000}"/>
    <cellStyle name="_MultipleSpace_Book1_Jazztel model 18DP-exhibits_T_MOBIL2_TDC-2Aug2001_UPD" xfId="7096" xr:uid="{00000000-0005-0000-0000-0000270F0000}"/>
    <cellStyle name="_MultipleSpace_Book1_Jazztel1" xfId="7097" xr:uid="{00000000-0005-0000-0000-0000280F0000}"/>
    <cellStyle name="_MultipleSpace_Book1_Jazztel1_Book2" xfId="7098" xr:uid="{00000000-0005-0000-0000-0000290F0000}"/>
    <cellStyle name="_MultipleSpace_Book1_Jazztel1_TDC-2Aug2001_UPD" xfId="7099" xr:uid="{00000000-0005-0000-0000-00002A0F0000}"/>
    <cellStyle name="_MultipleSpace_Book11" xfId="7100" xr:uid="{00000000-0005-0000-0000-00002B0F0000}"/>
    <cellStyle name="_MultipleSpace_Book11_Jazztel" xfId="7101" xr:uid="{00000000-0005-0000-0000-00002C0F0000}"/>
    <cellStyle name="_MultipleSpace_Book11_Jazztel model 16DP3-Exhibits" xfId="7102" xr:uid="{00000000-0005-0000-0000-00002D0F0000}"/>
    <cellStyle name="_MultipleSpace_Book11_Jazztel model 18DP-exhibits" xfId="7103" xr:uid="{00000000-0005-0000-0000-00002E0F0000}"/>
    <cellStyle name="_MultipleSpace_Book11_Jazztel model 18DP-exhibits_KPNMobileMay01" xfId="7104" xr:uid="{00000000-0005-0000-0000-00002F0F0000}"/>
    <cellStyle name="_MultipleSpace_Book11_Jazztel model 18DP-exhibits_T_MOBIL2" xfId="7105" xr:uid="{00000000-0005-0000-0000-0000300F0000}"/>
    <cellStyle name="_MultipleSpace_Book11_Jazztel model 18DP-exhibits_T_MOBIL2_Book2" xfId="7106" xr:uid="{00000000-0005-0000-0000-0000310F0000}"/>
    <cellStyle name="_MultipleSpace_Book11_Jazztel model 18DP-exhibits_T_MOBIL2_Fidelity FixedTel - Summer" xfId="11195" xr:uid="{00000000-0005-0000-0000-0000320F0000}"/>
    <cellStyle name="_MultipleSpace_Book11_Jazztel model 18DP-exhibits_T_MOBIL2_FixedTele" xfId="11196" xr:uid="{00000000-0005-0000-0000-0000330F0000}"/>
    <cellStyle name="_MultipleSpace_Book11_Jazztel model 18DP-exhibits_T_MOBIL2_TDC-2Aug2001_UPD" xfId="7107" xr:uid="{00000000-0005-0000-0000-0000340F0000}"/>
    <cellStyle name="_MultipleSpace_Book11_Jazztel1" xfId="7108" xr:uid="{00000000-0005-0000-0000-0000350F0000}"/>
    <cellStyle name="_MultipleSpace_Book11_Jazztel1_Book2" xfId="7109" xr:uid="{00000000-0005-0000-0000-0000360F0000}"/>
    <cellStyle name="_MultipleSpace_Book11_Jazztel1_TDC-2Aug2001_UPD" xfId="7110" xr:uid="{00000000-0005-0000-0000-0000370F0000}"/>
    <cellStyle name="_MultipleSpace_Book12" xfId="7111" xr:uid="{00000000-0005-0000-0000-0000380F0000}"/>
    <cellStyle name="_MultipleSpace_Book12_Jazztel" xfId="7112" xr:uid="{00000000-0005-0000-0000-0000390F0000}"/>
    <cellStyle name="_MultipleSpace_Book12_Jazztel model 16DP3-Exhibits" xfId="7113" xr:uid="{00000000-0005-0000-0000-00003A0F0000}"/>
    <cellStyle name="_MultipleSpace_Book12_Jazztel model 18DP-exhibits" xfId="7114" xr:uid="{00000000-0005-0000-0000-00003B0F0000}"/>
    <cellStyle name="_MultipleSpace_Book12_Jazztel model 18DP-exhibits_KPNMobileMay01" xfId="7115" xr:uid="{00000000-0005-0000-0000-00003C0F0000}"/>
    <cellStyle name="_MultipleSpace_Book12_Jazztel model 18DP-exhibits_T_MOBIL2" xfId="7116" xr:uid="{00000000-0005-0000-0000-00003D0F0000}"/>
    <cellStyle name="_MultipleSpace_Book12_Jazztel model 18DP-exhibits_T_MOBIL2_Book2" xfId="7117" xr:uid="{00000000-0005-0000-0000-00003E0F0000}"/>
    <cellStyle name="_MultipleSpace_Book12_Jazztel model 18DP-exhibits_T_MOBIL2_Fidelity FixedTel - Summer" xfId="11197" xr:uid="{00000000-0005-0000-0000-00003F0F0000}"/>
    <cellStyle name="_MultipleSpace_Book12_Jazztel model 18DP-exhibits_T_MOBIL2_FixedTele" xfId="11198" xr:uid="{00000000-0005-0000-0000-0000400F0000}"/>
    <cellStyle name="_MultipleSpace_Book12_Jazztel model 18DP-exhibits_T_MOBIL2_TDC-2Aug2001_UPD" xfId="7118" xr:uid="{00000000-0005-0000-0000-0000410F0000}"/>
    <cellStyle name="_MultipleSpace_Book12_Jazztel1" xfId="7119" xr:uid="{00000000-0005-0000-0000-0000420F0000}"/>
    <cellStyle name="_MultipleSpace_Book12_Jazztel1_Book2" xfId="7120" xr:uid="{00000000-0005-0000-0000-0000430F0000}"/>
    <cellStyle name="_MultipleSpace_Book12_Jazztel1_TDC-2Aug2001_UPD" xfId="7121" xr:uid="{00000000-0005-0000-0000-0000440F0000}"/>
    <cellStyle name="_MultipleSpace_Book29" xfId="7497" xr:uid="{00000000-0005-0000-0000-0000450F0000}"/>
    <cellStyle name="_MultipleSpace_Book3" xfId="7498" xr:uid="{00000000-0005-0000-0000-0000460F0000}"/>
    <cellStyle name="_MultipleSpace_Book3_1" xfId="7499" xr:uid="{00000000-0005-0000-0000-0000470F0000}"/>
    <cellStyle name="_MultipleSpace_CNO" xfId="7500" xr:uid="{00000000-0005-0000-0000-0000480F0000}"/>
    <cellStyle name="_MultipleSpace_DCF Alexander Forbes" xfId="7501" xr:uid="{00000000-0005-0000-0000-0000490F0000}"/>
    <cellStyle name="_MultipleSpace_DCF Summary pages" xfId="7122" xr:uid="{00000000-0005-0000-0000-00004A0F0000}"/>
    <cellStyle name="_MultipleSpace_DCF Summary pages_Jazztel" xfId="7123" xr:uid="{00000000-0005-0000-0000-00004B0F0000}"/>
    <cellStyle name="_MultipleSpace_DCF Summary pages_Jazztel model 16DP3-Exhibits" xfId="7124" xr:uid="{00000000-0005-0000-0000-00004C0F0000}"/>
    <cellStyle name="_MultipleSpace_DCF Summary pages_Jazztel model 18DP-exhibits" xfId="7125" xr:uid="{00000000-0005-0000-0000-00004D0F0000}"/>
    <cellStyle name="_MultipleSpace_DCF Summary pages_Jazztel model 18DP-exhibits_KPNMobileMay01" xfId="7126" xr:uid="{00000000-0005-0000-0000-00004E0F0000}"/>
    <cellStyle name="_MultipleSpace_DCF Summary pages_Jazztel model 18DP-exhibits_T_MOBIL2" xfId="7127" xr:uid="{00000000-0005-0000-0000-00004F0F0000}"/>
    <cellStyle name="_MultipleSpace_DCF Summary pages_Jazztel model 18DP-exhibits_T_MOBIL2_Book2" xfId="7128" xr:uid="{00000000-0005-0000-0000-0000500F0000}"/>
    <cellStyle name="_MultipleSpace_DCF Summary pages_Jazztel model 18DP-exhibits_T_MOBIL2_Fidelity FixedTel - Summer" xfId="11199" xr:uid="{00000000-0005-0000-0000-0000510F0000}"/>
    <cellStyle name="_MultipleSpace_DCF Summary pages_Jazztel model 18DP-exhibits_T_MOBIL2_FixedTele" xfId="11200" xr:uid="{00000000-0005-0000-0000-0000520F0000}"/>
    <cellStyle name="_MultipleSpace_DCF Summary pages_Jazztel model 18DP-exhibits_T_MOBIL2_TDC-2Aug2001_UPD" xfId="7129" xr:uid="{00000000-0005-0000-0000-0000530F0000}"/>
    <cellStyle name="_MultipleSpace_DCF Summary pages_Jazztel1" xfId="7130" xr:uid="{00000000-0005-0000-0000-0000540F0000}"/>
    <cellStyle name="_MultipleSpace_DCF Summary pages_Jazztel1_Book2" xfId="7131" xr:uid="{00000000-0005-0000-0000-0000550F0000}"/>
    <cellStyle name="_MultipleSpace_DCF Summary pages_Jazztel1_TDC-2Aug2001_UPD" xfId="7132" xr:uid="{00000000-0005-0000-0000-0000560F0000}"/>
    <cellStyle name="_MultipleSpace_fmbi counties" xfId="7502" xr:uid="{00000000-0005-0000-0000-0000570F0000}"/>
    <cellStyle name="_MultipleSpace_FMBI MBHI Graphs" xfId="7503" xr:uid="{00000000-0005-0000-0000-0000580F0000}"/>
    <cellStyle name="_MultipleSpace_FMBI MBHI Graphs 07102001" xfId="7504" xr:uid="{00000000-0005-0000-0000-0000590F0000}"/>
    <cellStyle name="_MultipleSpace_FMBI MBHI Graphs_7601" xfId="7505" xr:uid="{00000000-0005-0000-0000-00005A0F0000}"/>
    <cellStyle name="_MultipleSpace_GNW" xfId="7506" xr:uid="{00000000-0005-0000-0000-00005B0F0000}"/>
    <cellStyle name="_MultipleSpace_Insurance Brokerage CSC_1Q2002" xfId="7507" xr:uid="{00000000-0005-0000-0000-00005C0F0000}"/>
    <cellStyle name="_MultipleSpace_Jazztel model 15-exhibits" xfId="7133" xr:uid="{00000000-0005-0000-0000-00005D0F0000}"/>
    <cellStyle name="_MultipleSpace_Jazztel model 15-exhibits bis" xfId="7134" xr:uid="{00000000-0005-0000-0000-00005E0F0000}"/>
    <cellStyle name="_MultipleSpace_Jazztel model 15-exhibits_Jazztel" xfId="7135" xr:uid="{00000000-0005-0000-0000-00005F0F0000}"/>
    <cellStyle name="_MultipleSpace_Jazztel model 15-exhibits_Jazztel model 16DP3-Exhibits" xfId="7136" xr:uid="{00000000-0005-0000-0000-0000600F0000}"/>
    <cellStyle name="_MultipleSpace_Jazztel model 15-exhibits_Jazztel model 18DP-exhibits" xfId="7137" xr:uid="{00000000-0005-0000-0000-0000610F0000}"/>
    <cellStyle name="_MultipleSpace_Jazztel model 15-exhibits_Jazztel model 18DP-exhibits_KPNMobileMay01" xfId="7138" xr:uid="{00000000-0005-0000-0000-0000620F0000}"/>
    <cellStyle name="_MultipleSpace_Jazztel model 15-exhibits_Jazztel model 18DP-exhibits_T_MOBIL2" xfId="7139" xr:uid="{00000000-0005-0000-0000-0000630F0000}"/>
    <cellStyle name="_MultipleSpace_Jazztel model 15-exhibits_Jazztel model 18DP-exhibits_T_MOBIL2_Book2" xfId="7140" xr:uid="{00000000-0005-0000-0000-0000640F0000}"/>
    <cellStyle name="_MultipleSpace_Jazztel model 15-exhibits_Jazztel model 18DP-exhibits_T_MOBIL2_Fidelity FixedTel - Summer" xfId="11201" xr:uid="{00000000-0005-0000-0000-0000650F0000}"/>
    <cellStyle name="_MultipleSpace_Jazztel model 15-exhibits_Jazztel model 18DP-exhibits_T_MOBIL2_FixedTele" xfId="11202" xr:uid="{00000000-0005-0000-0000-0000660F0000}"/>
    <cellStyle name="_MultipleSpace_Jazztel model 15-exhibits_Jazztel model 18DP-exhibits_T_MOBIL2_TDC-2Aug2001_UPD" xfId="7141" xr:uid="{00000000-0005-0000-0000-0000670F0000}"/>
    <cellStyle name="_MultipleSpace_Jazztel model 15-exhibits_Jazztel1" xfId="7142" xr:uid="{00000000-0005-0000-0000-0000680F0000}"/>
    <cellStyle name="_MultipleSpace_Jazztel model 15-exhibits_Jazztel1_Book2" xfId="7143" xr:uid="{00000000-0005-0000-0000-0000690F0000}"/>
    <cellStyle name="_MultipleSpace_Jazztel model 15-exhibits_Jazztel1_TDC-2Aug2001_UPD" xfId="7144" xr:uid="{00000000-0005-0000-0000-00006A0F0000}"/>
    <cellStyle name="_MultipleSpace_Jazztel model 15-exhibits-Friso2" xfId="7145" xr:uid="{00000000-0005-0000-0000-00006B0F0000}"/>
    <cellStyle name="_MultipleSpace_Jazztel model 15-exhibits-Friso2_Jazztel" xfId="7146" xr:uid="{00000000-0005-0000-0000-00006C0F0000}"/>
    <cellStyle name="_MultipleSpace_Jazztel model 15-exhibits-Friso2_Jazztel model 16DP3-Exhibits" xfId="7147" xr:uid="{00000000-0005-0000-0000-00006D0F0000}"/>
    <cellStyle name="_MultipleSpace_Jazztel model 15-exhibits-Friso2_Jazztel model 18DP-exhibits" xfId="7148" xr:uid="{00000000-0005-0000-0000-00006E0F0000}"/>
    <cellStyle name="_MultipleSpace_Jazztel model 15-exhibits-Friso2_Jazztel model 18DP-exhibits_KPNMobileMay01" xfId="7149" xr:uid="{00000000-0005-0000-0000-00006F0F0000}"/>
    <cellStyle name="_MultipleSpace_Jazztel model 15-exhibits-Friso2_Jazztel model 18DP-exhibits_T_MOBIL2" xfId="7150" xr:uid="{00000000-0005-0000-0000-0000700F0000}"/>
    <cellStyle name="_MultipleSpace_Jazztel model 15-exhibits-Friso2_Jazztel model 18DP-exhibits_T_MOBIL2_Book2" xfId="7151" xr:uid="{00000000-0005-0000-0000-0000710F0000}"/>
    <cellStyle name="_MultipleSpace_Jazztel model 15-exhibits-Friso2_Jazztel model 18DP-exhibits_T_MOBIL2_Fidelity FixedTel - Summer" xfId="11203" xr:uid="{00000000-0005-0000-0000-0000720F0000}"/>
    <cellStyle name="_MultipleSpace_Jazztel model 15-exhibits-Friso2_Jazztel model 18DP-exhibits_T_MOBIL2_FixedTele" xfId="11204" xr:uid="{00000000-0005-0000-0000-0000730F0000}"/>
    <cellStyle name="_MultipleSpace_Jazztel model 15-exhibits-Friso2_Jazztel model 18DP-exhibits_T_MOBIL2_TDC-2Aug2001_UPD" xfId="7152" xr:uid="{00000000-0005-0000-0000-0000740F0000}"/>
    <cellStyle name="_MultipleSpace_Jazztel model 15-exhibits-Friso2_Jazztel1" xfId="7153" xr:uid="{00000000-0005-0000-0000-0000750F0000}"/>
    <cellStyle name="_MultipleSpace_Jazztel model 15-exhibits-Friso2_Jazztel1_Book2" xfId="7154" xr:uid="{00000000-0005-0000-0000-0000760F0000}"/>
    <cellStyle name="_MultipleSpace_Jazztel model 15-exhibits-Friso2_Jazztel1_TDC-2Aug2001_UPD" xfId="7155" xr:uid="{00000000-0005-0000-0000-0000770F0000}"/>
    <cellStyle name="_MultipleSpace_Jazztel model 16DP2-Exhibits" xfId="7156" xr:uid="{00000000-0005-0000-0000-0000780F0000}"/>
    <cellStyle name="_MultipleSpace_Jazztel model 16DP3-Exhibits" xfId="7157" xr:uid="{00000000-0005-0000-0000-0000790F0000}"/>
    <cellStyle name="_MultipleSpace_JP" xfId="7508" xr:uid="{00000000-0005-0000-0000-00007A0F0000}"/>
    <cellStyle name="_MultipleSpace_LNC" xfId="7509" xr:uid="{00000000-0005-0000-0000-00007B0F0000}"/>
    <cellStyle name="_MultipleSpace_MET" xfId="7510" xr:uid="{00000000-0005-0000-0000-00007C0F0000}"/>
    <cellStyle name="_MultipleSpace_MET04" xfId="7511" xr:uid="{00000000-0005-0000-0000-00007D0F0000}"/>
    <cellStyle name="_MultipleSpace_NFS" xfId="7512" xr:uid="{00000000-0005-0000-0000-00007E0F0000}"/>
    <cellStyle name="_MultipleSpace_Overseas" xfId="11205" xr:uid="{00000000-0005-0000-0000-00007F0F0000}"/>
    <cellStyle name="_MultipleSpace_Overview3" xfId="7513" xr:uid="{00000000-0005-0000-0000-0000800F0000}"/>
    <cellStyle name="_MultipleSpace_phil data" xfId="7514" xr:uid="{00000000-0005-0000-0000-0000810F0000}"/>
    <cellStyle name="_MultipleSpace_Price Performance Charts" xfId="7515" xr:uid="{00000000-0005-0000-0000-0000820F0000}"/>
    <cellStyle name="_MultipleSpace_PRU" xfId="7516" xr:uid="{00000000-0005-0000-0000-0000830F0000}"/>
    <cellStyle name="_MultipleSpace_PRU04" xfId="7517" xr:uid="{00000000-0005-0000-0000-0000840F0000}"/>
    <cellStyle name="_MultipleSpace_RiskReward" xfId="7518" xr:uid="{00000000-0005-0000-0000-0000850F0000}"/>
    <cellStyle name="_MultipleSpace_SFG" xfId="7519" xr:uid="{00000000-0005-0000-0000-0000860F0000}"/>
    <cellStyle name="_MultipleSpace_Sheet1" xfId="7520" xr:uid="{00000000-0005-0000-0000-0000870F0000}"/>
    <cellStyle name="_MultipleSpace_Stock-QTR1 FDS" xfId="7521" xr:uid="{00000000-0005-0000-0000-0000880F0000}"/>
    <cellStyle name="_MultipleSpace_TMK" xfId="7522" xr:uid="{00000000-0005-0000-0000-0000890F0000}"/>
    <cellStyle name="_MultipleSpace_Updated Valuation Changes" xfId="7523" xr:uid="{00000000-0005-0000-0000-00008A0F0000}"/>
    <cellStyle name="_MultipleSpace_Valuation Graphs" xfId="7524" xr:uid="{00000000-0005-0000-0000-00008B0F0000}"/>
    <cellStyle name="_MultipleSpace_xratio - historical mkt val" xfId="7525" xr:uid="{00000000-0005-0000-0000-00008C0F0000}"/>
    <cellStyle name="—_new format1" xfId="5564" xr:uid="{00000000-0005-0000-0000-00008D0F0000}"/>
    <cellStyle name="—_new format1 2" xfId="7158" xr:uid="{00000000-0005-0000-0000-00008E0F0000}"/>
    <cellStyle name="—_new format1_Beta" xfId="5565" xr:uid="{00000000-0005-0000-0000-00008F0F0000}"/>
    <cellStyle name="—_new format1_Book8" xfId="5566" xr:uid="{00000000-0005-0000-0000-0000900F0000}"/>
    <cellStyle name="—_new format1_Book8_Beta" xfId="5567" xr:uid="{00000000-0005-0000-0000-0000910F0000}"/>
    <cellStyle name="—_new format1_Book8_Cashflow" xfId="5568" xr:uid="{00000000-0005-0000-0000-0000920F0000}"/>
    <cellStyle name="—_new format1_Book8_Cashflow_Honghua MSTR" xfId="5569" xr:uid="{00000000-0005-0000-0000-0000930F0000}"/>
    <cellStyle name="—_new format1_Book8_P&amp;L" xfId="5570" xr:uid="{00000000-0005-0000-0000-0000940F0000}"/>
    <cellStyle name="—_new format1_Book8_P&amp;L_Honghua MSTR" xfId="5571" xr:uid="{00000000-0005-0000-0000-0000950F0000}"/>
    <cellStyle name="—_new format1_Book8_PetroChina Master" xfId="5572" xr:uid="{00000000-0005-0000-0000-0000960F0000}"/>
    <cellStyle name="—_new format1_Book8_PetroChina Master_WIP(20-F update)" xfId="5573" xr:uid="{00000000-0005-0000-0000-0000970F0000}"/>
    <cellStyle name="—_new format1_Book8_PetroChina Master_WIP(20-F update)_Cashflow" xfId="5574" xr:uid="{00000000-0005-0000-0000-0000980F0000}"/>
    <cellStyle name="—_new format1_Book8_PetroChina Master_WIP(20-F update)_Cashflow_Honghua MSTR" xfId="5575" xr:uid="{00000000-0005-0000-0000-0000990F0000}"/>
    <cellStyle name="—_new format1_Book8_PetroChina Master_WIP(20-F update)_P&amp;L" xfId="5576" xr:uid="{00000000-0005-0000-0000-00009A0F0000}"/>
    <cellStyle name="—_new format1_Book8_PetroChina Master_WIP(20-F update)_P&amp;L_Honghua MSTR" xfId="5577" xr:uid="{00000000-0005-0000-0000-00009B0F0000}"/>
    <cellStyle name="—_new format1_Book8_PetroChina Master_WIP(20-F update)_Sinopec MSTR" xfId="5578" xr:uid="{00000000-0005-0000-0000-00009C0F0000}"/>
    <cellStyle name="—_new format1_Book8_PetroChina Master_WIP(20-F update)_Sinopec MSTR Wip" xfId="5579" xr:uid="{00000000-0005-0000-0000-00009D0F0000}"/>
    <cellStyle name="—_new format1_Book8_PetroChina Master_WIP(20-F update)_Sinopec MSTR_WIP_KK" xfId="5580" xr:uid="{00000000-0005-0000-0000-00009E0F0000}"/>
    <cellStyle name="—_new format1_Book8_Sinopec MSTR" xfId="5581" xr:uid="{00000000-0005-0000-0000-00009F0F0000}"/>
    <cellStyle name="—_new format1_Book8_Sinopec MSTR Wip" xfId="5582" xr:uid="{00000000-0005-0000-0000-0000A00F0000}"/>
    <cellStyle name="—_new format1_Book8_Sinopec MSTR_WIP_KK" xfId="5583" xr:uid="{00000000-0005-0000-0000-0000A10F0000}"/>
    <cellStyle name="—_new format1_Book8_Sinopec MSTR-WIP_20F update" xfId="5584" xr:uid="{00000000-0005-0000-0000-0000A20F0000}"/>
    <cellStyle name="—_new format1_Cashflow" xfId="5585" xr:uid="{00000000-0005-0000-0000-0000A30F0000}"/>
    <cellStyle name="—_new format1_Cashflow_Honghua MSTR" xfId="5586" xr:uid="{00000000-0005-0000-0000-0000A40F0000}"/>
    <cellStyle name="—_new format1_EM-LGT_Published" xfId="5587" xr:uid="{00000000-0005-0000-0000-0000A50F0000}"/>
    <cellStyle name="—_new format1_EM-LGT_Published_Beta" xfId="5588" xr:uid="{00000000-0005-0000-0000-0000A60F0000}"/>
    <cellStyle name="—_new format1_EM-LGT_Published_Cashflow" xfId="5589" xr:uid="{00000000-0005-0000-0000-0000A70F0000}"/>
    <cellStyle name="—_new format1_EM-LGT_Published_Cashflow_Honghua MSTR" xfId="5590" xr:uid="{00000000-0005-0000-0000-0000A80F0000}"/>
    <cellStyle name="—_new format1_EM-LGT_Published_P&amp;L" xfId="5591" xr:uid="{00000000-0005-0000-0000-0000A90F0000}"/>
    <cellStyle name="—_new format1_EM-LGT_Published_P&amp;L_Honghua MSTR" xfId="5592" xr:uid="{00000000-0005-0000-0000-0000AA0F0000}"/>
    <cellStyle name="—_new format1_EM-LGT_Published_PetroChina Master" xfId="5593" xr:uid="{00000000-0005-0000-0000-0000AB0F0000}"/>
    <cellStyle name="—_new format1_EM-LGT_Published_PetroChina Master_WIP(20-F update)" xfId="5594" xr:uid="{00000000-0005-0000-0000-0000AC0F0000}"/>
    <cellStyle name="—_new format1_EM-LGT_Published_PetroChina Master_WIP(20-F update)_Cashflow" xfId="5595" xr:uid="{00000000-0005-0000-0000-0000AD0F0000}"/>
    <cellStyle name="—_new format1_EM-LGT_Published_PetroChina Master_WIP(20-F update)_Cashflow_Honghua MSTR" xfId="5596" xr:uid="{00000000-0005-0000-0000-0000AE0F0000}"/>
    <cellStyle name="—_new format1_EM-LGT_Published_PetroChina Master_WIP(20-F update)_P&amp;L" xfId="5597" xr:uid="{00000000-0005-0000-0000-0000AF0F0000}"/>
    <cellStyle name="—_new format1_EM-LGT_Published_PetroChina Master_WIP(20-F update)_P&amp;L_Honghua MSTR" xfId="5598" xr:uid="{00000000-0005-0000-0000-0000B00F0000}"/>
    <cellStyle name="—_new format1_EM-LGT_Published_PetroChina Master_WIP(20-F update)_Sinopec MSTR" xfId="5599" xr:uid="{00000000-0005-0000-0000-0000B10F0000}"/>
    <cellStyle name="—_new format1_EM-LGT_Published_PetroChina Master_WIP(20-F update)_Sinopec MSTR Wip" xfId="5600" xr:uid="{00000000-0005-0000-0000-0000B20F0000}"/>
    <cellStyle name="—_new format1_EM-LGT_Published_PetroChina Master_WIP(20-F update)_Sinopec MSTR_WIP_KK" xfId="5601" xr:uid="{00000000-0005-0000-0000-0000B30F0000}"/>
    <cellStyle name="—_new format1_EM-LGT_Published_Sinopec MSTR" xfId="5602" xr:uid="{00000000-0005-0000-0000-0000B40F0000}"/>
    <cellStyle name="—_new format1_EM-LGT_Published_Sinopec MSTR Wip" xfId="5603" xr:uid="{00000000-0005-0000-0000-0000B50F0000}"/>
    <cellStyle name="—_new format1_EM-LGT_Published_Sinopec MSTR_WIP_KK" xfId="5604" xr:uid="{00000000-0005-0000-0000-0000B60F0000}"/>
    <cellStyle name="—_new format1_EM-LGT_Published_Sinopec MSTR-WIP_20F update" xfId="5605" xr:uid="{00000000-0005-0000-0000-0000B70F0000}"/>
    <cellStyle name="—_new format1_P&amp;L" xfId="5606" xr:uid="{00000000-0005-0000-0000-0000B80F0000}"/>
    <cellStyle name="—_new format1_P&amp;L_Honghua MSTR" xfId="5607" xr:uid="{00000000-0005-0000-0000-0000B90F0000}"/>
    <cellStyle name="—_new format1_PetroChina Master" xfId="5608" xr:uid="{00000000-0005-0000-0000-0000BA0F0000}"/>
    <cellStyle name="—_new format1_PetroChina Master_WIP(20-F update)" xfId="5609" xr:uid="{00000000-0005-0000-0000-0000BB0F0000}"/>
    <cellStyle name="—_new format1_PetroChina Master_WIP(20-F update)_Cashflow" xfId="5610" xr:uid="{00000000-0005-0000-0000-0000BC0F0000}"/>
    <cellStyle name="—_new format1_PetroChina Master_WIP(20-F update)_Cashflow_Honghua MSTR" xfId="5611" xr:uid="{00000000-0005-0000-0000-0000BD0F0000}"/>
    <cellStyle name="—_new format1_PetroChina Master_WIP(20-F update)_P&amp;L" xfId="5612" xr:uid="{00000000-0005-0000-0000-0000BE0F0000}"/>
    <cellStyle name="—_new format1_PetroChina Master_WIP(20-F update)_P&amp;L_Honghua MSTR" xfId="5613" xr:uid="{00000000-0005-0000-0000-0000BF0F0000}"/>
    <cellStyle name="—_new format1_PetroChina Master_WIP(20-F update)_Sinopec MSTR" xfId="5614" xr:uid="{00000000-0005-0000-0000-0000C00F0000}"/>
    <cellStyle name="—_new format1_PetroChina Master_WIP(20-F update)_Sinopec MSTR Wip" xfId="5615" xr:uid="{00000000-0005-0000-0000-0000C10F0000}"/>
    <cellStyle name="—_new format1_PetroChina Master_WIP(20-F update)_Sinopec MSTR_WIP_KK" xfId="5616" xr:uid="{00000000-0005-0000-0000-0000C20F0000}"/>
    <cellStyle name="—_new format1_Sinopec MSTR" xfId="5617" xr:uid="{00000000-0005-0000-0000-0000C30F0000}"/>
    <cellStyle name="—_new format1_Sinopec MSTR Wip" xfId="5618" xr:uid="{00000000-0005-0000-0000-0000C40F0000}"/>
    <cellStyle name="—_new format1_Sinopec MSTR_WIP_KK" xfId="5619" xr:uid="{00000000-0005-0000-0000-0000C50F0000}"/>
    <cellStyle name="—_new format1_Sinopec MSTR-WIP_20F update" xfId="5620" xr:uid="{00000000-0005-0000-0000-0000C60F0000}"/>
    <cellStyle name="—_new format1_Telecom quarterly_final" xfId="5621" xr:uid="{00000000-0005-0000-0000-0000C70F0000}"/>
    <cellStyle name="—_new format1_Telecom quarterly_final_Beta" xfId="5622" xr:uid="{00000000-0005-0000-0000-0000C80F0000}"/>
    <cellStyle name="—_new format1_Telecom quarterly_final_Book8" xfId="5623" xr:uid="{00000000-0005-0000-0000-0000C90F0000}"/>
    <cellStyle name="—_new format1_Telecom quarterly_final_Book8_Beta" xfId="5624" xr:uid="{00000000-0005-0000-0000-0000CA0F0000}"/>
    <cellStyle name="—_new format1_Telecom quarterly_final_Book8_Cashflow" xfId="5625" xr:uid="{00000000-0005-0000-0000-0000CB0F0000}"/>
    <cellStyle name="—_new format1_Telecom quarterly_final_Book8_Cashflow_Honghua MSTR" xfId="5626" xr:uid="{00000000-0005-0000-0000-0000CC0F0000}"/>
    <cellStyle name="—_new format1_Telecom quarterly_final_Book8_P&amp;L" xfId="5627" xr:uid="{00000000-0005-0000-0000-0000CD0F0000}"/>
    <cellStyle name="—_new format1_Telecom quarterly_final_Book8_P&amp;L_Honghua MSTR" xfId="5628" xr:uid="{00000000-0005-0000-0000-0000CE0F0000}"/>
    <cellStyle name="—_new format1_Telecom quarterly_final_Book8_PetroChina Master" xfId="5629" xr:uid="{00000000-0005-0000-0000-0000CF0F0000}"/>
    <cellStyle name="—_new format1_Telecom quarterly_final_Book8_PetroChina Master_WIP(20-F update)" xfId="5630" xr:uid="{00000000-0005-0000-0000-0000D00F0000}"/>
    <cellStyle name="—_new format1_Telecom quarterly_final_Book8_PetroChina Master_WIP(20-F update)_Cashflow" xfId="5631" xr:uid="{00000000-0005-0000-0000-0000D10F0000}"/>
    <cellStyle name="—_new format1_Telecom quarterly_final_Book8_PetroChina Master_WIP(20-F update)_Cashflow_Honghua MSTR" xfId="5632" xr:uid="{00000000-0005-0000-0000-0000D20F0000}"/>
    <cellStyle name="—_new format1_Telecom quarterly_final_Book8_PetroChina Master_WIP(20-F update)_P&amp;L" xfId="5633" xr:uid="{00000000-0005-0000-0000-0000D30F0000}"/>
    <cellStyle name="—_new format1_Telecom quarterly_final_Book8_PetroChina Master_WIP(20-F update)_P&amp;L_Honghua MSTR" xfId="5634" xr:uid="{00000000-0005-0000-0000-0000D40F0000}"/>
    <cellStyle name="—_new format1_Telecom quarterly_final_Book8_PetroChina Master_WIP(20-F update)_Sinopec MSTR" xfId="5635" xr:uid="{00000000-0005-0000-0000-0000D50F0000}"/>
    <cellStyle name="—_new format1_Telecom quarterly_final_Book8_PetroChina Master_WIP(20-F update)_Sinopec MSTR Wip" xfId="5636" xr:uid="{00000000-0005-0000-0000-0000D60F0000}"/>
    <cellStyle name="—_new format1_Telecom quarterly_final_Book8_PetroChina Master_WIP(20-F update)_Sinopec MSTR_WIP_KK" xfId="5637" xr:uid="{00000000-0005-0000-0000-0000D70F0000}"/>
    <cellStyle name="—_new format1_Telecom quarterly_final_Book8_Sinopec MSTR" xfId="5638" xr:uid="{00000000-0005-0000-0000-0000D80F0000}"/>
    <cellStyle name="—_new format1_Telecom quarterly_final_Book8_Sinopec MSTR Wip" xfId="5639" xr:uid="{00000000-0005-0000-0000-0000D90F0000}"/>
    <cellStyle name="—_new format1_Telecom quarterly_final_Book8_Sinopec MSTR_WIP_KK" xfId="5640" xr:uid="{00000000-0005-0000-0000-0000DA0F0000}"/>
    <cellStyle name="—_new format1_Telecom quarterly_final_Book8_Sinopec MSTR-WIP_20F update" xfId="5641" xr:uid="{00000000-0005-0000-0000-0000DB0F0000}"/>
    <cellStyle name="—_new format1_Telecom quarterly_final_Cashflow" xfId="5642" xr:uid="{00000000-0005-0000-0000-0000DC0F0000}"/>
    <cellStyle name="—_new format1_Telecom quarterly_final_Cashflow_Honghua MSTR" xfId="5643" xr:uid="{00000000-0005-0000-0000-0000DD0F0000}"/>
    <cellStyle name="—_new format1_Telecom quarterly_final_EM-LGT_Published" xfId="5644" xr:uid="{00000000-0005-0000-0000-0000DE0F0000}"/>
    <cellStyle name="—_new format1_Telecom quarterly_final_EM-LGT_Published_Beta" xfId="5645" xr:uid="{00000000-0005-0000-0000-0000DF0F0000}"/>
    <cellStyle name="—_new format1_Telecom quarterly_final_EM-LGT_Published_Cashflow" xfId="5646" xr:uid="{00000000-0005-0000-0000-0000E00F0000}"/>
    <cellStyle name="—_new format1_Telecom quarterly_final_EM-LGT_Published_Cashflow_Honghua MSTR" xfId="5647" xr:uid="{00000000-0005-0000-0000-0000E10F0000}"/>
    <cellStyle name="—_new format1_Telecom quarterly_final_EM-LGT_Published_P&amp;L" xfId="5648" xr:uid="{00000000-0005-0000-0000-0000E20F0000}"/>
    <cellStyle name="—_new format1_Telecom quarterly_final_EM-LGT_Published_P&amp;L_Honghua MSTR" xfId="5649" xr:uid="{00000000-0005-0000-0000-0000E30F0000}"/>
    <cellStyle name="—_new format1_Telecom quarterly_final_EM-LGT_Published_PetroChina Master" xfId="5650" xr:uid="{00000000-0005-0000-0000-0000E40F0000}"/>
    <cellStyle name="—_new format1_Telecom quarterly_final_EM-LGT_Published_PetroChina Master_WIP(20-F update)" xfId="5651" xr:uid="{00000000-0005-0000-0000-0000E50F0000}"/>
    <cellStyle name="—_new format1_Telecom quarterly_final_EM-LGT_Published_PetroChina Master_WIP(20-F update)_Cashflow" xfId="5652" xr:uid="{00000000-0005-0000-0000-0000E60F0000}"/>
    <cellStyle name="—_new format1_Telecom quarterly_final_EM-LGT_Published_PetroChina Master_WIP(20-F update)_Cashflow_Honghua MSTR" xfId="5653" xr:uid="{00000000-0005-0000-0000-0000E70F0000}"/>
    <cellStyle name="—_new format1_Telecom quarterly_final_EM-LGT_Published_PetroChina Master_WIP(20-F update)_P&amp;L" xfId="5654" xr:uid="{00000000-0005-0000-0000-0000E80F0000}"/>
    <cellStyle name="—_new format1_Telecom quarterly_final_EM-LGT_Published_PetroChina Master_WIP(20-F update)_P&amp;L_Honghua MSTR" xfId="5655" xr:uid="{00000000-0005-0000-0000-0000E90F0000}"/>
    <cellStyle name="—_new format1_Telecom quarterly_final_EM-LGT_Published_PetroChina Master_WIP(20-F update)_Sinopec MSTR" xfId="5656" xr:uid="{00000000-0005-0000-0000-0000EA0F0000}"/>
    <cellStyle name="—_new format1_Telecom quarterly_final_EM-LGT_Published_PetroChina Master_WIP(20-F update)_Sinopec MSTR Wip" xfId="5657" xr:uid="{00000000-0005-0000-0000-0000EB0F0000}"/>
    <cellStyle name="—_new format1_Telecom quarterly_final_EM-LGT_Published_PetroChina Master_WIP(20-F update)_Sinopec MSTR_WIP_KK" xfId="5658" xr:uid="{00000000-0005-0000-0000-0000EC0F0000}"/>
    <cellStyle name="—_new format1_Telecom quarterly_final_EM-LGT_Published_Sinopec MSTR" xfId="5659" xr:uid="{00000000-0005-0000-0000-0000ED0F0000}"/>
    <cellStyle name="—_new format1_Telecom quarterly_final_EM-LGT_Published_Sinopec MSTR Wip" xfId="5660" xr:uid="{00000000-0005-0000-0000-0000EE0F0000}"/>
    <cellStyle name="—_new format1_Telecom quarterly_final_EM-LGT_Published_Sinopec MSTR_WIP_KK" xfId="5661" xr:uid="{00000000-0005-0000-0000-0000EF0F0000}"/>
    <cellStyle name="—_new format1_Telecom quarterly_final_EM-LGT_Published_Sinopec MSTR-WIP_20F update" xfId="5662" xr:uid="{00000000-0005-0000-0000-0000F00F0000}"/>
    <cellStyle name="—_new format1_Telecom quarterly_final_P&amp;L" xfId="5663" xr:uid="{00000000-0005-0000-0000-0000F10F0000}"/>
    <cellStyle name="—_new format1_Telecom quarterly_final_P&amp;L_Honghua MSTR" xfId="5664" xr:uid="{00000000-0005-0000-0000-0000F20F0000}"/>
    <cellStyle name="—_new format1_Telecom quarterly_final_PetroChina Master" xfId="5665" xr:uid="{00000000-0005-0000-0000-0000F30F0000}"/>
    <cellStyle name="—_new format1_Telecom quarterly_final_PetroChina Master_WIP(20-F update)" xfId="5666" xr:uid="{00000000-0005-0000-0000-0000F40F0000}"/>
    <cellStyle name="—_new format1_Telecom quarterly_final_PetroChina Master_WIP(20-F update)_Cashflow" xfId="5667" xr:uid="{00000000-0005-0000-0000-0000F50F0000}"/>
    <cellStyle name="—_new format1_Telecom quarterly_final_PetroChina Master_WIP(20-F update)_Cashflow_Honghua MSTR" xfId="5668" xr:uid="{00000000-0005-0000-0000-0000F60F0000}"/>
    <cellStyle name="—_new format1_Telecom quarterly_final_PetroChina Master_WIP(20-F update)_P&amp;L" xfId="5669" xr:uid="{00000000-0005-0000-0000-0000F70F0000}"/>
    <cellStyle name="—_new format1_Telecom quarterly_final_PetroChina Master_WIP(20-F update)_P&amp;L_Honghua MSTR" xfId="5670" xr:uid="{00000000-0005-0000-0000-0000F80F0000}"/>
    <cellStyle name="—_new format1_Telecom quarterly_final_PetroChina Master_WIP(20-F update)_Sinopec MSTR" xfId="5671" xr:uid="{00000000-0005-0000-0000-0000F90F0000}"/>
    <cellStyle name="—_new format1_Telecom quarterly_final_PetroChina Master_WIP(20-F update)_Sinopec MSTR Wip" xfId="5672" xr:uid="{00000000-0005-0000-0000-0000FA0F0000}"/>
    <cellStyle name="—_new format1_Telecom quarterly_final_PetroChina Master_WIP(20-F update)_Sinopec MSTR_WIP_KK" xfId="5673" xr:uid="{00000000-0005-0000-0000-0000FB0F0000}"/>
    <cellStyle name="—_new format1_Telecom quarterly_final_Sinopec MSTR" xfId="5674" xr:uid="{00000000-0005-0000-0000-0000FC0F0000}"/>
    <cellStyle name="—_new format1_Telecom quarterly_final_Sinopec MSTR Wip" xfId="5675" xr:uid="{00000000-0005-0000-0000-0000FD0F0000}"/>
    <cellStyle name="—_new format1_Telecom quarterly_final_Sinopec MSTR_WIP_KK" xfId="5676" xr:uid="{00000000-0005-0000-0000-0000FE0F0000}"/>
    <cellStyle name="—_new format1_Telecom quarterly_final_Sinopec MSTR-WIP_20F update" xfId="5677" xr:uid="{00000000-0005-0000-0000-0000FF0F0000}"/>
    <cellStyle name="_new-Sub" xfId="3975" xr:uid="{00000000-0005-0000-0000-000000100000}"/>
    <cellStyle name="_NEWTABL1" xfId="3976" xr:uid="{00000000-0005-0000-0000-000001100000}"/>
    <cellStyle name="—_NTT CROCI" xfId="11206" xr:uid="{00000000-0005-0000-0000-000002100000}"/>
    <cellStyle name="—_NTT proportionate" xfId="11207" xr:uid="{00000000-0005-0000-0000-000003100000}"/>
    <cellStyle name="—_ONGC master" xfId="5678" xr:uid="{00000000-0005-0000-0000-000004100000}"/>
    <cellStyle name="—_ONGC master_Beta" xfId="5679" xr:uid="{00000000-0005-0000-0000-000005100000}"/>
    <cellStyle name="—_ONGC master_Cashflow" xfId="5680" xr:uid="{00000000-0005-0000-0000-000006100000}"/>
    <cellStyle name="—_ONGC master_Cashflow_Honghua MSTR" xfId="5681" xr:uid="{00000000-0005-0000-0000-000007100000}"/>
    <cellStyle name="—_ONGC master_P&amp;L" xfId="5682" xr:uid="{00000000-0005-0000-0000-000008100000}"/>
    <cellStyle name="—_ONGC master_P&amp;L_Honghua MSTR" xfId="5683" xr:uid="{00000000-0005-0000-0000-000009100000}"/>
    <cellStyle name="—_ONGC master_PetroChina Master" xfId="5684" xr:uid="{00000000-0005-0000-0000-00000A100000}"/>
    <cellStyle name="—_ONGC master_PetroChina Master_WIP(20-F update)" xfId="5685" xr:uid="{00000000-0005-0000-0000-00000B100000}"/>
    <cellStyle name="—_ONGC master_PetroChina Master_WIP(20-F update)_Cashflow" xfId="5686" xr:uid="{00000000-0005-0000-0000-00000C100000}"/>
    <cellStyle name="—_ONGC master_PetroChina Master_WIP(20-F update)_Cashflow_Honghua MSTR" xfId="5687" xr:uid="{00000000-0005-0000-0000-00000D100000}"/>
    <cellStyle name="—_ONGC master_PetroChina Master_WIP(20-F update)_P&amp;L" xfId="5688" xr:uid="{00000000-0005-0000-0000-00000E100000}"/>
    <cellStyle name="—_ONGC master_PetroChina Master_WIP(20-F update)_P&amp;L_Honghua MSTR" xfId="5689" xr:uid="{00000000-0005-0000-0000-00000F100000}"/>
    <cellStyle name="—_ONGC master_PetroChina Master_WIP(20-F update)_Sinopec MSTR" xfId="5690" xr:uid="{00000000-0005-0000-0000-000010100000}"/>
    <cellStyle name="—_ONGC master_PetroChina Master_WIP(20-F update)_Sinopec MSTR Wip" xfId="5691" xr:uid="{00000000-0005-0000-0000-000011100000}"/>
    <cellStyle name="—_ONGC master_PetroChina Master_WIP(20-F update)_Sinopec MSTR_WIP_KK" xfId="5692" xr:uid="{00000000-0005-0000-0000-000012100000}"/>
    <cellStyle name="—_ONGC master_Sinopec MSTR" xfId="5693" xr:uid="{00000000-0005-0000-0000-000013100000}"/>
    <cellStyle name="—_operating stats comp" xfId="3977" xr:uid="{00000000-0005-0000-0000-000014100000}"/>
    <cellStyle name="—_operating stats comp_new-Sub" xfId="3978" xr:uid="{00000000-0005-0000-0000-000015100000}"/>
    <cellStyle name="_P&amp;L" xfId="5694" xr:uid="{00000000-0005-0000-0000-000016100000}"/>
    <cellStyle name="—_P&amp;L" xfId="5695" xr:uid="{00000000-0005-0000-0000-000017100000}"/>
    <cellStyle name="_P&amp;L_Honghua MSTR" xfId="5696" xr:uid="{00000000-0005-0000-0000-000018100000}"/>
    <cellStyle name="—_P&amp;L_Honghua MSTR" xfId="5697" xr:uid="{00000000-0005-0000-0000-000019100000}"/>
    <cellStyle name="_Percent" xfId="7159" xr:uid="{00000000-0005-0000-0000-00001A100000}"/>
    <cellStyle name="_Percent_Book1" xfId="7160" xr:uid="{00000000-0005-0000-0000-00001B100000}"/>
    <cellStyle name="_Percent_Book1_Jazztel model 16DP3-Exhibits" xfId="7161" xr:uid="{00000000-0005-0000-0000-00001C100000}"/>
    <cellStyle name="_Percent_Book1_Jazztel model 16DP3-Exhibits_Book2" xfId="7162" xr:uid="{00000000-0005-0000-0000-00001D100000}"/>
    <cellStyle name="_Percent_Book1_Jazztel model 16DP3-Exhibits_T_MOBIL2" xfId="7163" xr:uid="{00000000-0005-0000-0000-00001E100000}"/>
    <cellStyle name="_Percent_Book1_Jazztel model 16DP3-Exhibits_TDC-2Aug2001_UPD" xfId="7164" xr:uid="{00000000-0005-0000-0000-00001F100000}"/>
    <cellStyle name="_Percent_Book1_Jazztel model 18DP-exhibits" xfId="7165" xr:uid="{00000000-0005-0000-0000-000020100000}"/>
    <cellStyle name="_Percent_Book1_TDC-2Aug2001" xfId="7166" xr:uid="{00000000-0005-0000-0000-000021100000}"/>
    <cellStyle name="_Percent_Book1_TelenorAug01" xfId="7167" xr:uid="{00000000-0005-0000-0000-000022100000}"/>
    <cellStyle name="_Percent_Book11" xfId="7168" xr:uid="{00000000-0005-0000-0000-000023100000}"/>
    <cellStyle name="_Percent_Book11_Jazztel model 16DP3-Exhibits" xfId="7169" xr:uid="{00000000-0005-0000-0000-000024100000}"/>
    <cellStyle name="_Percent_Book11_Jazztel model 16DP3-Exhibits_Book2" xfId="7170" xr:uid="{00000000-0005-0000-0000-000025100000}"/>
    <cellStyle name="_Percent_Book11_Jazztel model 16DP3-Exhibits_T_MOBIL2" xfId="7171" xr:uid="{00000000-0005-0000-0000-000026100000}"/>
    <cellStyle name="_Percent_Book11_Jazztel model 16DP3-Exhibits_TDC-2Aug2001_UPD" xfId="7172" xr:uid="{00000000-0005-0000-0000-000027100000}"/>
    <cellStyle name="_Percent_Book11_Jazztel model 18DP-exhibits" xfId="7173" xr:uid="{00000000-0005-0000-0000-000028100000}"/>
    <cellStyle name="_Percent_Book11_TDC-2Aug2001" xfId="7174" xr:uid="{00000000-0005-0000-0000-000029100000}"/>
    <cellStyle name="_Percent_Book11_TelenorAug01" xfId="7175" xr:uid="{00000000-0005-0000-0000-00002A100000}"/>
    <cellStyle name="_Percent_Book12" xfId="7176" xr:uid="{00000000-0005-0000-0000-00002B100000}"/>
    <cellStyle name="_Percent_Book12_Jazztel model 16DP3-Exhibits" xfId="7177" xr:uid="{00000000-0005-0000-0000-00002C100000}"/>
    <cellStyle name="_Percent_Book12_Jazztel model 16DP3-Exhibits_Book2" xfId="7178" xr:uid="{00000000-0005-0000-0000-00002D100000}"/>
    <cellStyle name="_Percent_Book12_Jazztel model 16DP3-Exhibits_T_MOBIL2" xfId="7179" xr:uid="{00000000-0005-0000-0000-00002E100000}"/>
    <cellStyle name="_Percent_Book12_Jazztel model 16DP3-Exhibits_TDC-2Aug2001_UPD" xfId="7180" xr:uid="{00000000-0005-0000-0000-00002F100000}"/>
    <cellStyle name="_Percent_Book12_Jazztel model 18DP-exhibits" xfId="7181" xr:uid="{00000000-0005-0000-0000-000030100000}"/>
    <cellStyle name="_Percent_Book12_TDC-2Aug2001" xfId="7182" xr:uid="{00000000-0005-0000-0000-000031100000}"/>
    <cellStyle name="_Percent_Book12_TelenorAug01" xfId="7183" xr:uid="{00000000-0005-0000-0000-000032100000}"/>
    <cellStyle name="_Percent_DCF Alexander Forbes" xfId="7526" xr:uid="{00000000-0005-0000-0000-000033100000}"/>
    <cellStyle name="_Percent_DCF Summary pages" xfId="7184" xr:uid="{00000000-0005-0000-0000-000034100000}"/>
    <cellStyle name="_Percent_DCF Summary pages_Jazztel model 16DP3-Exhibits" xfId="7185" xr:uid="{00000000-0005-0000-0000-000035100000}"/>
    <cellStyle name="_Percent_DCF Summary pages_Jazztel model 16DP3-Exhibits_Book2" xfId="7186" xr:uid="{00000000-0005-0000-0000-000036100000}"/>
    <cellStyle name="_Percent_DCF Summary pages_Jazztel model 16DP3-Exhibits_T_MOBIL2" xfId="7187" xr:uid="{00000000-0005-0000-0000-000037100000}"/>
    <cellStyle name="_Percent_DCF Summary pages_Jazztel model 16DP3-Exhibits_TDC-2Aug2001_UPD" xfId="7188" xr:uid="{00000000-0005-0000-0000-000038100000}"/>
    <cellStyle name="_Percent_DCF Summary pages_Jazztel model 18DP-exhibits" xfId="7189" xr:uid="{00000000-0005-0000-0000-000039100000}"/>
    <cellStyle name="_Percent_DCF Summary pages_TDC-2Aug2001" xfId="7190" xr:uid="{00000000-0005-0000-0000-00003A100000}"/>
    <cellStyle name="_Percent_DCF Summary pages_TelenorAug01" xfId="7191" xr:uid="{00000000-0005-0000-0000-00003B100000}"/>
    <cellStyle name="_Percent_FMBI MBHI Graphs" xfId="7527" xr:uid="{00000000-0005-0000-0000-00003C100000}"/>
    <cellStyle name="_Percent_FMBI MBHI Graphs 07102001" xfId="7528" xr:uid="{00000000-0005-0000-0000-00003D100000}"/>
    <cellStyle name="_Percent_FMBI MBHI Graphs_7601" xfId="7529" xr:uid="{00000000-0005-0000-0000-00003E100000}"/>
    <cellStyle name="_Percent_Jazztel model 15-exhibits" xfId="7192" xr:uid="{00000000-0005-0000-0000-00003F100000}"/>
    <cellStyle name="_Percent_Jazztel model 15-exhibits bis" xfId="7193" xr:uid="{00000000-0005-0000-0000-000040100000}"/>
    <cellStyle name="_Percent_Jazztel model 15-exhibits bis_Book2" xfId="7194" xr:uid="{00000000-0005-0000-0000-000041100000}"/>
    <cellStyle name="_Percent_Jazztel model 15-exhibits bis_T_MOBIL2" xfId="7195" xr:uid="{00000000-0005-0000-0000-000042100000}"/>
    <cellStyle name="_Percent_Jazztel model 15-exhibits bis_TDC-2Aug2001_UPD" xfId="7196" xr:uid="{00000000-0005-0000-0000-000043100000}"/>
    <cellStyle name="_Percent_Jazztel model 15-exhibits_Jazztel model 16DP3-Exhibits" xfId="7197" xr:uid="{00000000-0005-0000-0000-000044100000}"/>
    <cellStyle name="_Percent_Jazztel model 15-exhibits_Jazztel model 16DP3-Exhibits_Book2" xfId="7198" xr:uid="{00000000-0005-0000-0000-000045100000}"/>
    <cellStyle name="_Percent_Jazztel model 15-exhibits_Jazztel model 16DP3-Exhibits_T_MOBIL2" xfId="7199" xr:uid="{00000000-0005-0000-0000-000046100000}"/>
    <cellStyle name="_Percent_Jazztel model 15-exhibits_Jazztel model 16DP3-Exhibits_TDC-2Aug2001_UPD" xfId="7200" xr:uid="{00000000-0005-0000-0000-000047100000}"/>
    <cellStyle name="_Percent_Jazztel model 15-exhibits_Jazztel model 18DP-exhibits" xfId="7201" xr:uid="{00000000-0005-0000-0000-000048100000}"/>
    <cellStyle name="_Percent_Jazztel model 15-exhibits_TDC-2Aug2001" xfId="7202" xr:uid="{00000000-0005-0000-0000-000049100000}"/>
    <cellStyle name="_Percent_Jazztel model 15-exhibits_TelenorAug01" xfId="7203" xr:uid="{00000000-0005-0000-0000-00004A100000}"/>
    <cellStyle name="_Percent_Jazztel model 15-exhibits-Friso2" xfId="7204" xr:uid="{00000000-0005-0000-0000-00004B100000}"/>
    <cellStyle name="_Percent_Jazztel model 15-exhibits-Friso2_Jazztel model 16DP3-Exhibits" xfId="7205" xr:uid="{00000000-0005-0000-0000-00004C100000}"/>
    <cellStyle name="_Percent_Jazztel model 15-exhibits-Friso2_Jazztel model 16DP3-Exhibits_Book2" xfId="7206" xr:uid="{00000000-0005-0000-0000-00004D100000}"/>
    <cellStyle name="_Percent_Jazztel model 15-exhibits-Friso2_Jazztel model 16DP3-Exhibits_T_MOBIL2" xfId="7207" xr:uid="{00000000-0005-0000-0000-00004E100000}"/>
    <cellStyle name="_Percent_Jazztel model 15-exhibits-Friso2_Jazztel model 16DP3-Exhibits_TDC-2Aug2001_UPD" xfId="7208" xr:uid="{00000000-0005-0000-0000-00004F100000}"/>
    <cellStyle name="_Percent_Jazztel model 15-exhibits-Friso2_Jazztel model 18DP-exhibits" xfId="7209" xr:uid="{00000000-0005-0000-0000-000050100000}"/>
    <cellStyle name="_Percent_Jazztel model 15-exhibits-Friso2_TDC-2Aug2001" xfId="7210" xr:uid="{00000000-0005-0000-0000-000051100000}"/>
    <cellStyle name="_Percent_Jazztel model 15-exhibits-Friso2_TelenorAug01" xfId="7211" xr:uid="{00000000-0005-0000-0000-000052100000}"/>
    <cellStyle name="_Percent_Jazztel model 16DP2-Exhibits" xfId="7212" xr:uid="{00000000-0005-0000-0000-000053100000}"/>
    <cellStyle name="_Percent_Jazztel model 16DP3-Exhibits" xfId="7213" xr:uid="{00000000-0005-0000-0000-000054100000}"/>
    <cellStyle name="_Percent_Overseas" xfId="11208" xr:uid="{00000000-0005-0000-0000-000055100000}"/>
    <cellStyle name="_PercentSpace" xfId="7214" xr:uid="{00000000-0005-0000-0000-000056100000}"/>
    <cellStyle name="_PercentSpace_01 adj for merger plan" xfId="7530" xr:uid="{00000000-0005-0000-0000-000057100000}"/>
    <cellStyle name="_PercentSpace_Book1" xfId="7215" xr:uid="{00000000-0005-0000-0000-000058100000}"/>
    <cellStyle name="_PercentSpace_Book1_Jazztel model 16DP3-Exhibits" xfId="7216" xr:uid="{00000000-0005-0000-0000-000059100000}"/>
    <cellStyle name="_PercentSpace_Book1_Jazztel model 16DP3-Exhibits_T_MOBIL2" xfId="7217" xr:uid="{00000000-0005-0000-0000-00005A100000}"/>
    <cellStyle name="_PercentSpace_Book1_Jazztel model 16DP3-Exhibits_T_MOBIL2_Book2" xfId="7218" xr:uid="{00000000-0005-0000-0000-00005B100000}"/>
    <cellStyle name="_PercentSpace_Book1_Jazztel model 16DP3-Exhibits_T_MOBIL2_TDC-2Aug2001_UPD" xfId="7219" xr:uid="{00000000-0005-0000-0000-00005C100000}"/>
    <cellStyle name="_PercentSpace_Book1_Jazztel model 18DP-exhibits" xfId="7220" xr:uid="{00000000-0005-0000-0000-00005D100000}"/>
    <cellStyle name="_PercentSpace_Book11" xfId="7221" xr:uid="{00000000-0005-0000-0000-00005E100000}"/>
    <cellStyle name="_PercentSpace_Book11_Jazztel model 16DP3-Exhibits" xfId="7222" xr:uid="{00000000-0005-0000-0000-00005F100000}"/>
    <cellStyle name="_PercentSpace_Book11_Jazztel model 16DP3-Exhibits_T_MOBIL2" xfId="7223" xr:uid="{00000000-0005-0000-0000-000060100000}"/>
    <cellStyle name="_PercentSpace_Book11_Jazztel model 16DP3-Exhibits_T_MOBIL2_Book2" xfId="7224" xr:uid="{00000000-0005-0000-0000-000061100000}"/>
    <cellStyle name="_PercentSpace_Book11_Jazztel model 16DP3-Exhibits_T_MOBIL2_TDC-2Aug2001_UPD" xfId="7225" xr:uid="{00000000-0005-0000-0000-000062100000}"/>
    <cellStyle name="_PercentSpace_Book11_Jazztel model 18DP-exhibits" xfId="7226" xr:uid="{00000000-0005-0000-0000-000063100000}"/>
    <cellStyle name="_PercentSpace_Book12" xfId="7227" xr:uid="{00000000-0005-0000-0000-000064100000}"/>
    <cellStyle name="_PercentSpace_Book12_Jazztel model 16DP3-Exhibits" xfId="7228" xr:uid="{00000000-0005-0000-0000-000065100000}"/>
    <cellStyle name="_PercentSpace_Book12_Jazztel model 16DP3-Exhibits_T_MOBIL2" xfId="7229" xr:uid="{00000000-0005-0000-0000-000066100000}"/>
    <cellStyle name="_PercentSpace_Book12_Jazztel model 16DP3-Exhibits_T_MOBIL2_Book2" xfId="7230" xr:uid="{00000000-0005-0000-0000-000067100000}"/>
    <cellStyle name="_PercentSpace_Book12_Jazztel model 16DP3-Exhibits_T_MOBIL2_TDC-2Aug2001_UPD" xfId="7231" xr:uid="{00000000-0005-0000-0000-000068100000}"/>
    <cellStyle name="_PercentSpace_Book12_Jazztel model 18DP-exhibits" xfId="7232" xr:uid="{00000000-0005-0000-0000-000069100000}"/>
    <cellStyle name="_PercentSpace_DCF Alexander Forbes" xfId="7531" xr:uid="{00000000-0005-0000-0000-00006A100000}"/>
    <cellStyle name="_PercentSpace_DCF Summary pages" xfId="7233" xr:uid="{00000000-0005-0000-0000-00006B100000}"/>
    <cellStyle name="_PercentSpace_DCF Summary pages_Jazztel model 16DP3-Exhibits" xfId="7234" xr:uid="{00000000-0005-0000-0000-00006C100000}"/>
    <cellStyle name="_PercentSpace_DCF Summary pages_Jazztel model 16DP3-Exhibits_T_MOBIL2" xfId="7235" xr:uid="{00000000-0005-0000-0000-00006D100000}"/>
    <cellStyle name="_PercentSpace_DCF Summary pages_Jazztel model 16DP3-Exhibits_T_MOBIL2_Book2" xfId="7236" xr:uid="{00000000-0005-0000-0000-00006E100000}"/>
    <cellStyle name="_PercentSpace_DCF Summary pages_Jazztel model 16DP3-Exhibits_T_MOBIL2_TDC-2Aug2001_UPD" xfId="7237" xr:uid="{00000000-0005-0000-0000-00006F100000}"/>
    <cellStyle name="_PercentSpace_DCF Summary pages_Jazztel model 18DP-exhibits" xfId="7238" xr:uid="{00000000-0005-0000-0000-000070100000}"/>
    <cellStyle name="_PercentSpace_FMBI MBHI Graphs" xfId="7532" xr:uid="{00000000-0005-0000-0000-000071100000}"/>
    <cellStyle name="_PercentSpace_FMBI MBHI Graphs 07102001" xfId="7533" xr:uid="{00000000-0005-0000-0000-000072100000}"/>
    <cellStyle name="_PercentSpace_FMBI MBHI Graphs_7601" xfId="7534" xr:uid="{00000000-0005-0000-0000-000073100000}"/>
    <cellStyle name="_PercentSpace_Jazztel model 15-exhibits" xfId="7239" xr:uid="{00000000-0005-0000-0000-000074100000}"/>
    <cellStyle name="_PercentSpace_Jazztel model 15-exhibits bis" xfId="7240" xr:uid="{00000000-0005-0000-0000-000075100000}"/>
    <cellStyle name="_PercentSpace_Jazztel model 15-exhibits bis_T_MOBIL2" xfId="7241" xr:uid="{00000000-0005-0000-0000-000076100000}"/>
    <cellStyle name="_PercentSpace_Jazztel model 15-exhibits bis_T_MOBIL2_Book2" xfId="7242" xr:uid="{00000000-0005-0000-0000-000077100000}"/>
    <cellStyle name="_PercentSpace_Jazztel model 15-exhibits bis_T_MOBIL2_TDC-2Aug2001_UPD" xfId="7243" xr:uid="{00000000-0005-0000-0000-000078100000}"/>
    <cellStyle name="_PercentSpace_Jazztel model 15-exhibits_Jazztel model 16DP3-Exhibits" xfId="7244" xr:uid="{00000000-0005-0000-0000-000079100000}"/>
    <cellStyle name="_PercentSpace_Jazztel model 15-exhibits_Jazztel model 16DP3-Exhibits_T_MOBIL2" xfId="7245" xr:uid="{00000000-0005-0000-0000-00007A100000}"/>
    <cellStyle name="_PercentSpace_Jazztel model 15-exhibits_Jazztel model 16DP3-Exhibits_T_MOBIL2_Book2" xfId="7246" xr:uid="{00000000-0005-0000-0000-00007B100000}"/>
    <cellStyle name="_PercentSpace_Jazztel model 15-exhibits_Jazztel model 16DP3-Exhibits_T_MOBIL2_TDC-2Aug2001_UPD" xfId="7247" xr:uid="{00000000-0005-0000-0000-00007C100000}"/>
    <cellStyle name="_PercentSpace_Jazztel model 15-exhibits_Jazztel model 18DP-exhibits" xfId="7248" xr:uid="{00000000-0005-0000-0000-00007D100000}"/>
    <cellStyle name="_PercentSpace_Jazztel model 15-exhibits-Friso2" xfId="7249" xr:uid="{00000000-0005-0000-0000-00007E100000}"/>
    <cellStyle name="_PercentSpace_Jazztel model 15-exhibits-Friso2_Jazztel model 16DP3-Exhibits" xfId="7250" xr:uid="{00000000-0005-0000-0000-00007F100000}"/>
    <cellStyle name="_PercentSpace_Jazztel model 15-exhibits-Friso2_Jazztel model 16DP3-Exhibits_T_MOBIL2" xfId="7251" xr:uid="{00000000-0005-0000-0000-000080100000}"/>
    <cellStyle name="_PercentSpace_Jazztel model 15-exhibits-Friso2_Jazztel model 16DP3-Exhibits_T_MOBIL2_Book2" xfId="7252" xr:uid="{00000000-0005-0000-0000-000081100000}"/>
    <cellStyle name="_PercentSpace_Jazztel model 15-exhibits-Friso2_Jazztel model 16DP3-Exhibits_T_MOBIL2_TDC-2Aug2001_UPD" xfId="7253" xr:uid="{00000000-0005-0000-0000-000082100000}"/>
    <cellStyle name="_PercentSpace_Jazztel model 15-exhibits-Friso2_Jazztel model 18DP-exhibits" xfId="7254" xr:uid="{00000000-0005-0000-0000-000083100000}"/>
    <cellStyle name="_PercentSpace_Jazztel model 16DP2-Exhibits" xfId="7255" xr:uid="{00000000-0005-0000-0000-000084100000}"/>
    <cellStyle name="_PercentSpace_Jazztel model 16DP3-Exhibits" xfId="7256" xr:uid="{00000000-0005-0000-0000-000085100000}"/>
    <cellStyle name="_PercentSpace_Overseas" xfId="11209" xr:uid="{00000000-0005-0000-0000-000086100000}"/>
    <cellStyle name="_PetroChina Master" xfId="5698" xr:uid="{00000000-0005-0000-0000-000087100000}"/>
    <cellStyle name="—_PetroChina Master" xfId="5699" xr:uid="{00000000-0005-0000-0000-000088100000}"/>
    <cellStyle name="_PetroChina Master_WIP(20-F update)" xfId="5700" xr:uid="{00000000-0005-0000-0000-000089100000}"/>
    <cellStyle name="—_PetroChina Master_WIP(20-F update)" xfId="5701" xr:uid="{00000000-0005-0000-0000-00008A100000}"/>
    <cellStyle name="_PetroChina Master_WIP(20-F update)_Cashflow" xfId="5702" xr:uid="{00000000-0005-0000-0000-00008B100000}"/>
    <cellStyle name="—_PetroChina Master_WIP(20-F update)_Cashflow" xfId="5703" xr:uid="{00000000-0005-0000-0000-00008C100000}"/>
    <cellStyle name="_PetroChina Master_WIP(20-F update)_Cashflow_Honghua MSTR" xfId="5704" xr:uid="{00000000-0005-0000-0000-00008D100000}"/>
    <cellStyle name="—_PetroChina Master_WIP(20-F update)_Cashflow_Honghua MSTR" xfId="5705" xr:uid="{00000000-0005-0000-0000-00008E100000}"/>
    <cellStyle name="_PetroChina Master_WIP(20-F update)_P&amp;L" xfId="5706" xr:uid="{00000000-0005-0000-0000-00008F100000}"/>
    <cellStyle name="—_PetroChina Master_WIP(20-F update)_P&amp;L" xfId="5707" xr:uid="{00000000-0005-0000-0000-000090100000}"/>
    <cellStyle name="_PetroChina Master_WIP(20-F update)_P&amp;L_Honghua MSTR" xfId="5708" xr:uid="{00000000-0005-0000-0000-000091100000}"/>
    <cellStyle name="—_PetroChina Master_WIP(20-F update)_P&amp;L_Honghua MSTR" xfId="5709" xr:uid="{00000000-0005-0000-0000-000092100000}"/>
    <cellStyle name="_PetroChina Master_WIP(20-F update)_Sinopec MSTR" xfId="5710" xr:uid="{00000000-0005-0000-0000-000093100000}"/>
    <cellStyle name="—_PetroChina Master_WIP(20-F update)_Sinopec MSTR" xfId="5711" xr:uid="{00000000-0005-0000-0000-000094100000}"/>
    <cellStyle name="_PetroChina Master_WIP(20-F update)_Sinopec MSTR Wip" xfId="5712" xr:uid="{00000000-0005-0000-0000-000095100000}"/>
    <cellStyle name="—_PetroChina Master_WIP(20-F update)_Sinopec MSTR Wip" xfId="5713" xr:uid="{00000000-0005-0000-0000-000096100000}"/>
    <cellStyle name="_PetroChina Master_WIP(20-F update)_Sinopec MSTR_WIP_KK" xfId="5714" xr:uid="{00000000-0005-0000-0000-000097100000}"/>
    <cellStyle name="—_PetroChina Master_WIP(20-F update)_Sinopec MSTR_WIP_KK" xfId="5715" xr:uid="{00000000-0005-0000-0000-000098100000}"/>
    <cellStyle name="—_price chart1" xfId="3979" xr:uid="{00000000-0005-0000-0000-000099100000}"/>
    <cellStyle name="—_price chart1_new-Sub" xfId="3980" xr:uid="{00000000-0005-0000-0000-00009A100000}"/>
    <cellStyle name="—_Profit" xfId="5716" xr:uid="{00000000-0005-0000-0000-00009B100000}"/>
    <cellStyle name="—_PTTEP MASTER" xfId="5717" xr:uid="{00000000-0005-0000-0000-00009C100000}"/>
    <cellStyle name="—_PTTEP MASTER WIP" xfId="5718" xr:uid="{00000000-0005-0000-0000-00009D100000}"/>
    <cellStyle name="—_PTTEP MASTER WIP_Beta" xfId="5719" xr:uid="{00000000-0005-0000-0000-00009E100000}"/>
    <cellStyle name="—_PTTEP MASTER WIP_PetroChina Master_WIP(20-F update)" xfId="5720" xr:uid="{00000000-0005-0000-0000-00009F100000}"/>
    <cellStyle name="—_PTTEP MASTER WIP_PetroChina Master_WIP(20-F update)_Cashflow" xfId="5721" xr:uid="{00000000-0005-0000-0000-0000A0100000}"/>
    <cellStyle name="—_PTTEP MASTER WIP_PetroChina Master_WIP(20-F update)_P&amp;L" xfId="5722" xr:uid="{00000000-0005-0000-0000-0000A1100000}"/>
    <cellStyle name="—_PTTEP MASTER WIP_Sinopec MSTR" xfId="5723" xr:uid="{00000000-0005-0000-0000-0000A2100000}"/>
    <cellStyle name="—_PTTEP MASTER WIP_Sinopec MSTR Wip" xfId="5724" xr:uid="{00000000-0005-0000-0000-0000A3100000}"/>
    <cellStyle name="—_PTTEP MASTER WIP_Sinopec MSTR_WIP_KK" xfId="5725" xr:uid="{00000000-0005-0000-0000-0000A4100000}"/>
    <cellStyle name="—_PTTEP MASTER WIP_Sinopec MSTR-WIP_20F update" xfId="5726" xr:uid="{00000000-0005-0000-0000-0000A5100000}"/>
    <cellStyle name="—_PTTEP MASTER_PV-10" xfId="5727" xr:uid="{00000000-0005-0000-0000-0000A6100000}"/>
    <cellStyle name="—_PTTEP MASTER_PV-10_PetroChina Master_WIP(20-F update)" xfId="5728" xr:uid="{00000000-0005-0000-0000-0000A7100000}"/>
    <cellStyle name="—_PTTEP MASTER_PV-10_PetroChina Master_WIP(20-F update)_Cashflow" xfId="5729" xr:uid="{00000000-0005-0000-0000-0000A8100000}"/>
    <cellStyle name="—_PTTEP MASTER_PV-10_PetroChina Master_WIP(20-F update)_P&amp;L" xfId="5730" xr:uid="{00000000-0005-0000-0000-0000A9100000}"/>
    <cellStyle name="—_PTTEP MASTER_PV-10_Sinopec MSTR" xfId="5731" xr:uid="{00000000-0005-0000-0000-0000AA100000}"/>
    <cellStyle name="—_PTTEP MASTER_PV-10_Sinopec MSTR Wip" xfId="5732" xr:uid="{00000000-0005-0000-0000-0000AB100000}"/>
    <cellStyle name="—_PTTEP MASTER_PV-10_Sinopec MSTR_WIP_KK" xfId="5733" xr:uid="{00000000-0005-0000-0000-0000AC100000}"/>
    <cellStyle name="—_PTTEP MASTER_PV-10_Sinopec MSTR-WIP_20F update" xfId="5734" xr:uid="{00000000-0005-0000-0000-0000AD100000}"/>
    <cellStyle name="—_PTTEP NAV 2003 wip" xfId="5735" xr:uid="{00000000-0005-0000-0000-0000AE100000}"/>
    <cellStyle name="—_PTTEP NAV 2003 wip_Beta" xfId="5736" xr:uid="{00000000-0005-0000-0000-0000AF100000}"/>
    <cellStyle name="—_PTTEP NAV 2003 wip_PetroChina Master_WIP(20-F update)" xfId="5737" xr:uid="{00000000-0005-0000-0000-0000B0100000}"/>
    <cellStyle name="—_PTTEP NAV 2003 wip_PetroChina Master_WIP(20-F update)_Cashflow" xfId="5738" xr:uid="{00000000-0005-0000-0000-0000B1100000}"/>
    <cellStyle name="—_PTTEP NAV 2003 wip_PetroChina Master_WIP(20-F update)_Cashflow_Honghua MSTR" xfId="5739" xr:uid="{00000000-0005-0000-0000-0000B2100000}"/>
    <cellStyle name="—_PTTEP NAV 2003 wip_PetroChina Master_WIP(20-F update)_P&amp;L" xfId="5740" xr:uid="{00000000-0005-0000-0000-0000B3100000}"/>
    <cellStyle name="—_PTTEP NAV 2003 wip_PetroChina Master_WIP(20-F update)_P&amp;L_Honghua MSTR" xfId="5741" xr:uid="{00000000-0005-0000-0000-0000B4100000}"/>
    <cellStyle name="—_PTTEP NAV 2003 wip_PetroChina Master_WIP(20-F update)_Sinopec MSTR" xfId="5742" xr:uid="{00000000-0005-0000-0000-0000B5100000}"/>
    <cellStyle name="—_PTTEP NAV 2003 wip_PetroChina Master_WIP(20-F update)_Sinopec MSTR Wip" xfId="5743" xr:uid="{00000000-0005-0000-0000-0000B6100000}"/>
    <cellStyle name="—_PTTEP NAV 2003 wip_PetroChina Master_WIP(20-F update)_Sinopec MSTR_WIP_KK" xfId="5744" xr:uid="{00000000-0005-0000-0000-0000B7100000}"/>
    <cellStyle name="_QP_0883.HK" xfId="5745" xr:uid="{00000000-0005-0000-0000-0000B8100000}"/>
    <cellStyle name="_QP_2408.TW" xfId="11210" xr:uid="{00000000-0005-0000-0000-0000B9100000}"/>
    <cellStyle name="_QP_5387.TW" xfId="11211" xr:uid="{00000000-0005-0000-0000-0000BA100000}"/>
    <cellStyle name="—_qrtly" xfId="5746" xr:uid="{00000000-0005-0000-0000-0000BB100000}"/>
    <cellStyle name="—_qrtly_Beta" xfId="5747" xr:uid="{00000000-0005-0000-0000-0000BC100000}"/>
    <cellStyle name="—_qrtly_Cashflow" xfId="5748" xr:uid="{00000000-0005-0000-0000-0000BD100000}"/>
    <cellStyle name="—_qrtly_Cashflow_Honghua MSTR" xfId="5749" xr:uid="{00000000-0005-0000-0000-0000BE100000}"/>
    <cellStyle name="—_qrtly_P&amp;L" xfId="5750" xr:uid="{00000000-0005-0000-0000-0000BF100000}"/>
    <cellStyle name="—_qrtly_P&amp;L_Honghua MSTR" xfId="5751" xr:uid="{00000000-0005-0000-0000-0000C0100000}"/>
    <cellStyle name="—_qrtly_PetroChina Master" xfId="5752" xr:uid="{00000000-0005-0000-0000-0000C1100000}"/>
    <cellStyle name="—_qrtly_PetroChina Master_WIP(20-F update)" xfId="5753" xr:uid="{00000000-0005-0000-0000-0000C2100000}"/>
    <cellStyle name="—_qrtly_PetroChina Master_WIP(20-F update)_Cashflow" xfId="5754" xr:uid="{00000000-0005-0000-0000-0000C3100000}"/>
    <cellStyle name="—_qrtly_PetroChina Master_WIP(20-F update)_Cashflow_Honghua MSTR" xfId="5755" xr:uid="{00000000-0005-0000-0000-0000C4100000}"/>
    <cellStyle name="—_qrtly_PetroChina Master_WIP(20-F update)_P&amp;L" xfId="5756" xr:uid="{00000000-0005-0000-0000-0000C5100000}"/>
    <cellStyle name="—_qrtly_PetroChina Master_WIP(20-F update)_P&amp;L_Honghua MSTR" xfId="5757" xr:uid="{00000000-0005-0000-0000-0000C6100000}"/>
    <cellStyle name="—_qrtly_PetroChina Master_WIP(20-F update)_Sinopec MSTR" xfId="5758" xr:uid="{00000000-0005-0000-0000-0000C7100000}"/>
    <cellStyle name="—_qrtly_PetroChina Master_WIP(20-F update)_Sinopec MSTR Wip" xfId="5759" xr:uid="{00000000-0005-0000-0000-0000C8100000}"/>
    <cellStyle name="—_qrtly_PetroChina Master_WIP(20-F update)_Sinopec MSTR_WIP_KK" xfId="5760" xr:uid="{00000000-0005-0000-0000-0000C9100000}"/>
    <cellStyle name="—_qrtly_Sinopec MSTR" xfId="5761" xr:uid="{00000000-0005-0000-0000-0000CA100000}"/>
    <cellStyle name="—_qrtly_Sinopec MSTR Wip" xfId="5762" xr:uid="{00000000-0005-0000-0000-0000CB100000}"/>
    <cellStyle name="—_qrtly_Sinopec MSTR_WIP_KK" xfId="5763" xr:uid="{00000000-0005-0000-0000-0000CC100000}"/>
    <cellStyle name="—_qrtly_Sinopec MSTR-WIP_20F update" xfId="5764" xr:uid="{00000000-0005-0000-0000-0000CD100000}"/>
    <cellStyle name="_Ratios" xfId="5765" xr:uid="{00000000-0005-0000-0000-0000CE100000}"/>
    <cellStyle name="_Raw Data" xfId="5766" xr:uid="{00000000-0005-0000-0000-0000CF100000}"/>
    <cellStyle name="_Raw Data_1" xfId="5767" xr:uid="{00000000-0005-0000-0000-0000D0100000}"/>
    <cellStyle name="—_report1198tables" xfId="3981" xr:uid="{00000000-0005-0000-0000-0000D1100000}"/>
    <cellStyle name="—_report1198tables 2" xfId="5768" xr:uid="{00000000-0005-0000-0000-0000D2100000}"/>
    <cellStyle name="—_report1198tables_20070309_Fidelity_Vigyan Rao_EJ_NPV cal for chinese oil and PTTEP" xfId="5769" xr:uid="{00000000-0005-0000-0000-0000D3100000}"/>
    <cellStyle name="—_report1198tables_20070309_Fidelity_Vigyan Rao_EJ_NPV cal for chinese oil and PTTEP_PetroChina Master_WIP(20-F update)" xfId="5770" xr:uid="{00000000-0005-0000-0000-0000D4100000}"/>
    <cellStyle name="—_report1198tables_20070309_Fidelity_Vigyan Rao_EJ_NPV cal for chinese oil and PTTEP_PetroChina Master_WIP(20-F update)_Cashflow" xfId="5771" xr:uid="{00000000-0005-0000-0000-0000D5100000}"/>
    <cellStyle name="—_report1198tables_20070309_Fidelity_Vigyan Rao_EJ_NPV cal for chinese oil and PTTEP_PetroChina Master_WIP(20-F update)_Cashflow_Honghua MSTR" xfId="5772" xr:uid="{00000000-0005-0000-0000-0000D6100000}"/>
    <cellStyle name="—_report1198tables_20070309_Fidelity_Vigyan Rao_EJ_NPV cal for chinese oil and PTTEP_PetroChina Master_WIP(20-F update)_P&amp;L" xfId="5773" xr:uid="{00000000-0005-0000-0000-0000D7100000}"/>
    <cellStyle name="—_report1198tables_20070309_Fidelity_Vigyan Rao_EJ_NPV cal for chinese oil and PTTEP_PetroChina Master_WIP(20-F update)_P&amp;L_Honghua MSTR" xfId="5774" xr:uid="{00000000-0005-0000-0000-0000D8100000}"/>
    <cellStyle name="—_report1198tables_20070309_Fidelity_Vigyan Rao_EJ_NPV cal for chinese oil and PTTEP_PetroChina Master_WIP(20-F update)_Sinopec MSTR" xfId="5775" xr:uid="{00000000-0005-0000-0000-0000D9100000}"/>
    <cellStyle name="—_report1198tables_20070309_Fidelity_Vigyan Rao_EJ_NPV cal for chinese oil and PTTEP_PetroChina Master_WIP(20-F update)_Sinopec MSTR Wip" xfId="5776" xr:uid="{00000000-0005-0000-0000-0000DA100000}"/>
    <cellStyle name="—_report1198tables_20070309_Fidelity_Vigyan Rao_EJ_NPV cal for chinese oil and PTTEP_PetroChina Master_WIP(20-F update)_Sinopec MSTR_WIP_KK" xfId="5777" xr:uid="{00000000-0005-0000-0000-0000DB100000}"/>
    <cellStyle name="—_report1198tables_anne" xfId="3982" xr:uid="{00000000-0005-0000-0000-0000DC100000}"/>
    <cellStyle name="—_report1198tables_anne 2" xfId="5778" xr:uid="{00000000-0005-0000-0000-0000DD100000}"/>
    <cellStyle name="—_report1198tables_anne_Beta" xfId="5779" xr:uid="{00000000-0005-0000-0000-0000DE100000}"/>
    <cellStyle name="—_report1198tables_anne_Book7" xfId="3983" xr:uid="{00000000-0005-0000-0000-0000DF100000}"/>
    <cellStyle name="—_report1198tables_anne_Book7_new-Sub" xfId="3984" xr:uid="{00000000-0005-0000-0000-0000E0100000}"/>
    <cellStyle name="—_report1198tables_anne_Cashflow" xfId="5780" xr:uid="{00000000-0005-0000-0000-0000E1100000}"/>
    <cellStyle name="—_report1198tables_anne_Cashflow_Honghua MSTR" xfId="5781" xr:uid="{00000000-0005-0000-0000-0000E2100000}"/>
    <cellStyle name="—_report1198tables_anne_DoCoMo table 10July2000" xfId="3985" xr:uid="{00000000-0005-0000-0000-0000E3100000}"/>
    <cellStyle name="—_report1198tables_anne_earnings" xfId="3986" xr:uid="{00000000-0005-0000-0000-0000E4100000}"/>
    <cellStyle name="—_report1198tables_anne_earnings_new-Sub" xfId="3987" xr:uid="{00000000-0005-0000-0000-0000E5100000}"/>
    <cellStyle name="—_report1198tables_anne_EM_FETone_new" xfId="3988" xr:uid="{00000000-0005-0000-0000-0000E6100000}"/>
    <cellStyle name="—_report1198tables_anne_EM_FETone_new_new-Sub" xfId="3989" xr:uid="{00000000-0005-0000-0000-0000E7100000}"/>
    <cellStyle name="—_report1198tables_anne_EM_TCC_new" xfId="3990" xr:uid="{00000000-0005-0000-0000-0000E8100000}"/>
    <cellStyle name="—_report1198tables_anne_EM_TCC_new_new-Sub" xfId="3991" xr:uid="{00000000-0005-0000-0000-0000E9100000}"/>
    <cellStyle name="—_report1198tables_anne_honam -Quantum 220704" xfId="5782" xr:uid="{00000000-0005-0000-0000-0000EA100000}"/>
    <cellStyle name="—_report1198tables_anne_Kelvin_SKT_dividend_Mar10_2003" xfId="5783" xr:uid="{00000000-0005-0000-0000-0000EB100000}"/>
    <cellStyle name="—_report1198tables_anne_Kelvin_SKT_dividend_Mar10_2003_Beta" xfId="5784" xr:uid="{00000000-0005-0000-0000-0000EC100000}"/>
    <cellStyle name="—_report1198tables_anne_Kelvin_SKT_dividend_Mar10_2003_Cashflow" xfId="5785" xr:uid="{00000000-0005-0000-0000-0000ED100000}"/>
    <cellStyle name="—_report1198tables_anne_Kelvin_SKT_dividend_Mar10_2003_Cashflow_Honghua MSTR" xfId="5786" xr:uid="{00000000-0005-0000-0000-0000EE100000}"/>
    <cellStyle name="—_report1198tables_anne_Kelvin_SKT_dividend_Mar10_2003_P&amp;L" xfId="5787" xr:uid="{00000000-0005-0000-0000-0000EF100000}"/>
    <cellStyle name="—_report1198tables_anne_Kelvin_SKT_dividend_Mar10_2003_P&amp;L_Honghua MSTR" xfId="5788" xr:uid="{00000000-0005-0000-0000-0000F0100000}"/>
    <cellStyle name="—_report1198tables_anne_Kelvin_SKT_dividend_Mar10_2003_PetroChina Master" xfId="5789" xr:uid="{00000000-0005-0000-0000-0000F1100000}"/>
    <cellStyle name="—_report1198tables_anne_Kelvin_SKT_dividend_Mar10_2003_PetroChina Master_WIP(20-F update)" xfId="5790" xr:uid="{00000000-0005-0000-0000-0000F2100000}"/>
    <cellStyle name="—_report1198tables_anne_Kelvin_SKT_dividend_Mar10_2003_PetroChina Master_WIP(20-F update)_Cashflow" xfId="5791" xr:uid="{00000000-0005-0000-0000-0000F3100000}"/>
    <cellStyle name="—_report1198tables_anne_Kelvin_SKT_dividend_Mar10_2003_PetroChina Master_WIP(20-F update)_Cashflow_Honghua MSTR" xfId="5792" xr:uid="{00000000-0005-0000-0000-0000F4100000}"/>
    <cellStyle name="—_report1198tables_anne_Kelvin_SKT_dividend_Mar10_2003_PetroChina Master_WIP(20-F update)_P&amp;L" xfId="5793" xr:uid="{00000000-0005-0000-0000-0000F5100000}"/>
    <cellStyle name="—_report1198tables_anne_Kelvin_SKT_dividend_Mar10_2003_PetroChina Master_WIP(20-F update)_P&amp;L_Honghua MSTR" xfId="5794" xr:uid="{00000000-0005-0000-0000-0000F6100000}"/>
    <cellStyle name="—_report1198tables_anne_Kelvin_SKT_dividend_Mar10_2003_PetroChina Master_WIP(20-F update)_Sinopec MSTR" xfId="5795" xr:uid="{00000000-0005-0000-0000-0000F7100000}"/>
    <cellStyle name="—_report1198tables_anne_Kelvin_SKT_dividend_Mar10_2003_PetroChina Master_WIP(20-F update)_Sinopec MSTR Wip" xfId="5796" xr:uid="{00000000-0005-0000-0000-0000F8100000}"/>
    <cellStyle name="—_report1198tables_anne_Kelvin_SKT_dividend_Mar10_2003_PetroChina Master_WIP(20-F update)_Sinopec MSTR_WIP_KK" xfId="5797" xr:uid="{00000000-0005-0000-0000-0000F9100000}"/>
    <cellStyle name="—_report1198tables_anne_Kelvin_SKT_dividend_Mar10_2003_Sinopec MSTR" xfId="5798" xr:uid="{00000000-0005-0000-0000-0000FA100000}"/>
    <cellStyle name="—_report1198tables_anne_new-Sub" xfId="3992" xr:uid="{00000000-0005-0000-0000-0000FB100000}"/>
    <cellStyle name="—_report1198tables_anne_operating stats comp" xfId="3993" xr:uid="{00000000-0005-0000-0000-0000FC100000}"/>
    <cellStyle name="—_report1198tables_anne_operating stats comp_new-Sub" xfId="3994" xr:uid="{00000000-0005-0000-0000-0000FD100000}"/>
    <cellStyle name="—_report1198tables_anne_P&amp;L" xfId="5799" xr:uid="{00000000-0005-0000-0000-0000FE100000}"/>
    <cellStyle name="—_report1198tables_anne_P&amp;L_Honghua MSTR" xfId="5800" xr:uid="{00000000-0005-0000-0000-0000FF100000}"/>
    <cellStyle name="—_report1198tables_anne_PetroChina Master" xfId="5801" xr:uid="{00000000-0005-0000-0000-000000110000}"/>
    <cellStyle name="—_report1198tables_anne_PetroChina Master_WIP(20-F update)" xfId="5802" xr:uid="{00000000-0005-0000-0000-000001110000}"/>
    <cellStyle name="—_report1198tables_anne_PetroChina Master_WIP(20-F update)_Cashflow" xfId="5803" xr:uid="{00000000-0005-0000-0000-000002110000}"/>
    <cellStyle name="—_report1198tables_anne_PetroChina Master_WIP(20-F update)_Cashflow_Honghua MSTR" xfId="5804" xr:uid="{00000000-0005-0000-0000-000003110000}"/>
    <cellStyle name="—_report1198tables_anne_PetroChina Master_WIP(20-F update)_P&amp;L" xfId="5805" xr:uid="{00000000-0005-0000-0000-000004110000}"/>
    <cellStyle name="—_report1198tables_anne_PetroChina Master_WIP(20-F update)_P&amp;L_Honghua MSTR" xfId="5806" xr:uid="{00000000-0005-0000-0000-000005110000}"/>
    <cellStyle name="—_report1198tables_anne_PetroChina Master_WIP(20-F update)_Sinopec MSTR" xfId="5807" xr:uid="{00000000-0005-0000-0000-000006110000}"/>
    <cellStyle name="—_report1198tables_anne_PetroChina Master_WIP(20-F update)_Sinopec MSTR Wip" xfId="5808" xr:uid="{00000000-0005-0000-0000-000007110000}"/>
    <cellStyle name="—_report1198tables_anne_PetroChina Master_WIP(20-F update)_Sinopec MSTR_WIP_KK" xfId="5809" xr:uid="{00000000-0005-0000-0000-000008110000}"/>
    <cellStyle name="—_report1198tables_anne_Sinopec MSTR" xfId="5810" xr:uid="{00000000-0005-0000-0000-000009110000}"/>
    <cellStyle name="—_report1198tables_anne_SK COrp - Quantum 290704" xfId="5811" xr:uid="{00000000-0005-0000-0000-00000A110000}"/>
    <cellStyle name="—_report1198tables_anne_S-Oil-Quantum 260704" xfId="5812" xr:uid="{00000000-0005-0000-0000-00000B110000}"/>
    <cellStyle name="—_report1198tables_anne_S-Oil-Quantum 260704_Beta" xfId="5813" xr:uid="{00000000-0005-0000-0000-00000C110000}"/>
    <cellStyle name="—_report1198tables_anne_S-Oil-Quantum 260704_Cashflow" xfId="5814" xr:uid="{00000000-0005-0000-0000-00000D110000}"/>
    <cellStyle name="—_report1198tables_anne_S-Oil-Quantum 260704_Cashflow_Honghua MSTR" xfId="5815" xr:uid="{00000000-0005-0000-0000-00000E110000}"/>
    <cellStyle name="—_report1198tables_anne_S-Oil-Quantum 260704_P&amp;L" xfId="5816" xr:uid="{00000000-0005-0000-0000-00000F110000}"/>
    <cellStyle name="—_report1198tables_anne_S-Oil-Quantum 260704_P&amp;L_Honghua MSTR" xfId="5817" xr:uid="{00000000-0005-0000-0000-000010110000}"/>
    <cellStyle name="—_report1198tables_anne_S-Oil-Quantum 260704_PetroChina Master" xfId="5818" xr:uid="{00000000-0005-0000-0000-000011110000}"/>
    <cellStyle name="—_report1198tables_anne_S-Oil-Quantum 260704_PetroChina Master_WIP(20-F update)" xfId="5819" xr:uid="{00000000-0005-0000-0000-000012110000}"/>
    <cellStyle name="—_report1198tables_anne_S-Oil-Quantum 260704_PetroChina Master_WIP(20-F update)_Cashflow" xfId="5820" xr:uid="{00000000-0005-0000-0000-000013110000}"/>
    <cellStyle name="—_report1198tables_anne_S-Oil-Quantum 260704_PetroChina Master_WIP(20-F update)_Cashflow_Honghua MSTR" xfId="5821" xr:uid="{00000000-0005-0000-0000-000014110000}"/>
    <cellStyle name="—_report1198tables_anne_S-Oil-Quantum 260704_PetroChina Master_WIP(20-F update)_P&amp;L" xfId="5822" xr:uid="{00000000-0005-0000-0000-000015110000}"/>
    <cellStyle name="—_report1198tables_anne_S-Oil-Quantum 260704_PetroChina Master_WIP(20-F update)_P&amp;L_Honghua MSTR" xfId="5823" xr:uid="{00000000-0005-0000-0000-000016110000}"/>
    <cellStyle name="—_report1198tables_anne_S-Oil-Quantum 260704_PetroChina Master_WIP(20-F update)_Sinopec MSTR" xfId="5824" xr:uid="{00000000-0005-0000-0000-000017110000}"/>
    <cellStyle name="—_report1198tables_anne_S-Oil-Quantum 260704_PetroChina Master_WIP(20-F update)_Sinopec MSTR Wip" xfId="5825" xr:uid="{00000000-0005-0000-0000-000018110000}"/>
    <cellStyle name="—_report1198tables_anne_S-Oil-Quantum 260704_PetroChina Master_WIP(20-F update)_Sinopec MSTR_WIP_KK" xfId="5826" xr:uid="{00000000-0005-0000-0000-000019110000}"/>
    <cellStyle name="—_report1198tables_anne_S-Oil-Quantum 260704_Sinopec MSTR" xfId="5827" xr:uid="{00000000-0005-0000-0000-00001A110000}"/>
    <cellStyle name="—_report1198tables_anne_Strategy_data_update" xfId="3995" xr:uid="{00000000-0005-0000-0000-00001B110000}"/>
    <cellStyle name="—_report1198tables_anne_Strategy_data_update_new-Sub" xfId="3996" xr:uid="{00000000-0005-0000-0000-00001C110000}"/>
    <cellStyle name="—_report1198tables_Beta" xfId="5828" xr:uid="{00000000-0005-0000-0000-00001D110000}"/>
    <cellStyle name="—_report1198tables_Book1" xfId="5829" xr:uid="{00000000-0005-0000-0000-00001E110000}"/>
    <cellStyle name="—_report1198tables_Book1_Cashflow" xfId="5830" xr:uid="{00000000-0005-0000-0000-00001F110000}"/>
    <cellStyle name="—_report1198tables_Book1_Cashflow_Honghua MSTR" xfId="5831" xr:uid="{00000000-0005-0000-0000-000020110000}"/>
    <cellStyle name="—_report1198tables_Book1_P&amp;L" xfId="5832" xr:uid="{00000000-0005-0000-0000-000021110000}"/>
    <cellStyle name="—_report1198tables_Book1_P&amp;L_Honghua MSTR" xfId="5833" xr:uid="{00000000-0005-0000-0000-000022110000}"/>
    <cellStyle name="—_report1198tables_Book1_PetroChina Master" xfId="5834" xr:uid="{00000000-0005-0000-0000-000023110000}"/>
    <cellStyle name="—_report1198tables_Book1_Sinopec MSTR" xfId="5835" xr:uid="{00000000-0005-0000-0000-000024110000}"/>
    <cellStyle name="—_report1198tables_Book1_Sinopec MSTR Wip" xfId="5836" xr:uid="{00000000-0005-0000-0000-000025110000}"/>
    <cellStyle name="—_report1198tables_Book1_Sinopec MSTR_WIP_KK" xfId="5837" xr:uid="{00000000-0005-0000-0000-000026110000}"/>
    <cellStyle name="—_report1198tables_Book2" xfId="5838" xr:uid="{00000000-0005-0000-0000-000027110000}"/>
    <cellStyle name="—_report1198tables_Book2_Beta" xfId="5839" xr:uid="{00000000-0005-0000-0000-000028110000}"/>
    <cellStyle name="—_report1198tables_Book2_Cashflow" xfId="5840" xr:uid="{00000000-0005-0000-0000-000029110000}"/>
    <cellStyle name="—_report1198tables_Book2_Cashflow_Honghua MSTR" xfId="5841" xr:uid="{00000000-0005-0000-0000-00002A110000}"/>
    <cellStyle name="—_report1198tables_Book2_P&amp;L" xfId="5842" xr:uid="{00000000-0005-0000-0000-00002B110000}"/>
    <cellStyle name="—_report1198tables_Book2_P&amp;L_Honghua MSTR" xfId="5843" xr:uid="{00000000-0005-0000-0000-00002C110000}"/>
    <cellStyle name="—_report1198tables_Book2_PetroChina Master" xfId="5844" xr:uid="{00000000-0005-0000-0000-00002D110000}"/>
    <cellStyle name="—_report1198tables_Book2_PetroChina Master_WIP(20-F update)" xfId="5845" xr:uid="{00000000-0005-0000-0000-00002E110000}"/>
    <cellStyle name="—_report1198tables_Book2_PetroChina Master_WIP(20-F update)_Cashflow" xfId="5846" xr:uid="{00000000-0005-0000-0000-00002F110000}"/>
    <cellStyle name="—_report1198tables_Book2_PetroChina Master_WIP(20-F update)_Cashflow_Honghua MSTR" xfId="5847" xr:uid="{00000000-0005-0000-0000-000030110000}"/>
    <cellStyle name="—_report1198tables_Book2_PetroChina Master_WIP(20-F update)_P&amp;L" xfId="5848" xr:uid="{00000000-0005-0000-0000-000031110000}"/>
    <cellStyle name="—_report1198tables_Book2_PetroChina Master_WIP(20-F update)_P&amp;L_Honghua MSTR" xfId="5849" xr:uid="{00000000-0005-0000-0000-000032110000}"/>
    <cellStyle name="—_report1198tables_Book2_PetroChina Master_WIP(20-F update)_Sinopec MSTR" xfId="5850" xr:uid="{00000000-0005-0000-0000-000033110000}"/>
    <cellStyle name="—_report1198tables_Book2_PetroChina Master_WIP(20-F update)_Sinopec MSTR Wip" xfId="5851" xr:uid="{00000000-0005-0000-0000-000034110000}"/>
    <cellStyle name="—_report1198tables_Book2_PetroChina Master_WIP(20-F update)_Sinopec MSTR_WIP_KK" xfId="5852" xr:uid="{00000000-0005-0000-0000-000035110000}"/>
    <cellStyle name="—_report1198tables_Book2_Sinopec MSTR" xfId="5853" xr:uid="{00000000-0005-0000-0000-000036110000}"/>
    <cellStyle name="—_report1198tables_Book3" xfId="5854" xr:uid="{00000000-0005-0000-0000-000037110000}"/>
    <cellStyle name="—_report1198tables_Book3_Beta" xfId="5855" xr:uid="{00000000-0005-0000-0000-000038110000}"/>
    <cellStyle name="—_report1198tables_Book3_Cashflow" xfId="5856" xr:uid="{00000000-0005-0000-0000-000039110000}"/>
    <cellStyle name="—_report1198tables_Book3_Cashflow_Honghua MSTR" xfId="5857" xr:uid="{00000000-0005-0000-0000-00003A110000}"/>
    <cellStyle name="—_report1198tables_Book3_P&amp;L" xfId="5858" xr:uid="{00000000-0005-0000-0000-00003B110000}"/>
    <cellStyle name="—_report1198tables_Book3_P&amp;L_Honghua MSTR" xfId="5859" xr:uid="{00000000-0005-0000-0000-00003C110000}"/>
    <cellStyle name="—_report1198tables_Book3_PetroChina Master" xfId="5860" xr:uid="{00000000-0005-0000-0000-00003D110000}"/>
    <cellStyle name="—_report1198tables_Book3_PetroChina Master_WIP(20-F update)" xfId="5861" xr:uid="{00000000-0005-0000-0000-00003E110000}"/>
    <cellStyle name="—_report1198tables_Book3_PetroChina Master_WIP(20-F update)_Cashflow" xfId="5862" xr:uid="{00000000-0005-0000-0000-00003F110000}"/>
    <cellStyle name="—_report1198tables_Book3_PetroChina Master_WIP(20-F update)_Cashflow_Honghua MSTR" xfId="5863" xr:uid="{00000000-0005-0000-0000-000040110000}"/>
    <cellStyle name="—_report1198tables_Book3_PetroChina Master_WIP(20-F update)_P&amp;L" xfId="5864" xr:uid="{00000000-0005-0000-0000-000041110000}"/>
    <cellStyle name="—_report1198tables_Book3_PetroChina Master_WIP(20-F update)_P&amp;L_Honghua MSTR" xfId="5865" xr:uid="{00000000-0005-0000-0000-000042110000}"/>
    <cellStyle name="—_report1198tables_Book3_PetroChina Master_WIP(20-F update)_Sinopec MSTR" xfId="5866" xr:uid="{00000000-0005-0000-0000-000043110000}"/>
    <cellStyle name="—_report1198tables_Book3_PetroChina Master_WIP(20-F update)_Sinopec MSTR Wip" xfId="5867" xr:uid="{00000000-0005-0000-0000-000044110000}"/>
    <cellStyle name="—_report1198tables_Book3_PetroChina Master_WIP(20-F update)_Sinopec MSTR_WIP_KK" xfId="5868" xr:uid="{00000000-0005-0000-0000-000045110000}"/>
    <cellStyle name="—_report1198tables_Book3_Sinopec MSTR" xfId="5869" xr:uid="{00000000-0005-0000-0000-000046110000}"/>
    <cellStyle name="—_report1198tables_Book7" xfId="3997" xr:uid="{00000000-0005-0000-0000-000047110000}"/>
    <cellStyle name="—_report1198tables_Book7_new-Sub" xfId="3998" xr:uid="{00000000-0005-0000-0000-000048110000}"/>
    <cellStyle name="—_report1198tables_BPCL Master" xfId="5870" xr:uid="{00000000-0005-0000-0000-000049110000}"/>
    <cellStyle name="—_report1198tables_BPCL Master_Beta" xfId="5871" xr:uid="{00000000-0005-0000-0000-00004A110000}"/>
    <cellStyle name="—_report1198tables_BPCL Master_Cashflow" xfId="5872" xr:uid="{00000000-0005-0000-0000-00004B110000}"/>
    <cellStyle name="—_report1198tables_BPCL Master_Cashflow_Honghua MSTR" xfId="5873" xr:uid="{00000000-0005-0000-0000-00004C110000}"/>
    <cellStyle name="—_report1198tables_BPCL Master_P&amp;L" xfId="5874" xr:uid="{00000000-0005-0000-0000-00004D110000}"/>
    <cellStyle name="—_report1198tables_BPCL Master_P&amp;L_Honghua MSTR" xfId="5875" xr:uid="{00000000-0005-0000-0000-00004E110000}"/>
    <cellStyle name="—_report1198tables_BPCL Master_PetroChina Master" xfId="5876" xr:uid="{00000000-0005-0000-0000-00004F110000}"/>
    <cellStyle name="—_report1198tables_BPCL Master_PetroChina Master_WIP(20-F update)" xfId="5877" xr:uid="{00000000-0005-0000-0000-000050110000}"/>
    <cellStyle name="—_report1198tables_BPCL Master_PetroChina Master_WIP(20-F update)_Cashflow" xfId="5878" xr:uid="{00000000-0005-0000-0000-000051110000}"/>
    <cellStyle name="—_report1198tables_BPCL Master_PetroChina Master_WIP(20-F update)_Cashflow_Honghua MSTR" xfId="5879" xr:uid="{00000000-0005-0000-0000-000052110000}"/>
    <cellStyle name="—_report1198tables_BPCL Master_PetroChina Master_WIP(20-F update)_P&amp;L" xfId="5880" xr:uid="{00000000-0005-0000-0000-000053110000}"/>
    <cellStyle name="—_report1198tables_BPCL Master_PetroChina Master_WIP(20-F update)_P&amp;L_Honghua MSTR" xfId="5881" xr:uid="{00000000-0005-0000-0000-000054110000}"/>
    <cellStyle name="—_report1198tables_BPCL Master_PetroChina Master_WIP(20-F update)_Sinopec MSTR" xfId="5882" xr:uid="{00000000-0005-0000-0000-000055110000}"/>
    <cellStyle name="—_report1198tables_BPCL Master_PetroChina Master_WIP(20-F update)_Sinopec MSTR Wip" xfId="5883" xr:uid="{00000000-0005-0000-0000-000056110000}"/>
    <cellStyle name="—_report1198tables_BPCL Master_PetroChina Master_WIP(20-F update)_Sinopec MSTR_WIP_KK" xfId="5884" xr:uid="{00000000-0005-0000-0000-000057110000}"/>
    <cellStyle name="—_report1198tables_BPCL Master_Sinopec MSTR" xfId="5885" xr:uid="{00000000-0005-0000-0000-000058110000}"/>
    <cellStyle name="—_report1198tables_Cashflow" xfId="5886" xr:uid="{00000000-0005-0000-0000-000059110000}"/>
    <cellStyle name="—_report1198tables_Cashflow_Honghua MSTR" xfId="5887" xr:uid="{00000000-0005-0000-0000-00005A110000}"/>
    <cellStyle name="—_report1198tables_CNOOC Master" xfId="5888" xr:uid="{00000000-0005-0000-0000-00005B110000}"/>
    <cellStyle name="—_report1198tables_CNOOC Master WIP" xfId="5889" xr:uid="{00000000-0005-0000-0000-00005C110000}"/>
    <cellStyle name="—_report1198tables_CNOOC Master WIP_Cashflow" xfId="5890" xr:uid="{00000000-0005-0000-0000-00005D110000}"/>
    <cellStyle name="—_report1198tables_CNOOC Master WIP_Cashflow_Honghua MSTR" xfId="5891" xr:uid="{00000000-0005-0000-0000-00005E110000}"/>
    <cellStyle name="—_report1198tables_CNOOC Master WIP_P&amp;L" xfId="5892" xr:uid="{00000000-0005-0000-0000-00005F110000}"/>
    <cellStyle name="—_report1198tables_CNOOC Master WIP_P&amp;L_Honghua MSTR" xfId="5893" xr:uid="{00000000-0005-0000-0000-000060110000}"/>
    <cellStyle name="—_report1198tables_CNOOC Master WIP_PetroChina Master" xfId="5894" xr:uid="{00000000-0005-0000-0000-000061110000}"/>
    <cellStyle name="—_report1198tables_CNOOC Master WIP_PetroChina Master_WIP(20-F update)" xfId="5895" xr:uid="{00000000-0005-0000-0000-000062110000}"/>
    <cellStyle name="—_report1198tables_CNOOC Master WIP_PetroChina Master_WIP(20-F update)_Cashflow" xfId="5896" xr:uid="{00000000-0005-0000-0000-000063110000}"/>
    <cellStyle name="—_report1198tables_CNOOC Master WIP_PetroChina Master_WIP(20-F update)_Cashflow_Honghua MSTR" xfId="5897" xr:uid="{00000000-0005-0000-0000-000064110000}"/>
    <cellStyle name="—_report1198tables_CNOOC Master WIP_PetroChina Master_WIP(20-F update)_P&amp;L" xfId="5898" xr:uid="{00000000-0005-0000-0000-000065110000}"/>
    <cellStyle name="—_report1198tables_CNOOC Master WIP_PetroChina Master_WIP(20-F update)_P&amp;L_Honghua MSTR" xfId="5899" xr:uid="{00000000-0005-0000-0000-000066110000}"/>
    <cellStyle name="—_report1198tables_CNOOC Master WIP_PetroChina Master_WIP(20-F update)_Sinopec MSTR" xfId="5900" xr:uid="{00000000-0005-0000-0000-000067110000}"/>
    <cellStyle name="—_report1198tables_CNOOC Master WIP_PetroChina Master_WIP(20-F update)_Sinopec MSTR Wip" xfId="5901" xr:uid="{00000000-0005-0000-0000-000068110000}"/>
    <cellStyle name="—_report1198tables_CNOOC Master WIP_PetroChina Master_WIP(20-F update)_Sinopec MSTR_WIP_KK" xfId="5902" xr:uid="{00000000-0005-0000-0000-000069110000}"/>
    <cellStyle name="—_report1198tables_CNOOC Master WIP_Sinopec MSTR" xfId="5903" xr:uid="{00000000-0005-0000-0000-00006A110000}"/>
    <cellStyle name="—_report1198tables_CNOOC Master_Beta" xfId="5904" xr:uid="{00000000-0005-0000-0000-00006B110000}"/>
    <cellStyle name="—_report1198tables_CNOOC Master_Cashflow" xfId="5905" xr:uid="{00000000-0005-0000-0000-00006C110000}"/>
    <cellStyle name="—_report1198tables_CNOOC Master_Cashflow_Honghua MSTR" xfId="5906" xr:uid="{00000000-0005-0000-0000-00006D110000}"/>
    <cellStyle name="—_report1198tables_CNOOC Master_P&amp;L" xfId="5907" xr:uid="{00000000-0005-0000-0000-00006E110000}"/>
    <cellStyle name="—_report1198tables_CNOOC Master_P&amp;L_Honghua MSTR" xfId="5908" xr:uid="{00000000-0005-0000-0000-00006F110000}"/>
    <cellStyle name="—_report1198tables_CNOOC Master_PetroChina Master" xfId="5909" xr:uid="{00000000-0005-0000-0000-000070110000}"/>
    <cellStyle name="—_report1198tables_CNOOC Master_PetroChina Master_WIP(20-F update)" xfId="5910" xr:uid="{00000000-0005-0000-0000-000071110000}"/>
    <cellStyle name="—_report1198tables_CNOOC Master_PetroChina Master_WIP(20-F update)_Cashflow" xfId="5911" xr:uid="{00000000-0005-0000-0000-000072110000}"/>
    <cellStyle name="—_report1198tables_CNOOC Master_PetroChina Master_WIP(20-F update)_Cashflow_Honghua MSTR" xfId="5912" xr:uid="{00000000-0005-0000-0000-000073110000}"/>
    <cellStyle name="—_report1198tables_CNOOC Master_PetroChina Master_WIP(20-F update)_P&amp;L" xfId="5913" xr:uid="{00000000-0005-0000-0000-000074110000}"/>
    <cellStyle name="—_report1198tables_CNOOC Master_PetroChina Master_WIP(20-F update)_P&amp;L_Honghua MSTR" xfId="5914" xr:uid="{00000000-0005-0000-0000-000075110000}"/>
    <cellStyle name="—_report1198tables_CNOOC Master_PetroChina Master_WIP(20-F update)_Sinopec MSTR" xfId="5915" xr:uid="{00000000-0005-0000-0000-000076110000}"/>
    <cellStyle name="—_report1198tables_CNOOC Master_PetroChina Master_WIP(20-F update)_Sinopec MSTR Wip" xfId="5916" xr:uid="{00000000-0005-0000-0000-000077110000}"/>
    <cellStyle name="—_report1198tables_CNOOC Master_PetroChina Master_WIP(20-F update)_Sinopec MSTR_WIP_KK" xfId="5917" xr:uid="{00000000-0005-0000-0000-000078110000}"/>
    <cellStyle name="—_report1198tables_CNOOC Master_Sinopec MSTR" xfId="5918" xr:uid="{00000000-0005-0000-0000-000079110000}"/>
    <cellStyle name="—_report1198tables_DoCoMo table 10July2000" xfId="3999" xr:uid="{00000000-0005-0000-0000-00007A110000}"/>
    <cellStyle name="—_report1198tables_earnings" xfId="4000" xr:uid="{00000000-0005-0000-0000-00007B110000}"/>
    <cellStyle name="—_report1198tables_earnings_new-Sub" xfId="4001" xr:uid="{00000000-0005-0000-0000-00007C110000}"/>
    <cellStyle name="—_report1198tables_EM_FETone_new" xfId="4002" xr:uid="{00000000-0005-0000-0000-00007D110000}"/>
    <cellStyle name="—_report1198tables_EM_FETone_new_new-Sub" xfId="4003" xr:uid="{00000000-0005-0000-0000-00007E110000}"/>
    <cellStyle name="—_report1198tables_EM_TCC_new" xfId="4004" xr:uid="{00000000-0005-0000-0000-00007F110000}"/>
    <cellStyle name="—_report1198tables_EM_TCC_new_new-Sub" xfId="4005" xr:uid="{00000000-0005-0000-0000-000080110000}"/>
    <cellStyle name="—_report1198tables_gail_master WIP 3" xfId="5919" xr:uid="{00000000-0005-0000-0000-000081110000}"/>
    <cellStyle name="—_report1198tables_gail_master WIP 3_Beta" xfId="5920" xr:uid="{00000000-0005-0000-0000-000082110000}"/>
    <cellStyle name="—_report1198tables_gail_master WIP 3_Cashflow" xfId="5921" xr:uid="{00000000-0005-0000-0000-000083110000}"/>
    <cellStyle name="—_report1198tables_gail_master WIP 3_Cashflow_Honghua MSTR" xfId="5922" xr:uid="{00000000-0005-0000-0000-000084110000}"/>
    <cellStyle name="—_report1198tables_gail_master WIP 3_P&amp;L" xfId="5923" xr:uid="{00000000-0005-0000-0000-000085110000}"/>
    <cellStyle name="—_report1198tables_gail_master WIP 3_P&amp;L_Honghua MSTR" xfId="5924" xr:uid="{00000000-0005-0000-0000-000086110000}"/>
    <cellStyle name="—_report1198tables_gail_master WIP 3_PetroChina Master" xfId="5925" xr:uid="{00000000-0005-0000-0000-000087110000}"/>
    <cellStyle name="—_report1198tables_gail_master WIP 3_PetroChina Master_WIP(20-F update)" xfId="5926" xr:uid="{00000000-0005-0000-0000-000088110000}"/>
    <cellStyle name="—_report1198tables_gail_master WIP 3_PetroChina Master_WIP(20-F update)_Cashflow" xfId="5927" xr:uid="{00000000-0005-0000-0000-000089110000}"/>
    <cellStyle name="—_report1198tables_gail_master WIP 3_PetroChina Master_WIP(20-F update)_Cashflow_Honghua MSTR" xfId="5928" xr:uid="{00000000-0005-0000-0000-00008A110000}"/>
    <cellStyle name="—_report1198tables_gail_master WIP 3_PetroChina Master_WIP(20-F update)_P&amp;L" xfId="5929" xr:uid="{00000000-0005-0000-0000-00008B110000}"/>
    <cellStyle name="—_report1198tables_gail_master WIP 3_PetroChina Master_WIP(20-F update)_P&amp;L_Honghua MSTR" xfId="5930" xr:uid="{00000000-0005-0000-0000-00008C110000}"/>
    <cellStyle name="—_report1198tables_gail_master WIP 3_PetroChina Master_WIP(20-F update)_Sinopec MSTR" xfId="5931" xr:uid="{00000000-0005-0000-0000-00008D110000}"/>
    <cellStyle name="—_report1198tables_gail_master WIP 3_PetroChina Master_WIP(20-F update)_Sinopec MSTR Wip" xfId="5932" xr:uid="{00000000-0005-0000-0000-00008E110000}"/>
    <cellStyle name="—_report1198tables_gail_master WIP 3_PetroChina Master_WIP(20-F update)_Sinopec MSTR_WIP_KK" xfId="5933" xr:uid="{00000000-0005-0000-0000-00008F110000}"/>
    <cellStyle name="—_report1198tables_gail_master WIP 3_Sinopec MSTR" xfId="5934" xr:uid="{00000000-0005-0000-0000-000090110000}"/>
    <cellStyle name="—_report1198tables_Honam Master" xfId="5935" xr:uid="{00000000-0005-0000-0000-000091110000}"/>
    <cellStyle name="—_report1198tables_new-Sub" xfId="4006" xr:uid="{00000000-0005-0000-0000-000092110000}"/>
    <cellStyle name="—_report1198tables_operating stats comp" xfId="4007" xr:uid="{00000000-0005-0000-0000-000093110000}"/>
    <cellStyle name="—_report1198tables_operating stats comp_new-Sub" xfId="4008" xr:uid="{00000000-0005-0000-0000-000094110000}"/>
    <cellStyle name="—_report1198tables_P&amp;L" xfId="5936" xr:uid="{00000000-0005-0000-0000-000095110000}"/>
    <cellStyle name="—_report1198tables_P&amp;L_Honghua MSTR" xfId="5937" xr:uid="{00000000-0005-0000-0000-000096110000}"/>
    <cellStyle name="—_report1198tables_PetroChina Master" xfId="5938" xr:uid="{00000000-0005-0000-0000-000097110000}"/>
    <cellStyle name="—_report1198tables_PetroChina Master WIP to 08 with windfall tax" xfId="5939" xr:uid="{00000000-0005-0000-0000-000098110000}"/>
    <cellStyle name="—_report1198tables_PetroChina Master WIP to 08 with windfall tax_Beta" xfId="5940" xr:uid="{00000000-0005-0000-0000-000099110000}"/>
    <cellStyle name="—_report1198tables_PetroChina Master WIP to 08 with windfall tax_Cashflow" xfId="5941" xr:uid="{00000000-0005-0000-0000-00009A110000}"/>
    <cellStyle name="—_report1198tables_PetroChina Master WIP to 08 with windfall tax_Cashflow_Honghua MSTR" xfId="5942" xr:uid="{00000000-0005-0000-0000-00009B110000}"/>
    <cellStyle name="—_report1198tables_PetroChina Master WIP to 08 with windfall tax_P&amp;L" xfId="5943" xr:uid="{00000000-0005-0000-0000-00009C110000}"/>
    <cellStyle name="—_report1198tables_PetroChina Master WIP to 08 with windfall tax_P&amp;L_Honghua MSTR" xfId="5944" xr:uid="{00000000-0005-0000-0000-00009D110000}"/>
    <cellStyle name="—_report1198tables_PetroChina Master WIP to 08 with windfall tax_PetroChina Master" xfId="5945" xr:uid="{00000000-0005-0000-0000-00009E110000}"/>
    <cellStyle name="—_report1198tables_PetroChina Master WIP to 08 with windfall tax_PetroChina Master_WIP(20-F update)" xfId="5946" xr:uid="{00000000-0005-0000-0000-00009F110000}"/>
    <cellStyle name="—_report1198tables_PetroChina Master WIP to 08 with windfall tax_PetroChina Master_WIP(20-F update)_Cashflow" xfId="5947" xr:uid="{00000000-0005-0000-0000-0000A0110000}"/>
    <cellStyle name="—_report1198tables_PetroChina Master WIP to 08 with windfall tax_PetroChina Master_WIP(20-F update)_Cashflow_Honghua MSTR" xfId="5948" xr:uid="{00000000-0005-0000-0000-0000A1110000}"/>
    <cellStyle name="—_report1198tables_PetroChina Master WIP to 08 with windfall tax_PetroChina Master_WIP(20-F update)_P&amp;L" xfId="5949" xr:uid="{00000000-0005-0000-0000-0000A2110000}"/>
    <cellStyle name="—_report1198tables_PetroChina Master WIP to 08 with windfall tax_PetroChina Master_WIP(20-F update)_P&amp;L_Honghua MSTR" xfId="5950" xr:uid="{00000000-0005-0000-0000-0000A3110000}"/>
    <cellStyle name="—_report1198tables_PetroChina Master WIP to 08 with windfall tax_PetroChina Master_WIP(20-F update)_Sinopec MSTR" xfId="5951" xr:uid="{00000000-0005-0000-0000-0000A4110000}"/>
    <cellStyle name="—_report1198tables_PetroChina Master WIP to 08 with windfall tax_PetroChina Master_WIP(20-F update)_Sinopec MSTR Wip" xfId="5952" xr:uid="{00000000-0005-0000-0000-0000A5110000}"/>
    <cellStyle name="—_report1198tables_PetroChina Master WIP to 08 with windfall tax_PetroChina Master_WIP(20-F update)_Sinopec MSTR_WIP_KK" xfId="5953" xr:uid="{00000000-0005-0000-0000-0000A6110000}"/>
    <cellStyle name="—_report1198tables_PetroChina Master WIP to 08 with windfall tax_Sinopec MSTR" xfId="5954" xr:uid="{00000000-0005-0000-0000-0000A7110000}"/>
    <cellStyle name="—_report1198tables_PetroChina Master_1" xfId="5955" xr:uid="{00000000-0005-0000-0000-0000A8110000}"/>
    <cellStyle name="—_report1198tables_PetroChina Master_Beta" xfId="5956" xr:uid="{00000000-0005-0000-0000-0000A9110000}"/>
    <cellStyle name="—_report1198tables_PetroChina Master_Cashflow" xfId="5957" xr:uid="{00000000-0005-0000-0000-0000AA110000}"/>
    <cellStyle name="—_report1198tables_PetroChina Master_Cashflow_Honghua MSTR" xfId="5958" xr:uid="{00000000-0005-0000-0000-0000AB110000}"/>
    <cellStyle name="—_report1198tables_PetroChina Master_P&amp;L" xfId="5959" xr:uid="{00000000-0005-0000-0000-0000AC110000}"/>
    <cellStyle name="—_report1198tables_PetroChina Master_P&amp;L_Honghua MSTR" xfId="5960" xr:uid="{00000000-0005-0000-0000-0000AD110000}"/>
    <cellStyle name="—_report1198tables_PetroChina Master_PetroChina Master" xfId="5961" xr:uid="{00000000-0005-0000-0000-0000AE110000}"/>
    <cellStyle name="—_report1198tables_PetroChina Master_PetroChina Master_WIP(20-F update)" xfId="5962" xr:uid="{00000000-0005-0000-0000-0000AF110000}"/>
    <cellStyle name="—_report1198tables_PetroChina Master_PetroChina Master_WIP(20-F update)_Cashflow" xfId="5963" xr:uid="{00000000-0005-0000-0000-0000B0110000}"/>
    <cellStyle name="—_report1198tables_PetroChina Master_PetroChina Master_WIP(20-F update)_Cashflow_Honghua MSTR" xfId="5964" xr:uid="{00000000-0005-0000-0000-0000B1110000}"/>
    <cellStyle name="—_report1198tables_PetroChina Master_PetroChina Master_WIP(20-F update)_P&amp;L" xfId="5965" xr:uid="{00000000-0005-0000-0000-0000B2110000}"/>
    <cellStyle name="—_report1198tables_PetroChina Master_PetroChina Master_WIP(20-F update)_P&amp;L_Honghua MSTR" xfId="5966" xr:uid="{00000000-0005-0000-0000-0000B3110000}"/>
    <cellStyle name="—_report1198tables_PetroChina Master_PetroChina Master_WIP(20-F update)_Sinopec MSTR" xfId="5967" xr:uid="{00000000-0005-0000-0000-0000B4110000}"/>
    <cellStyle name="—_report1198tables_PetroChina Master_PetroChina Master_WIP(20-F update)_Sinopec MSTR Wip" xfId="5968" xr:uid="{00000000-0005-0000-0000-0000B5110000}"/>
    <cellStyle name="—_report1198tables_PetroChina Master_PetroChina Master_WIP(20-F update)_Sinopec MSTR_WIP_KK" xfId="5969" xr:uid="{00000000-0005-0000-0000-0000B6110000}"/>
    <cellStyle name="—_report1198tables_PetroChina Master_Sinopec MSTR" xfId="5970" xr:uid="{00000000-0005-0000-0000-0000B7110000}"/>
    <cellStyle name="—_report1198tables_PetroChina Master_WIP(20-F update)" xfId="5971" xr:uid="{00000000-0005-0000-0000-0000B8110000}"/>
    <cellStyle name="—_report1198tables_PetroChina Master_WIP(20-F update)_Cashflow" xfId="5972" xr:uid="{00000000-0005-0000-0000-0000B9110000}"/>
    <cellStyle name="—_report1198tables_PetroChina Master_WIP(20-F update)_Cashflow_Honghua MSTR" xfId="5973" xr:uid="{00000000-0005-0000-0000-0000BA110000}"/>
    <cellStyle name="—_report1198tables_PetroChina Master_WIP(20-F update)_P&amp;L" xfId="5974" xr:uid="{00000000-0005-0000-0000-0000BB110000}"/>
    <cellStyle name="—_report1198tables_PetroChina Master_WIP(20-F update)_P&amp;L_Honghua MSTR" xfId="5975" xr:uid="{00000000-0005-0000-0000-0000BC110000}"/>
    <cellStyle name="—_report1198tables_PetroChina Master_WIP(20-F update)_Sinopec MSTR" xfId="5976" xr:uid="{00000000-0005-0000-0000-0000BD110000}"/>
    <cellStyle name="—_report1198tables_PetroChina Master_WIP(20-F update)_Sinopec MSTR Wip" xfId="5977" xr:uid="{00000000-0005-0000-0000-0000BE110000}"/>
    <cellStyle name="—_report1198tables_PetroChina Master_WIP(20-F update)_Sinopec MSTR_WIP_KK" xfId="5978" xr:uid="{00000000-0005-0000-0000-0000BF110000}"/>
    <cellStyle name="—_report1198tables_Sinopec MSTR" xfId="5979" xr:uid="{00000000-0005-0000-0000-0000C0110000}"/>
    <cellStyle name="—_report1198tables_Sinopec MSTR WIP to 08" xfId="5980" xr:uid="{00000000-0005-0000-0000-0000C1110000}"/>
    <cellStyle name="—_report1198tables_Sinopec MSTR WIP to 08_Beta" xfId="5981" xr:uid="{00000000-0005-0000-0000-0000C2110000}"/>
    <cellStyle name="—_report1198tables_Sinopec MSTR WIP to 08_Cashflow" xfId="5982" xr:uid="{00000000-0005-0000-0000-0000C3110000}"/>
    <cellStyle name="—_report1198tables_Sinopec MSTR WIP to 08_Cashflow_Honghua MSTR" xfId="5983" xr:uid="{00000000-0005-0000-0000-0000C4110000}"/>
    <cellStyle name="—_report1198tables_Sinopec MSTR WIP to 08_P&amp;L" xfId="5984" xr:uid="{00000000-0005-0000-0000-0000C5110000}"/>
    <cellStyle name="—_report1198tables_Sinopec MSTR WIP to 08_P&amp;L_Honghua MSTR" xfId="5985" xr:uid="{00000000-0005-0000-0000-0000C6110000}"/>
    <cellStyle name="—_report1198tables_Sinopec MSTR WIP to 08_PetroChina Master" xfId="5986" xr:uid="{00000000-0005-0000-0000-0000C7110000}"/>
    <cellStyle name="—_report1198tables_Sinopec MSTR WIP to 08_PetroChina Master_WIP(20-F update)" xfId="5987" xr:uid="{00000000-0005-0000-0000-0000C8110000}"/>
    <cellStyle name="—_report1198tables_Sinopec MSTR WIP to 08_PetroChina Master_WIP(20-F update)_Cashflow" xfId="5988" xr:uid="{00000000-0005-0000-0000-0000C9110000}"/>
    <cellStyle name="—_report1198tables_Sinopec MSTR WIP to 08_PetroChina Master_WIP(20-F update)_Cashflow_Honghua MSTR" xfId="5989" xr:uid="{00000000-0005-0000-0000-0000CA110000}"/>
    <cellStyle name="—_report1198tables_Sinopec MSTR WIP to 08_PetroChina Master_WIP(20-F update)_P&amp;L" xfId="5990" xr:uid="{00000000-0005-0000-0000-0000CB110000}"/>
    <cellStyle name="—_report1198tables_Sinopec MSTR WIP to 08_PetroChina Master_WIP(20-F update)_P&amp;L_Honghua MSTR" xfId="5991" xr:uid="{00000000-0005-0000-0000-0000CC110000}"/>
    <cellStyle name="—_report1198tables_Sinopec MSTR WIP to 08_PetroChina Master_WIP(20-F update)_Sinopec MSTR" xfId="5992" xr:uid="{00000000-0005-0000-0000-0000CD110000}"/>
    <cellStyle name="—_report1198tables_Sinopec MSTR WIP to 08_PetroChina Master_WIP(20-F update)_Sinopec MSTR Wip" xfId="5993" xr:uid="{00000000-0005-0000-0000-0000CE110000}"/>
    <cellStyle name="—_report1198tables_Sinopec MSTR WIP to 08_PetroChina Master_WIP(20-F update)_Sinopec MSTR_WIP_KK" xfId="5994" xr:uid="{00000000-0005-0000-0000-0000CF110000}"/>
    <cellStyle name="—_report1198tables_Sinopec MSTR WIP to 08_Sinopec MSTR" xfId="5995" xr:uid="{00000000-0005-0000-0000-0000D0110000}"/>
    <cellStyle name="—_report1198tables_Sinopec MSTR_PetroChina Master_WIP(20-F update)" xfId="5996" xr:uid="{00000000-0005-0000-0000-0000D1110000}"/>
    <cellStyle name="—_report1198tables_Sinopec MSTR_PetroChina Master_WIP(20-F update)_Cashflow" xfId="5997" xr:uid="{00000000-0005-0000-0000-0000D2110000}"/>
    <cellStyle name="—_report1198tables_Sinopec MSTR_PetroChina Master_WIP(20-F update)_Cashflow_Honghua MSTR" xfId="5998" xr:uid="{00000000-0005-0000-0000-0000D3110000}"/>
    <cellStyle name="—_report1198tables_Sinopec MSTR_PetroChina Master_WIP(20-F update)_P&amp;L" xfId="5999" xr:uid="{00000000-0005-0000-0000-0000D4110000}"/>
    <cellStyle name="—_report1198tables_Sinopec MSTR_PetroChina Master_WIP(20-F update)_P&amp;L_Honghua MSTR" xfId="6000" xr:uid="{00000000-0005-0000-0000-0000D5110000}"/>
    <cellStyle name="—_report1198tables_Sinopec MSTR_PetroChina Master_WIP(20-F update)_Sinopec MSTR" xfId="6001" xr:uid="{00000000-0005-0000-0000-0000D6110000}"/>
    <cellStyle name="—_report1198tables_Sinopec MSTR_PetroChina Master_WIP(20-F update)_Sinopec MSTR Wip" xfId="6002" xr:uid="{00000000-0005-0000-0000-0000D7110000}"/>
    <cellStyle name="—_report1198tables_Sinopec MSTR_PetroChina Master_WIP(20-F update)_Sinopec MSTR_WIP_KK" xfId="6003" xr:uid="{00000000-0005-0000-0000-0000D8110000}"/>
    <cellStyle name="—_report1198tables_SK MSTR" xfId="6004" xr:uid="{00000000-0005-0000-0000-0000D9110000}"/>
    <cellStyle name="—_report1198tables_SK MSTR_Beta" xfId="6005" xr:uid="{00000000-0005-0000-0000-0000DA110000}"/>
    <cellStyle name="—_report1198tables_SK MSTR_Cashflow" xfId="6006" xr:uid="{00000000-0005-0000-0000-0000DB110000}"/>
    <cellStyle name="—_report1198tables_SK MSTR_Cashflow_Honghua MSTR" xfId="6007" xr:uid="{00000000-0005-0000-0000-0000DC110000}"/>
    <cellStyle name="—_report1198tables_SK MSTR_P&amp;L" xfId="6008" xr:uid="{00000000-0005-0000-0000-0000DD110000}"/>
    <cellStyle name="—_report1198tables_SK MSTR_P&amp;L_Honghua MSTR" xfId="6009" xr:uid="{00000000-0005-0000-0000-0000DE110000}"/>
    <cellStyle name="—_report1198tables_SK MSTR_PetroChina Master" xfId="6010" xr:uid="{00000000-0005-0000-0000-0000DF110000}"/>
    <cellStyle name="—_report1198tables_SK MSTR_PetroChina Master_WIP(20-F update)" xfId="6011" xr:uid="{00000000-0005-0000-0000-0000E0110000}"/>
    <cellStyle name="—_report1198tables_SK MSTR_PetroChina Master_WIP(20-F update)_Cashflow" xfId="6012" xr:uid="{00000000-0005-0000-0000-0000E1110000}"/>
    <cellStyle name="—_report1198tables_SK MSTR_PetroChina Master_WIP(20-F update)_Cashflow_Honghua MSTR" xfId="6013" xr:uid="{00000000-0005-0000-0000-0000E2110000}"/>
    <cellStyle name="—_report1198tables_SK MSTR_PetroChina Master_WIP(20-F update)_P&amp;L" xfId="6014" xr:uid="{00000000-0005-0000-0000-0000E3110000}"/>
    <cellStyle name="—_report1198tables_SK MSTR_PetroChina Master_WIP(20-F update)_P&amp;L_Honghua MSTR" xfId="6015" xr:uid="{00000000-0005-0000-0000-0000E4110000}"/>
    <cellStyle name="—_report1198tables_SK MSTR_PetroChina Master_WIP(20-F update)_Sinopec MSTR" xfId="6016" xr:uid="{00000000-0005-0000-0000-0000E5110000}"/>
    <cellStyle name="—_report1198tables_SK MSTR_PetroChina Master_WIP(20-F update)_Sinopec MSTR Wip" xfId="6017" xr:uid="{00000000-0005-0000-0000-0000E6110000}"/>
    <cellStyle name="—_report1198tables_SK MSTR_PetroChina Master_WIP(20-F update)_Sinopec MSTR_WIP_KK" xfId="6018" xr:uid="{00000000-0005-0000-0000-0000E7110000}"/>
    <cellStyle name="—_report1198tables_SK MSTR_Sinopec MSTR" xfId="6019" xr:uid="{00000000-0005-0000-0000-0000E8110000}"/>
    <cellStyle name="—_report1198tables_S-Oil Master" xfId="6020" xr:uid="{00000000-0005-0000-0000-0000E9110000}"/>
    <cellStyle name="—_report1198tables_S-Oil Master KK New" xfId="6021" xr:uid="{00000000-0005-0000-0000-0000EA110000}"/>
    <cellStyle name="—_report1198tables_S-Oil Master KK New_Beta" xfId="6022" xr:uid="{00000000-0005-0000-0000-0000EB110000}"/>
    <cellStyle name="—_report1198tables_S-Oil Master KK New_Cashflow" xfId="6023" xr:uid="{00000000-0005-0000-0000-0000EC110000}"/>
    <cellStyle name="—_report1198tables_S-Oil Master KK New_Cashflow_Honghua MSTR" xfId="6024" xr:uid="{00000000-0005-0000-0000-0000ED110000}"/>
    <cellStyle name="—_report1198tables_S-Oil Master KK New_P&amp;L" xfId="6025" xr:uid="{00000000-0005-0000-0000-0000EE110000}"/>
    <cellStyle name="—_report1198tables_S-Oil Master KK New_P&amp;L_Honghua MSTR" xfId="6026" xr:uid="{00000000-0005-0000-0000-0000EF110000}"/>
    <cellStyle name="—_report1198tables_S-Oil Master KK New_PetroChina Master" xfId="6027" xr:uid="{00000000-0005-0000-0000-0000F0110000}"/>
    <cellStyle name="—_report1198tables_S-Oil Master KK New_PetroChina Master_WIP(20-F update)" xfId="6028" xr:uid="{00000000-0005-0000-0000-0000F1110000}"/>
    <cellStyle name="—_report1198tables_S-Oil Master KK New_PetroChina Master_WIP(20-F update)_Cashflow" xfId="6029" xr:uid="{00000000-0005-0000-0000-0000F2110000}"/>
    <cellStyle name="—_report1198tables_S-Oil Master KK New_PetroChina Master_WIP(20-F update)_Cashflow_Honghua MSTR" xfId="6030" xr:uid="{00000000-0005-0000-0000-0000F3110000}"/>
    <cellStyle name="—_report1198tables_S-Oil Master KK New_PetroChina Master_WIP(20-F update)_P&amp;L" xfId="6031" xr:uid="{00000000-0005-0000-0000-0000F4110000}"/>
    <cellStyle name="—_report1198tables_S-Oil Master KK New_PetroChina Master_WIP(20-F update)_P&amp;L_Honghua MSTR" xfId="6032" xr:uid="{00000000-0005-0000-0000-0000F5110000}"/>
    <cellStyle name="—_report1198tables_S-Oil Master KK New_PetroChina Master_WIP(20-F update)_Sinopec MSTR" xfId="6033" xr:uid="{00000000-0005-0000-0000-0000F6110000}"/>
    <cellStyle name="—_report1198tables_S-Oil Master KK New_PetroChina Master_WIP(20-F update)_Sinopec MSTR Wip" xfId="6034" xr:uid="{00000000-0005-0000-0000-0000F7110000}"/>
    <cellStyle name="—_report1198tables_S-Oil Master KK New_PetroChina Master_WIP(20-F update)_Sinopec MSTR_WIP_KK" xfId="6035" xr:uid="{00000000-0005-0000-0000-0000F8110000}"/>
    <cellStyle name="—_report1198tables_S-Oil Master KK New_Sinopec MSTR" xfId="6036" xr:uid="{00000000-0005-0000-0000-0000F9110000}"/>
    <cellStyle name="—_report1198tables_S-Oil Master_Beta" xfId="6037" xr:uid="{00000000-0005-0000-0000-0000FA110000}"/>
    <cellStyle name="—_report1198tables_S-Oil Master_Cashflow" xfId="6038" xr:uid="{00000000-0005-0000-0000-0000FB110000}"/>
    <cellStyle name="—_report1198tables_S-Oil Master_Cashflow_Honghua MSTR" xfId="6039" xr:uid="{00000000-0005-0000-0000-0000FC110000}"/>
    <cellStyle name="—_report1198tables_S-Oil Master_P&amp;L" xfId="6040" xr:uid="{00000000-0005-0000-0000-0000FD110000}"/>
    <cellStyle name="—_report1198tables_S-Oil Master_P&amp;L_Honghua MSTR" xfId="6041" xr:uid="{00000000-0005-0000-0000-0000FE110000}"/>
    <cellStyle name="—_report1198tables_S-Oil Master_PetroChina Master" xfId="6042" xr:uid="{00000000-0005-0000-0000-0000FF110000}"/>
    <cellStyle name="—_report1198tables_S-Oil Master_PetroChina Master_WIP(20-F update)" xfId="6043" xr:uid="{00000000-0005-0000-0000-000000120000}"/>
    <cellStyle name="—_report1198tables_S-Oil Master_PetroChina Master_WIP(20-F update)_Cashflow" xfId="6044" xr:uid="{00000000-0005-0000-0000-000001120000}"/>
    <cellStyle name="—_report1198tables_S-Oil Master_PetroChina Master_WIP(20-F update)_Cashflow_Honghua MSTR" xfId="6045" xr:uid="{00000000-0005-0000-0000-000002120000}"/>
    <cellStyle name="—_report1198tables_S-Oil Master_PetroChina Master_WIP(20-F update)_P&amp;L" xfId="6046" xr:uid="{00000000-0005-0000-0000-000003120000}"/>
    <cellStyle name="—_report1198tables_S-Oil Master_PetroChina Master_WIP(20-F update)_P&amp;L_Honghua MSTR" xfId="6047" xr:uid="{00000000-0005-0000-0000-000004120000}"/>
    <cellStyle name="—_report1198tables_S-Oil Master_PetroChina Master_WIP(20-F update)_Sinopec MSTR" xfId="6048" xr:uid="{00000000-0005-0000-0000-000005120000}"/>
    <cellStyle name="—_report1198tables_S-Oil Master_PetroChina Master_WIP(20-F update)_Sinopec MSTR Wip" xfId="6049" xr:uid="{00000000-0005-0000-0000-000006120000}"/>
    <cellStyle name="—_report1198tables_S-Oil Master_PetroChina Master_WIP(20-F update)_Sinopec MSTR_WIP_KK" xfId="6050" xr:uid="{00000000-0005-0000-0000-000007120000}"/>
    <cellStyle name="—_report1198tables_S-Oil Master_Sinopec MSTR" xfId="6051" xr:uid="{00000000-0005-0000-0000-000008120000}"/>
    <cellStyle name="—_report1198tables_S-Oil-Quantum 260704" xfId="6052" xr:uid="{00000000-0005-0000-0000-000009120000}"/>
    <cellStyle name="—_report1198tables_S-Oil-Quantum 260704_Beta" xfId="6053" xr:uid="{00000000-0005-0000-0000-00000A120000}"/>
    <cellStyle name="—_report1198tables_S-Oil-Quantum 260704_Cashflow" xfId="6054" xr:uid="{00000000-0005-0000-0000-00000B120000}"/>
    <cellStyle name="—_report1198tables_S-Oil-Quantum 260704_Cashflow_Honghua MSTR" xfId="6055" xr:uid="{00000000-0005-0000-0000-00000C120000}"/>
    <cellStyle name="—_report1198tables_S-Oil-Quantum 260704_P&amp;L" xfId="6056" xr:uid="{00000000-0005-0000-0000-00000D120000}"/>
    <cellStyle name="—_report1198tables_S-Oil-Quantum 260704_P&amp;L_Honghua MSTR" xfId="6057" xr:uid="{00000000-0005-0000-0000-00000E120000}"/>
    <cellStyle name="—_report1198tables_S-Oil-Quantum 260704_PetroChina Master" xfId="6058" xr:uid="{00000000-0005-0000-0000-00000F120000}"/>
    <cellStyle name="—_report1198tables_S-Oil-Quantum 260704_PetroChina Master_WIP(20-F update)" xfId="6059" xr:uid="{00000000-0005-0000-0000-000010120000}"/>
    <cellStyle name="—_report1198tables_S-Oil-Quantum 260704_PetroChina Master_WIP(20-F update)_Cashflow" xfId="6060" xr:uid="{00000000-0005-0000-0000-000011120000}"/>
    <cellStyle name="—_report1198tables_S-Oil-Quantum 260704_PetroChina Master_WIP(20-F update)_Cashflow_Honghua MSTR" xfId="6061" xr:uid="{00000000-0005-0000-0000-000012120000}"/>
    <cellStyle name="—_report1198tables_S-Oil-Quantum 260704_PetroChina Master_WIP(20-F update)_P&amp;L" xfId="6062" xr:uid="{00000000-0005-0000-0000-000013120000}"/>
    <cellStyle name="—_report1198tables_S-Oil-Quantum 260704_PetroChina Master_WIP(20-F update)_P&amp;L_Honghua MSTR" xfId="6063" xr:uid="{00000000-0005-0000-0000-000014120000}"/>
    <cellStyle name="—_report1198tables_S-Oil-Quantum 260704_PetroChina Master_WIP(20-F update)_Sinopec MSTR" xfId="6064" xr:uid="{00000000-0005-0000-0000-000015120000}"/>
    <cellStyle name="—_report1198tables_S-Oil-Quantum 260704_PetroChina Master_WIP(20-F update)_Sinopec MSTR Wip" xfId="6065" xr:uid="{00000000-0005-0000-0000-000016120000}"/>
    <cellStyle name="—_report1198tables_S-Oil-Quantum 260704_PetroChina Master_WIP(20-F update)_Sinopec MSTR_WIP_KK" xfId="6066" xr:uid="{00000000-0005-0000-0000-000017120000}"/>
    <cellStyle name="—_report1198tables_S-Oil-Quantum 260704_Sinopec MSTR" xfId="6067" xr:uid="{00000000-0005-0000-0000-000018120000}"/>
    <cellStyle name="—_report1198tables_Strategy_data_update" xfId="4009" xr:uid="{00000000-0005-0000-0000-000019120000}"/>
    <cellStyle name="—_report1198tables_Strategy_data_update_new-Sub" xfId="4010" xr:uid="{00000000-0005-0000-0000-00001A120000}"/>
    <cellStyle name="—_report1198tables_Summary" xfId="6068" xr:uid="{00000000-0005-0000-0000-00001B120000}"/>
    <cellStyle name="—_report1198tables_Summary_PetroChina Master_WIP(20-F update)" xfId="6069" xr:uid="{00000000-0005-0000-0000-00001C120000}"/>
    <cellStyle name="—_report1198tables_Summary_PetroChina Master_WIP(20-F update)_Cashflow" xfId="6070" xr:uid="{00000000-0005-0000-0000-00001D120000}"/>
    <cellStyle name="—_report1198tables_Summary_PetroChina Master_WIP(20-F update)_Cashflow_Honghua MSTR" xfId="6071" xr:uid="{00000000-0005-0000-0000-00001E120000}"/>
    <cellStyle name="—_report1198tables_Summary_PetroChina Master_WIP(20-F update)_P&amp;L" xfId="6072" xr:uid="{00000000-0005-0000-0000-00001F120000}"/>
    <cellStyle name="—_report1198tables_Summary_PetroChina Master_WIP(20-F update)_P&amp;L_Honghua MSTR" xfId="6073" xr:uid="{00000000-0005-0000-0000-000020120000}"/>
    <cellStyle name="—_report1198tables_Summary_PetroChina Master_WIP(20-F update)_Sinopec MSTR" xfId="6074" xr:uid="{00000000-0005-0000-0000-000021120000}"/>
    <cellStyle name="—_report1198tables_Summary_PetroChina Master_WIP(20-F update)_Sinopec MSTR Wip" xfId="6075" xr:uid="{00000000-0005-0000-0000-000022120000}"/>
    <cellStyle name="—_report1198tables_Summary_PetroChina Master_WIP(20-F update)_Sinopec MSTR_WIP_KK" xfId="6076" xr:uid="{00000000-0005-0000-0000-000023120000}"/>
    <cellStyle name="—_report1198tables_tables_99" xfId="4011" xr:uid="{00000000-0005-0000-0000-000024120000}"/>
    <cellStyle name="—_report1198tables_tables_99 2" xfId="6077" xr:uid="{00000000-0005-0000-0000-000025120000}"/>
    <cellStyle name="—_report1198tables_tables_99_Beta" xfId="6078" xr:uid="{00000000-0005-0000-0000-000026120000}"/>
    <cellStyle name="—_report1198tables_tables_99_Book7" xfId="4012" xr:uid="{00000000-0005-0000-0000-000027120000}"/>
    <cellStyle name="—_report1198tables_tables_99_Book7_new-Sub" xfId="4013" xr:uid="{00000000-0005-0000-0000-000028120000}"/>
    <cellStyle name="—_report1198tables_tables_99_Cashflow" xfId="6079" xr:uid="{00000000-0005-0000-0000-000029120000}"/>
    <cellStyle name="—_report1198tables_tables_99_Cashflow_Honghua MSTR" xfId="6080" xr:uid="{00000000-0005-0000-0000-00002A120000}"/>
    <cellStyle name="—_report1198tables_tables_99_DoCoMo table 10July2000" xfId="4014" xr:uid="{00000000-0005-0000-0000-00002B120000}"/>
    <cellStyle name="—_report1198tables_tables_99_earnings" xfId="4015" xr:uid="{00000000-0005-0000-0000-00002C120000}"/>
    <cellStyle name="—_report1198tables_tables_99_earnings_new-Sub" xfId="4016" xr:uid="{00000000-0005-0000-0000-00002D120000}"/>
    <cellStyle name="—_report1198tables_tables_99_EM_FETone_new" xfId="4017" xr:uid="{00000000-0005-0000-0000-00002E120000}"/>
    <cellStyle name="—_report1198tables_tables_99_EM_FETone_new_new-Sub" xfId="4018" xr:uid="{00000000-0005-0000-0000-00002F120000}"/>
    <cellStyle name="—_report1198tables_tables_99_EM_TCC_new" xfId="4019" xr:uid="{00000000-0005-0000-0000-000030120000}"/>
    <cellStyle name="—_report1198tables_tables_99_EM_TCC_new_new-Sub" xfId="4020" xr:uid="{00000000-0005-0000-0000-000031120000}"/>
    <cellStyle name="—_report1198tables_tables_99_honam -Quantum 220704" xfId="6081" xr:uid="{00000000-0005-0000-0000-000032120000}"/>
    <cellStyle name="—_report1198tables_tables_99_Kelvin_SKT_dividend_Mar10_2003" xfId="6082" xr:uid="{00000000-0005-0000-0000-000033120000}"/>
    <cellStyle name="—_report1198tables_tables_99_Kelvin_SKT_dividend_Mar10_2003_Beta" xfId="6083" xr:uid="{00000000-0005-0000-0000-000034120000}"/>
    <cellStyle name="—_report1198tables_tables_99_Kelvin_SKT_dividend_Mar10_2003_Cashflow" xfId="6084" xr:uid="{00000000-0005-0000-0000-000035120000}"/>
    <cellStyle name="—_report1198tables_tables_99_Kelvin_SKT_dividend_Mar10_2003_Cashflow_Honghua MSTR" xfId="6085" xr:uid="{00000000-0005-0000-0000-000036120000}"/>
    <cellStyle name="—_report1198tables_tables_99_Kelvin_SKT_dividend_Mar10_2003_P&amp;L" xfId="6086" xr:uid="{00000000-0005-0000-0000-000037120000}"/>
    <cellStyle name="—_report1198tables_tables_99_Kelvin_SKT_dividend_Mar10_2003_P&amp;L_Honghua MSTR" xfId="6087" xr:uid="{00000000-0005-0000-0000-000038120000}"/>
    <cellStyle name="—_report1198tables_tables_99_Kelvin_SKT_dividend_Mar10_2003_PetroChina Master" xfId="6088" xr:uid="{00000000-0005-0000-0000-000039120000}"/>
    <cellStyle name="—_report1198tables_tables_99_Kelvin_SKT_dividend_Mar10_2003_PetroChina Master_WIP(20-F update)" xfId="6089" xr:uid="{00000000-0005-0000-0000-00003A120000}"/>
    <cellStyle name="—_report1198tables_tables_99_Kelvin_SKT_dividend_Mar10_2003_PetroChina Master_WIP(20-F update)_Cashflow" xfId="6090" xr:uid="{00000000-0005-0000-0000-00003B120000}"/>
    <cellStyle name="—_report1198tables_tables_99_Kelvin_SKT_dividend_Mar10_2003_PetroChina Master_WIP(20-F update)_Cashflow_Honghua MSTR" xfId="6091" xr:uid="{00000000-0005-0000-0000-00003C120000}"/>
    <cellStyle name="—_report1198tables_tables_99_Kelvin_SKT_dividend_Mar10_2003_PetroChina Master_WIP(20-F update)_P&amp;L" xfId="6092" xr:uid="{00000000-0005-0000-0000-00003D120000}"/>
    <cellStyle name="—_report1198tables_tables_99_Kelvin_SKT_dividend_Mar10_2003_PetroChina Master_WIP(20-F update)_P&amp;L_Honghua MSTR" xfId="6093" xr:uid="{00000000-0005-0000-0000-00003E120000}"/>
    <cellStyle name="—_report1198tables_tables_99_Kelvin_SKT_dividend_Mar10_2003_PetroChina Master_WIP(20-F update)_Sinopec MSTR" xfId="6094" xr:uid="{00000000-0005-0000-0000-00003F120000}"/>
    <cellStyle name="—_report1198tables_tables_99_Kelvin_SKT_dividend_Mar10_2003_PetroChina Master_WIP(20-F update)_Sinopec MSTR Wip" xfId="6095" xr:uid="{00000000-0005-0000-0000-000040120000}"/>
    <cellStyle name="—_report1198tables_tables_99_Kelvin_SKT_dividend_Mar10_2003_PetroChina Master_WIP(20-F update)_Sinopec MSTR_WIP_KK" xfId="6096" xr:uid="{00000000-0005-0000-0000-000041120000}"/>
    <cellStyle name="—_report1198tables_tables_99_Kelvin_SKT_dividend_Mar10_2003_Sinopec MSTR" xfId="6097" xr:uid="{00000000-0005-0000-0000-000042120000}"/>
    <cellStyle name="—_report1198tables_tables_99_new-Sub" xfId="4021" xr:uid="{00000000-0005-0000-0000-000043120000}"/>
    <cellStyle name="—_report1198tables_tables_99_operating stats comp" xfId="4022" xr:uid="{00000000-0005-0000-0000-000044120000}"/>
    <cellStyle name="—_report1198tables_tables_99_operating stats comp_new-Sub" xfId="4023" xr:uid="{00000000-0005-0000-0000-000045120000}"/>
    <cellStyle name="—_report1198tables_tables_99_P&amp;L" xfId="6098" xr:uid="{00000000-0005-0000-0000-000046120000}"/>
    <cellStyle name="—_report1198tables_tables_99_P&amp;L_Honghua MSTR" xfId="6099" xr:uid="{00000000-0005-0000-0000-000047120000}"/>
    <cellStyle name="—_report1198tables_tables_99_PetroChina Master" xfId="6100" xr:uid="{00000000-0005-0000-0000-000048120000}"/>
    <cellStyle name="—_report1198tables_tables_99_PetroChina Master_WIP(20-F update)" xfId="6101" xr:uid="{00000000-0005-0000-0000-000049120000}"/>
    <cellStyle name="—_report1198tables_tables_99_PetroChina Master_WIP(20-F update)_Cashflow" xfId="6102" xr:uid="{00000000-0005-0000-0000-00004A120000}"/>
    <cellStyle name="—_report1198tables_tables_99_PetroChina Master_WIP(20-F update)_Cashflow_Honghua MSTR" xfId="6103" xr:uid="{00000000-0005-0000-0000-00004B120000}"/>
    <cellStyle name="—_report1198tables_tables_99_PetroChina Master_WIP(20-F update)_P&amp;L" xfId="6104" xr:uid="{00000000-0005-0000-0000-00004C120000}"/>
    <cellStyle name="—_report1198tables_tables_99_PetroChina Master_WIP(20-F update)_P&amp;L_Honghua MSTR" xfId="6105" xr:uid="{00000000-0005-0000-0000-00004D120000}"/>
    <cellStyle name="—_report1198tables_tables_99_PetroChina Master_WIP(20-F update)_Sinopec MSTR" xfId="6106" xr:uid="{00000000-0005-0000-0000-00004E120000}"/>
    <cellStyle name="—_report1198tables_tables_99_PetroChina Master_WIP(20-F update)_Sinopec MSTR Wip" xfId="6107" xr:uid="{00000000-0005-0000-0000-00004F120000}"/>
    <cellStyle name="—_report1198tables_tables_99_PetroChina Master_WIP(20-F update)_Sinopec MSTR_WIP_KK" xfId="6108" xr:uid="{00000000-0005-0000-0000-000050120000}"/>
    <cellStyle name="—_report1198tables_tables_99_Sinopec MSTR" xfId="6109" xr:uid="{00000000-0005-0000-0000-000051120000}"/>
    <cellStyle name="—_report1198tables_tables_99_SK COrp - Quantum 290704" xfId="6110" xr:uid="{00000000-0005-0000-0000-000052120000}"/>
    <cellStyle name="—_report1198tables_tables_99_S-Oil-Quantum 260704" xfId="6111" xr:uid="{00000000-0005-0000-0000-000053120000}"/>
    <cellStyle name="—_report1198tables_tables_99_S-Oil-Quantum 260704_Beta" xfId="6112" xr:uid="{00000000-0005-0000-0000-000054120000}"/>
    <cellStyle name="—_report1198tables_tables_99_S-Oil-Quantum 260704_Cashflow" xfId="6113" xr:uid="{00000000-0005-0000-0000-000055120000}"/>
    <cellStyle name="—_report1198tables_tables_99_S-Oil-Quantum 260704_Cashflow_Honghua MSTR" xfId="6114" xr:uid="{00000000-0005-0000-0000-000056120000}"/>
    <cellStyle name="—_report1198tables_tables_99_S-Oil-Quantum 260704_P&amp;L" xfId="6115" xr:uid="{00000000-0005-0000-0000-000057120000}"/>
    <cellStyle name="—_report1198tables_tables_99_S-Oil-Quantum 260704_P&amp;L_Honghua MSTR" xfId="6116" xr:uid="{00000000-0005-0000-0000-000058120000}"/>
    <cellStyle name="—_report1198tables_tables_99_S-Oil-Quantum 260704_PetroChina Master" xfId="6117" xr:uid="{00000000-0005-0000-0000-000059120000}"/>
    <cellStyle name="—_report1198tables_tables_99_S-Oil-Quantum 260704_PetroChina Master_WIP(20-F update)" xfId="6118" xr:uid="{00000000-0005-0000-0000-00005A120000}"/>
    <cellStyle name="—_report1198tables_tables_99_S-Oil-Quantum 260704_PetroChina Master_WIP(20-F update)_Cashflow" xfId="6119" xr:uid="{00000000-0005-0000-0000-00005B120000}"/>
    <cellStyle name="—_report1198tables_tables_99_S-Oil-Quantum 260704_PetroChina Master_WIP(20-F update)_Cashflow_Honghua MSTR" xfId="6120" xr:uid="{00000000-0005-0000-0000-00005C120000}"/>
    <cellStyle name="—_report1198tables_tables_99_S-Oil-Quantum 260704_PetroChina Master_WIP(20-F update)_P&amp;L" xfId="6121" xr:uid="{00000000-0005-0000-0000-00005D120000}"/>
    <cellStyle name="—_report1198tables_tables_99_S-Oil-Quantum 260704_PetroChina Master_WIP(20-F update)_P&amp;L_Honghua MSTR" xfId="6122" xr:uid="{00000000-0005-0000-0000-00005E120000}"/>
    <cellStyle name="—_report1198tables_tables_99_S-Oil-Quantum 260704_PetroChina Master_WIP(20-F update)_Sinopec MSTR" xfId="6123" xr:uid="{00000000-0005-0000-0000-00005F120000}"/>
    <cellStyle name="—_report1198tables_tables_99_S-Oil-Quantum 260704_PetroChina Master_WIP(20-F update)_Sinopec MSTR Wip" xfId="6124" xr:uid="{00000000-0005-0000-0000-000060120000}"/>
    <cellStyle name="—_report1198tables_tables_99_S-Oil-Quantum 260704_PetroChina Master_WIP(20-F update)_Sinopec MSTR_WIP_KK" xfId="6125" xr:uid="{00000000-0005-0000-0000-000061120000}"/>
    <cellStyle name="—_report1198tables_tables_99_S-Oil-Quantum 260704_Sinopec MSTR" xfId="6126" xr:uid="{00000000-0005-0000-0000-000062120000}"/>
    <cellStyle name="—_report1198tables_tables_99_Strategy_data_update" xfId="4024" xr:uid="{00000000-0005-0000-0000-000063120000}"/>
    <cellStyle name="—_report1198tables_tables_99_Strategy_data_update_new-Sub" xfId="4025" xr:uid="{00000000-0005-0000-0000-000064120000}"/>
    <cellStyle name="—_Results_DCF ANALYSIS_HPI " xfId="5" xr:uid="{00000000-0005-0000-0000-000065120000}"/>
    <cellStyle name="—_Results_Rmb_HPI " xfId="6" xr:uid="{00000000-0005-0000-0000-000066120000}"/>
    <cellStyle name="—_Results_SH_HPI " xfId="7" xr:uid="{00000000-0005-0000-0000-000067120000}"/>
    <cellStyle name="_Revenue" xfId="6128" xr:uid="{00000000-0005-0000-0000-000068120000}"/>
    <cellStyle name="—_Revenue" xfId="4026" xr:uid="{00000000-0005-0000-0000-000069120000}"/>
    <cellStyle name="_Revenue  2004 to 2006 by product  draft Mar 27 2007" xfId="4027" xr:uid="{00000000-0005-0000-0000-00006A120000}"/>
    <cellStyle name="_Revenue Contract  2004 to 2006 avg # of contracts (2)" xfId="4028" xr:uid="{00000000-0005-0000-0000-00006B120000}"/>
    <cellStyle name="_Revenue LFT China  first draft 2007" xfId="4029" xr:uid="{00000000-0005-0000-0000-00006C120000}"/>
    <cellStyle name="—_Revenues" xfId="4030" xr:uid="{00000000-0005-0000-0000-00006D120000}"/>
    <cellStyle name="—_Revenues_new-Sub" xfId="4031" xr:uid="{00000000-0005-0000-0000-00006E120000}"/>
    <cellStyle name="—_RSA" xfId="4032" xr:uid="{00000000-0005-0000-0000-00006F120000}"/>
    <cellStyle name="—_RSA 2" xfId="6129" xr:uid="{00000000-0005-0000-0000-000070120000}"/>
    <cellStyle name="—_RSA_Beta" xfId="6130" xr:uid="{00000000-0005-0000-0000-000071120000}"/>
    <cellStyle name="—_RSA_Book7" xfId="4033" xr:uid="{00000000-0005-0000-0000-000072120000}"/>
    <cellStyle name="—_RSA_Book7_new-Sub" xfId="4034" xr:uid="{00000000-0005-0000-0000-000073120000}"/>
    <cellStyle name="—_RSA_Cashflow" xfId="6131" xr:uid="{00000000-0005-0000-0000-000074120000}"/>
    <cellStyle name="—_RSA_Cashflow_Honghua MSTR" xfId="6132" xr:uid="{00000000-0005-0000-0000-000075120000}"/>
    <cellStyle name="—_RSA_DoCoMo table 10July2000" xfId="4035" xr:uid="{00000000-0005-0000-0000-000076120000}"/>
    <cellStyle name="—_RSA_DoCoMo table 10July2000_new-Sub" xfId="4036" xr:uid="{00000000-0005-0000-0000-000077120000}"/>
    <cellStyle name="—_RSA_earnings" xfId="4037" xr:uid="{00000000-0005-0000-0000-000078120000}"/>
    <cellStyle name="—_RSA_earnings_new-Sub" xfId="4038" xr:uid="{00000000-0005-0000-0000-000079120000}"/>
    <cellStyle name="—_RSA_EM_CMHK" xfId="4039" xr:uid="{00000000-0005-0000-0000-00007A120000}"/>
    <cellStyle name="—_RSA_EM_CMHK_new-Sub" xfId="4040" xr:uid="{00000000-0005-0000-0000-00007B120000}"/>
    <cellStyle name="—_RSA_EM_FETone_new" xfId="4041" xr:uid="{00000000-0005-0000-0000-00007C120000}"/>
    <cellStyle name="—_RSA_EM_FETone_new_new-Sub" xfId="4042" xr:uid="{00000000-0005-0000-0000-00007D120000}"/>
    <cellStyle name="—_RSA_EM_TCC_new" xfId="4043" xr:uid="{00000000-0005-0000-0000-00007E120000}"/>
    <cellStyle name="—_RSA_EM_TCC_new_new-Sub" xfId="4044" xr:uid="{00000000-0005-0000-0000-00007F120000}"/>
    <cellStyle name="—_RSA_honam -Quantum 220704" xfId="6133" xr:uid="{00000000-0005-0000-0000-000080120000}"/>
    <cellStyle name="—_RSA_Kelvin_SKT_dividend_Mar10_2003" xfId="6134" xr:uid="{00000000-0005-0000-0000-000081120000}"/>
    <cellStyle name="—_RSA_Kelvin_SKT_dividend_Mar10_2003_Beta" xfId="6135" xr:uid="{00000000-0005-0000-0000-000082120000}"/>
    <cellStyle name="—_RSA_Kelvin_SKT_dividend_Mar10_2003_Cashflow" xfId="6136" xr:uid="{00000000-0005-0000-0000-000083120000}"/>
    <cellStyle name="—_RSA_Kelvin_SKT_dividend_Mar10_2003_Cashflow_Honghua MSTR" xfId="6137" xr:uid="{00000000-0005-0000-0000-000084120000}"/>
    <cellStyle name="—_RSA_Kelvin_SKT_dividend_Mar10_2003_P&amp;L" xfId="6138" xr:uid="{00000000-0005-0000-0000-000085120000}"/>
    <cellStyle name="—_RSA_Kelvin_SKT_dividend_Mar10_2003_P&amp;L_Honghua MSTR" xfId="6139" xr:uid="{00000000-0005-0000-0000-000086120000}"/>
    <cellStyle name="—_RSA_Kelvin_SKT_dividend_Mar10_2003_PetroChina Master" xfId="6140" xr:uid="{00000000-0005-0000-0000-000087120000}"/>
    <cellStyle name="—_RSA_Kelvin_SKT_dividend_Mar10_2003_PetroChina Master_WIP(20-F update)" xfId="6141" xr:uid="{00000000-0005-0000-0000-000088120000}"/>
    <cellStyle name="—_RSA_Kelvin_SKT_dividend_Mar10_2003_PetroChina Master_WIP(20-F update)_Cashflow" xfId="6142" xr:uid="{00000000-0005-0000-0000-000089120000}"/>
    <cellStyle name="—_RSA_Kelvin_SKT_dividend_Mar10_2003_PetroChina Master_WIP(20-F update)_Cashflow_Honghua MSTR" xfId="6143" xr:uid="{00000000-0005-0000-0000-00008A120000}"/>
    <cellStyle name="—_RSA_Kelvin_SKT_dividend_Mar10_2003_PetroChina Master_WIP(20-F update)_P&amp;L" xfId="6144" xr:uid="{00000000-0005-0000-0000-00008B120000}"/>
    <cellStyle name="—_RSA_Kelvin_SKT_dividend_Mar10_2003_PetroChina Master_WIP(20-F update)_P&amp;L_Honghua MSTR" xfId="6145" xr:uid="{00000000-0005-0000-0000-00008C120000}"/>
    <cellStyle name="—_RSA_Kelvin_SKT_dividend_Mar10_2003_PetroChina Master_WIP(20-F update)_Sinopec MSTR" xfId="6146" xr:uid="{00000000-0005-0000-0000-00008D120000}"/>
    <cellStyle name="—_RSA_Kelvin_SKT_dividend_Mar10_2003_PetroChina Master_WIP(20-F update)_Sinopec MSTR Wip" xfId="6147" xr:uid="{00000000-0005-0000-0000-00008E120000}"/>
    <cellStyle name="—_RSA_Kelvin_SKT_dividend_Mar10_2003_PetroChina Master_WIP(20-F update)_Sinopec MSTR_WIP_KK" xfId="6148" xr:uid="{00000000-0005-0000-0000-00008F120000}"/>
    <cellStyle name="—_RSA_Kelvin_SKT_dividend_Mar10_2003_Sinopec MSTR" xfId="6149" xr:uid="{00000000-0005-0000-0000-000090120000}"/>
    <cellStyle name="—_RSA_new-Sub" xfId="4045" xr:uid="{00000000-0005-0000-0000-000091120000}"/>
    <cellStyle name="—_RSA_operating stats comp" xfId="4046" xr:uid="{00000000-0005-0000-0000-000092120000}"/>
    <cellStyle name="—_RSA_operating stats comp_new-Sub" xfId="4047" xr:uid="{00000000-0005-0000-0000-000093120000}"/>
    <cellStyle name="—_RSA_P&amp;L" xfId="6150" xr:uid="{00000000-0005-0000-0000-000094120000}"/>
    <cellStyle name="—_RSA_P&amp;L_Honghua MSTR" xfId="6151" xr:uid="{00000000-0005-0000-0000-000095120000}"/>
    <cellStyle name="—_RSA_PetroChina Master" xfId="6152" xr:uid="{00000000-0005-0000-0000-000096120000}"/>
    <cellStyle name="—_RSA_PetroChina Master_WIP(20-F update)" xfId="6153" xr:uid="{00000000-0005-0000-0000-000097120000}"/>
    <cellStyle name="—_RSA_PetroChina Master_WIP(20-F update)_Cashflow" xfId="6154" xr:uid="{00000000-0005-0000-0000-000098120000}"/>
    <cellStyle name="—_RSA_PetroChina Master_WIP(20-F update)_Cashflow_Honghua MSTR" xfId="6155" xr:uid="{00000000-0005-0000-0000-000099120000}"/>
    <cellStyle name="—_RSA_PetroChina Master_WIP(20-F update)_P&amp;L" xfId="6156" xr:uid="{00000000-0005-0000-0000-00009A120000}"/>
    <cellStyle name="—_RSA_PetroChina Master_WIP(20-F update)_P&amp;L_Honghua MSTR" xfId="6157" xr:uid="{00000000-0005-0000-0000-00009B120000}"/>
    <cellStyle name="—_RSA_PetroChina Master_WIP(20-F update)_Sinopec MSTR" xfId="6158" xr:uid="{00000000-0005-0000-0000-00009C120000}"/>
    <cellStyle name="—_RSA_PetroChina Master_WIP(20-F update)_Sinopec MSTR Wip" xfId="6159" xr:uid="{00000000-0005-0000-0000-00009D120000}"/>
    <cellStyle name="—_RSA_PetroChina Master_WIP(20-F update)_Sinopec MSTR_WIP_KK" xfId="6160" xr:uid="{00000000-0005-0000-0000-00009E120000}"/>
    <cellStyle name="—_RSA_Sinopec MSTR" xfId="6161" xr:uid="{00000000-0005-0000-0000-00009F120000}"/>
    <cellStyle name="—_RSA_SK COrp - Quantum 290704" xfId="6162" xr:uid="{00000000-0005-0000-0000-0000A0120000}"/>
    <cellStyle name="—_RSA_S-Oil-Quantum 260704" xfId="6163" xr:uid="{00000000-0005-0000-0000-0000A1120000}"/>
    <cellStyle name="—_RSA_S-Oil-Quantum 260704_Beta" xfId="6164" xr:uid="{00000000-0005-0000-0000-0000A2120000}"/>
    <cellStyle name="—_RSA_S-Oil-Quantum 260704_Cashflow" xfId="6165" xr:uid="{00000000-0005-0000-0000-0000A3120000}"/>
    <cellStyle name="—_RSA_S-Oil-Quantum 260704_Cashflow_Honghua MSTR" xfId="6166" xr:uid="{00000000-0005-0000-0000-0000A4120000}"/>
    <cellStyle name="—_RSA_S-Oil-Quantum 260704_P&amp;L" xfId="6167" xr:uid="{00000000-0005-0000-0000-0000A5120000}"/>
    <cellStyle name="—_RSA_S-Oil-Quantum 260704_P&amp;L_Honghua MSTR" xfId="6168" xr:uid="{00000000-0005-0000-0000-0000A6120000}"/>
    <cellStyle name="—_RSA_S-Oil-Quantum 260704_PetroChina Master" xfId="6169" xr:uid="{00000000-0005-0000-0000-0000A7120000}"/>
    <cellStyle name="—_RSA_S-Oil-Quantum 260704_PetroChina Master_WIP(20-F update)" xfId="6170" xr:uid="{00000000-0005-0000-0000-0000A8120000}"/>
    <cellStyle name="—_RSA_S-Oil-Quantum 260704_PetroChina Master_WIP(20-F update)_Cashflow" xfId="6171" xr:uid="{00000000-0005-0000-0000-0000A9120000}"/>
    <cellStyle name="—_RSA_S-Oil-Quantum 260704_PetroChina Master_WIP(20-F update)_Cashflow_Honghua MSTR" xfId="6172" xr:uid="{00000000-0005-0000-0000-0000AA120000}"/>
    <cellStyle name="—_RSA_S-Oil-Quantum 260704_PetroChina Master_WIP(20-F update)_P&amp;L" xfId="6173" xr:uid="{00000000-0005-0000-0000-0000AB120000}"/>
    <cellStyle name="—_RSA_S-Oil-Quantum 260704_PetroChina Master_WIP(20-F update)_P&amp;L_Honghua MSTR" xfId="6174" xr:uid="{00000000-0005-0000-0000-0000AC120000}"/>
    <cellStyle name="—_RSA_S-Oil-Quantum 260704_PetroChina Master_WIP(20-F update)_Sinopec MSTR" xfId="6175" xr:uid="{00000000-0005-0000-0000-0000AD120000}"/>
    <cellStyle name="—_RSA_S-Oil-Quantum 260704_PetroChina Master_WIP(20-F update)_Sinopec MSTR Wip" xfId="6176" xr:uid="{00000000-0005-0000-0000-0000AE120000}"/>
    <cellStyle name="—_RSA_S-Oil-Quantum 260704_PetroChina Master_WIP(20-F update)_Sinopec MSTR_WIP_KK" xfId="6177" xr:uid="{00000000-0005-0000-0000-0000AF120000}"/>
    <cellStyle name="—_RSA_S-Oil-Quantum 260704_Sinopec MSTR" xfId="6178" xr:uid="{00000000-0005-0000-0000-0000B0120000}"/>
    <cellStyle name="—_RSA_Strategy_data_update" xfId="4048" xr:uid="{00000000-0005-0000-0000-0000B1120000}"/>
    <cellStyle name="—_RSA_Strategy_data_update_new-Sub" xfId="4049" xr:uid="{00000000-0005-0000-0000-0000B2120000}"/>
    <cellStyle name="_Sales" xfId="6179" xr:uid="{00000000-0005-0000-0000-0000B3120000}"/>
    <cellStyle name="_Semi-Annual Revenue Assumpt (2)" xfId="6180" xr:uid="{00000000-0005-0000-0000-0000B4120000}"/>
    <cellStyle name="_Shandong Gold W" xfId="6181" xr:uid="{00000000-0005-0000-0000-0000B5120000}"/>
    <cellStyle name="_Shandong Gold_P_100423" xfId="6182" xr:uid="{00000000-0005-0000-0000-0000B6120000}"/>
    <cellStyle name="_Shanxi Nanliang FS 03 04" xfId="6183" xr:uid="{00000000-0005-0000-0000-0000B7120000}"/>
    <cellStyle name="_Sheet1" xfId="6184" xr:uid="{00000000-0005-0000-0000-0000B8120000}"/>
    <cellStyle name="—_Sheet1" xfId="6185" xr:uid="{00000000-0005-0000-0000-0000B9120000}"/>
    <cellStyle name="_Sheet1_Honghua MSTR" xfId="6186" xr:uid="{00000000-0005-0000-0000-0000BA120000}"/>
    <cellStyle name="_Sheet2" xfId="6187" xr:uid="{00000000-0005-0000-0000-0000BB120000}"/>
    <cellStyle name="_Sheet2_Honghua MSTR" xfId="6188" xr:uid="{00000000-0005-0000-0000-0000BC120000}"/>
    <cellStyle name="_Shenzhen Zhonggin Lingnan_June 2009" xfId="6189" xr:uid="{00000000-0005-0000-0000-0000BD120000}"/>
    <cellStyle name="_Shenzhen Zhonggin Lingnan_May 2009_v3" xfId="6190" xr:uid="{00000000-0005-0000-0000-0000BE120000}"/>
    <cellStyle name="_Shenzhen Zhongjin Lingnan_June 2009" xfId="6191" xr:uid="{00000000-0005-0000-0000-0000BF120000}"/>
    <cellStyle name="_Shenzhen Zhongjin Lingnan_June 2009_WIP" xfId="6192" xr:uid="{00000000-0005-0000-0000-0000C0120000}"/>
    <cellStyle name="_Sichuan Hongda_July 2009" xfId="6193" xr:uid="{00000000-0005-0000-0000-0000C1120000}"/>
    <cellStyle name="_Sichuan Hongda_July 2009 (version 5)" xfId="6194" xr:uid="{00000000-0005-0000-0000-0000C2120000}"/>
    <cellStyle name="_Sichuan Hongda-11" xfId="6195" xr:uid="{00000000-0005-0000-0000-0000C3120000}"/>
    <cellStyle name="_Sinopec MSTR" xfId="6196" xr:uid="{00000000-0005-0000-0000-0000C4120000}"/>
    <cellStyle name="—_Sinopec MSTR" xfId="6197" xr:uid="{00000000-0005-0000-0000-0000C5120000}"/>
    <cellStyle name="—_SK COrp - Quantum 290704" xfId="6198" xr:uid="{00000000-0005-0000-0000-0000C6120000}"/>
    <cellStyle name="—_SK MSTR" xfId="6199" xr:uid="{00000000-0005-0000-0000-0000C7120000}"/>
    <cellStyle name="—_SK MSTR Wip" xfId="6200" xr:uid="{00000000-0005-0000-0000-0000C8120000}"/>
    <cellStyle name="—_SK MSTR_Beta" xfId="6201" xr:uid="{00000000-0005-0000-0000-0000C9120000}"/>
    <cellStyle name="—_SK MSTR_Cashflow" xfId="6202" xr:uid="{00000000-0005-0000-0000-0000CA120000}"/>
    <cellStyle name="—_SK MSTR_Cashflow_Honghua MSTR" xfId="6203" xr:uid="{00000000-0005-0000-0000-0000CB120000}"/>
    <cellStyle name="—_SK MSTR_P&amp;L" xfId="6204" xr:uid="{00000000-0005-0000-0000-0000CC120000}"/>
    <cellStyle name="—_SK MSTR_P&amp;L_Honghua MSTR" xfId="6205" xr:uid="{00000000-0005-0000-0000-0000CD120000}"/>
    <cellStyle name="—_SK MSTR_PetroChina Master" xfId="6206" xr:uid="{00000000-0005-0000-0000-0000CE120000}"/>
    <cellStyle name="—_SK MSTR_PetroChina Master_WIP(20-F update)" xfId="6207" xr:uid="{00000000-0005-0000-0000-0000CF120000}"/>
    <cellStyle name="—_SK MSTR_PetroChina Master_WIP(20-F update)_Cashflow" xfId="6208" xr:uid="{00000000-0005-0000-0000-0000D0120000}"/>
    <cellStyle name="—_SK MSTR_PetroChina Master_WIP(20-F update)_Cashflow_Honghua MSTR" xfId="6209" xr:uid="{00000000-0005-0000-0000-0000D1120000}"/>
    <cellStyle name="—_SK MSTR_PetroChina Master_WIP(20-F update)_P&amp;L" xfId="6210" xr:uid="{00000000-0005-0000-0000-0000D2120000}"/>
    <cellStyle name="—_SK MSTR_PetroChina Master_WIP(20-F update)_P&amp;L_Honghua MSTR" xfId="6211" xr:uid="{00000000-0005-0000-0000-0000D3120000}"/>
    <cellStyle name="—_SK MSTR_PetroChina Master_WIP(20-F update)_Sinopec MSTR" xfId="6212" xr:uid="{00000000-0005-0000-0000-0000D4120000}"/>
    <cellStyle name="—_SK MSTR_PetroChina Master_WIP(20-F update)_Sinopec MSTR Wip" xfId="6213" xr:uid="{00000000-0005-0000-0000-0000D5120000}"/>
    <cellStyle name="—_SK MSTR_PetroChina Master_WIP(20-F update)_Sinopec MSTR_WIP_KK" xfId="6214" xr:uid="{00000000-0005-0000-0000-0000D6120000}"/>
    <cellStyle name="—_SK MSTR_Sinopec MSTR" xfId="6215" xr:uid="{00000000-0005-0000-0000-0000D7120000}"/>
    <cellStyle name="—_S-Oil Master" xfId="6216" xr:uid="{00000000-0005-0000-0000-0000D8120000}"/>
    <cellStyle name="—_S-Oil Master KK New" xfId="6217" xr:uid="{00000000-0005-0000-0000-0000D9120000}"/>
    <cellStyle name="—_S-Oil Master KK New_Beta" xfId="6218" xr:uid="{00000000-0005-0000-0000-0000DA120000}"/>
    <cellStyle name="—_S-Oil Master KK New_Cashflow" xfId="6219" xr:uid="{00000000-0005-0000-0000-0000DB120000}"/>
    <cellStyle name="—_S-Oil Master KK New_Cashflow_Honghua MSTR" xfId="6220" xr:uid="{00000000-0005-0000-0000-0000DC120000}"/>
    <cellStyle name="—_S-Oil Master KK New_P&amp;L" xfId="6221" xr:uid="{00000000-0005-0000-0000-0000DD120000}"/>
    <cellStyle name="—_S-Oil Master KK New_P&amp;L_Honghua MSTR" xfId="6222" xr:uid="{00000000-0005-0000-0000-0000DE120000}"/>
    <cellStyle name="—_S-Oil Master KK New_PetroChina Master" xfId="6223" xr:uid="{00000000-0005-0000-0000-0000DF120000}"/>
    <cellStyle name="—_S-Oil Master KK New_PetroChina Master_WIP(20-F update)" xfId="6224" xr:uid="{00000000-0005-0000-0000-0000E0120000}"/>
    <cellStyle name="—_S-Oil Master KK New_PetroChina Master_WIP(20-F update)_Cashflow" xfId="6225" xr:uid="{00000000-0005-0000-0000-0000E1120000}"/>
    <cellStyle name="—_S-Oil Master KK New_PetroChina Master_WIP(20-F update)_Cashflow_Honghua MSTR" xfId="6226" xr:uid="{00000000-0005-0000-0000-0000E2120000}"/>
    <cellStyle name="—_S-Oil Master KK New_PetroChina Master_WIP(20-F update)_P&amp;L" xfId="6227" xr:uid="{00000000-0005-0000-0000-0000E3120000}"/>
    <cellStyle name="—_S-Oil Master KK New_PetroChina Master_WIP(20-F update)_P&amp;L_Honghua MSTR" xfId="6228" xr:uid="{00000000-0005-0000-0000-0000E4120000}"/>
    <cellStyle name="—_S-Oil Master KK New_PetroChina Master_WIP(20-F update)_Sinopec MSTR" xfId="6229" xr:uid="{00000000-0005-0000-0000-0000E5120000}"/>
    <cellStyle name="—_S-Oil Master KK New_PetroChina Master_WIP(20-F update)_Sinopec MSTR Wip" xfId="6230" xr:uid="{00000000-0005-0000-0000-0000E6120000}"/>
    <cellStyle name="—_S-Oil Master KK New_PetroChina Master_WIP(20-F update)_Sinopec MSTR_WIP_KK" xfId="6231" xr:uid="{00000000-0005-0000-0000-0000E7120000}"/>
    <cellStyle name="—_S-Oil Master KK New_Sinopec MSTR" xfId="6232" xr:uid="{00000000-0005-0000-0000-0000E8120000}"/>
    <cellStyle name="—_S-Oil Master_Beta" xfId="6233" xr:uid="{00000000-0005-0000-0000-0000E9120000}"/>
    <cellStyle name="—_S-Oil Master_Cashflow" xfId="6234" xr:uid="{00000000-0005-0000-0000-0000EA120000}"/>
    <cellStyle name="—_S-Oil Master_Cashflow_Honghua MSTR" xfId="6235" xr:uid="{00000000-0005-0000-0000-0000EB120000}"/>
    <cellStyle name="—_S-Oil Master_P&amp;L" xfId="6236" xr:uid="{00000000-0005-0000-0000-0000EC120000}"/>
    <cellStyle name="—_S-Oil Master_P&amp;L_Honghua MSTR" xfId="6237" xr:uid="{00000000-0005-0000-0000-0000ED120000}"/>
    <cellStyle name="—_S-Oil Master_PetroChina Master" xfId="6238" xr:uid="{00000000-0005-0000-0000-0000EE120000}"/>
    <cellStyle name="—_S-Oil Master_PetroChina Master_WIP(20-F update)" xfId="6239" xr:uid="{00000000-0005-0000-0000-0000EF120000}"/>
    <cellStyle name="—_S-Oil Master_PetroChina Master_WIP(20-F update)_Cashflow" xfId="6240" xr:uid="{00000000-0005-0000-0000-0000F0120000}"/>
    <cellStyle name="—_S-Oil Master_PetroChina Master_WIP(20-F update)_Cashflow_Honghua MSTR" xfId="6241" xr:uid="{00000000-0005-0000-0000-0000F1120000}"/>
    <cellStyle name="—_S-Oil Master_PetroChina Master_WIP(20-F update)_P&amp;L" xfId="6242" xr:uid="{00000000-0005-0000-0000-0000F2120000}"/>
    <cellStyle name="—_S-Oil Master_PetroChina Master_WIP(20-F update)_P&amp;L_Honghua MSTR" xfId="6243" xr:uid="{00000000-0005-0000-0000-0000F3120000}"/>
    <cellStyle name="—_S-Oil Master_PetroChina Master_WIP(20-F update)_Sinopec MSTR" xfId="6244" xr:uid="{00000000-0005-0000-0000-0000F4120000}"/>
    <cellStyle name="—_S-Oil Master_PetroChina Master_WIP(20-F update)_Sinopec MSTR Wip" xfId="6245" xr:uid="{00000000-0005-0000-0000-0000F5120000}"/>
    <cellStyle name="—_S-Oil Master_PetroChina Master_WIP(20-F update)_Sinopec MSTR_WIP_KK" xfId="6246" xr:uid="{00000000-0005-0000-0000-0000F6120000}"/>
    <cellStyle name="—_S-Oil Master_Sinopec MSTR" xfId="6247" xr:uid="{00000000-0005-0000-0000-0000F7120000}"/>
    <cellStyle name="—_S-Oil-Quantum 260704" xfId="6248" xr:uid="{00000000-0005-0000-0000-0000F8120000}"/>
    <cellStyle name="—_S-Oil-Quantum 260704_Beta" xfId="6249" xr:uid="{00000000-0005-0000-0000-0000F9120000}"/>
    <cellStyle name="—_S-Oil-Quantum 260704_Cashflow" xfId="6250" xr:uid="{00000000-0005-0000-0000-0000FA120000}"/>
    <cellStyle name="—_S-Oil-Quantum 260704_Cashflow_Honghua MSTR" xfId="6251" xr:uid="{00000000-0005-0000-0000-0000FB120000}"/>
    <cellStyle name="—_S-Oil-Quantum 260704_P&amp;L" xfId="6252" xr:uid="{00000000-0005-0000-0000-0000FC120000}"/>
    <cellStyle name="—_S-Oil-Quantum 260704_P&amp;L_Honghua MSTR" xfId="6253" xr:uid="{00000000-0005-0000-0000-0000FD120000}"/>
    <cellStyle name="—_S-Oil-Quantum 260704_PetroChina Master" xfId="6254" xr:uid="{00000000-0005-0000-0000-0000FE120000}"/>
    <cellStyle name="—_S-Oil-Quantum 260704_PetroChina Master_WIP(20-F update)" xfId="6255" xr:uid="{00000000-0005-0000-0000-0000FF120000}"/>
    <cellStyle name="—_S-Oil-Quantum 260704_PetroChina Master_WIP(20-F update)_Cashflow" xfId="6256" xr:uid="{00000000-0005-0000-0000-000000130000}"/>
    <cellStyle name="—_S-Oil-Quantum 260704_PetroChina Master_WIP(20-F update)_Cashflow_Honghua MSTR" xfId="6257" xr:uid="{00000000-0005-0000-0000-000001130000}"/>
    <cellStyle name="—_S-Oil-Quantum 260704_PetroChina Master_WIP(20-F update)_P&amp;L" xfId="6258" xr:uid="{00000000-0005-0000-0000-000002130000}"/>
    <cellStyle name="—_S-Oil-Quantum 260704_PetroChina Master_WIP(20-F update)_P&amp;L_Honghua MSTR" xfId="6259" xr:uid="{00000000-0005-0000-0000-000003130000}"/>
    <cellStyle name="—_S-Oil-Quantum 260704_PetroChina Master_WIP(20-F update)_Sinopec MSTR" xfId="6260" xr:uid="{00000000-0005-0000-0000-000004130000}"/>
    <cellStyle name="—_S-Oil-Quantum 260704_PetroChina Master_WIP(20-F update)_Sinopec MSTR Wip" xfId="6261" xr:uid="{00000000-0005-0000-0000-000005130000}"/>
    <cellStyle name="—_S-Oil-Quantum 260704_PetroChina Master_WIP(20-F update)_Sinopec MSTR_WIP_KK" xfId="6262" xr:uid="{00000000-0005-0000-0000-000006130000}"/>
    <cellStyle name="—_S-Oil-Quantum 260704_Sinopec MSTR" xfId="6263" xr:uid="{00000000-0005-0000-0000-000007130000}"/>
    <cellStyle name="—_S-Oil-Quantum 260704_Sinopec MSTR Wip" xfId="6264" xr:uid="{00000000-0005-0000-0000-000008130000}"/>
    <cellStyle name="—_S-Oil-Quantum 260704_Sinopec MSTR_WIP_KK" xfId="6265" xr:uid="{00000000-0005-0000-0000-000009130000}"/>
    <cellStyle name="—_S-Oil-Quantum 260704_Sinopec MSTR-WIP_20F update" xfId="6266" xr:uid="{00000000-0005-0000-0000-00000A130000}"/>
    <cellStyle name="—_ST 1H03 results handout" xfId="4050" xr:uid="{00000000-0005-0000-0000-00000B130000}"/>
    <cellStyle name="—_ST 1H03 results handout_new-Sub" xfId="4051" xr:uid="{00000000-0005-0000-0000-00000C130000}"/>
    <cellStyle name="_Stock plan report  Q2 2007  V1 Aug  23  2007" xfId="4052" xr:uid="{00000000-0005-0000-0000-00000D130000}"/>
    <cellStyle name="_Stock plan report  Q4 2006   April  11 07 for stock comp calculation" xfId="4053" xr:uid="{00000000-0005-0000-0000-00000E130000}"/>
    <cellStyle name="_strategic volume_working" xfId="8" xr:uid="{00000000-0005-0000-0000-00000F130000}"/>
    <cellStyle name="—_Strategy_data_update" xfId="4054" xr:uid="{00000000-0005-0000-0000-000010130000}"/>
    <cellStyle name="—_Strategy_data_update_new-Sub" xfId="4055" xr:uid="{00000000-0005-0000-0000-000011130000}"/>
    <cellStyle name="_Sub" xfId="4056" xr:uid="{00000000-0005-0000-0000-000012130000}"/>
    <cellStyle name="_SubHeading" xfId="4057" xr:uid="{00000000-0005-0000-0000-000013130000}"/>
    <cellStyle name="_SubHeading_Ability to Pay Analysis" xfId="7535" xr:uid="{00000000-0005-0000-0000-000014130000}"/>
    <cellStyle name="_SubHeading_BankUnited Model" xfId="7536" xr:uid="{00000000-0005-0000-0000-000015130000}"/>
    <cellStyle name="_SubHeading_fmbi counties" xfId="7537" xr:uid="{00000000-0005-0000-0000-000016130000}"/>
    <cellStyle name="_SubHeading_FMBI MBHI Graphs" xfId="7538" xr:uid="{00000000-0005-0000-0000-000017130000}"/>
    <cellStyle name="_SubHeading_FMBI MBHI Graphs 07102001" xfId="7539" xr:uid="{00000000-0005-0000-0000-000018130000}"/>
    <cellStyle name="_SubHeading_FMBI MBHI Graphs_7601" xfId="7540" xr:uid="{00000000-0005-0000-0000-000019130000}"/>
    <cellStyle name="_SubHeading_prestemp" xfId="7541" xr:uid="{00000000-0005-0000-0000-00001A130000}"/>
    <cellStyle name="_SubHeading_prestemp_Insurance Brokerage CSC_1Q2002" xfId="7542" xr:uid="{00000000-0005-0000-0000-00001B130000}"/>
    <cellStyle name="_SubHeading_prestemp_Overview3" xfId="7543" xr:uid="{00000000-0005-0000-0000-00001C130000}"/>
    <cellStyle name="_SubHeading_prestemp_Updated Valuation Changes" xfId="7544" xr:uid="{00000000-0005-0000-0000-00001D130000}"/>
    <cellStyle name="_SubHeading_xratio - historical mkt val" xfId="7545" xr:uid="{00000000-0005-0000-0000-00001E130000}"/>
    <cellStyle name="_Table" xfId="4058" xr:uid="{00000000-0005-0000-0000-00001F130000}"/>
    <cellStyle name="_Table 2" xfId="7798" xr:uid="{00000000-0005-0000-0000-000020130000}"/>
    <cellStyle name="_Table_Ability to Pay Analysis" xfId="7546" xr:uid="{00000000-0005-0000-0000-000021130000}"/>
    <cellStyle name="_Table_Ability to Pay Analysis 2" xfId="7799" xr:uid="{00000000-0005-0000-0000-000022130000}"/>
    <cellStyle name="_Table_BankUnited Model" xfId="7547" xr:uid="{00000000-0005-0000-0000-000023130000}"/>
    <cellStyle name="_Table_BankUnited Model 2" xfId="7818" xr:uid="{00000000-0005-0000-0000-000024130000}"/>
    <cellStyle name="_Table_BankUnited Model 3" xfId="7819" xr:uid="{00000000-0005-0000-0000-000025130000}"/>
    <cellStyle name="_Table_BankUnited Model 4" xfId="7820" xr:uid="{00000000-0005-0000-0000-000026130000}"/>
    <cellStyle name="_Table_fmbi counties" xfId="7548" xr:uid="{00000000-0005-0000-0000-000027130000}"/>
    <cellStyle name="_Table_fmbi counties 2" xfId="7800" xr:uid="{00000000-0005-0000-0000-000028130000}"/>
    <cellStyle name="_Table_xratio - historical mkt val" xfId="7549" xr:uid="{00000000-0005-0000-0000-000029130000}"/>
    <cellStyle name="_Table_xratio - historical mkt val 2" xfId="7801" xr:uid="{00000000-0005-0000-0000-00002A130000}"/>
    <cellStyle name="_TableHead" xfId="4059" xr:uid="{00000000-0005-0000-0000-00002B130000}"/>
    <cellStyle name="_TableRowHead" xfId="4060" xr:uid="{00000000-0005-0000-0000-00002C130000}"/>
    <cellStyle name="_TableSuperHead" xfId="4061" xr:uid="{00000000-0005-0000-0000-00002D130000}"/>
    <cellStyle name="_TableSuperHead_Ability to Pay Analysis" xfId="7550" xr:uid="{00000000-0005-0000-0000-00002E130000}"/>
    <cellStyle name="_TableSuperHead_BankUnited Model" xfId="7551" xr:uid="{00000000-0005-0000-0000-00002F130000}"/>
    <cellStyle name="_TableSuperHead_fmbi counties" xfId="7552" xr:uid="{00000000-0005-0000-0000-000030130000}"/>
    <cellStyle name="_TableSuperHead_xratio - historical mkt val" xfId="7553" xr:uid="{00000000-0005-0000-0000-000031130000}"/>
    <cellStyle name="—_Telecom quarterly_final" xfId="6267" xr:uid="{00000000-0005-0000-0000-000032130000}"/>
    <cellStyle name="—_Telecom quarterly_final_PetroChina Master_WIP(20-F update)" xfId="6268" xr:uid="{00000000-0005-0000-0000-000033130000}"/>
    <cellStyle name="—_Telecom quarterly_final_Sinopec MSTR" xfId="6269" xr:uid="{00000000-0005-0000-0000-000034130000}"/>
    <cellStyle name="—_Telecom quarterly_final_Sinopec MSTR Wip" xfId="6270" xr:uid="{00000000-0005-0000-0000-000035130000}"/>
    <cellStyle name="—_Telecom quarterly_final_Sinopec MSTR_WIP_KK" xfId="6271" xr:uid="{00000000-0005-0000-0000-000036130000}"/>
    <cellStyle name="—_Telecom quarterly_final_Sinopec MSTR-WIP_20F update" xfId="6272" xr:uid="{00000000-0005-0000-0000-000037130000}"/>
    <cellStyle name="—_Thai Gas Prices NAV" xfId="6273" xr:uid="{00000000-0005-0000-0000-000038130000}"/>
    <cellStyle name="—_Thai Gas Prices NAV_PetroChina Master_WIP(20-F update)" xfId="6274" xr:uid="{00000000-0005-0000-0000-000039130000}"/>
    <cellStyle name="—_Thai Gas Prices NAV_PetroChina Master_WIP(20-F update)_Cashflow" xfId="6275" xr:uid="{00000000-0005-0000-0000-00003A130000}"/>
    <cellStyle name="—_Thai Gas Prices NAV_PetroChina Master_WIP(20-F update)_P&amp;L" xfId="6276" xr:uid="{00000000-0005-0000-0000-00003B130000}"/>
    <cellStyle name="—_Thai Gas Prices NAV_Sinopec MSTR" xfId="6277" xr:uid="{00000000-0005-0000-0000-00003C130000}"/>
    <cellStyle name="—_Thai Gas Prices NAV_Sinopec MSTR Wip" xfId="6278" xr:uid="{00000000-0005-0000-0000-00003D130000}"/>
    <cellStyle name="—_Thai Gas Prices NAV_Sinopec MSTR_WIP_KK" xfId="6279" xr:uid="{00000000-0005-0000-0000-00003E130000}"/>
    <cellStyle name="—_Thai Gas Prices NAV_Sinopec MSTR-WIP_20F update" xfId="6280" xr:uid="{00000000-0005-0000-0000-00003F130000}"/>
    <cellStyle name="_TSMC cons Model-WIP" xfId="11212" xr:uid="{00000000-0005-0000-0000-000040130000}"/>
    <cellStyle name="_Valuation" xfId="6281" xr:uid="{00000000-0005-0000-0000-000041130000}"/>
    <cellStyle name="_Western by country" xfId="11213" xr:uid="{00000000-0005-0000-0000-000042130000}"/>
    <cellStyle name="_Western Mining_May 2009_v2" xfId="6282" xr:uid="{00000000-0005-0000-0000-000043130000}"/>
    <cellStyle name="_Western Mining_May 2009_v9" xfId="6283" xr:uid="{00000000-0005-0000-0000-000044130000}"/>
    <cellStyle name="_Yunnan Chihong Zinc &amp; Germanium_April 2009" xfId="6284" xr:uid="{00000000-0005-0000-0000-000045130000}"/>
    <cellStyle name="_Yunnan Chihong Zinc &amp; Germanium_June 2009_WIP" xfId="6285" xr:uid="{00000000-0005-0000-0000-000046130000}"/>
    <cellStyle name="_Yunnan Chihong Zinc &amp; Germanium_May 2009_v8" xfId="6286" xr:uid="{00000000-0005-0000-0000-000047130000}"/>
    <cellStyle name="_Zhongjin Gold_W" xfId="6287" xr:uid="{00000000-0005-0000-0000-000048130000}"/>
    <cellStyle name="_ZTE wip raw data" xfId="4062" xr:uid="{00000000-0005-0000-0000-000049130000}"/>
    <cellStyle name="_ZTE_072508" xfId="11214" xr:uid="{00000000-0005-0000-0000-00004A130000}"/>
    <cellStyle name="_中国神华model070720" xfId="6295" xr:uid="{00000000-0005-0000-0000-00004B130000}"/>
    <cellStyle name="_中国神华业A+H股模型－new" xfId="6296" xr:uid="{00000000-0005-0000-0000-00004C130000}"/>
    <cellStyle name="_中国神华业绩预测模板RAWS20071009" xfId="6297" xr:uid="{00000000-0005-0000-0000-00004D130000}"/>
    <cellStyle name="_中煤能源A+H股model－working" xfId="6298" xr:uid="{00000000-0005-0000-0000-00004E130000}"/>
    <cellStyle name="_兖州煤业AH业绩预测RAWS－working" xfId="6293" xr:uid="{00000000-0005-0000-0000-00004F130000}"/>
    <cellStyle name="_兖州煤业业绩预测模板20070411" xfId="6294" xr:uid="{00000000-0005-0000-0000-000050130000}"/>
    <cellStyle name="_开滦股份业绩预测模板RAWS20071218" xfId="6291" xr:uid="{00000000-0005-0000-0000-000051130000}"/>
    <cellStyle name="_狭义乘用车" xfId="9" xr:uid="{00000000-0005-0000-0000-000052130000}"/>
    <cellStyle name="_西藏矿业-working" xfId="6292" xr:uid="{00000000-0005-0000-0000-000053130000}"/>
    <cellStyle name="_软件产品－ip" xfId="4063" xr:uid="{00000000-0005-0000-0000-000054130000}"/>
    <cellStyle name="_辰州矿业002155-模型" xfId="6288" xr:uid="{00000000-0005-0000-0000-000055130000}"/>
    <cellStyle name="_辰州矿业model-working0711" xfId="6289" xr:uid="{00000000-0005-0000-0000-000056130000}"/>
    <cellStyle name="_辰州矿业-假设" xfId="6290" xr:uid="{00000000-0005-0000-0000-000057130000}"/>
    <cellStyle name="_销售收入预测人力需求成本费用_070902 to derek draft 1" xfId="4064" xr:uid="{00000000-0005-0000-0000-000058130000}"/>
    <cellStyle name="{Comma [0]}" xfId="4065" xr:uid="{00000000-0005-0000-0000-000059130000}"/>
    <cellStyle name="{Comma}" xfId="4066" xr:uid="{00000000-0005-0000-0000-00005A130000}"/>
    <cellStyle name="{Date}" xfId="4067" xr:uid="{00000000-0005-0000-0000-00005B130000}"/>
    <cellStyle name="{Month}" xfId="4068" xr:uid="{00000000-0005-0000-0000-00005C130000}"/>
    <cellStyle name="{Percent}" xfId="4069" xr:uid="{00000000-0005-0000-0000-00005D130000}"/>
    <cellStyle name="{Thousand [0]}" xfId="4070" xr:uid="{00000000-0005-0000-0000-00005E130000}"/>
    <cellStyle name="{Thousand}" xfId="4071" xr:uid="{00000000-0005-0000-0000-00005F130000}"/>
    <cellStyle name="{Z'0000(1 dec)}" xfId="4072" xr:uid="{00000000-0005-0000-0000-000060130000}"/>
    <cellStyle name="{Z'0000(4 dec)}" xfId="4073" xr:uid="{00000000-0005-0000-0000-000061130000}"/>
    <cellStyle name="£ BP" xfId="4074" xr:uid="{00000000-0005-0000-0000-000062130000}"/>
    <cellStyle name="¥ JY" xfId="4075" xr:uid="{00000000-0005-0000-0000-000063130000}"/>
    <cellStyle name="§Q\?1@" xfId="10" xr:uid="{00000000-0005-0000-0000-000064130000}"/>
    <cellStyle name="§Q\òm1@À" xfId="11215" xr:uid="{00000000-0005-0000-0000-000065130000}"/>
    <cellStyle name="¶W³sµ²" xfId="6301" xr:uid="{00000000-0005-0000-0000-000066130000}"/>
    <cellStyle name="•W€_iij_base_bs" xfId="11216" xr:uid="{00000000-0005-0000-0000-000067130000}"/>
    <cellStyle name="0%" xfId="4076" xr:uid="{00000000-0005-0000-0000-000068130000}"/>
    <cellStyle name="0% 2" xfId="6302" xr:uid="{00000000-0005-0000-0000-000069130000}"/>
    <cellStyle name="0% 3" xfId="7257" xr:uid="{00000000-0005-0000-0000-00006A130000}"/>
    <cellStyle name="0,0_x000a__x000a_NA_x000a__x000a_" xfId="4077" xr:uid="{00000000-0005-0000-0000-00006B130000}"/>
    <cellStyle name="0,0_x000a__x000a_NA_x000a__x000a_ 2" xfId="6303" xr:uid="{00000000-0005-0000-0000-00006C130000}"/>
    <cellStyle name="0,0_x000d__x000a_NA_x000d__x000a_" xfId="4185" xr:uid="{00000000-0005-0000-0000-00006D130000}"/>
    <cellStyle name="0,0_x000d__x000a_NA_x000d__x000a_ 2" xfId="6304" xr:uid="{00000000-0005-0000-0000-00006E130000}"/>
    <cellStyle name="0.0%" xfId="4078" xr:uid="{00000000-0005-0000-0000-00006F130000}"/>
    <cellStyle name="0.0% 2" xfId="6305" xr:uid="{00000000-0005-0000-0000-000070130000}"/>
    <cellStyle name="0.0% 3" xfId="7258" xr:uid="{00000000-0005-0000-0000-000071130000}"/>
    <cellStyle name="0.00%" xfId="4079" xr:uid="{00000000-0005-0000-0000-000072130000}"/>
    <cellStyle name="0.00% 2" xfId="6306" xr:uid="{00000000-0005-0000-0000-000073130000}"/>
    <cellStyle name="0.00% 3" xfId="7259" xr:uid="{00000000-0005-0000-0000-000074130000}"/>
    <cellStyle name="1 Decimal" xfId="4080" xr:uid="{00000000-0005-0000-0000-000075130000}"/>
    <cellStyle name="1 Decimal 2" xfId="6307" xr:uid="{00000000-0005-0000-0000-000076130000}"/>
    <cellStyle name="1 decimal 3" xfId="7260" xr:uid="{00000000-0005-0000-0000-000077130000}"/>
    <cellStyle name="1,000" xfId="4081" xr:uid="{00000000-0005-0000-0000-000078130000}"/>
    <cellStyle name="1,000x" xfId="4082" xr:uid="{00000000-0005-0000-0000-000079130000}"/>
    <cellStyle name="1,000x 2" xfId="6308" xr:uid="{00000000-0005-0000-0000-00007A130000}"/>
    <cellStyle name="1,comma" xfId="7821" xr:uid="{00000000-0005-0000-0000-00007B130000}"/>
    <cellStyle name="2 decimal" xfId="7261" xr:uid="{00000000-0005-0000-0000-00007C130000}"/>
    <cellStyle name="2 Decimals" xfId="4083" xr:uid="{00000000-0005-0000-0000-00007D130000}"/>
    <cellStyle name="20% - Accent1" xfId="11291" builtinId="30" customBuiltin="1"/>
    <cellStyle name="20% - Accent1 2" xfId="11" xr:uid="{00000000-0005-0000-0000-00007F130000}"/>
    <cellStyle name="20% - Accent1 3" xfId="6309" xr:uid="{00000000-0005-0000-0000-000080130000}"/>
    <cellStyle name="20% - Accent1 4" xfId="7822" xr:uid="{00000000-0005-0000-0000-000081130000}"/>
    <cellStyle name="20% - Accent2" xfId="11295" builtinId="34" customBuiltin="1"/>
    <cellStyle name="20% - Accent2 2" xfId="12" xr:uid="{00000000-0005-0000-0000-000083130000}"/>
    <cellStyle name="20% - Accent2 3" xfId="6310" xr:uid="{00000000-0005-0000-0000-000084130000}"/>
    <cellStyle name="20% - Accent2 4" xfId="7823" xr:uid="{00000000-0005-0000-0000-000085130000}"/>
    <cellStyle name="20% - Accent3" xfId="11299" builtinId="38" customBuiltin="1"/>
    <cellStyle name="20% - Accent3 2" xfId="13" xr:uid="{00000000-0005-0000-0000-000087130000}"/>
    <cellStyle name="20% - Accent3 3" xfId="6311" xr:uid="{00000000-0005-0000-0000-000088130000}"/>
    <cellStyle name="20% - Accent3 4" xfId="7824" xr:uid="{00000000-0005-0000-0000-000089130000}"/>
    <cellStyle name="20% - Accent4" xfId="11303" builtinId="42" customBuiltin="1"/>
    <cellStyle name="20% - Accent4 2" xfId="14" xr:uid="{00000000-0005-0000-0000-00008B130000}"/>
    <cellStyle name="20% - Accent4 3" xfId="6312" xr:uid="{00000000-0005-0000-0000-00008C130000}"/>
    <cellStyle name="20% - Accent4 4" xfId="7825" xr:uid="{00000000-0005-0000-0000-00008D130000}"/>
    <cellStyle name="20% - Accent5" xfId="11307" builtinId="46" customBuiltin="1"/>
    <cellStyle name="20% - Accent5 2" xfId="15" xr:uid="{00000000-0005-0000-0000-00008F130000}"/>
    <cellStyle name="20% - Accent5 3" xfId="6313" xr:uid="{00000000-0005-0000-0000-000090130000}"/>
    <cellStyle name="20% - Accent5 4" xfId="7826" xr:uid="{00000000-0005-0000-0000-000091130000}"/>
    <cellStyle name="20% - Accent6" xfId="11311" builtinId="50" customBuiltin="1"/>
    <cellStyle name="20% - Accent6 2" xfId="16" xr:uid="{00000000-0005-0000-0000-000093130000}"/>
    <cellStyle name="20% - Accent6 3" xfId="6314" xr:uid="{00000000-0005-0000-0000-000094130000}"/>
    <cellStyle name="20% - Accent6 4" xfId="7827" xr:uid="{00000000-0005-0000-0000-000095130000}"/>
    <cellStyle name="20% - 强调文字颜色 1" xfId="17" xr:uid="{00000000-0005-0000-0000-000096130000}"/>
    <cellStyle name="20% - 强调文字颜色 2" xfId="18" xr:uid="{00000000-0005-0000-0000-000097130000}"/>
    <cellStyle name="20% - 强调文字颜色 3" xfId="19" xr:uid="{00000000-0005-0000-0000-000098130000}"/>
    <cellStyle name="20% - 强调文字颜色 4" xfId="20" xr:uid="{00000000-0005-0000-0000-000099130000}"/>
    <cellStyle name="20% - 强调文字颜色 5" xfId="21" xr:uid="{00000000-0005-0000-0000-00009A130000}"/>
    <cellStyle name="20% - 强调文字颜色 6" xfId="22" xr:uid="{00000000-0005-0000-0000-00009B130000}"/>
    <cellStyle name="3 Decimals" xfId="4084" xr:uid="{00000000-0005-0000-0000-00009C130000}"/>
    <cellStyle name="3 Decimals 2" xfId="6315" xr:uid="{00000000-0005-0000-0000-00009D130000}"/>
    <cellStyle name="3?1?_REF" xfId="4085" xr:uid="{00000000-0005-0000-0000-00009E130000}"/>
    <cellStyle name="3￡1?_REFF" xfId="4086" xr:uid="{00000000-0005-0000-0000-00009F130000}"/>
    <cellStyle name="33" xfId="6316" xr:uid="{00000000-0005-0000-0000-0000A0130000}"/>
    <cellStyle name="³f¹ô [0]_0999Comm Group consol" xfId="6317" xr:uid="{00000000-0005-0000-0000-0000A1130000}"/>
    <cellStyle name="³f¹ô_0999Comm Group consol" xfId="6318" xr:uid="{00000000-0005-0000-0000-0000A2130000}"/>
    <cellStyle name="40% - Accent1" xfId="11292" builtinId="31" customBuiltin="1"/>
    <cellStyle name="40% - Accent1 2" xfId="23" xr:uid="{00000000-0005-0000-0000-0000A4130000}"/>
    <cellStyle name="40% - Accent1 3" xfId="6319" xr:uid="{00000000-0005-0000-0000-0000A5130000}"/>
    <cellStyle name="40% - Accent1 4" xfId="7828" xr:uid="{00000000-0005-0000-0000-0000A6130000}"/>
    <cellStyle name="40% - Accent2" xfId="11296" builtinId="35" customBuiltin="1"/>
    <cellStyle name="40% - Accent2 2" xfId="24" xr:uid="{00000000-0005-0000-0000-0000A8130000}"/>
    <cellStyle name="40% - Accent2 3" xfId="6320" xr:uid="{00000000-0005-0000-0000-0000A9130000}"/>
    <cellStyle name="40% - Accent2 4" xfId="7829" xr:uid="{00000000-0005-0000-0000-0000AA130000}"/>
    <cellStyle name="40% - Accent3" xfId="11300" builtinId="39" customBuiltin="1"/>
    <cellStyle name="40% - Accent3 2" xfId="25" xr:uid="{00000000-0005-0000-0000-0000AC130000}"/>
    <cellStyle name="40% - Accent3 3" xfId="6321" xr:uid="{00000000-0005-0000-0000-0000AD130000}"/>
    <cellStyle name="40% - Accent3 4" xfId="7830" xr:uid="{00000000-0005-0000-0000-0000AE130000}"/>
    <cellStyle name="40% - Accent4" xfId="11304" builtinId="43" customBuiltin="1"/>
    <cellStyle name="40% - Accent4 2" xfId="26" xr:uid="{00000000-0005-0000-0000-0000B0130000}"/>
    <cellStyle name="40% - Accent4 3" xfId="6322" xr:uid="{00000000-0005-0000-0000-0000B1130000}"/>
    <cellStyle name="40% - Accent4 4" xfId="7831" xr:uid="{00000000-0005-0000-0000-0000B2130000}"/>
    <cellStyle name="40% - Accent5" xfId="11308" builtinId="47" customBuiltin="1"/>
    <cellStyle name="40% - Accent5 2" xfId="27" xr:uid="{00000000-0005-0000-0000-0000B4130000}"/>
    <cellStyle name="40% - Accent5 3" xfId="6323" xr:uid="{00000000-0005-0000-0000-0000B5130000}"/>
    <cellStyle name="40% - Accent5 4" xfId="7832" xr:uid="{00000000-0005-0000-0000-0000B6130000}"/>
    <cellStyle name="40% - Accent6" xfId="11312" builtinId="51" customBuiltin="1"/>
    <cellStyle name="40% - Accent6 2" xfId="28" xr:uid="{00000000-0005-0000-0000-0000B8130000}"/>
    <cellStyle name="40% - Accent6 3" xfId="6324" xr:uid="{00000000-0005-0000-0000-0000B9130000}"/>
    <cellStyle name="40% - Accent6 4" xfId="7833" xr:uid="{00000000-0005-0000-0000-0000BA130000}"/>
    <cellStyle name="40% - 强调文字颜色 1" xfId="29" xr:uid="{00000000-0005-0000-0000-0000BB130000}"/>
    <cellStyle name="40% - 强调文字颜色 2" xfId="30" xr:uid="{00000000-0005-0000-0000-0000BC130000}"/>
    <cellStyle name="40% - 强调文字颜色 3" xfId="31" xr:uid="{00000000-0005-0000-0000-0000BD130000}"/>
    <cellStyle name="40% - 强调文字颜色 4" xfId="32" xr:uid="{00000000-0005-0000-0000-0000BE130000}"/>
    <cellStyle name="40% - 强调文字颜色 5" xfId="33" xr:uid="{00000000-0005-0000-0000-0000BF130000}"/>
    <cellStyle name="40% - 强调文字颜色 6" xfId="34" xr:uid="{00000000-0005-0000-0000-0000C0130000}"/>
    <cellStyle name="60% - Accent1" xfId="11293" builtinId="32" customBuiltin="1"/>
    <cellStyle name="60% - Accent1 2" xfId="35" xr:uid="{00000000-0005-0000-0000-0000C2130000}"/>
    <cellStyle name="60% - Accent1 3" xfId="6325" xr:uid="{00000000-0005-0000-0000-0000C3130000}"/>
    <cellStyle name="60% - Accent1 4" xfId="7834" xr:uid="{00000000-0005-0000-0000-0000C4130000}"/>
    <cellStyle name="60% - Accent2" xfId="11297" builtinId="36" customBuiltin="1"/>
    <cellStyle name="60% - Accent2 2" xfId="36" xr:uid="{00000000-0005-0000-0000-0000C6130000}"/>
    <cellStyle name="60% - Accent2 3" xfId="6326" xr:uid="{00000000-0005-0000-0000-0000C7130000}"/>
    <cellStyle name="60% - Accent2 4" xfId="7835" xr:uid="{00000000-0005-0000-0000-0000C8130000}"/>
    <cellStyle name="60% - Accent3" xfId="11301" builtinId="40" customBuiltin="1"/>
    <cellStyle name="60% - Accent3 2" xfId="37" xr:uid="{00000000-0005-0000-0000-0000CA130000}"/>
    <cellStyle name="60% - Accent3 3" xfId="6327" xr:uid="{00000000-0005-0000-0000-0000CB130000}"/>
    <cellStyle name="60% - Accent3 4" xfId="7836" xr:uid="{00000000-0005-0000-0000-0000CC130000}"/>
    <cellStyle name="60% - Accent4" xfId="11305" builtinId="44" customBuiltin="1"/>
    <cellStyle name="60% - Accent4 2" xfId="38" xr:uid="{00000000-0005-0000-0000-0000CE130000}"/>
    <cellStyle name="60% - Accent4 3" xfId="6328" xr:uid="{00000000-0005-0000-0000-0000CF130000}"/>
    <cellStyle name="60% - Accent4 4" xfId="7837" xr:uid="{00000000-0005-0000-0000-0000D0130000}"/>
    <cellStyle name="60% - Accent5" xfId="11309" builtinId="48" customBuiltin="1"/>
    <cellStyle name="60% - Accent5 2" xfId="39" xr:uid="{00000000-0005-0000-0000-0000D2130000}"/>
    <cellStyle name="60% - Accent5 3" xfId="6329" xr:uid="{00000000-0005-0000-0000-0000D3130000}"/>
    <cellStyle name="60% - Accent5 4" xfId="7838" xr:uid="{00000000-0005-0000-0000-0000D4130000}"/>
    <cellStyle name="60% - Accent6" xfId="11313" builtinId="52" customBuiltin="1"/>
    <cellStyle name="60% - Accent6 2" xfId="40" xr:uid="{00000000-0005-0000-0000-0000D6130000}"/>
    <cellStyle name="60% - Accent6 3" xfId="6330" xr:uid="{00000000-0005-0000-0000-0000D7130000}"/>
    <cellStyle name="60% - Accent6 4" xfId="7839" xr:uid="{00000000-0005-0000-0000-0000D8130000}"/>
    <cellStyle name="60% - 强调文字颜色 1" xfId="41" xr:uid="{00000000-0005-0000-0000-0000D9130000}"/>
    <cellStyle name="60% - 强调文字颜色 2" xfId="42" xr:uid="{00000000-0005-0000-0000-0000DA130000}"/>
    <cellStyle name="60% - 强调文字颜色 3" xfId="43" xr:uid="{00000000-0005-0000-0000-0000DB130000}"/>
    <cellStyle name="60% - 强调文字颜色 4" xfId="44" xr:uid="{00000000-0005-0000-0000-0000DC130000}"/>
    <cellStyle name="60% - 强调文字颜色 5" xfId="45" xr:uid="{00000000-0005-0000-0000-0000DD130000}"/>
    <cellStyle name="60% - 强调文字颜色 6" xfId="46" xr:uid="{00000000-0005-0000-0000-0000DE130000}"/>
    <cellStyle name="Accent1" xfId="11290" builtinId="29" customBuiltin="1"/>
    <cellStyle name="Accent1 - 20%" xfId="47" xr:uid="{00000000-0005-0000-0000-0000E0130000}"/>
    <cellStyle name="Accent1 - 20% 10" xfId="48" xr:uid="{00000000-0005-0000-0000-0000E1130000}"/>
    <cellStyle name="Accent1 - 20% 11" xfId="49" xr:uid="{00000000-0005-0000-0000-0000E2130000}"/>
    <cellStyle name="Accent1 - 20% 12" xfId="50" xr:uid="{00000000-0005-0000-0000-0000E3130000}"/>
    <cellStyle name="Accent1 - 20% 13" xfId="51" xr:uid="{00000000-0005-0000-0000-0000E4130000}"/>
    <cellStyle name="Accent1 - 20% 14" xfId="52" xr:uid="{00000000-0005-0000-0000-0000E5130000}"/>
    <cellStyle name="Accent1 - 20% 15" xfId="53" xr:uid="{00000000-0005-0000-0000-0000E6130000}"/>
    <cellStyle name="Accent1 - 20% 16" xfId="54" xr:uid="{00000000-0005-0000-0000-0000E7130000}"/>
    <cellStyle name="Accent1 - 20% 17" xfId="55" xr:uid="{00000000-0005-0000-0000-0000E8130000}"/>
    <cellStyle name="Accent1 - 20% 18" xfId="56" xr:uid="{00000000-0005-0000-0000-0000E9130000}"/>
    <cellStyle name="Accent1 - 20% 19" xfId="57" xr:uid="{00000000-0005-0000-0000-0000EA130000}"/>
    <cellStyle name="Accent1 - 20% 2" xfId="58" xr:uid="{00000000-0005-0000-0000-0000EB130000}"/>
    <cellStyle name="Accent1 - 20% 20" xfId="59" xr:uid="{00000000-0005-0000-0000-0000EC130000}"/>
    <cellStyle name="Accent1 - 20% 3" xfId="60" xr:uid="{00000000-0005-0000-0000-0000ED130000}"/>
    <cellStyle name="Accent1 - 20% 4" xfId="61" xr:uid="{00000000-0005-0000-0000-0000EE130000}"/>
    <cellStyle name="Accent1 - 20% 5" xfId="62" xr:uid="{00000000-0005-0000-0000-0000EF130000}"/>
    <cellStyle name="Accent1 - 20% 6" xfId="63" xr:uid="{00000000-0005-0000-0000-0000F0130000}"/>
    <cellStyle name="Accent1 - 20% 7" xfId="64" xr:uid="{00000000-0005-0000-0000-0000F1130000}"/>
    <cellStyle name="Accent1 - 20% 8" xfId="65" xr:uid="{00000000-0005-0000-0000-0000F2130000}"/>
    <cellStyle name="Accent1 - 20% 9" xfId="66" xr:uid="{00000000-0005-0000-0000-0000F3130000}"/>
    <cellStyle name="Accent1 - 20%_Sheet2" xfId="67" xr:uid="{00000000-0005-0000-0000-0000F4130000}"/>
    <cellStyle name="Accent1 - 40%" xfId="68" xr:uid="{00000000-0005-0000-0000-0000F5130000}"/>
    <cellStyle name="Accent1 - 40% 10" xfId="69" xr:uid="{00000000-0005-0000-0000-0000F6130000}"/>
    <cellStyle name="Accent1 - 40% 11" xfId="70" xr:uid="{00000000-0005-0000-0000-0000F7130000}"/>
    <cellStyle name="Accent1 - 40% 12" xfId="71" xr:uid="{00000000-0005-0000-0000-0000F8130000}"/>
    <cellStyle name="Accent1 - 40% 13" xfId="72" xr:uid="{00000000-0005-0000-0000-0000F9130000}"/>
    <cellStyle name="Accent1 - 40% 14" xfId="73" xr:uid="{00000000-0005-0000-0000-0000FA130000}"/>
    <cellStyle name="Accent1 - 40% 15" xfId="74" xr:uid="{00000000-0005-0000-0000-0000FB130000}"/>
    <cellStyle name="Accent1 - 40% 16" xfId="75" xr:uid="{00000000-0005-0000-0000-0000FC130000}"/>
    <cellStyle name="Accent1 - 40% 17" xfId="76" xr:uid="{00000000-0005-0000-0000-0000FD130000}"/>
    <cellStyle name="Accent1 - 40% 18" xfId="77" xr:uid="{00000000-0005-0000-0000-0000FE130000}"/>
    <cellStyle name="Accent1 - 40% 19" xfId="78" xr:uid="{00000000-0005-0000-0000-0000FF130000}"/>
    <cellStyle name="Accent1 - 40% 2" xfId="79" xr:uid="{00000000-0005-0000-0000-000000140000}"/>
    <cellStyle name="Accent1 - 40% 20" xfId="80" xr:uid="{00000000-0005-0000-0000-000001140000}"/>
    <cellStyle name="Accent1 - 40% 3" xfId="81" xr:uid="{00000000-0005-0000-0000-000002140000}"/>
    <cellStyle name="Accent1 - 40% 4" xfId="82" xr:uid="{00000000-0005-0000-0000-000003140000}"/>
    <cellStyle name="Accent1 - 40% 5" xfId="83" xr:uid="{00000000-0005-0000-0000-000004140000}"/>
    <cellStyle name="Accent1 - 40% 6" xfId="84" xr:uid="{00000000-0005-0000-0000-000005140000}"/>
    <cellStyle name="Accent1 - 40% 7" xfId="85" xr:uid="{00000000-0005-0000-0000-000006140000}"/>
    <cellStyle name="Accent1 - 40% 8" xfId="86" xr:uid="{00000000-0005-0000-0000-000007140000}"/>
    <cellStyle name="Accent1 - 40% 9" xfId="87" xr:uid="{00000000-0005-0000-0000-000008140000}"/>
    <cellStyle name="Accent1 - 40%_Sheet2" xfId="88" xr:uid="{00000000-0005-0000-0000-000009140000}"/>
    <cellStyle name="Accent1 - 60%" xfId="89" xr:uid="{00000000-0005-0000-0000-00000A140000}"/>
    <cellStyle name="Accent1 - 60% 10" xfId="90" xr:uid="{00000000-0005-0000-0000-00000B140000}"/>
    <cellStyle name="Accent1 - 60% 11" xfId="91" xr:uid="{00000000-0005-0000-0000-00000C140000}"/>
    <cellStyle name="Accent1 - 60% 12" xfId="92" xr:uid="{00000000-0005-0000-0000-00000D140000}"/>
    <cellStyle name="Accent1 - 60% 13" xfId="93" xr:uid="{00000000-0005-0000-0000-00000E140000}"/>
    <cellStyle name="Accent1 - 60% 14" xfId="94" xr:uid="{00000000-0005-0000-0000-00000F140000}"/>
    <cellStyle name="Accent1 - 60% 15" xfId="95" xr:uid="{00000000-0005-0000-0000-000010140000}"/>
    <cellStyle name="Accent1 - 60% 16" xfId="96" xr:uid="{00000000-0005-0000-0000-000011140000}"/>
    <cellStyle name="Accent1 - 60% 17" xfId="97" xr:uid="{00000000-0005-0000-0000-000012140000}"/>
    <cellStyle name="Accent1 - 60% 18" xfId="98" xr:uid="{00000000-0005-0000-0000-000013140000}"/>
    <cellStyle name="Accent1 - 60% 19" xfId="99" xr:uid="{00000000-0005-0000-0000-000014140000}"/>
    <cellStyle name="Accent1 - 60% 2" xfId="100" xr:uid="{00000000-0005-0000-0000-000015140000}"/>
    <cellStyle name="Accent1 - 60% 20" xfId="101" xr:uid="{00000000-0005-0000-0000-000016140000}"/>
    <cellStyle name="Accent1 - 60% 3" xfId="102" xr:uid="{00000000-0005-0000-0000-000017140000}"/>
    <cellStyle name="Accent1 - 60% 4" xfId="103" xr:uid="{00000000-0005-0000-0000-000018140000}"/>
    <cellStyle name="Accent1 - 60% 5" xfId="104" xr:uid="{00000000-0005-0000-0000-000019140000}"/>
    <cellStyle name="Accent1 - 60% 6" xfId="105" xr:uid="{00000000-0005-0000-0000-00001A140000}"/>
    <cellStyle name="Accent1 - 60% 7" xfId="106" xr:uid="{00000000-0005-0000-0000-00001B140000}"/>
    <cellStyle name="Accent1 - 60% 8" xfId="107" xr:uid="{00000000-0005-0000-0000-00001C140000}"/>
    <cellStyle name="Accent1 - 60% 9" xfId="108" xr:uid="{00000000-0005-0000-0000-00001D140000}"/>
    <cellStyle name="Accent1 - 60%_Sheet2" xfId="109" xr:uid="{00000000-0005-0000-0000-00001E140000}"/>
    <cellStyle name="Accent1 10" xfId="6788" xr:uid="{00000000-0005-0000-0000-00001F140000}"/>
    <cellStyle name="Accent1 11" xfId="6822" xr:uid="{00000000-0005-0000-0000-000020140000}"/>
    <cellStyle name="Accent1 12" xfId="6768" xr:uid="{00000000-0005-0000-0000-000021140000}"/>
    <cellStyle name="Accent1 13" xfId="6801" xr:uid="{00000000-0005-0000-0000-000022140000}"/>
    <cellStyle name="Accent1 14" xfId="6761" xr:uid="{00000000-0005-0000-0000-000023140000}"/>
    <cellStyle name="Accent1 15" xfId="7840" xr:uid="{00000000-0005-0000-0000-000024140000}"/>
    <cellStyle name="Accent1 16" xfId="7841" xr:uid="{00000000-0005-0000-0000-000025140000}"/>
    <cellStyle name="Accent1 17" xfId="7842" xr:uid="{00000000-0005-0000-0000-000026140000}"/>
    <cellStyle name="Accent1 18" xfId="7843" xr:uid="{00000000-0005-0000-0000-000027140000}"/>
    <cellStyle name="Accent1 19" xfId="7844" xr:uid="{00000000-0005-0000-0000-000028140000}"/>
    <cellStyle name="Accent1 2" xfId="110" xr:uid="{00000000-0005-0000-0000-000029140000}"/>
    <cellStyle name="Accent1 20" xfId="7845" xr:uid="{00000000-0005-0000-0000-00002A140000}"/>
    <cellStyle name="Accent1 3" xfId="111" xr:uid="{00000000-0005-0000-0000-00002B140000}"/>
    <cellStyle name="Accent1 4" xfId="6331" xr:uid="{00000000-0005-0000-0000-00002C140000}"/>
    <cellStyle name="Accent1 5" xfId="6828" xr:uid="{00000000-0005-0000-0000-00002D140000}"/>
    <cellStyle name="Accent1 6" xfId="6800" xr:uid="{00000000-0005-0000-0000-00002E140000}"/>
    <cellStyle name="Accent1 7" xfId="6810" xr:uid="{00000000-0005-0000-0000-00002F140000}"/>
    <cellStyle name="Accent1 8" xfId="6794" xr:uid="{00000000-0005-0000-0000-000030140000}"/>
    <cellStyle name="Accent1 9" xfId="6816" xr:uid="{00000000-0005-0000-0000-000031140000}"/>
    <cellStyle name="Accent2" xfId="11294" builtinId="33" customBuiltin="1"/>
    <cellStyle name="Accent2 - 20%" xfId="112" xr:uid="{00000000-0005-0000-0000-000033140000}"/>
    <cellStyle name="Accent2 - 20% 10" xfId="113" xr:uid="{00000000-0005-0000-0000-000034140000}"/>
    <cellStyle name="Accent2 - 20% 11" xfId="114" xr:uid="{00000000-0005-0000-0000-000035140000}"/>
    <cellStyle name="Accent2 - 20% 12" xfId="115" xr:uid="{00000000-0005-0000-0000-000036140000}"/>
    <cellStyle name="Accent2 - 20% 13" xfId="116" xr:uid="{00000000-0005-0000-0000-000037140000}"/>
    <cellStyle name="Accent2 - 20% 14" xfId="117" xr:uid="{00000000-0005-0000-0000-000038140000}"/>
    <cellStyle name="Accent2 - 20% 15" xfId="118" xr:uid="{00000000-0005-0000-0000-000039140000}"/>
    <cellStyle name="Accent2 - 20% 16" xfId="119" xr:uid="{00000000-0005-0000-0000-00003A140000}"/>
    <cellStyle name="Accent2 - 20% 17" xfId="120" xr:uid="{00000000-0005-0000-0000-00003B140000}"/>
    <cellStyle name="Accent2 - 20% 18" xfId="121" xr:uid="{00000000-0005-0000-0000-00003C140000}"/>
    <cellStyle name="Accent2 - 20% 19" xfId="122" xr:uid="{00000000-0005-0000-0000-00003D140000}"/>
    <cellStyle name="Accent2 - 20% 2" xfId="123" xr:uid="{00000000-0005-0000-0000-00003E140000}"/>
    <cellStyle name="Accent2 - 20% 20" xfId="124" xr:uid="{00000000-0005-0000-0000-00003F140000}"/>
    <cellStyle name="Accent2 - 20% 3" xfId="125" xr:uid="{00000000-0005-0000-0000-000040140000}"/>
    <cellStyle name="Accent2 - 20% 4" xfId="126" xr:uid="{00000000-0005-0000-0000-000041140000}"/>
    <cellStyle name="Accent2 - 20% 5" xfId="127" xr:uid="{00000000-0005-0000-0000-000042140000}"/>
    <cellStyle name="Accent2 - 20% 6" xfId="128" xr:uid="{00000000-0005-0000-0000-000043140000}"/>
    <cellStyle name="Accent2 - 20% 7" xfId="129" xr:uid="{00000000-0005-0000-0000-000044140000}"/>
    <cellStyle name="Accent2 - 20% 8" xfId="130" xr:uid="{00000000-0005-0000-0000-000045140000}"/>
    <cellStyle name="Accent2 - 20% 9" xfId="131" xr:uid="{00000000-0005-0000-0000-000046140000}"/>
    <cellStyle name="Accent2 - 20%_Sheet2" xfId="132" xr:uid="{00000000-0005-0000-0000-000047140000}"/>
    <cellStyle name="Accent2 - 40%" xfId="133" xr:uid="{00000000-0005-0000-0000-000048140000}"/>
    <cellStyle name="Accent2 - 40% 10" xfId="134" xr:uid="{00000000-0005-0000-0000-000049140000}"/>
    <cellStyle name="Accent2 - 40% 11" xfId="135" xr:uid="{00000000-0005-0000-0000-00004A140000}"/>
    <cellStyle name="Accent2 - 40% 12" xfId="136" xr:uid="{00000000-0005-0000-0000-00004B140000}"/>
    <cellStyle name="Accent2 - 40% 13" xfId="137" xr:uid="{00000000-0005-0000-0000-00004C140000}"/>
    <cellStyle name="Accent2 - 40% 14" xfId="138" xr:uid="{00000000-0005-0000-0000-00004D140000}"/>
    <cellStyle name="Accent2 - 40% 15" xfId="139" xr:uid="{00000000-0005-0000-0000-00004E140000}"/>
    <cellStyle name="Accent2 - 40% 16" xfId="140" xr:uid="{00000000-0005-0000-0000-00004F140000}"/>
    <cellStyle name="Accent2 - 40% 17" xfId="141" xr:uid="{00000000-0005-0000-0000-000050140000}"/>
    <cellStyle name="Accent2 - 40% 18" xfId="142" xr:uid="{00000000-0005-0000-0000-000051140000}"/>
    <cellStyle name="Accent2 - 40% 19" xfId="143" xr:uid="{00000000-0005-0000-0000-000052140000}"/>
    <cellStyle name="Accent2 - 40% 2" xfId="144" xr:uid="{00000000-0005-0000-0000-000053140000}"/>
    <cellStyle name="Accent2 - 40% 20" xfId="145" xr:uid="{00000000-0005-0000-0000-000054140000}"/>
    <cellStyle name="Accent2 - 40% 3" xfId="146" xr:uid="{00000000-0005-0000-0000-000055140000}"/>
    <cellStyle name="Accent2 - 40% 4" xfId="147" xr:uid="{00000000-0005-0000-0000-000056140000}"/>
    <cellStyle name="Accent2 - 40% 5" xfId="148" xr:uid="{00000000-0005-0000-0000-000057140000}"/>
    <cellStyle name="Accent2 - 40% 6" xfId="149" xr:uid="{00000000-0005-0000-0000-000058140000}"/>
    <cellStyle name="Accent2 - 40% 7" xfId="150" xr:uid="{00000000-0005-0000-0000-000059140000}"/>
    <cellStyle name="Accent2 - 40% 8" xfId="151" xr:uid="{00000000-0005-0000-0000-00005A140000}"/>
    <cellStyle name="Accent2 - 40% 9" xfId="152" xr:uid="{00000000-0005-0000-0000-00005B140000}"/>
    <cellStyle name="Accent2 - 40%_Sheet2" xfId="153" xr:uid="{00000000-0005-0000-0000-00005C140000}"/>
    <cellStyle name="Accent2 - 60%" xfId="154" xr:uid="{00000000-0005-0000-0000-00005D140000}"/>
    <cellStyle name="Accent2 - 60% 10" xfId="155" xr:uid="{00000000-0005-0000-0000-00005E140000}"/>
    <cellStyle name="Accent2 - 60% 11" xfId="156" xr:uid="{00000000-0005-0000-0000-00005F140000}"/>
    <cellStyle name="Accent2 - 60% 12" xfId="157" xr:uid="{00000000-0005-0000-0000-000060140000}"/>
    <cellStyle name="Accent2 - 60% 13" xfId="158" xr:uid="{00000000-0005-0000-0000-000061140000}"/>
    <cellStyle name="Accent2 - 60% 14" xfId="159" xr:uid="{00000000-0005-0000-0000-000062140000}"/>
    <cellStyle name="Accent2 - 60% 15" xfId="160" xr:uid="{00000000-0005-0000-0000-000063140000}"/>
    <cellStyle name="Accent2 - 60% 16" xfId="161" xr:uid="{00000000-0005-0000-0000-000064140000}"/>
    <cellStyle name="Accent2 - 60% 17" xfId="162" xr:uid="{00000000-0005-0000-0000-000065140000}"/>
    <cellStyle name="Accent2 - 60% 18" xfId="163" xr:uid="{00000000-0005-0000-0000-000066140000}"/>
    <cellStyle name="Accent2 - 60% 19" xfId="164" xr:uid="{00000000-0005-0000-0000-000067140000}"/>
    <cellStyle name="Accent2 - 60% 2" xfId="165" xr:uid="{00000000-0005-0000-0000-000068140000}"/>
    <cellStyle name="Accent2 - 60% 20" xfId="166" xr:uid="{00000000-0005-0000-0000-000069140000}"/>
    <cellStyle name="Accent2 - 60% 3" xfId="167" xr:uid="{00000000-0005-0000-0000-00006A140000}"/>
    <cellStyle name="Accent2 - 60% 4" xfId="168" xr:uid="{00000000-0005-0000-0000-00006B140000}"/>
    <cellStyle name="Accent2 - 60% 5" xfId="169" xr:uid="{00000000-0005-0000-0000-00006C140000}"/>
    <cellStyle name="Accent2 - 60% 6" xfId="170" xr:uid="{00000000-0005-0000-0000-00006D140000}"/>
    <cellStyle name="Accent2 - 60% 7" xfId="171" xr:uid="{00000000-0005-0000-0000-00006E140000}"/>
    <cellStyle name="Accent2 - 60% 8" xfId="172" xr:uid="{00000000-0005-0000-0000-00006F140000}"/>
    <cellStyle name="Accent2 - 60% 9" xfId="173" xr:uid="{00000000-0005-0000-0000-000070140000}"/>
    <cellStyle name="Accent2 - 60%_Sheet2" xfId="174" xr:uid="{00000000-0005-0000-0000-000071140000}"/>
    <cellStyle name="Accent2 10" xfId="6787" xr:uid="{00000000-0005-0000-0000-000072140000}"/>
    <cellStyle name="Accent2 11" xfId="6823" xr:uid="{00000000-0005-0000-0000-000073140000}"/>
    <cellStyle name="Accent2 12" xfId="6767" xr:uid="{00000000-0005-0000-0000-000074140000}"/>
    <cellStyle name="Accent2 13" xfId="6802" xr:uid="{00000000-0005-0000-0000-000075140000}"/>
    <cellStyle name="Accent2 14" xfId="6760" xr:uid="{00000000-0005-0000-0000-000076140000}"/>
    <cellStyle name="Accent2 15" xfId="7846" xr:uid="{00000000-0005-0000-0000-000077140000}"/>
    <cellStyle name="Accent2 16" xfId="7847" xr:uid="{00000000-0005-0000-0000-000078140000}"/>
    <cellStyle name="Accent2 17" xfId="7848" xr:uid="{00000000-0005-0000-0000-000079140000}"/>
    <cellStyle name="Accent2 18" xfId="7849" xr:uid="{00000000-0005-0000-0000-00007A140000}"/>
    <cellStyle name="Accent2 19" xfId="7850" xr:uid="{00000000-0005-0000-0000-00007B140000}"/>
    <cellStyle name="Accent2 2" xfId="175" xr:uid="{00000000-0005-0000-0000-00007C140000}"/>
    <cellStyle name="Accent2 20" xfId="7851" xr:uid="{00000000-0005-0000-0000-00007D140000}"/>
    <cellStyle name="Accent2 3" xfId="176" xr:uid="{00000000-0005-0000-0000-00007E140000}"/>
    <cellStyle name="Accent2 4" xfId="6332" xr:uid="{00000000-0005-0000-0000-00007F140000}"/>
    <cellStyle name="Accent2 5" xfId="6829" xr:uid="{00000000-0005-0000-0000-000080140000}"/>
    <cellStyle name="Accent2 6" xfId="6799" xr:uid="{00000000-0005-0000-0000-000081140000}"/>
    <cellStyle name="Accent2 7" xfId="6811" xr:uid="{00000000-0005-0000-0000-000082140000}"/>
    <cellStyle name="Accent2 8" xfId="6793" xr:uid="{00000000-0005-0000-0000-000083140000}"/>
    <cellStyle name="Accent2 9" xfId="6817" xr:uid="{00000000-0005-0000-0000-000084140000}"/>
    <cellStyle name="Accent3" xfId="11298" builtinId="37" customBuiltin="1"/>
    <cellStyle name="Accent3 - 20%" xfId="177" xr:uid="{00000000-0005-0000-0000-000086140000}"/>
    <cellStyle name="Accent3 - 20% 10" xfId="178" xr:uid="{00000000-0005-0000-0000-000087140000}"/>
    <cellStyle name="Accent3 - 20% 11" xfId="179" xr:uid="{00000000-0005-0000-0000-000088140000}"/>
    <cellStyle name="Accent3 - 20% 12" xfId="180" xr:uid="{00000000-0005-0000-0000-000089140000}"/>
    <cellStyle name="Accent3 - 20% 13" xfId="181" xr:uid="{00000000-0005-0000-0000-00008A140000}"/>
    <cellStyle name="Accent3 - 20% 14" xfId="182" xr:uid="{00000000-0005-0000-0000-00008B140000}"/>
    <cellStyle name="Accent3 - 20% 15" xfId="183" xr:uid="{00000000-0005-0000-0000-00008C140000}"/>
    <cellStyle name="Accent3 - 20% 16" xfId="184" xr:uid="{00000000-0005-0000-0000-00008D140000}"/>
    <cellStyle name="Accent3 - 20% 17" xfId="185" xr:uid="{00000000-0005-0000-0000-00008E140000}"/>
    <cellStyle name="Accent3 - 20% 18" xfId="186" xr:uid="{00000000-0005-0000-0000-00008F140000}"/>
    <cellStyle name="Accent3 - 20% 19" xfId="187" xr:uid="{00000000-0005-0000-0000-000090140000}"/>
    <cellStyle name="Accent3 - 20% 2" xfId="188" xr:uid="{00000000-0005-0000-0000-000091140000}"/>
    <cellStyle name="Accent3 - 20% 20" xfId="189" xr:uid="{00000000-0005-0000-0000-000092140000}"/>
    <cellStyle name="Accent3 - 20% 3" xfId="190" xr:uid="{00000000-0005-0000-0000-000093140000}"/>
    <cellStyle name="Accent3 - 20% 4" xfId="191" xr:uid="{00000000-0005-0000-0000-000094140000}"/>
    <cellStyle name="Accent3 - 20% 5" xfId="192" xr:uid="{00000000-0005-0000-0000-000095140000}"/>
    <cellStyle name="Accent3 - 20% 6" xfId="193" xr:uid="{00000000-0005-0000-0000-000096140000}"/>
    <cellStyle name="Accent3 - 20% 7" xfId="194" xr:uid="{00000000-0005-0000-0000-000097140000}"/>
    <cellStyle name="Accent3 - 20% 8" xfId="195" xr:uid="{00000000-0005-0000-0000-000098140000}"/>
    <cellStyle name="Accent3 - 20% 9" xfId="196" xr:uid="{00000000-0005-0000-0000-000099140000}"/>
    <cellStyle name="Accent3 - 20%_Sheet2" xfId="197" xr:uid="{00000000-0005-0000-0000-00009A140000}"/>
    <cellStyle name="Accent3 - 40%" xfId="198" xr:uid="{00000000-0005-0000-0000-00009B140000}"/>
    <cellStyle name="Accent3 - 40% 10" xfId="199" xr:uid="{00000000-0005-0000-0000-00009C140000}"/>
    <cellStyle name="Accent3 - 40% 11" xfId="200" xr:uid="{00000000-0005-0000-0000-00009D140000}"/>
    <cellStyle name="Accent3 - 40% 12" xfId="201" xr:uid="{00000000-0005-0000-0000-00009E140000}"/>
    <cellStyle name="Accent3 - 40% 13" xfId="202" xr:uid="{00000000-0005-0000-0000-00009F140000}"/>
    <cellStyle name="Accent3 - 40% 14" xfId="203" xr:uid="{00000000-0005-0000-0000-0000A0140000}"/>
    <cellStyle name="Accent3 - 40% 15" xfId="204" xr:uid="{00000000-0005-0000-0000-0000A1140000}"/>
    <cellStyle name="Accent3 - 40% 16" xfId="205" xr:uid="{00000000-0005-0000-0000-0000A2140000}"/>
    <cellStyle name="Accent3 - 40% 17" xfId="206" xr:uid="{00000000-0005-0000-0000-0000A3140000}"/>
    <cellStyle name="Accent3 - 40% 18" xfId="207" xr:uid="{00000000-0005-0000-0000-0000A4140000}"/>
    <cellStyle name="Accent3 - 40% 19" xfId="208" xr:uid="{00000000-0005-0000-0000-0000A5140000}"/>
    <cellStyle name="Accent3 - 40% 2" xfId="209" xr:uid="{00000000-0005-0000-0000-0000A6140000}"/>
    <cellStyle name="Accent3 - 40% 20" xfId="210" xr:uid="{00000000-0005-0000-0000-0000A7140000}"/>
    <cellStyle name="Accent3 - 40% 3" xfId="211" xr:uid="{00000000-0005-0000-0000-0000A8140000}"/>
    <cellStyle name="Accent3 - 40% 4" xfId="212" xr:uid="{00000000-0005-0000-0000-0000A9140000}"/>
    <cellStyle name="Accent3 - 40% 5" xfId="213" xr:uid="{00000000-0005-0000-0000-0000AA140000}"/>
    <cellStyle name="Accent3 - 40% 6" xfId="214" xr:uid="{00000000-0005-0000-0000-0000AB140000}"/>
    <cellStyle name="Accent3 - 40% 7" xfId="215" xr:uid="{00000000-0005-0000-0000-0000AC140000}"/>
    <cellStyle name="Accent3 - 40% 8" xfId="216" xr:uid="{00000000-0005-0000-0000-0000AD140000}"/>
    <cellStyle name="Accent3 - 40% 9" xfId="217" xr:uid="{00000000-0005-0000-0000-0000AE140000}"/>
    <cellStyle name="Accent3 - 40%_Sheet2" xfId="218" xr:uid="{00000000-0005-0000-0000-0000AF140000}"/>
    <cellStyle name="Accent3 - 60%" xfId="219" xr:uid="{00000000-0005-0000-0000-0000B0140000}"/>
    <cellStyle name="Accent3 - 60% 10" xfId="220" xr:uid="{00000000-0005-0000-0000-0000B1140000}"/>
    <cellStyle name="Accent3 - 60% 11" xfId="221" xr:uid="{00000000-0005-0000-0000-0000B2140000}"/>
    <cellStyle name="Accent3 - 60% 12" xfId="222" xr:uid="{00000000-0005-0000-0000-0000B3140000}"/>
    <cellStyle name="Accent3 - 60% 13" xfId="223" xr:uid="{00000000-0005-0000-0000-0000B4140000}"/>
    <cellStyle name="Accent3 - 60% 14" xfId="224" xr:uid="{00000000-0005-0000-0000-0000B5140000}"/>
    <cellStyle name="Accent3 - 60% 15" xfId="225" xr:uid="{00000000-0005-0000-0000-0000B6140000}"/>
    <cellStyle name="Accent3 - 60% 16" xfId="226" xr:uid="{00000000-0005-0000-0000-0000B7140000}"/>
    <cellStyle name="Accent3 - 60% 17" xfId="227" xr:uid="{00000000-0005-0000-0000-0000B8140000}"/>
    <cellStyle name="Accent3 - 60% 18" xfId="228" xr:uid="{00000000-0005-0000-0000-0000B9140000}"/>
    <cellStyle name="Accent3 - 60% 19" xfId="229" xr:uid="{00000000-0005-0000-0000-0000BA140000}"/>
    <cellStyle name="Accent3 - 60% 2" xfId="230" xr:uid="{00000000-0005-0000-0000-0000BB140000}"/>
    <cellStyle name="Accent3 - 60% 20" xfId="231" xr:uid="{00000000-0005-0000-0000-0000BC140000}"/>
    <cellStyle name="Accent3 - 60% 3" xfId="232" xr:uid="{00000000-0005-0000-0000-0000BD140000}"/>
    <cellStyle name="Accent3 - 60% 4" xfId="233" xr:uid="{00000000-0005-0000-0000-0000BE140000}"/>
    <cellStyle name="Accent3 - 60% 5" xfId="234" xr:uid="{00000000-0005-0000-0000-0000BF140000}"/>
    <cellStyle name="Accent3 - 60% 6" xfId="235" xr:uid="{00000000-0005-0000-0000-0000C0140000}"/>
    <cellStyle name="Accent3 - 60% 7" xfId="236" xr:uid="{00000000-0005-0000-0000-0000C1140000}"/>
    <cellStyle name="Accent3 - 60% 8" xfId="237" xr:uid="{00000000-0005-0000-0000-0000C2140000}"/>
    <cellStyle name="Accent3 - 60% 9" xfId="238" xr:uid="{00000000-0005-0000-0000-0000C3140000}"/>
    <cellStyle name="Accent3 - 60%_Sheet2" xfId="239" xr:uid="{00000000-0005-0000-0000-0000C4140000}"/>
    <cellStyle name="Accent3 10" xfId="6786" xr:uid="{00000000-0005-0000-0000-0000C5140000}"/>
    <cellStyle name="Accent3 11" xfId="6824" xr:uid="{00000000-0005-0000-0000-0000C6140000}"/>
    <cellStyle name="Accent3 12" xfId="6766" xr:uid="{00000000-0005-0000-0000-0000C7140000}"/>
    <cellStyle name="Accent3 13" xfId="6803" xr:uid="{00000000-0005-0000-0000-0000C8140000}"/>
    <cellStyle name="Accent3 14" xfId="6759" xr:uid="{00000000-0005-0000-0000-0000C9140000}"/>
    <cellStyle name="Accent3 15" xfId="7852" xr:uid="{00000000-0005-0000-0000-0000CA140000}"/>
    <cellStyle name="Accent3 16" xfId="7853" xr:uid="{00000000-0005-0000-0000-0000CB140000}"/>
    <cellStyle name="Accent3 17" xfId="7854" xr:uid="{00000000-0005-0000-0000-0000CC140000}"/>
    <cellStyle name="Accent3 18" xfId="7855" xr:uid="{00000000-0005-0000-0000-0000CD140000}"/>
    <cellStyle name="Accent3 19" xfId="7856" xr:uid="{00000000-0005-0000-0000-0000CE140000}"/>
    <cellStyle name="Accent3 2" xfId="240" xr:uid="{00000000-0005-0000-0000-0000CF140000}"/>
    <cellStyle name="Accent3 20" xfId="7857" xr:uid="{00000000-0005-0000-0000-0000D0140000}"/>
    <cellStyle name="Accent3 3" xfId="241" xr:uid="{00000000-0005-0000-0000-0000D1140000}"/>
    <cellStyle name="Accent3 4" xfId="6333" xr:uid="{00000000-0005-0000-0000-0000D2140000}"/>
    <cellStyle name="Accent3 5" xfId="6830" xr:uid="{00000000-0005-0000-0000-0000D3140000}"/>
    <cellStyle name="Accent3 6" xfId="6798" xr:uid="{00000000-0005-0000-0000-0000D4140000}"/>
    <cellStyle name="Accent3 7" xfId="6812" xr:uid="{00000000-0005-0000-0000-0000D5140000}"/>
    <cellStyle name="Accent3 8" xfId="6792" xr:uid="{00000000-0005-0000-0000-0000D6140000}"/>
    <cellStyle name="Accent3 9" xfId="6818" xr:uid="{00000000-0005-0000-0000-0000D7140000}"/>
    <cellStyle name="Accent4" xfId="11302" builtinId="41" customBuiltin="1"/>
    <cellStyle name="Accent4 - 20%" xfId="242" xr:uid="{00000000-0005-0000-0000-0000D9140000}"/>
    <cellStyle name="Accent4 - 20% 10" xfId="243" xr:uid="{00000000-0005-0000-0000-0000DA140000}"/>
    <cellStyle name="Accent4 - 20% 11" xfId="244" xr:uid="{00000000-0005-0000-0000-0000DB140000}"/>
    <cellStyle name="Accent4 - 20% 12" xfId="245" xr:uid="{00000000-0005-0000-0000-0000DC140000}"/>
    <cellStyle name="Accent4 - 20% 13" xfId="246" xr:uid="{00000000-0005-0000-0000-0000DD140000}"/>
    <cellStyle name="Accent4 - 20% 14" xfId="247" xr:uid="{00000000-0005-0000-0000-0000DE140000}"/>
    <cellStyle name="Accent4 - 20% 15" xfId="248" xr:uid="{00000000-0005-0000-0000-0000DF140000}"/>
    <cellStyle name="Accent4 - 20% 16" xfId="249" xr:uid="{00000000-0005-0000-0000-0000E0140000}"/>
    <cellStyle name="Accent4 - 20% 17" xfId="250" xr:uid="{00000000-0005-0000-0000-0000E1140000}"/>
    <cellStyle name="Accent4 - 20% 18" xfId="251" xr:uid="{00000000-0005-0000-0000-0000E2140000}"/>
    <cellStyle name="Accent4 - 20% 19" xfId="252" xr:uid="{00000000-0005-0000-0000-0000E3140000}"/>
    <cellStyle name="Accent4 - 20% 2" xfId="253" xr:uid="{00000000-0005-0000-0000-0000E4140000}"/>
    <cellStyle name="Accent4 - 20% 20" xfId="254" xr:uid="{00000000-0005-0000-0000-0000E5140000}"/>
    <cellStyle name="Accent4 - 20% 3" xfId="255" xr:uid="{00000000-0005-0000-0000-0000E6140000}"/>
    <cellStyle name="Accent4 - 20% 4" xfId="256" xr:uid="{00000000-0005-0000-0000-0000E7140000}"/>
    <cellStyle name="Accent4 - 20% 5" xfId="257" xr:uid="{00000000-0005-0000-0000-0000E8140000}"/>
    <cellStyle name="Accent4 - 20% 6" xfId="258" xr:uid="{00000000-0005-0000-0000-0000E9140000}"/>
    <cellStyle name="Accent4 - 20% 7" xfId="259" xr:uid="{00000000-0005-0000-0000-0000EA140000}"/>
    <cellStyle name="Accent4 - 20% 8" xfId="260" xr:uid="{00000000-0005-0000-0000-0000EB140000}"/>
    <cellStyle name="Accent4 - 20% 9" xfId="261" xr:uid="{00000000-0005-0000-0000-0000EC140000}"/>
    <cellStyle name="Accent4 - 20%_Sheet2" xfId="262" xr:uid="{00000000-0005-0000-0000-0000ED140000}"/>
    <cellStyle name="Accent4 - 40%" xfId="263" xr:uid="{00000000-0005-0000-0000-0000EE140000}"/>
    <cellStyle name="Accent4 - 40% 10" xfId="264" xr:uid="{00000000-0005-0000-0000-0000EF140000}"/>
    <cellStyle name="Accent4 - 40% 11" xfId="265" xr:uid="{00000000-0005-0000-0000-0000F0140000}"/>
    <cellStyle name="Accent4 - 40% 12" xfId="266" xr:uid="{00000000-0005-0000-0000-0000F1140000}"/>
    <cellStyle name="Accent4 - 40% 13" xfId="267" xr:uid="{00000000-0005-0000-0000-0000F2140000}"/>
    <cellStyle name="Accent4 - 40% 14" xfId="268" xr:uid="{00000000-0005-0000-0000-0000F3140000}"/>
    <cellStyle name="Accent4 - 40% 15" xfId="269" xr:uid="{00000000-0005-0000-0000-0000F4140000}"/>
    <cellStyle name="Accent4 - 40% 16" xfId="270" xr:uid="{00000000-0005-0000-0000-0000F5140000}"/>
    <cellStyle name="Accent4 - 40% 17" xfId="271" xr:uid="{00000000-0005-0000-0000-0000F6140000}"/>
    <cellStyle name="Accent4 - 40% 18" xfId="272" xr:uid="{00000000-0005-0000-0000-0000F7140000}"/>
    <cellStyle name="Accent4 - 40% 19" xfId="273" xr:uid="{00000000-0005-0000-0000-0000F8140000}"/>
    <cellStyle name="Accent4 - 40% 2" xfId="274" xr:uid="{00000000-0005-0000-0000-0000F9140000}"/>
    <cellStyle name="Accent4 - 40% 20" xfId="275" xr:uid="{00000000-0005-0000-0000-0000FA140000}"/>
    <cellStyle name="Accent4 - 40% 3" xfId="276" xr:uid="{00000000-0005-0000-0000-0000FB140000}"/>
    <cellStyle name="Accent4 - 40% 4" xfId="277" xr:uid="{00000000-0005-0000-0000-0000FC140000}"/>
    <cellStyle name="Accent4 - 40% 5" xfId="278" xr:uid="{00000000-0005-0000-0000-0000FD140000}"/>
    <cellStyle name="Accent4 - 40% 6" xfId="279" xr:uid="{00000000-0005-0000-0000-0000FE140000}"/>
    <cellStyle name="Accent4 - 40% 7" xfId="280" xr:uid="{00000000-0005-0000-0000-0000FF140000}"/>
    <cellStyle name="Accent4 - 40% 8" xfId="281" xr:uid="{00000000-0005-0000-0000-000000150000}"/>
    <cellStyle name="Accent4 - 40% 9" xfId="282" xr:uid="{00000000-0005-0000-0000-000001150000}"/>
    <cellStyle name="Accent4 - 40%_Sheet2" xfId="283" xr:uid="{00000000-0005-0000-0000-000002150000}"/>
    <cellStyle name="Accent4 - 60%" xfId="284" xr:uid="{00000000-0005-0000-0000-000003150000}"/>
    <cellStyle name="Accent4 - 60% 10" xfId="285" xr:uid="{00000000-0005-0000-0000-000004150000}"/>
    <cellStyle name="Accent4 - 60% 11" xfId="286" xr:uid="{00000000-0005-0000-0000-000005150000}"/>
    <cellStyle name="Accent4 - 60% 12" xfId="287" xr:uid="{00000000-0005-0000-0000-000006150000}"/>
    <cellStyle name="Accent4 - 60% 13" xfId="288" xr:uid="{00000000-0005-0000-0000-000007150000}"/>
    <cellStyle name="Accent4 - 60% 14" xfId="289" xr:uid="{00000000-0005-0000-0000-000008150000}"/>
    <cellStyle name="Accent4 - 60% 15" xfId="290" xr:uid="{00000000-0005-0000-0000-000009150000}"/>
    <cellStyle name="Accent4 - 60% 16" xfId="291" xr:uid="{00000000-0005-0000-0000-00000A150000}"/>
    <cellStyle name="Accent4 - 60% 17" xfId="292" xr:uid="{00000000-0005-0000-0000-00000B150000}"/>
    <cellStyle name="Accent4 - 60% 18" xfId="293" xr:uid="{00000000-0005-0000-0000-00000C150000}"/>
    <cellStyle name="Accent4 - 60% 19" xfId="294" xr:uid="{00000000-0005-0000-0000-00000D150000}"/>
    <cellStyle name="Accent4 - 60% 2" xfId="295" xr:uid="{00000000-0005-0000-0000-00000E150000}"/>
    <cellStyle name="Accent4 - 60% 20" xfId="296" xr:uid="{00000000-0005-0000-0000-00000F150000}"/>
    <cellStyle name="Accent4 - 60% 3" xfId="297" xr:uid="{00000000-0005-0000-0000-000010150000}"/>
    <cellStyle name="Accent4 - 60% 4" xfId="298" xr:uid="{00000000-0005-0000-0000-000011150000}"/>
    <cellStyle name="Accent4 - 60% 5" xfId="299" xr:uid="{00000000-0005-0000-0000-000012150000}"/>
    <cellStyle name="Accent4 - 60% 6" xfId="300" xr:uid="{00000000-0005-0000-0000-000013150000}"/>
    <cellStyle name="Accent4 - 60% 7" xfId="301" xr:uid="{00000000-0005-0000-0000-000014150000}"/>
    <cellStyle name="Accent4 - 60% 8" xfId="302" xr:uid="{00000000-0005-0000-0000-000015150000}"/>
    <cellStyle name="Accent4 - 60% 9" xfId="303" xr:uid="{00000000-0005-0000-0000-000016150000}"/>
    <cellStyle name="Accent4 - 60%_Sheet2" xfId="304" xr:uid="{00000000-0005-0000-0000-000017150000}"/>
    <cellStyle name="Accent4 10" xfId="6785" xr:uid="{00000000-0005-0000-0000-000018150000}"/>
    <cellStyle name="Accent4 11" xfId="6825" xr:uid="{00000000-0005-0000-0000-000019150000}"/>
    <cellStyle name="Accent4 12" xfId="6765" xr:uid="{00000000-0005-0000-0000-00001A150000}"/>
    <cellStyle name="Accent4 13" xfId="6804" xr:uid="{00000000-0005-0000-0000-00001B150000}"/>
    <cellStyle name="Accent4 14" xfId="6757" xr:uid="{00000000-0005-0000-0000-00001C150000}"/>
    <cellStyle name="Accent4 15" xfId="7858" xr:uid="{00000000-0005-0000-0000-00001D150000}"/>
    <cellStyle name="Accent4 16" xfId="7859" xr:uid="{00000000-0005-0000-0000-00001E150000}"/>
    <cellStyle name="Accent4 17" xfId="7860" xr:uid="{00000000-0005-0000-0000-00001F150000}"/>
    <cellStyle name="Accent4 18" xfId="7861" xr:uid="{00000000-0005-0000-0000-000020150000}"/>
    <cellStyle name="Accent4 19" xfId="7862" xr:uid="{00000000-0005-0000-0000-000021150000}"/>
    <cellStyle name="Accent4 2" xfId="305" xr:uid="{00000000-0005-0000-0000-000022150000}"/>
    <cellStyle name="Accent4 20" xfId="7863" xr:uid="{00000000-0005-0000-0000-000023150000}"/>
    <cellStyle name="Accent4 3" xfId="306" xr:uid="{00000000-0005-0000-0000-000024150000}"/>
    <cellStyle name="Accent4 4" xfId="6334" xr:uid="{00000000-0005-0000-0000-000025150000}"/>
    <cellStyle name="Accent4 5" xfId="6831" xr:uid="{00000000-0005-0000-0000-000026150000}"/>
    <cellStyle name="Accent4 6" xfId="6797" xr:uid="{00000000-0005-0000-0000-000027150000}"/>
    <cellStyle name="Accent4 7" xfId="6813" xr:uid="{00000000-0005-0000-0000-000028150000}"/>
    <cellStyle name="Accent4 8" xfId="6791" xr:uid="{00000000-0005-0000-0000-000029150000}"/>
    <cellStyle name="Accent4 9" xfId="6819" xr:uid="{00000000-0005-0000-0000-00002A150000}"/>
    <cellStyle name="Accent5" xfId="11306" builtinId="45" customBuiltin="1"/>
    <cellStyle name="Accent5 - 20%" xfId="307" xr:uid="{00000000-0005-0000-0000-00002C150000}"/>
    <cellStyle name="Accent5 - 20% 10" xfId="308" xr:uid="{00000000-0005-0000-0000-00002D150000}"/>
    <cellStyle name="Accent5 - 20% 11" xfId="309" xr:uid="{00000000-0005-0000-0000-00002E150000}"/>
    <cellStyle name="Accent5 - 20% 12" xfId="310" xr:uid="{00000000-0005-0000-0000-00002F150000}"/>
    <cellStyle name="Accent5 - 20% 13" xfId="311" xr:uid="{00000000-0005-0000-0000-000030150000}"/>
    <cellStyle name="Accent5 - 20% 14" xfId="312" xr:uid="{00000000-0005-0000-0000-000031150000}"/>
    <cellStyle name="Accent5 - 20% 15" xfId="313" xr:uid="{00000000-0005-0000-0000-000032150000}"/>
    <cellStyle name="Accent5 - 20% 16" xfId="314" xr:uid="{00000000-0005-0000-0000-000033150000}"/>
    <cellStyle name="Accent5 - 20% 17" xfId="315" xr:uid="{00000000-0005-0000-0000-000034150000}"/>
    <cellStyle name="Accent5 - 20% 18" xfId="316" xr:uid="{00000000-0005-0000-0000-000035150000}"/>
    <cellStyle name="Accent5 - 20% 19" xfId="317" xr:uid="{00000000-0005-0000-0000-000036150000}"/>
    <cellStyle name="Accent5 - 20% 2" xfId="318" xr:uid="{00000000-0005-0000-0000-000037150000}"/>
    <cellStyle name="Accent5 - 20% 20" xfId="319" xr:uid="{00000000-0005-0000-0000-000038150000}"/>
    <cellStyle name="Accent5 - 20% 3" xfId="320" xr:uid="{00000000-0005-0000-0000-000039150000}"/>
    <cellStyle name="Accent5 - 20% 4" xfId="321" xr:uid="{00000000-0005-0000-0000-00003A150000}"/>
    <cellStyle name="Accent5 - 20% 5" xfId="322" xr:uid="{00000000-0005-0000-0000-00003B150000}"/>
    <cellStyle name="Accent5 - 20% 6" xfId="323" xr:uid="{00000000-0005-0000-0000-00003C150000}"/>
    <cellStyle name="Accent5 - 20% 7" xfId="324" xr:uid="{00000000-0005-0000-0000-00003D150000}"/>
    <cellStyle name="Accent5 - 20% 8" xfId="325" xr:uid="{00000000-0005-0000-0000-00003E150000}"/>
    <cellStyle name="Accent5 - 20% 9" xfId="326" xr:uid="{00000000-0005-0000-0000-00003F150000}"/>
    <cellStyle name="Accent5 - 20%_Sheet2" xfId="327" xr:uid="{00000000-0005-0000-0000-000040150000}"/>
    <cellStyle name="Accent5 - 40%" xfId="328" xr:uid="{00000000-0005-0000-0000-000041150000}"/>
    <cellStyle name="Accent5 - 60%" xfId="329" xr:uid="{00000000-0005-0000-0000-000042150000}"/>
    <cellStyle name="Accent5 - 60% 10" xfId="330" xr:uid="{00000000-0005-0000-0000-000043150000}"/>
    <cellStyle name="Accent5 - 60% 11" xfId="331" xr:uid="{00000000-0005-0000-0000-000044150000}"/>
    <cellStyle name="Accent5 - 60% 12" xfId="332" xr:uid="{00000000-0005-0000-0000-000045150000}"/>
    <cellStyle name="Accent5 - 60% 13" xfId="333" xr:uid="{00000000-0005-0000-0000-000046150000}"/>
    <cellStyle name="Accent5 - 60% 14" xfId="334" xr:uid="{00000000-0005-0000-0000-000047150000}"/>
    <cellStyle name="Accent5 - 60% 15" xfId="335" xr:uid="{00000000-0005-0000-0000-000048150000}"/>
    <cellStyle name="Accent5 - 60% 16" xfId="336" xr:uid="{00000000-0005-0000-0000-000049150000}"/>
    <cellStyle name="Accent5 - 60% 17" xfId="337" xr:uid="{00000000-0005-0000-0000-00004A150000}"/>
    <cellStyle name="Accent5 - 60% 18" xfId="338" xr:uid="{00000000-0005-0000-0000-00004B150000}"/>
    <cellStyle name="Accent5 - 60% 19" xfId="339" xr:uid="{00000000-0005-0000-0000-00004C150000}"/>
    <cellStyle name="Accent5 - 60% 2" xfId="340" xr:uid="{00000000-0005-0000-0000-00004D150000}"/>
    <cellStyle name="Accent5 - 60% 20" xfId="341" xr:uid="{00000000-0005-0000-0000-00004E150000}"/>
    <cellStyle name="Accent5 - 60% 3" xfId="342" xr:uid="{00000000-0005-0000-0000-00004F150000}"/>
    <cellStyle name="Accent5 - 60% 4" xfId="343" xr:uid="{00000000-0005-0000-0000-000050150000}"/>
    <cellStyle name="Accent5 - 60% 5" xfId="344" xr:uid="{00000000-0005-0000-0000-000051150000}"/>
    <cellStyle name="Accent5 - 60% 6" xfId="345" xr:uid="{00000000-0005-0000-0000-000052150000}"/>
    <cellStyle name="Accent5 - 60% 7" xfId="346" xr:uid="{00000000-0005-0000-0000-000053150000}"/>
    <cellStyle name="Accent5 - 60% 8" xfId="347" xr:uid="{00000000-0005-0000-0000-000054150000}"/>
    <cellStyle name="Accent5 - 60% 9" xfId="348" xr:uid="{00000000-0005-0000-0000-000055150000}"/>
    <cellStyle name="Accent5 - 60%_Sheet2" xfId="349" xr:uid="{00000000-0005-0000-0000-000056150000}"/>
    <cellStyle name="Accent5 10" xfId="6784" xr:uid="{00000000-0005-0000-0000-000057150000}"/>
    <cellStyle name="Accent5 11" xfId="6826" xr:uid="{00000000-0005-0000-0000-000058150000}"/>
    <cellStyle name="Accent5 12" xfId="6763" xr:uid="{00000000-0005-0000-0000-000059150000}"/>
    <cellStyle name="Accent5 13" xfId="6805" xr:uid="{00000000-0005-0000-0000-00005A150000}"/>
    <cellStyle name="Accent5 14" xfId="6756" xr:uid="{00000000-0005-0000-0000-00005B150000}"/>
    <cellStyle name="Accent5 15" xfId="7864" xr:uid="{00000000-0005-0000-0000-00005C150000}"/>
    <cellStyle name="Accent5 16" xfId="7865" xr:uid="{00000000-0005-0000-0000-00005D150000}"/>
    <cellStyle name="Accent5 17" xfId="7866" xr:uid="{00000000-0005-0000-0000-00005E150000}"/>
    <cellStyle name="Accent5 18" xfId="7867" xr:uid="{00000000-0005-0000-0000-00005F150000}"/>
    <cellStyle name="Accent5 19" xfId="7868" xr:uid="{00000000-0005-0000-0000-000060150000}"/>
    <cellStyle name="Accent5 2" xfId="350" xr:uid="{00000000-0005-0000-0000-000061150000}"/>
    <cellStyle name="Accent5 20" xfId="7869" xr:uid="{00000000-0005-0000-0000-000062150000}"/>
    <cellStyle name="Accent5 3" xfId="351" xr:uid="{00000000-0005-0000-0000-000063150000}"/>
    <cellStyle name="Accent5 4" xfId="6335" xr:uid="{00000000-0005-0000-0000-000064150000}"/>
    <cellStyle name="Accent5 5" xfId="6832" xr:uid="{00000000-0005-0000-0000-000065150000}"/>
    <cellStyle name="Accent5 6" xfId="6796" xr:uid="{00000000-0005-0000-0000-000066150000}"/>
    <cellStyle name="Accent5 7" xfId="6814" xr:uid="{00000000-0005-0000-0000-000067150000}"/>
    <cellStyle name="Accent5 8" xfId="6790" xr:uid="{00000000-0005-0000-0000-000068150000}"/>
    <cellStyle name="Accent5 9" xfId="6820" xr:uid="{00000000-0005-0000-0000-000069150000}"/>
    <cellStyle name="Accent6" xfId="11310" builtinId="49" customBuiltin="1"/>
    <cellStyle name="Accent6 - 20%" xfId="352" xr:uid="{00000000-0005-0000-0000-00006B150000}"/>
    <cellStyle name="Accent6 - 40%" xfId="353" xr:uid="{00000000-0005-0000-0000-00006C150000}"/>
    <cellStyle name="Accent6 - 40% 10" xfId="354" xr:uid="{00000000-0005-0000-0000-00006D150000}"/>
    <cellStyle name="Accent6 - 40% 11" xfId="355" xr:uid="{00000000-0005-0000-0000-00006E150000}"/>
    <cellStyle name="Accent6 - 40% 12" xfId="356" xr:uid="{00000000-0005-0000-0000-00006F150000}"/>
    <cellStyle name="Accent6 - 40% 13" xfId="357" xr:uid="{00000000-0005-0000-0000-000070150000}"/>
    <cellStyle name="Accent6 - 40% 14" xfId="358" xr:uid="{00000000-0005-0000-0000-000071150000}"/>
    <cellStyle name="Accent6 - 40% 15" xfId="359" xr:uid="{00000000-0005-0000-0000-000072150000}"/>
    <cellStyle name="Accent6 - 40% 16" xfId="360" xr:uid="{00000000-0005-0000-0000-000073150000}"/>
    <cellStyle name="Accent6 - 40% 17" xfId="361" xr:uid="{00000000-0005-0000-0000-000074150000}"/>
    <cellStyle name="Accent6 - 40% 18" xfId="362" xr:uid="{00000000-0005-0000-0000-000075150000}"/>
    <cellStyle name="Accent6 - 40% 19" xfId="363" xr:uid="{00000000-0005-0000-0000-000076150000}"/>
    <cellStyle name="Accent6 - 40% 2" xfId="364" xr:uid="{00000000-0005-0000-0000-000077150000}"/>
    <cellStyle name="Accent6 - 40% 20" xfId="365" xr:uid="{00000000-0005-0000-0000-000078150000}"/>
    <cellStyle name="Accent6 - 40% 3" xfId="366" xr:uid="{00000000-0005-0000-0000-000079150000}"/>
    <cellStyle name="Accent6 - 40% 4" xfId="367" xr:uid="{00000000-0005-0000-0000-00007A150000}"/>
    <cellStyle name="Accent6 - 40% 5" xfId="368" xr:uid="{00000000-0005-0000-0000-00007B150000}"/>
    <cellStyle name="Accent6 - 40% 6" xfId="369" xr:uid="{00000000-0005-0000-0000-00007C150000}"/>
    <cellStyle name="Accent6 - 40% 7" xfId="370" xr:uid="{00000000-0005-0000-0000-00007D150000}"/>
    <cellStyle name="Accent6 - 40% 8" xfId="371" xr:uid="{00000000-0005-0000-0000-00007E150000}"/>
    <cellStyle name="Accent6 - 40% 9" xfId="372" xr:uid="{00000000-0005-0000-0000-00007F150000}"/>
    <cellStyle name="Accent6 - 40%_Sheet2" xfId="373" xr:uid="{00000000-0005-0000-0000-000080150000}"/>
    <cellStyle name="Accent6 - 60%" xfId="374" xr:uid="{00000000-0005-0000-0000-000081150000}"/>
    <cellStyle name="Accent6 - 60% 10" xfId="375" xr:uid="{00000000-0005-0000-0000-000082150000}"/>
    <cellStyle name="Accent6 - 60% 11" xfId="376" xr:uid="{00000000-0005-0000-0000-000083150000}"/>
    <cellStyle name="Accent6 - 60% 12" xfId="377" xr:uid="{00000000-0005-0000-0000-000084150000}"/>
    <cellStyle name="Accent6 - 60% 13" xfId="378" xr:uid="{00000000-0005-0000-0000-000085150000}"/>
    <cellStyle name="Accent6 - 60% 14" xfId="379" xr:uid="{00000000-0005-0000-0000-000086150000}"/>
    <cellStyle name="Accent6 - 60% 15" xfId="380" xr:uid="{00000000-0005-0000-0000-000087150000}"/>
    <cellStyle name="Accent6 - 60% 16" xfId="381" xr:uid="{00000000-0005-0000-0000-000088150000}"/>
    <cellStyle name="Accent6 - 60% 17" xfId="382" xr:uid="{00000000-0005-0000-0000-000089150000}"/>
    <cellStyle name="Accent6 - 60% 18" xfId="383" xr:uid="{00000000-0005-0000-0000-00008A150000}"/>
    <cellStyle name="Accent6 - 60% 19" xfId="384" xr:uid="{00000000-0005-0000-0000-00008B150000}"/>
    <cellStyle name="Accent6 - 60% 2" xfId="385" xr:uid="{00000000-0005-0000-0000-00008C150000}"/>
    <cellStyle name="Accent6 - 60% 20" xfId="386" xr:uid="{00000000-0005-0000-0000-00008D150000}"/>
    <cellStyle name="Accent6 - 60% 3" xfId="387" xr:uid="{00000000-0005-0000-0000-00008E150000}"/>
    <cellStyle name="Accent6 - 60% 4" xfId="388" xr:uid="{00000000-0005-0000-0000-00008F150000}"/>
    <cellStyle name="Accent6 - 60% 5" xfId="389" xr:uid="{00000000-0005-0000-0000-000090150000}"/>
    <cellStyle name="Accent6 - 60% 6" xfId="390" xr:uid="{00000000-0005-0000-0000-000091150000}"/>
    <cellStyle name="Accent6 - 60% 7" xfId="391" xr:uid="{00000000-0005-0000-0000-000092150000}"/>
    <cellStyle name="Accent6 - 60% 8" xfId="392" xr:uid="{00000000-0005-0000-0000-000093150000}"/>
    <cellStyle name="Accent6 - 60% 9" xfId="393" xr:uid="{00000000-0005-0000-0000-000094150000}"/>
    <cellStyle name="Accent6 - 60%_Sheet2" xfId="394" xr:uid="{00000000-0005-0000-0000-000095150000}"/>
    <cellStyle name="Accent6 10" xfId="6783" xr:uid="{00000000-0005-0000-0000-000096150000}"/>
    <cellStyle name="Accent6 11" xfId="6827" xr:uid="{00000000-0005-0000-0000-000097150000}"/>
    <cellStyle name="Accent6 12" xfId="6762" xr:uid="{00000000-0005-0000-0000-000098150000}"/>
    <cellStyle name="Accent6 13" xfId="6806" xr:uid="{00000000-0005-0000-0000-000099150000}"/>
    <cellStyle name="Accent6 14" xfId="6755" xr:uid="{00000000-0005-0000-0000-00009A150000}"/>
    <cellStyle name="Accent6 15" xfId="7870" xr:uid="{00000000-0005-0000-0000-00009B150000}"/>
    <cellStyle name="Accent6 16" xfId="7871" xr:uid="{00000000-0005-0000-0000-00009C150000}"/>
    <cellStyle name="Accent6 17" xfId="7872" xr:uid="{00000000-0005-0000-0000-00009D150000}"/>
    <cellStyle name="Accent6 18" xfId="7873" xr:uid="{00000000-0005-0000-0000-00009E150000}"/>
    <cellStyle name="Accent6 19" xfId="7874" xr:uid="{00000000-0005-0000-0000-00009F150000}"/>
    <cellStyle name="Accent6 2" xfId="395" xr:uid="{00000000-0005-0000-0000-0000A0150000}"/>
    <cellStyle name="Accent6 20" xfId="7875" xr:uid="{00000000-0005-0000-0000-0000A1150000}"/>
    <cellStyle name="Accent6 3" xfId="396" xr:uid="{00000000-0005-0000-0000-0000A2150000}"/>
    <cellStyle name="Accent6 4" xfId="6336" xr:uid="{00000000-0005-0000-0000-0000A3150000}"/>
    <cellStyle name="Accent6 5" xfId="6833" xr:uid="{00000000-0005-0000-0000-0000A4150000}"/>
    <cellStyle name="Accent6 6" xfId="6795" xr:uid="{00000000-0005-0000-0000-0000A5150000}"/>
    <cellStyle name="Accent6 7" xfId="6815" xr:uid="{00000000-0005-0000-0000-0000A6150000}"/>
    <cellStyle name="Accent6 8" xfId="6789" xr:uid="{00000000-0005-0000-0000-0000A7150000}"/>
    <cellStyle name="Accent6 9" xfId="6821" xr:uid="{00000000-0005-0000-0000-0000A8150000}"/>
    <cellStyle name="Account[0]" xfId="11217" xr:uid="{00000000-0005-0000-0000-0000A9150000}"/>
    <cellStyle name="Account[1]" xfId="11218" xr:uid="{00000000-0005-0000-0000-0000AA150000}"/>
    <cellStyle name="Account[2]" xfId="11219" xr:uid="{00000000-0005-0000-0000-0000AB150000}"/>
    <cellStyle name="Account[3]" xfId="11220" xr:uid="{00000000-0005-0000-0000-0000AC150000}"/>
    <cellStyle name="Actual data" xfId="4087" xr:uid="{00000000-0005-0000-0000-0000AD150000}"/>
    <cellStyle name="Actual year" xfId="4088" xr:uid="{00000000-0005-0000-0000-0000AE150000}"/>
    <cellStyle name="Actual year 2" xfId="6337" xr:uid="{00000000-0005-0000-0000-0000AF150000}"/>
    <cellStyle name="Actual year 2 2" xfId="7876" xr:uid="{00000000-0005-0000-0000-0000B0150000}"/>
    <cellStyle name="Actual year 2 3" xfId="7877" xr:uid="{00000000-0005-0000-0000-0000B1150000}"/>
    <cellStyle name="Actual year 3" xfId="7262" xr:uid="{00000000-0005-0000-0000-0000B2150000}"/>
    <cellStyle name="Actual year 3 2" xfId="7878" xr:uid="{00000000-0005-0000-0000-0000B3150000}"/>
    <cellStyle name="Actual year 3 3" xfId="7879" xr:uid="{00000000-0005-0000-0000-0000B4150000}"/>
    <cellStyle name="Actual year 4" xfId="7880" xr:uid="{00000000-0005-0000-0000-0000B5150000}"/>
    <cellStyle name="Actual year 4 2" xfId="7881" xr:uid="{00000000-0005-0000-0000-0000B6150000}"/>
    <cellStyle name="Actual year 4 3" xfId="7882" xr:uid="{00000000-0005-0000-0000-0000B7150000}"/>
    <cellStyle name="Actual year 5" xfId="7883" xr:uid="{00000000-0005-0000-0000-0000B8150000}"/>
    <cellStyle name="Actual year 6" xfId="7884" xr:uid="{00000000-0005-0000-0000-0000B9150000}"/>
    <cellStyle name="Actual year 7" xfId="7885" xr:uid="{00000000-0005-0000-0000-0000BA150000}"/>
    <cellStyle name="Actuals Cells" xfId="4089" xr:uid="{00000000-0005-0000-0000-0000BB150000}"/>
    <cellStyle name="ÅëÈ­ [0]_µ¥ÀÌÅ¸" xfId="11221" xr:uid="{00000000-0005-0000-0000-0000BC150000}"/>
    <cellStyle name="ÅëÈ­_µ¥ÀÌÅ¸" xfId="11222" xr:uid="{00000000-0005-0000-0000-0000BD150000}"/>
    <cellStyle name="AFE" xfId="4090" xr:uid="{00000000-0005-0000-0000-0000BE150000}"/>
    <cellStyle name="AFE 2" xfId="6338" xr:uid="{00000000-0005-0000-0000-0000BF150000}"/>
    <cellStyle name="afl" xfId="7554" xr:uid="{00000000-0005-0000-0000-0000C0150000}"/>
    <cellStyle name="AH?aao?W3s£g2" xfId="6339" xr:uid="{00000000-0005-0000-0000-0000C1150000}"/>
    <cellStyle name="AH?aao?W3s2" xfId="6340" xr:uid="{00000000-0005-0000-0000-0000C2150000}"/>
    <cellStyle name="ÀH«áªº¶W³sµ²" xfId="6341" xr:uid="{00000000-0005-0000-0000-0000C3150000}"/>
    <cellStyle name="Andre's Title" xfId="7555" xr:uid="{00000000-0005-0000-0000-0000C4150000}"/>
    <cellStyle name="ArialNormal" xfId="11223" xr:uid="{00000000-0005-0000-0000-0000C5150000}"/>
    <cellStyle name="ÄÞ¸¶ [0]_µ¥ÀÌÅ¸" xfId="11224" xr:uid="{00000000-0005-0000-0000-0000C6150000}"/>
    <cellStyle name="ÄÞ¸¶_µ¥ÀÌÅ¸" xfId="11225" xr:uid="{00000000-0005-0000-0000-0000C7150000}"/>
    <cellStyle name="B" xfId="4091" xr:uid="{00000000-0005-0000-0000-0000C8150000}"/>
    <cellStyle name="b 2" xfId="6342" xr:uid="{00000000-0005-0000-0000-0000C9150000}"/>
    <cellStyle name="B 3" xfId="7263" xr:uid="{00000000-0005-0000-0000-0000CA150000}"/>
    <cellStyle name="B_GSJBW 250506hub3" xfId="7264" xr:uid="{00000000-0005-0000-0000-0000CB150000}"/>
    <cellStyle name="Bad" xfId="11280" builtinId="27" customBuiltin="1"/>
    <cellStyle name="Bad 2" xfId="397" xr:uid="{00000000-0005-0000-0000-0000CD150000}"/>
    <cellStyle name="Bad 3" xfId="6343" xr:uid="{00000000-0005-0000-0000-0000CE150000}"/>
    <cellStyle name="Bad 4" xfId="7886" xr:uid="{00000000-0005-0000-0000-0000CF150000}"/>
    <cellStyle name="Bad 5" xfId="7887" xr:uid="{00000000-0005-0000-0000-0000D0150000}"/>
    <cellStyle name="Balance" xfId="7888" xr:uid="{00000000-0005-0000-0000-0000D1150000}"/>
    <cellStyle name="Balance Sheet" xfId="7889" xr:uid="{00000000-0005-0000-0000-0000D2150000}"/>
    <cellStyle name="Balance Sheet 2" xfId="7890" xr:uid="{00000000-0005-0000-0000-0000D3150000}"/>
    <cellStyle name="BALANCE VER" xfId="11226" xr:uid="{00000000-0005-0000-0000-0000D4150000}"/>
    <cellStyle name="BalanceSheet" xfId="7891" xr:uid="{00000000-0005-0000-0000-0000D5150000}"/>
    <cellStyle name="Best" xfId="398" xr:uid="{00000000-0005-0000-0000-0000D6150000}"/>
    <cellStyle name="Blank" xfId="4092" xr:uid="{00000000-0005-0000-0000-0000D7150000}"/>
    <cellStyle name="blp_column_header" xfId="11319" xr:uid="{00000000-0005-0000-0000-0000D8150000}"/>
    <cellStyle name="Blue" xfId="4093" xr:uid="{00000000-0005-0000-0000-0000D9150000}"/>
    <cellStyle name="Blue 2" xfId="7265" xr:uid="{00000000-0005-0000-0000-0000DA150000}"/>
    <cellStyle name="Blue heading" xfId="7266" xr:uid="{00000000-0005-0000-0000-0000DB150000}"/>
    <cellStyle name="Blue Title" xfId="7556" xr:uid="{00000000-0005-0000-0000-0000DC150000}"/>
    <cellStyle name="Bold/Border" xfId="4094" xr:uid="{00000000-0005-0000-0000-0000DD150000}"/>
    <cellStyle name="Bold/Border 2" xfId="7645" xr:uid="{00000000-0005-0000-0000-0000DE150000}"/>
    <cellStyle name="Bullet" xfId="4095" xr:uid="{00000000-0005-0000-0000-0000DF150000}"/>
    <cellStyle name="Bullet 2" xfId="6344" xr:uid="{00000000-0005-0000-0000-0000E0150000}"/>
    <cellStyle name="c" xfId="6345" xr:uid="{00000000-0005-0000-0000-0000E1150000}"/>
    <cellStyle name="Ç¥ÁØ_±¹¹®¿¬°á" xfId="11227" xr:uid="{00000000-0005-0000-0000-0000E2150000}"/>
    <cellStyle name="Calc Cells" xfId="4096" xr:uid="{00000000-0005-0000-0000-0000E3150000}"/>
    <cellStyle name="Calc Currency (0)" xfId="6346" xr:uid="{00000000-0005-0000-0000-0000E4150000}"/>
    <cellStyle name="Calc_0dp" xfId="11228" xr:uid="{00000000-0005-0000-0000-0000E5150000}"/>
    <cellStyle name="Calculation" xfId="11284" builtinId="22" customBuiltin="1"/>
    <cellStyle name="Calculation 2" xfId="399" xr:uid="{00000000-0005-0000-0000-0000E7150000}"/>
    <cellStyle name="Calculation 2 2" xfId="7892" xr:uid="{00000000-0005-0000-0000-0000E8150000}"/>
    <cellStyle name="Calculation 2 3" xfId="7893" xr:uid="{00000000-0005-0000-0000-0000E9150000}"/>
    <cellStyle name="Calculation 2 4" xfId="7894" xr:uid="{00000000-0005-0000-0000-0000EA150000}"/>
    <cellStyle name="Calculation 3" xfId="6347" xr:uid="{00000000-0005-0000-0000-0000EB150000}"/>
    <cellStyle name="Calculation 3 2" xfId="7895" xr:uid="{00000000-0005-0000-0000-0000EC150000}"/>
    <cellStyle name="Calculation 3 3" xfId="7896" xr:uid="{00000000-0005-0000-0000-0000ED150000}"/>
    <cellStyle name="Calculation 3 4" xfId="7897" xr:uid="{00000000-0005-0000-0000-0000EE150000}"/>
    <cellStyle name="Calculation 4" xfId="7898" xr:uid="{00000000-0005-0000-0000-0000EF150000}"/>
    <cellStyle name="Calculation 4 2" xfId="7899" xr:uid="{00000000-0005-0000-0000-0000F0150000}"/>
    <cellStyle name="Calculation 4 3" xfId="7900" xr:uid="{00000000-0005-0000-0000-0000F1150000}"/>
    <cellStyle name="Calculation 4 4" xfId="7901" xr:uid="{00000000-0005-0000-0000-0000F2150000}"/>
    <cellStyle name="Case" xfId="7557" xr:uid="{00000000-0005-0000-0000-0000F3150000}"/>
    <cellStyle name="CashFlow" xfId="7902" xr:uid="{00000000-0005-0000-0000-0000F4150000}"/>
    <cellStyle name="category" xfId="6348" xr:uid="{00000000-0005-0000-0000-0000F5150000}"/>
    <cellStyle name="CATV Total" xfId="7267" xr:uid="{00000000-0005-0000-0000-0000F6150000}"/>
    <cellStyle name="Change A&amp;ll" xfId="6349" xr:uid="{00000000-0005-0000-0000-0000F7150000}"/>
    <cellStyle name="Check" xfId="7903" xr:uid="{00000000-0005-0000-0000-0000F8150000}"/>
    <cellStyle name="Check Cell" xfId="11286" builtinId="23" customBuiltin="1"/>
    <cellStyle name="Check Cell 2" xfId="400" xr:uid="{00000000-0005-0000-0000-0000FA150000}"/>
    <cellStyle name="Check Cell 3" xfId="6350" xr:uid="{00000000-0005-0000-0000-0000FB150000}"/>
    <cellStyle name="Check Cell 4" xfId="7904" xr:uid="{00000000-0005-0000-0000-0000FC150000}"/>
    <cellStyle name="CHN" xfId="6351" xr:uid="{00000000-0005-0000-0000-0000FD150000}"/>
    <cellStyle name="Co. Names" xfId="7558" xr:uid="{00000000-0005-0000-0000-0000FE150000}"/>
    <cellStyle name="Co. Names - Bold" xfId="7559" xr:uid="{00000000-0005-0000-0000-0000FF150000}"/>
    <cellStyle name="Co. Names_Blend" xfId="7560" xr:uid="{00000000-0005-0000-0000-000000160000}"/>
    <cellStyle name="Col Head" xfId="7561" xr:uid="{00000000-0005-0000-0000-000001160000}"/>
    <cellStyle name="ColGap" xfId="7268" xr:uid="{00000000-0005-0000-0000-000002160000}"/>
    <cellStyle name="ColHeadEntry" xfId="7269" xr:uid="{00000000-0005-0000-0000-000003160000}"/>
    <cellStyle name="ColHeading" xfId="6352" xr:uid="{00000000-0005-0000-0000-000004160000}"/>
    <cellStyle name="colheadleft" xfId="7905" xr:uid="{00000000-0005-0000-0000-000005160000}"/>
    <cellStyle name="colheadright" xfId="7906" xr:uid="{00000000-0005-0000-0000-000006160000}"/>
    <cellStyle name="ColHeadYear" xfId="7270" xr:uid="{00000000-0005-0000-0000-000007160000}"/>
    <cellStyle name="ColHeadYear 2" xfId="7907" xr:uid="{00000000-0005-0000-0000-000008160000}"/>
    <cellStyle name="ColHeadYear 3" xfId="7908" xr:uid="{00000000-0005-0000-0000-000009160000}"/>
    <cellStyle name="ColLevel_0" xfId="6353" xr:uid="{00000000-0005-0000-0000-00000A160000}"/>
    <cellStyle name="Comma" xfId="401" builtinId="3"/>
    <cellStyle name="Comma  - Style1" xfId="6354" xr:uid="{00000000-0005-0000-0000-00000C160000}"/>
    <cellStyle name="Comma  - Style2" xfId="6355" xr:uid="{00000000-0005-0000-0000-00000D160000}"/>
    <cellStyle name="Comma  - Style3" xfId="6356" xr:uid="{00000000-0005-0000-0000-00000E160000}"/>
    <cellStyle name="Comma  - Style4" xfId="6357" xr:uid="{00000000-0005-0000-0000-00000F160000}"/>
    <cellStyle name="Comma  - Style5" xfId="6358" xr:uid="{00000000-0005-0000-0000-000010160000}"/>
    <cellStyle name="Comma  - Style6" xfId="6359" xr:uid="{00000000-0005-0000-0000-000011160000}"/>
    <cellStyle name="Comma  - Style7" xfId="6360" xr:uid="{00000000-0005-0000-0000-000012160000}"/>
    <cellStyle name="Comma  - Style8" xfId="6361" xr:uid="{00000000-0005-0000-0000-000013160000}"/>
    <cellStyle name="Comma [1]" xfId="4097" xr:uid="{00000000-0005-0000-0000-000014160000}"/>
    <cellStyle name="Comma [1] 2" xfId="7271" xr:uid="{00000000-0005-0000-0000-000015160000}"/>
    <cellStyle name="Comma 0" xfId="7272" xr:uid="{00000000-0005-0000-0000-000016160000}"/>
    <cellStyle name="Comma 0*" xfId="11229" xr:uid="{00000000-0005-0000-0000-000017160000}"/>
    <cellStyle name="Comma 0_ACCC" xfId="11230" xr:uid="{00000000-0005-0000-0000-000018160000}"/>
    <cellStyle name="Comma 10" xfId="4215" xr:uid="{00000000-0005-0000-0000-000019160000}"/>
    <cellStyle name="Comma 10 2" xfId="6930" xr:uid="{00000000-0005-0000-0000-00001A160000}"/>
    <cellStyle name="Comma 10 2 2" xfId="7637" xr:uid="{00000000-0005-0000-0000-00001B160000}"/>
    <cellStyle name="Comma 10 3" xfId="7621" xr:uid="{00000000-0005-0000-0000-00001C160000}"/>
    <cellStyle name="Comma 11" xfId="4219" xr:uid="{00000000-0005-0000-0000-00001D160000}"/>
    <cellStyle name="Comma 11 2" xfId="7622" xr:uid="{00000000-0005-0000-0000-00001E160000}"/>
    <cellStyle name="Comma 12" xfId="4221" xr:uid="{00000000-0005-0000-0000-00001F160000}"/>
    <cellStyle name="Comma 12 2" xfId="7623" xr:uid="{00000000-0005-0000-0000-000020160000}"/>
    <cellStyle name="Comma 13" xfId="6476" xr:uid="{00000000-0005-0000-0000-000021160000}"/>
    <cellStyle name="Comma 13 2" xfId="6944" xr:uid="{00000000-0005-0000-0000-000022160000}"/>
    <cellStyle name="Comma 13 2 2" xfId="7638" xr:uid="{00000000-0005-0000-0000-000023160000}"/>
    <cellStyle name="Comma 13 3" xfId="7626" xr:uid="{00000000-0005-0000-0000-000024160000}"/>
    <cellStyle name="Comma 14" xfId="6858" xr:uid="{00000000-0005-0000-0000-000025160000}"/>
    <cellStyle name="Comma 14 2" xfId="7633" xr:uid="{00000000-0005-0000-0000-000026160000}"/>
    <cellStyle name="Comma 15" xfId="6764" xr:uid="{00000000-0005-0000-0000-000027160000}"/>
    <cellStyle name="Comma 15 2" xfId="7631" xr:uid="{00000000-0005-0000-0000-000028160000}"/>
    <cellStyle name="Comma 16" xfId="6859" xr:uid="{00000000-0005-0000-0000-000029160000}"/>
    <cellStyle name="Comma 16 2" xfId="7634" xr:uid="{00000000-0005-0000-0000-00002A160000}"/>
    <cellStyle name="Comma 17" xfId="6758" xr:uid="{00000000-0005-0000-0000-00002B160000}"/>
    <cellStyle name="Comma 17 2" xfId="7630" xr:uid="{00000000-0005-0000-0000-00002C160000}"/>
    <cellStyle name="Comma 18" xfId="6862" xr:uid="{00000000-0005-0000-0000-00002D160000}"/>
    <cellStyle name="Comma 18 2" xfId="7635" xr:uid="{00000000-0005-0000-0000-00002E160000}"/>
    <cellStyle name="Comma 19" xfId="6752" xr:uid="{00000000-0005-0000-0000-00002F160000}"/>
    <cellStyle name="Comma 19 2" xfId="7629" xr:uid="{00000000-0005-0000-0000-000030160000}"/>
    <cellStyle name="Comma 2" xfId="402" xr:uid="{00000000-0005-0000-0000-000031160000}"/>
    <cellStyle name="Comma 2 2" xfId="403" xr:uid="{00000000-0005-0000-0000-000032160000}"/>
    <cellStyle name="Comma 2 2 2" xfId="6899" xr:uid="{00000000-0005-0000-0000-000033160000}"/>
    <cellStyle name="Comma 2 2 3" xfId="11344" xr:uid="{00000000-0005-0000-0000-000034160000}"/>
    <cellStyle name="Comma 2 3" xfId="404" xr:uid="{00000000-0005-0000-0000-000035160000}"/>
    <cellStyle name="Comma 2 4" xfId="7802" xr:uid="{00000000-0005-0000-0000-000036160000}"/>
    <cellStyle name="Comma 2 5" xfId="11342" xr:uid="{00000000-0005-0000-0000-000037160000}"/>
    <cellStyle name="Comma 20" xfId="6865" xr:uid="{00000000-0005-0000-0000-000038160000}"/>
    <cellStyle name="Comma 20 2" xfId="7636" xr:uid="{00000000-0005-0000-0000-000039160000}"/>
    <cellStyle name="Comma 21" xfId="6401" xr:uid="{00000000-0005-0000-0000-00003A160000}"/>
    <cellStyle name="Comma 21 2" xfId="7624" xr:uid="{00000000-0005-0000-0000-00003B160000}"/>
    <cellStyle name="Comma 22" xfId="6836" xr:uid="{00000000-0005-0000-0000-00003C160000}"/>
    <cellStyle name="Comma 22 2" xfId="7632" xr:uid="{00000000-0005-0000-0000-00003D160000}"/>
    <cellStyle name="Comma 23" xfId="6429" xr:uid="{00000000-0005-0000-0000-00003E160000}"/>
    <cellStyle name="Comma 23 2" xfId="7625" xr:uid="{00000000-0005-0000-0000-00003F160000}"/>
    <cellStyle name="Comma 24" xfId="6898" xr:uid="{00000000-0005-0000-0000-000040160000}"/>
    <cellStyle name="Comma 25" xfId="6920" xr:uid="{00000000-0005-0000-0000-000041160000}"/>
    <cellStyle name="Comma 26" xfId="6908" xr:uid="{00000000-0005-0000-0000-000042160000}"/>
    <cellStyle name="Comma 27" xfId="6919" xr:uid="{00000000-0005-0000-0000-000043160000}"/>
    <cellStyle name="Comma 28" xfId="6909" xr:uid="{00000000-0005-0000-0000-000044160000}"/>
    <cellStyle name="Comma 29" xfId="6918" xr:uid="{00000000-0005-0000-0000-000045160000}"/>
    <cellStyle name="Comma 3" xfId="405" xr:uid="{00000000-0005-0000-0000-000046160000}"/>
    <cellStyle name="Comma 3 2" xfId="7609" xr:uid="{00000000-0005-0000-0000-000047160000}"/>
    <cellStyle name="Comma 30" xfId="6910" xr:uid="{00000000-0005-0000-0000-000048160000}"/>
    <cellStyle name="Comma 31" xfId="6946" xr:uid="{00000000-0005-0000-0000-000049160000}"/>
    <cellStyle name="Comma 32" xfId="6911" xr:uid="{00000000-0005-0000-0000-00004A160000}"/>
    <cellStyle name="Comma 33" xfId="6917" xr:uid="{00000000-0005-0000-0000-00004B160000}"/>
    <cellStyle name="Comma 34" xfId="6912" xr:uid="{00000000-0005-0000-0000-00004C160000}"/>
    <cellStyle name="Comma 35" xfId="6916" xr:uid="{00000000-0005-0000-0000-00004D160000}"/>
    <cellStyle name="Comma 36" xfId="6913" xr:uid="{00000000-0005-0000-0000-00004E160000}"/>
    <cellStyle name="Comma 37" xfId="6921" xr:uid="{00000000-0005-0000-0000-00004F160000}"/>
    <cellStyle name="Comma 38" xfId="6907" xr:uid="{00000000-0005-0000-0000-000050160000}"/>
    <cellStyle name="Comma 39" xfId="6923" xr:uid="{00000000-0005-0000-0000-000051160000}"/>
    <cellStyle name="Comma 4" xfId="4192" xr:uid="{00000000-0005-0000-0000-000052160000}"/>
    <cellStyle name="Comma 4 2" xfId="7615" xr:uid="{00000000-0005-0000-0000-000053160000}"/>
    <cellStyle name="Comma 4 3" xfId="11231" xr:uid="{00000000-0005-0000-0000-000054160000}"/>
    <cellStyle name="Comma 40" xfId="6947" xr:uid="{00000000-0005-0000-0000-000055160000}"/>
    <cellStyle name="Comma 41" xfId="6954" xr:uid="{00000000-0005-0000-0000-000056160000}"/>
    <cellStyle name="Comma 42" xfId="6949" xr:uid="{00000000-0005-0000-0000-000057160000}"/>
    <cellStyle name="Comma 43" xfId="6953" xr:uid="{00000000-0005-0000-0000-000058160000}"/>
    <cellStyle name="Comma 44" xfId="6950" xr:uid="{00000000-0005-0000-0000-000059160000}"/>
    <cellStyle name="Comma 45" xfId="6957" xr:uid="{00000000-0005-0000-0000-00005A160000}"/>
    <cellStyle name="Comma 46" xfId="7347" xr:uid="{00000000-0005-0000-0000-00005B160000}"/>
    <cellStyle name="Comma 47" xfId="7352" xr:uid="{00000000-0005-0000-0000-00005C160000}"/>
    <cellStyle name="Comma 48" xfId="7351" xr:uid="{00000000-0005-0000-0000-00005D160000}"/>
    <cellStyle name="Comma 49" xfId="7601" xr:uid="{00000000-0005-0000-0000-00005E160000}"/>
    <cellStyle name="Comma 5" xfId="4195" xr:uid="{00000000-0005-0000-0000-00005F160000}"/>
    <cellStyle name="Comma 5 2" xfId="7616" xr:uid="{00000000-0005-0000-0000-000060160000}"/>
    <cellStyle name="Comma 5 3" xfId="11232" xr:uid="{00000000-0005-0000-0000-000061160000}"/>
    <cellStyle name="Comma 50" xfId="7606" xr:uid="{00000000-0005-0000-0000-000062160000}"/>
    <cellStyle name="Comma 51" xfId="7605" xr:uid="{00000000-0005-0000-0000-000063160000}"/>
    <cellStyle name="Comma 52" xfId="7608" xr:uid="{00000000-0005-0000-0000-000064160000}"/>
    <cellStyle name="Comma 53" xfId="7628" xr:uid="{00000000-0005-0000-0000-000065160000}"/>
    <cellStyle name="Comma 54" xfId="7614" xr:uid="{00000000-0005-0000-0000-000066160000}"/>
    <cellStyle name="Comma 55" xfId="7646" xr:uid="{00000000-0005-0000-0000-000067160000}"/>
    <cellStyle name="Comma 56" xfId="7647" xr:uid="{00000000-0005-0000-0000-000068160000}"/>
    <cellStyle name="Comma 57" xfId="7648" xr:uid="{00000000-0005-0000-0000-000069160000}"/>
    <cellStyle name="Comma 58" xfId="7649" xr:uid="{00000000-0005-0000-0000-00006A160000}"/>
    <cellStyle name="Comma 59" xfId="7650" xr:uid="{00000000-0005-0000-0000-00006B160000}"/>
    <cellStyle name="Comma 6" xfId="4196" xr:uid="{00000000-0005-0000-0000-00006C160000}"/>
    <cellStyle name="Comma 6 2" xfId="7617" xr:uid="{00000000-0005-0000-0000-00006D160000}"/>
    <cellStyle name="Comma 60" xfId="7651" xr:uid="{00000000-0005-0000-0000-00006E160000}"/>
    <cellStyle name="Comma 61" xfId="7652" xr:uid="{00000000-0005-0000-0000-00006F160000}"/>
    <cellStyle name="Comma 62" xfId="7653" xr:uid="{00000000-0005-0000-0000-000070160000}"/>
    <cellStyle name="Comma 63" xfId="7654" xr:uid="{00000000-0005-0000-0000-000071160000}"/>
    <cellStyle name="Comma 64" xfId="7655" xr:uid="{00000000-0005-0000-0000-000072160000}"/>
    <cellStyle name="Comma 65" xfId="7656" xr:uid="{00000000-0005-0000-0000-000073160000}"/>
    <cellStyle name="Comma 66" xfId="7657" xr:uid="{00000000-0005-0000-0000-000074160000}"/>
    <cellStyle name="Comma 67" xfId="7658" xr:uid="{00000000-0005-0000-0000-000075160000}"/>
    <cellStyle name="Comma 68" xfId="7779" xr:uid="{00000000-0005-0000-0000-000076160000}"/>
    <cellStyle name="Comma 69" xfId="7790" xr:uid="{00000000-0005-0000-0000-000077160000}"/>
    <cellStyle name="Comma 7" xfId="4203" xr:uid="{00000000-0005-0000-0000-000078160000}"/>
    <cellStyle name="Comma 7 2" xfId="7618" xr:uid="{00000000-0005-0000-0000-000079160000}"/>
    <cellStyle name="Comma 70" xfId="7787" xr:uid="{00000000-0005-0000-0000-00007A160000}"/>
    <cellStyle name="Comma 71" xfId="7788" xr:uid="{00000000-0005-0000-0000-00007B160000}"/>
    <cellStyle name="Comma 72" xfId="10399" xr:uid="{00000000-0005-0000-0000-00007C160000}"/>
    <cellStyle name="Comma 72 2" xfId="10813" xr:uid="{00000000-0005-0000-0000-00007D160000}"/>
    <cellStyle name="Comma 73" xfId="10814" xr:uid="{00000000-0005-0000-0000-00007E160000}"/>
    <cellStyle name="Comma 74" xfId="10831" xr:uid="{00000000-0005-0000-0000-00007F160000}"/>
    <cellStyle name="Comma 75" xfId="10834" xr:uid="{00000000-0005-0000-0000-000080160000}"/>
    <cellStyle name="Comma 76" xfId="11262" xr:uid="{00000000-0005-0000-0000-000081160000}"/>
    <cellStyle name="Comma 77" xfId="11317" xr:uid="{00000000-0005-0000-0000-000082160000}"/>
    <cellStyle name="Comma 77 2 2" xfId="11320" xr:uid="{00000000-0005-0000-0000-000083160000}"/>
    <cellStyle name="Comma 77 2 2 2" xfId="11323" xr:uid="{00000000-0005-0000-0000-000084160000}"/>
    <cellStyle name="Comma 78" xfId="11335" xr:uid="{00000000-0005-0000-0000-000085160000}"/>
    <cellStyle name="Comma 79" xfId="11350" xr:uid="{00000000-0005-0000-0000-000086160000}"/>
    <cellStyle name="Comma 8" xfId="4209" xr:uid="{00000000-0005-0000-0000-000087160000}"/>
    <cellStyle name="Comma 8 2" xfId="7619" xr:uid="{00000000-0005-0000-0000-000088160000}"/>
    <cellStyle name="Comma 9" xfId="4212" xr:uid="{00000000-0005-0000-0000-000089160000}"/>
    <cellStyle name="Comma 9 2" xfId="7620" xr:uid="{00000000-0005-0000-0000-00008A160000}"/>
    <cellStyle name="comma zerodec" xfId="6362" xr:uid="{00000000-0005-0000-0000-00008B160000}"/>
    <cellStyle name="Comma, 1 dec" xfId="11233" xr:uid="{00000000-0005-0000-0000-00008C160000}"/>
    <cellStyle name="Comma, 1dec" xfId="7273" xr:uid="{00000000-0005-0000-0000-00008D160000}"/>
    <cellStyle name="Comma0" xfId="7562" xr:uid="{00000000-0005-0000-0000-00008E160000}"/>
    <cellStyle name="Comment" xfId="10815" xr:uid="{00000000-0005-0000-0000-00008F160000}"/>
    <cellStyle name="Company" xfId="6363" xr:uid="{00000000-0005-0000-0000-000090160000}"/>
    <cellStyle name="Company name" xfId="4098" xr:uid="{00000000-0005-0000-0000-000091160000}"/>
    <cellStyle name="Company_Beta" xfId="6364" xr:uid="{00000000-0005-0000-0000-000092160000}"/>
    <cellStyle name="CompanyTitle" xfId="7563" xr:uid="{00000000-0005-0000-0000-000093160000}"/>
    <cellStyle name="Cover Date" xfId="11234" xr:uid="{00000000-0005-0000-0000-000094160000}"/>
    <cellStyle name="Cover Subtitle" xfId="11235" xr:uid="{00000000-0005-0000-0000-000095160000}"/>
    <cellStyle name="Cover Title" xfId="11236" xr:uid="{00000000-0005-0000-0000-000096160000}"/>
    <cellStyle name="CurRatio" xfId="6365" xr:uid="{00000000-0005-0000-0000-000097160000}"/>
    <cellStyle name="Currency [2]" xfId="7564" xr:uid="{00000000-0005-0000-0000-000098160000}"/>
    <cellStyle name="Currency [2] 2" xfId="7909" xr:uid="{00000000-0005-0000-0000-000099160000}"/>
    <cellStyle name="Currency [2] 3" xfId="7910" xr:uid="{00000000-0005-0000-0000-00009A160000}"/>
    <cellStyle name="Currency [2] 4" xfId="7911" xr:uid="{00000000-0005-0000-0000-00009B160000}"/>
    <cellStyle name="Currency 0" xfId="7274" xr:uid="{00000000-0005-0000-0000-00009C160000}"/>
    <cellStyle name="Currency 2" xfId="7275" xr:uid="{00000000-0005-0000-0000-00009D160000}"/>
    <cellStyle name="Currency 3" xfId="11237" xr:uid="{00000000-0005-0000-0000-00009E160000}"/>
    <cellStyle name="Currency0" xfId="7565" xr:uid="{00000000-0005-0000-0000-00009F160000}"/>
    <cellStyle name="Currency1" xfId="6366" xr:uid="{00000000-0005-0000-0000-0000A0160000}"/>
    <cellStyle name="Currency2" xfId="11238" xr:uid="{00000000-0005-0000-0000-0000A1160000}"/>
    <cellStyle name="d" xfId="7276" xr:uid="{00000000-0005-0000-0000-0000A2160000}"/>
    <cellStyle name="Dash" xfId="4099" xr:uid="{00000000-0005-0000-0000-0000A3160000}"/>
    <cellStyle name="Data.0" xfId="10816" xr:uid="{00000000-0005-0000-0000-0000A4160000}"/>
    <cellStyle name="Data.0 2" xfId="10817" xr:uid="{00000000-0005-0000-0000-0000A5160000}"/>
    <cellStyle name="Data_0dp" xfId="11239" xr:uid="{00000000-0005-0000-0000-0000A6160000}"/>
    <cellStyle name="DATE" xfId="7277" xr:uid="{00000000-0005-0000-0000-0000A7160000}"/>
    <cellStyle name="Date [mmm-yy]" xfId="7912" xr:uid="{00000000-0005-0000-0000-0000A8160000}"/>
    <cellStyle name="Date 2" xfId="7913" xr:uid="{00000000-0005-0000-0000-0000A9160000}"/>
    <cellStyle name="Date Aligned" xfId="7278" xr:uid="{00000000-0005-0000-0000-0000AA160000}"/>
    <cellStyle name="DateMonth" xfId="7914" xr:uid="{00000000-0005-0000-0000-0000AB160000}"/>
    <cellStyle name="Dates" xfId="7279" xr:uid="{00000000-0005-0000-0000-0000AC160000}"/>
    <cellStyle name="Dates 2" xfId="7915" xr:uid="{00000000-0005-0000-0000-0000AD160000}"/>
    <cellStyle name="DateYear" xfId="7916" xr:uid="{00000000-0005-0000-0000-0000AE160000}"/>
    <cellStyle name="DateYear 2" xfId="7917" xr:uid="{00000000-0005-0000-0000-0000AF160000}"/>
    <cellStyle name="Dec" xfId="4100" xr:uid="{00000000-0005-0000-0000-0000B0160000}"/>
    <cellStyle name="Dec 2" xfId="7280" xr:uid="{00000000-0005-0000-0000-0000B1160000}"/>
    <cellStyle name="Dec 3" xfId="7786" xr:uid="{00000000-0005-0000-0000-0000B2160000}"/>
    <cellStyle name="default" xfId="7566" xr:uid="{00000000-0005-0000-0000-0000B3160000}"/>
    <cellStyle name="Derive" xfId="11240" xr:uid="{00000000-0005-0000-0000-0000B4160000}"/>
    <cellStyle name="Dezimal_Modelluebersicht" xfId="406" xr:uid="{00000000-0005-0000-0000-0000B5160000}"/>
    <cellStyle name="d-mmm-yy" xfId="11241" xr:uid="{00000000-0005-0000-0000-0000B6160000}"/>
    <cellStyle name="Dollar" xfId="4101" xr:uid="{00000000-0005-0000-0000-0000B7160000}"/>
    <cellStyle name="Dollar (zero dec)" xfId="6368" xr:uid="{00000000-0005-0000-0000-0000B8160000}"/>
    <cellStyle name="Dollar 10" xfId="6747" xr:uid="{00000000-0005-0000-0000-0000B9160000}"/>
    <cellStyle name="Dollar 11" xfId="6807" xr:uid="{00000000-0005-0000-0000-0000BA160000}"/>
    <cellStyle name="Dollar 12" xfId="6746" xr:uid="{00000000-0005-0000-0000-0000BB160000}"/>
    <cellStyle name="Dollar 13" xfId="7281" xr:uid="{00000000-0005-0000-0000-0000BC160000}"/>
    <cellStyle name="Dollar 14" xfId="7918" xr:uid="{00000000-0005-0000-0000-0000BD160000}"/>
    <cellStyle name="Dollar 15" xfId="7919" xr:uid="{00000000-0005-0000-0000-0000BE160000}"/>
    <cellStyle name="Dollar 16" xfId="7920" xr:uid="{00000000-0005-0000-0000-0000BF160000}"/>
    <cellStyle name="Dollar 17" xfId="7921" xr:uid="{00000000-0005-0000-0000-0000C0160000}"/>
    <cellStyle name="Dollar 18" xfId="7922" xr:uid="{00000000-0005-0000-0000-0000C1160000}"/>
    <cellStyle name="Dollar 19" xfId="7923" xr:uid="{00000000-0005-0000-0000-0000C2160000}"/>
    <cellStyle name="Dollar 2" xfId="6367" xr:uid="{00000000-0005-0000-0000-0000C3160000}"/>
    <cellStyle name="Dollar 3" xfId="6841" xr:uid="{00000000-0005-0000-0000-0000C4160000}"/>
    <cellStyle name="Dollar 4" xfId="6782" xr:uid="{00000000-0005-0000-0000-0000C5160000}"/>
    <cellStyle name="Dollar 5" xfId="6835" xr:uid="{00000000-0005-0000-0000-0000C6160000}"/>
    <cellStyle name="Dollar 6" xfId="6781" xr:uid="{00000000-0005-0000-0000-0000C7160000}"/>
    <cellStyle name="Dollar 7" xfId="6837" xr:uid="{00000000-0005-0000-0000-0000C8160000}"/>
    <cellStyle name="Dollar 8" xfId="6780" xr:uid="{00000000-0005-0000-0000-0000C9160000}"/>
    <cellStyle name="Dollar 9" xfId="6840" xr:uid="{00000000-0005-0000-0000-0000CA160000}"/>
    <cellStyle name="Dollars" xfId="7924" xr:uid="{00000000-0005-0000-0000-0000CB160000}"/>
    <cellStyle name="DollarWhole" xfId="7925" xr:uid="{00000000-0005-0000-0000-0000CC160000}"/>
    <cellStyle name="Dotted Line" xfId="7282" xr:uid="{00000000-0005-0000-0000-0000CD160000}"/>
    <cellStyle name="E&amp;Y House" xfId="6369" xr:uid="{00000000-0005-0000-0000-0000CE160000}"/>
    <cellStyle name="ec" xfId="4102" xr:uid="{00000000-0005-0000-0000-0000CF160000}"/>
    <cellStyle name="emp" xfId="7567" xr:uid="{00000000-0005-0000-0000-0000D0160000}"/>
    <cellStyle name="Emphasis 1" xfId="407" xr:uid="{00000000-0005-0000-0000-0000D1160000}"/>
    <cellStyle name="Emphasis 1 10" xfId="408" xr:uid="{00000000-0005-0000-0000-0000D2160000}"/>
    <cellStyle name="Emphasis 1 11" xfId="409" xr:uid="{00000000-0005-0000-0000-0000D3160000}"/>
    <cellStyle name="Emphasis 1 12" xfId="410" xr:uid="{00000000-0005-0000-0000-0000D4160000}"/>
    <cellStyle name="Emphasis 1 13" xfId="411" xr:uid="{00000000-0005-0000-0000-0000D5160000}"/>
    <cellStyle name="Emphasis 1 14" xfId="412" xr:uid="{00000000-0005-0000-0000-0000D6160000}"/>
    <cellStyle name="Emphasis 1 15" xfId="413" xr:uid="{00000000-0005-0000-0000-0000D7160000}"/>
    <cellStyle name="Emphasis 1 16" xfId="414" xr:uid="{00000000-0005-0000-0000-0000D8160000}"/>
    <cellStyle name="Emphasis 1 17" xfId="415" xr:uid="{00000000-0005-0000-0000-0000D9160000}"/>
    <cellStyle name="Emphasis 1 18" xfId="416" xr:uid="{00000000-0005-0000-0000-0000DA160000}"/>
    <cellStyle name="Emphasis 1 19" xfId="417" xr:uid="{00000000-0005-0000-0000-0000DB160000}"/>
    <cellStyle name="Emphasis 1 2" xfId="418" xr:uid="{00000000-0005-0000-0000-0000DC160000}"/>
    <cellStyle name="Emphasis 1 20" xfId="419" xr:uid="{00000000-0005-0000-0000-0000DD160000}"/>
    <cellStyle name="Emphasis 1 3" xfId="420" xr:uid="{00000000-0005-0000-0000-0000DE160000}"/>
    <cellStyle name="Emphasis 1 4" xfId="421" xr:uid="{00000000-0005-0000-0000-0000DF160000}"/>
    <cellStyle name="Emphasis 1 5" xfId="422" xr:uid="{00000000-0005-0000-0000-0000E0160000}"/>
    <cellStyle name="Emphasis 1 6" xfId="423" xr:uid="{00000000-0005-0000-0000-0000E1160000}"/>
    <cellStyle name="Emphasis 1 7" xfId="424" xr:uid="{00000000-0005-0000-0000-0000E2160000}"/>
    <cellStyle name="Emphasis 1 8" xfId="425" xr:uid="{00000000-0005-0000-0000-0000E3160000}"/>
    <cellStyle name="Emphasis 1 9" xfId="426" xr:uid="{00000000-0005-0000-0000-0000E4160000}"/>
    <cellStyle name="Emphasis 1_Sheet2" xfId="427" xr:uid="{00000000-0005-0000-0000-0000E5160000}"/>
    <cellStyle name="Emphasis 2" xfId="428" xr:uid="{00000000-0005-0000-0000-0000E6160000}"/>
    <cellStyle name="Emphasis 2 10" xfId="429" xr:uid="{00000000-0005-0000-0000-0000E7160000}"/>
    <cellStyle name="Emphasis 2 11" xfId="430" xr:uid="{00000000-0005-0000-0000-0000E8160000}"/>
    <cellStyle name="Emphasis 2 12" xfId="431" xr:uid="{00000000-0005-0000-0000-0000E9160000}"/>
    <cellStyle name="Emphasis 2 13" xfId="432" xr:uid="{00000000-0005-0000-0000-0000EA160000}"/>
    <cellStyle name="Emphasis 2 14" xfId="433" xr:uid="{00000000-0005-0000-0000-0000EB160000}"/>
    <cellStyle name="Emphasis 2 15" xfId="434" xr:uid="{00000000-0005-0000-0000-0000EC160000}"/>
    <cellStyle name="Emphasis 2 16" xfId="435" xr:uid="{00000000-0005-0000-0000-0000ED160000}"/>
    <cellStyle name="Emphasis 2 17" xfId="436" xr:uid="{00000000-0005-0000-0000-0000EE160000}"/>
    <cellStyle name="Emphasis 2 18" xfId="437" xr:uid="{00000000-0005-0000-0000-0000EF160000}"/>
    <cellStyle name="Emphasis 2 19" xfId="438" xr:uid="{00000000-0005-0000-0000-0000F0160000}"/>
    <cellStyle name="Emphasis 2 2" xfId="439" xr:uid="{00000000-0005-0000-0000-0000F1160000}"/>
    <cellStyle name="Emphasis 2 20" xfId="440" xr:uid="{00000000-0005-0000-0000-0000F2160000}"/>
    <cellStyle name="Emphasis 2 3" xfId="441" xr:uid="{00000000-0005-0000-0000-0000F3160000}"/>
    <cellStyle name="Emphasis 2 4" xfId="442" xr:uid="{00000000-0005-0000-0000-0000F4160000}"/>
    <cellStyle name="Emphasis 2 5" xfId="443" xr:uid="{00000000-0005-0000-0000-0000F5160000}"/>
    <cellStyle name="Emphasis 2 6" xfId="444" xr:uid="{00000000-0005-0000-0000-0000F6160000}"/>
    <cellStyle name="Emphasis 2 7" xfId="445" xr:uid="{00000000-0005-0000-0000-0000F7160000}"/>
    <cellStyle name="Emphasis 2 8" xfId="446" xr:uid="{00000000-0005-0000-0000-0000F8160000}"/>
    <cellStyle name="Emphasis 2 9" xfId="447" xr:uid="{00000000-0005-0000-0000-0000F9160000}"/>
    <cellStyle name="Emphasis 2_Sheet2" xfId="448" xr:uid="{00000000-0005-0000-0000-0000FA160000}"/>
    <cellStyle name="Emphasis 3" xfId="449" xr:uid="{00000000-0005-0000-0000-0000FB160000}"/>
    <cellStyle name="EnterpriseTable[1]" xfId="11242" xr:uid="{00000000-0005-0000-0000-0000FC160000}"/>
    <cellStyle name="entry box" xfId="6370" xr:uid="{00000000-0005-0000-0000-0000FD160000}"/>
    <cellStyle name="EntryDesc" xfId="7283" xr:uid="{00000000-0005-0000-0000-0000FE160000}"/>
    <cellStyle name="EntryValue" xfId="7284" xr:uid="{00000000-0005-0000-0000-0000FF160000}"/>
    <cellStyle name="EntryValue 2" xfId="7926" xr:uid="{00000000-0005-0000-0000-000000170000}"/>
    <cellStyle name="EntryValue 3" xfId="7927" xr:uid="{00000000-0005-0000-0000-000001170000}"/>
    <cellStyle name="EPS" xfId="7928" xr:uid="{00000000-0005-0000-0000-000002170000}"/>
    <cellStyle name="EPSActual" xfId="7929" xr:uid="{00000000-0005-0000-0000-000003170000}"/>
    <cellStyle name="EPSEstimate" xfId="7930" xr:uid="{00000000-0005-0000-0000-000004170000}"/>
    <cellStyle name="ERROR" xfId="11243" xr:uid="{00000000-0005-0000-0000-000005170000}"/>
    <cellStyle name="Estimate" xfId="4103" xr:uid="{00000000-0005-0000-0000-000006170000}"/>
    <cellStyle name="Euro" xfId="4104" xr:uid="{00000000-0005-0000-0000-000007170000}"/>
    <cellStyle name="Explanatory Text" xfId="11288" builtinId="53" customBuiltin="1"/>
    <cellStyle name="Explanatory Text 2" xfId="450" xr:uid="{00000000-0005-0000-0000-000009170000}"/>
    <cellStyle name="Explanatory Text 3" xfId="6371" xr:uid="{00000000-0005-0000-0000-00000A170000}"/>
    <cellStyle name="Explanatory Text 4" xfId="7931" xr:uid="{00000000-0005-0000-0000-00000B170000}"/>
    <cellStyle name="External File Cells" xfId="4105" xr:uid="{00000000-0005-0000-0000-00000C170000}"/>
    <cellStyle name="External File Cells 2" xfId="6372" xr:uid="{00000000-0005-0000-0000-00000D170000}"/>
    <cellStyle name="External File Cells 2 2" xfId="7932" xr:uid="{00000000-0005-0000-0000-00000E170000}"/>
    <cellStyle name="External File Cells 2 3" xfId="7933" xr:uid="{00000000-0005-0000-0000-00000F170000}"/>
    <cellStyle name="External File Cells 3" xfId="7285" xr:uid="{00000000-0005-0000-0000-000010170000}"/>
    <cellStyle name="External File Cells 3 2" xfId="7934" xr:uid="{00000000-0005-0000-0000-000011170000}"/>
    <cellStyle name="External File Cells 3 3" xfId="7935" xr:uid="{00000000-0005-0000-0000-000012170000}"/>
    <cellStyle name="External File Cells 4" xfId="7936" xr:uid="{00000000-0005-0000-0000-000013170000}"/>
    <cellStyle name="External File Cells 4 2" xfId="7937" xr:uid="{00000000-0005-0000-0000-000014170000}"/>
    <cellStyle name="External File Cells 4 3" xfId="7938" xr:uid="{00000000-0005-0000-0000-000015170000}"/>
    <cellStyle name="External File Cells 5" xfId="7939" xr:uid="{00000000-0005-0000-0000-000016170000}"/>
    <cellStyle name="External File Cells 6" xfId="7940" xr:uid="{00000000-0005-0000-0000-000017170000}"/>
    <cellStyle name="fa_column_header_bottom_centered" xfId="11325" xr:uid="{00000000-0005-0000-0000-000018170000}"/>
    <cellStyle name="Figures[0]" xfId="11244" xr:uid="{00000000-0005-0000-0000-000019170000}"/>
    <cellStyle name="Fit" xfId="7568" xr:uid="{00000000-0005-0000-0000-00001A170000}"/>
    <cellStyle name="Fixed" xfId="4106" xr:uid="{00000000-0005-0000-0000-00001B170000}"/>
    <cellStyle name="Fixed 2" xfId="7286" xr:uid="{00000000-0005-0000-0000-00001C170000}"/>
    <cellStyle name="Footer SBILogo1" xfId="11245" xr:uid="{00000000-0005-0000-0000-00001D170000}"/>
    <cellStyle name="Footer SBILogo2" xfId="11246" xr:uid="{00000000-0005-0000-0000-00001E170000}"/>
    <cellStyle name="Footnote" xfId="7287" xr:uid="{00000000-0005-0000-0000-00001F170000}"/>
    <cellStyle name="Footnote Reference" xfId="11247" xr:uid="{00000000-0005-0000-0000-000020170000}"/>
    <cellStyle name="Footnote_ACCC" xfId="11248" xr:uid="{00000000-0005-0000-0000-000021170000}"/>
    <cellStyle name="Footnotes" xfId="7569" xr:uid="{00000000-0005-0000-0000-000022170000}"/>
    <cellStyle name="Forecast Cells" xfId="4107" xr:uid="{00000000-0005-0000-0000-000023170000}"/>
    <cellStyle name="Forecast Hardcode" xfId="4108" xr:uid="{00000000-0005-0000-0000-000024170000}"/>
    <cellStyle name="Fraction" xfId="7288" xr:uid="{00000000-0005-0000-0000-000025170000}"/>
    <cellStyle name="frv" xfId="7289" xr:uid="{00000000-0005-0000-0000-000026170000}"/>
    <cellStyle name="g" xfId="7290" xr:uid="{00000000-0005-0000-0000-000027170000}"/>
    <cellStyle name="g_GSJBW 24Oct05hub3" xfId="7291" xr:uid="{00000000-0005-0000-0000-000028170000}"/>
    <cellStyle name="G1_1999 figures" xfId="4109" xr:uid="{00000000-0005-0000-0000-000029170000}"/>
    <cellStyle name="General" xfId="4110" xr:uid="{00000000-0005-0000-0000-00002A170000}"/>
    <cellStyle name="General 2" xfId="7292" xr:uid="{00000000-0005-0000-0000-00002B170000}"/>
    <cellStyle name="Good" xfId="11279" builtinId="26" customBuiltin="1"/>
    <cellStyle name="Good 2" xfId="451" xr:uid="{00000000-0005-0000-0000-00002D170000}"/>
    <cellStyle name="Good 3" xfId="6374" xr:uid="{00000000-0005-0000-0000-00002E170000}"/>
    <cellStyle name="Good 4" xfId="7941" xr:uid="{00000000-0005-0000-0000-00002F170000}"/>
    <cellStyle name="Good 5" xfId="7942" xr:uid="{00000000-0005-0000-0000-000030170000}"/>
    <cellStyle name="Good 6" xfId="7943" xr:uid="{00000000-0005-0000-0000-000031170000}"/>
    <cellStyle name="GrandTotal" xfId="10818" xr:uid="{00000000-0005-0000-0000-000032170000}"/>
    <cellStyle name="Green" xfId="4111" xr:uid="{00000000-0005-0000-0000-000033170000}"/>
    <cellStyle name="Grey" xfId="4112" xr:uid="{00000000-0005-0000-0000-000034170000}"/>
    <cellStyle name="Grey 2" xfId="6375" xr:uid="{00000000-0005-0000-0000-000035170000}"/>
    <cellStyle name="GrowthRate" xfId="7944" xr:uid="{00000000-0005-0000-0000-000036170000}"/>
    <cellStyle name="GrowthSeq" xfId="7945" xr:uid="{00000000-0005-0000-0000-000037170000}"/>
    <cellStyle name="H_1998_col_head" xfId="4113" xr:uid="{00000000-0005-0000-0000-000038170000}"/>
    <cellStyle name="H_1998_col_head_Beta" xfId="6376" xr:uid="{00000000-0005-0000-0000-000039170000}"/>
    <cellStyle name="H_1998_col_head_Cashflow" xfId="6377" xr:uid="{00000000-0005-0000-0000-00003A170000}"/>
    <cellStyle name="H_1998_col_head_Cashflow_Honghua MSTR" xfId="6378" xr:uid="{00000000-0005-0000-0000-00003B170000}"/>
    <cellStyle name="H_1998_col_head_new-Sub" xfId="4114" xr:uid="{00000000-0005-0000-0000-00003C170000}"/>
    <cellStyle name="H_1998_col_head_P&amp;L" xfId="6379" xr:uid="{00000000-0005-0000-0000-00003D170000}"/>
    <cellStyle name="H_1998_col_head_P&amp;L_Honghua MSTR" xfId="6380" xr:uid="{00000000-0005-0000-0000-00003E170000}"/>
    <cellStyle name="H_1998_col_head_PetroChina Master" xfId="6381" xr:uid="{00000000-0005-0000-0000-00003F170000}"/>
    <cellStyle name="H_1998_col_head_PetroChina Master_WIP(20-F update)" xfId="6382" xr:uid="{00000000-0005-0000-0000-000040170000}"/>
    <cellStyle name="H_1998_col_head_PetroChina Master_WIP(20-F update)_Cashflow" xfId="6383" xr:uid="{00000000-0005-0000-0000-000041170000}"/>
    <cellStyle name="H_1998_col_head_PetroChina Master_WIP(20-F update)_Cashflow_Honghua MSTR" xfId="6384" xr:uid="{00000000-0005-0000-0000-000042170000}"/>
    <cellStyle name="H_1998_col_head_PetroChina Master_WIP(20-F update)_P&amp;L" xfId="6385" xr:uid="{00000000-0005-0000-0000-000043170000}"/>
    <cellStyle name="H_1998_col_head_PetroChina Master_WIP(20-F update)_P&amp;L_Honghua MSTR" xfId="6386" xr:uid="{00000000-0005-0000-0000-000044170000}"/>
    <cellStyle name="H_1998_col_head_PetroChina Master_WIP(20-F update)_Sinopec MSTR" xfId="6387" xr:uid="{00000000-0005-0000-0000-000045170000}"/>
    <cellStyle name="H_1998_col_head_PetroChina Master_WIP(20-F update)_Sinopec MSTR Wip" xfId="6388" xr:uid="{00000000-0005-0000-0000-000046170000}"/>
    <cellStyle name="H_1998_col_head_PetroChina Master_WIP(20-F update)_Sinopec MSTR_WIP_KK" xfId="6389" xr:uid="{00000000-0005-0000-0000-000047170000}"/>
    <cellStyle name="H_1998_col_head_Sinopec MSTR" xfId="6390" xr:uid="{00000000-0005-0000-0000-000048170000}"/>
    <cellStyle name="H_1999_col_head" xfId="4115" xr:uid="{00000000-0005-0000-0000-000049170000}"/>
    <cellStyle name="H1_1998 figures" xfId="4116" xr:uid="{00000000-0005-0000-0000-00004A170000}"/>
    <cellStyle name="hard no." xfId="7293" xr:uid="{00000000-0005-0000-0000-00004B170000}"/>
    <cellStyle name="Hard Percent" xfId="7294" xr:uid="{00000000-0005-0000-0000-00004C170000}"/>
    <cellStyle name="Head - Style2" xfId="11249" xr:uid="{00000000-0005-0000-0000-00004D170000}"/>
    <cellStyle name="HEADER" xfId="6391" xr:uid="{00000000-0005-0000-0000-00004E170000}"/>
    <cellStyle name="Header 2" xfId="7295" xr:uid="{00000000-0005-0000-0000-00004F170000}"/>
    <cellStyle name="Header Draft Stamp" xfId="11250" xr:uid="{00000000-0005-0000-0000-000050170000}"/>
    <cellStyle name="Header_ACCC" xfId="11251" xr:uid="{00000000-0005-0000-0000-000051170000}"/>
    <cellStyle name="Header1" xfId="6392" xr:uid="{00000000-0005-0000-0000-000052170000}"/>
    <cellStyle name="Header2" xfId="6393" xr:uid="{00000000-0005-0000-0000-000053170000}"/>
    <cellStyle name="Header2 2" xfId="7946" xr:uid="{00000000-0005-0000-0000-000054170000}"/>
    <cellStyle name="Header2 3" xfId="7947" xr:uid="{00000000-0005-0000-0000-000055170000}"/>
    <cellStyle name="Heading" xfId="7570" xr:uid="{00000000-0005-0000-0000-000056170000}"/>
    <cellStyle name="Heading 1" xfId="11275" builtinId="16" customBuiltin="1"/>
    <cellStyle name="Heading 1 2" xfId="452" xr:uid="{00000000-0005-0000-0000-000058170000}"/>
    <cellStyle name="Heading 1 3" xfId="6394" xr:uid="{00000000-0005-0000-0000-000059170000}"/>
    <cellStyle name="Heading 1 4" xfId="7948" xr:uid="{00000000-0005-0000-0000-00005A170000}"/>
    <cellStyle name="Heading 1 Above" xfId="11252" xr:uid="{00000000-0005-0000-0000-00005B170000}"/>
    <cellStyle name="Heading 1+" xfId="11253" xr:uid="{00000000-0005-0000-0000-00005C170000}"/>
    <cellStyle name="Heading 2" xfId="11276" builtinId="17" customBuiltin="1"/>
    <cellStyle name="Heading 2 2" xfId="453" xr:uid="{00000000-0005-0000-0000-00005E170000}"/>
    <cellStyle name="Heading 2 3" xfId="6395" xr:uid="{00000000-0005-0000-0000-00005F170000}"/>
    <cellStyle name="Heading 2 4" xfId="7949" xr:uid="{00000000-0005-0000-0000-000060170000}"/>
    <cellStyle name="Heading 2 Below" xfId="11254" xr:uid="{00000000-0005-0000-0000-000061170000}"/>
    <cellStyle name="Heading 2+" xfId="11255" xr:uid="{00000000-0005-0000-0000-000062170000}"/>
    <cellStyle name="Heading 3" xfId="11277" builtinId="18" customBuiltin="1"/>
    <cellStyle name="Heading 3 2" xfId="454" xr:uid="{00000000-0005-0000-0000-000064170000}"/>
    <cellStyle name="Heading 3 3" xfId="6396" xr:uid="{00000000-0005-0000-0000-000065170000}"/>
    <cellStyle name="Heading 3 4" xfId="7950" xr:uid="{00000000-0005-0000-0000-000066170000}"/>
    <cellStyle name="Heading 3+" xfId="11256" xr:uid="{00000000-0005-0000-0000-000067170000}"/>
    <cellStyle name="Heading 4" xfId="11278" builtinId="19" customBuiltin="1"/>
    <cellStyle name="Heading 4 2" xfId="455" xr:uid="{00000000-0005-0000-0000-000069170000}"/>
    <cellStyle name="Heading 4 3" xfId="6397" xr:uid="{00000000-0005-0000-0000-00006A170000}"/>
    <cellStyle name="Heading 4 4" xfId="7951" xr:uid="{00000000-0005-0000-0000-00006B170000}"/>
    <cellStyle name="Heading1" xfId="4117" xr:uid="{00000000-0005-0000-0000-00006C170000}"/>
    <cellStyle name="Helv" xfId="4118" xr:uid="{00000000-0005-0000-0000-00006D170000}"/>
    <cellStyle name="Helv 2" xfId="6398" xr:uid="{00000000-0005-0000-0000-00006E170000}"/>
    <cellStyle name="Hyperlink 2" xfId="7810" xr:uid="{00000000-0005-0000-0000-00006F170000}"/>
    <cellStyle name="Hyperlink 3" xfId="7952" xr:uid="{00000000-0005-0000-0000-000070170000}"/>
    <cellStyle name="Hyperlink 4" xfId="10398" xr:uid="{00000000-0005-0000-0000-000071170000}"/>
    <cellStyle name="iannumber" xfId="7296" xr:uid="{00000000-0005-0000-0000-000072170000}"/>
    <cellStyle name="ianpercent" xfId="7297" xr:uid="{00000000-0005-0000-0000-000073170000}"/>
    <cellStyle name="Income" xfId="7953" xr:uid="{00000000-0005-0000-0000-000074170000}"/>
    <cellStyle name="IncomeStatement" xfId="7954" xr:uid="{00000000-0005-0000-0000-000075170000}"/>
    <cellStyle name="Indent Bold" xfId="11257" xr:uid="{00000000-0005-0000-0000-000076170000}"/>
    <cellStyle name="Index" xfId="7955" xr:uid="{00000000-0005-0000-0000-000077170000}"/>
    <cellStyle name="Info_Main" xfId="4193" xr:uid="{00000000-0005-0000-0000-000078170000}"/>
    <cellStyle name="Input" xfId="11282" builtinId="20" customBuiltin="1"/>
    <cellStyle name="Input [yellow]" xfId="4120" xr:uid="{00000000-0005-0000-0000-00007A170000}"/>
    <cellStyle name="Input [yellow] 2" xfId="6400" xr:uid="{00000000-0005-0000-0000-00007B170000}"/>
    <cellStyle name="Input 0" xfId="11258" xr:uid="{00000000-0005-0000-0000-00007C170000}"/>
    <cellStyle name="Input 10" xfId="6846" xr:uid="{00000000-0005-0000-0000-00007D170000}"/>
    <cellStyle name="Input 11" xfId="6779" xr:uid="{00000000-0005-0000-0000-00007E170000}"/>
    <cellStyle name="Input 12" xfId="6844" xr:uid="{00000000-0005-0000-0000-00007F170000}"/>
    <cellStyle name="Input 13" xfId="6778" xr:uid="{00000000-0005-0000-0000-000080170000}"/>
    <cellStyle name="Input 14" xfId="6845" xr:uid="{00000000-0005-0000-0000-000081170000}"/>
    <cellStyle name="Input 15" xfId="6777" xr:uid="{00000000-0005-0000-0000-000082170000}"/>
    <cellStyle name="Input 16" xfId="6847" xr:uid="{00000000-0005-0000-0000-000083170000}"/>
    <cellStyle name="Input 17" xfId="6745" xr:uid="{00000000-0005-0000-0000-000084170000}"/>
    <cellStyle name="Input 18" xfId="6808" xr:uid="{00000000-0005-0000-0000-000085170000}"/>
    <cellStyle name="Input 19" xfId="6744" xr:uid="{00000000-0005-0000-0000-000086170000}"/>
    <cellStyle name="Input 2" xfId="456" xr:uid="{00000000-0005-0000-0000-000087170000}"/>
    <cellStyle name="Input 2 2" xfId="6900" xr:uid="{00000000-0005-0000-0000-000088170000}"/>
    <cellStyle name="Input 2 2 2" xfId="7956" xr:uid="{00000000-0005-0000-0000-000089170000}"/>
    <cellStyle name="Input 2 2 3" xfId="7957" xr:uid="{00000000-0005-0000-0000-00008A170000}"/>
    <cellStyle name="Input 2 2 4" xfId="7958" xr:uid="{00000000-0005-0000-0000-00008B170000}"/>
    <cellStyle name="Input 2 3" xfId="6894" xr:uid="{00000000-0005-0000-0000-00008C170000}"/>
    <cellStyle name="Input 20" xfId="6889" xr:uid="{00000000-0005-0000-0000-00008D170000}"/>
    <cellStyle name="Input 21" xfId="7803" xr:uid="{00000000-0005-0000-0000-00008E170000}"/>
    <cellStyle name="Input 21 2" xfId="7959" xr:uid="{00000000-0005-0000-0000-00008F170000}"/>
    <cellStyle name="Input 21 3" xfId="7960" xr:uid="{00000000-0005-0000-0000-000090170000}"/>
    <cellStyle name="Input 21 4" xfId="7961" xr:uid="{00000000-0005-0000-0000-000091170000}"/>
    <cellStyle name="Input 22" xfId="7962" xr:uid="{00000000-0005-0000-0000-000092170000}"/>
    <cellStyle name="Input 22 2" xfId="7963" xr:uid="{00000000-0005-0000-0000-000093170000}"/>
    <cellStyle name="Input 22 3" xfId="7964" xr:uid="{00000000-0005-0000-0000-000094170000}"/>
    <cellStyle name="Input 22 4" xfId="7965" xr:uid="{00000000-0005-0000-0000-000095170000}"/>
    <cellStyle name="Input 23" xfId="7966" xr:uid="{00000000-0005-0000-0000-000096170000}"/>
    <cellStyle name="Input 23 2" xfId="7967" xr:uid="{00000000-0005-0000-0000-000097170000}"/>
    <cellStyle name="Input 23 3" xfId="7968" xr:uid="{00000000-0005-0000-0000-000098170000}"/>
    <cellStyle name="Input 23 4" xfId="7969" xr:uid="{00000000-0005-0000-0000-000099170000}"/>
    <cellStyle name="Input 24" xfId="7970" xr:uid="{00000000-0005-0000-0000-00009A170000}"/>
    <cellStyle name="Input 24 2" xfId="7971" xr:uid="{00000000-0005-0000-0000-00009B170000}"/>
    <cellStyle name="Input 24 3" xfId="7972" xr:uid="{00000000-0005-0000-0000-00009C170000}"/>
    <cellStyle name="Input 24 4" xfId="7973" xr:uid="{00000000-0005-0000-0000-00009D170000}"/>
    <cellStyle name="Input 25" xfId="7974" xr:uid="{00000000-0005-0000-0000-00009E170000}"/>
    <cellStyle name="Input 25 2" xfId="7975" xr:uid="{00000000-0005-0000-0000-00009F170000}"/>
    <cellStyle name="Input 25 3" xfId="7976" xr:uid="{00000000-0005-0000-0000-0000A0170000}"/>
    <cellStyle name="Input 25 4" xfId="7977" xr:uid="{00000000-0005-0000-0000-0000A1170000}"/>
    <cellStyle name="Input 26" xfId="7978" xr:uid="{00000000-0005-0000-0000-0000A2170000}"/>
    <cellStyle name="Input 26 2" xfId="7979" xr:uid="{00000000-0005-0000-0000-0000A3170000}"/>
    <cellStyle name="Input 26 3" xfId="7980" xr:uid="{00000000-0005-0000-0000-0000A4170000}"/>
    <cellStyle name="Input 26 4" xfId="7981" xr:uid="{00000000-0005-0000-0000-0000A5170000}"/>
    <cellStyle name="Input 3" xfId="4119" xr:uid="{00000000-0005-0000-0000-0000A6170000}"/>
    <cellStyle name="Input 4" xfId="4188" xr:uid="{00000000-0005-0000-0000-0000A7170000}"/>
    <cellStyle name="Input 5" xfId="2590" xr:uid="{00000000-0005-0000-0000-0000A8170000}"/>
    <cellStyle name="Input 6" xfId="4197" xr:uid="{00000000-0005-0000-0000-0000A9170000}"/>
    <cellStyle name="Input 7" xfId="4201" xr:uid="{00000000-0005-0000-0000-0000AA170000}"/>
    <cellStyle name="Input 8" xfId="4200" xr:uid="{00000000-0005-0000-0000-0000AB170000}"/>
    <cellStyle name="Input 9" xfId="6399" xr:uid="{00000000-0005-0000-0000-0000AC170000}"/>
    <cellStyle name="Input Cells" xfId="4121" xr:uid="{00000000-0005-0000-0000-0000AD170000}"/>
    <cellStyle name="Input Currency" xfId="11259" xr:uid="{00000000-0005-0000-0000-0000AE170000}"/>
    <cellStyle name="Input Currency 0" xfId="11264" xr:uid="{00000000-0005-0000-0000-0000AF170000}"/>
    <cellStyle name="Input Currency 2" xfId="11265" xr:uid="{00000000-0005-0000-0000-0000B0170000}"/>
    <cellStyle name="Input Currency_summary" xfId="11266" xr:uid="{00000000-0005-0000-0000-0000B1170000}"/>
    <cellStyle name="Input Multiple" xfId="11267" xr:uid="{00000000-0005-0000-0000-0000B2170000}"/>
    <cellStyle name="Input Normal" xfId="11268" xr:uid="{00000000-0005-0000-0000-0000B3170000}"/>
    <cellStyle name="input percent" xfId="7298" xr:uid="{00000000-0005-0000-0000-0000B4170000}"/>
    <cellStyle name="Input Years" xfId="11269" xr:uid="{00000000-0005-0000-0000-0000B5170000}"/>
    <cellStyle name="InputBlueFont" xfId="4122" xr:uid="{00000000-0005-0000-0000-0000B6170000}"/>
    <cellStyle name="InputCurrency" xfId="11270" xr:uid="{00000000-0005-0000-0000-0000B7170000}"/>
    <cellStyle name="InputCurrency2" xfId="11271" xr:uid="{00000000-0005-0000-0000-0000B8170000}"/>
    <cellStyle name="InputDateDMth" xfId="11272" xr:uid="{00000000-0005-0000-0000-0000B9170000}"/>
    <cellStyle name="Inputs" xfId="7299" xr:uid="{00000000-0005-0000-0000-0000BA170000}"/>
    <cellStyle name="Integer" xfId="6402" xr:uid="{00000000-0005-0000-0000-0000BB170000}"/>
    <cellStyle name="italics" xfId="6403" xr:uid="{00000000-0005-0000-0000-0000BC170000}"/>
    <cellStyle name="Item" xfId="6404" xr:uid="{00000000-0005-0000-0000-0000BD170000}"/>
    <cellStyle name="Item Descriptions" xfId="7571" xr:uid="{00000000-0005-0000-0000-0000BE170000}"/>
    <cellStyle name="ItemTypeClass" xfId="4123" xr:uid="{00000000-0005-0000-0000-0000BF170000}"/>
    <cellStyle name="ItemTypeClass 2" xfId="7982" xr:uid="{00000000-0005-0000-0000-0000C0170000}"/>
    <cellStyle name="ItemTypeClass 3" xfId="7983" xr:uid="{00000000-0005-0000-0000-0000C1170000}"/>
    <cellStyle name="ItemTypeClass 4" xfId="7984" xr:uid="{00000000-0005-0000-0000-0000C2170000}"/>
    <cellStyle name="Joe" xfId="7300" xr:uid="{00000000-0005-0000-0000-0000C3170000}"/>
    <cellStyle name="Line" xfId="7572" xr:uid="{00000000-0005-0000-0000-0000C4170000}"/>
    <cellStyle name="Linked Cell" xfId="11285" builtinId="24" customBuiltin="1"/>
    <cellStyle name="Linked Cell 2" xfId="457" xr:uid="{00000000-0005-0000-0000-0000C6170000}"/>
    <cellStyle name="Linked Cell 3" xfId="6405" xr:uid="{00000000-0005-0000-0000-0000C7170000}"/>
    <cellStyle name="Linked Cell 4" xfId="7985" xr:uid="{00000000-0005-0000-0000-0000C8170000}"/>
    <cellStyle name="linkothers" xfId="6406" xr:uid="{00000000-0005-0000-0000-0000C9170000}"/>
    <cellStyle name="LTGR" xfId="7986" xr:uid="{00000000-0005-0000-0000-0000CA170000}"/>
    <cellStyle name="Mainhead" xfId="4124" xr:uid="{00000000-0005-0000-0000-0000CB170000}"/>
    <cellStyle name="Margin" xfId="7987" xr:uid="{00000000-0005-0000-0000-0000CC170000}"/>
    <cellStyle name="Margins" xfId="7988" xr:uid="{00000000-0005-0000-0000-0000CD170000}"/>
    <cellStyle name="Merrill" xfId="7573" xr:uid="{00000000-0005-0000-0000-0000CE170000}"/>
    <cellStyle name="Millares [0]_AUDIO" xfId="7301" xr:uid="{00000000-0005-0000-0000-0000CF170000}"/>
    <cellStyle name="Millares_AIRTEL08" xfId="7302" xr:uid="{00000000-0005-0000-0000-0000D0170000}"/>
    <cellStyle name="Milliers [0]_laroux" xfId="7303" xr:uid="{00000000-0005-0000-0000-0000D1170000}"/>
    <cellStyle name="Milliers_laroux" xfId="7304" xr:uid="{00000000-0005-0000-0000-0000D2170000}"/>
    <cellStyle name="Mix" xfId="7574" xr:uid="{00000000-0005-0000-0000-0000D3170000}"/>
    <cellStyle name="Model" xfId="6407" xr:uid="{00000000-0005-0000-0000-0000D4170000}"/>
    <cellStyle name="Moneda [0]_AUDIO" xfId="7305" xr:uid="{00000000-0005-0000-0000-0000D5170000}"/>
    <cellStyle name="Moneda_AIRTEL08" xfId="7306" xr:uid="{00000000-0005-0000-0000-0000D6170000}"/>
    <cellStyle name="Monétaire [0]_laroux" xfId="7307" xr:uid="{00000000-0005-0000-0000-0000D7170000}"/>
    <cellStyle name="Monétaire_laroux" xfId="7308" xr:uid="{00000000-0005-0000-0000-0000D8170000}"/>
    <cellStyle name="Monitor" xfId="7575" xr:uid="{00000000-0005-0000-0000-0000D9170000}"/>
    <cellStyle name="Multiple" xfId="4125" xr:uid="{00000000-0005-0000-0000-0000DA170000}"/>
    <cellStyle name="Multiple 2" xfId="7309" xr:uid="{00000000-0005-0000-0000-0000DB170000}"/>
    <cellStyle name="Name" xfId="7310" xr:uid="{00000000-0005-0000-0000-0000DC170000}"/>
    <cellStyle name="Neutral" xfId="11281" builtinId="28" customBuiltin="1"/>
    <cellStyle name="Neutral 2" xfId="458" xr:uid="{00000000-0005-0000-0000-0000DE170000}"/>
    <cellStyle name="Neutral 3" xfId="6408" xr:uid="{00000000-0005-0000-0000-0000DF170000}"/>
    <cellStyle name="Neutral 4" xfId="7989" xr:uid="{00000000-0005-0000-0000-0000E0170000}"/>
    <cellStyle name="Neutral 5" xfId="7990" xr:uid="{00000000-0005-0000-0000-0000E1170000}"/>
    <cellStyle name="NewAcct" xfId="7311" xr:uid="{00000000-0005-0000-0000-0000E2170000}"/>
    <cellStyle name="No Decimal" xfId="4126" xr:uid="{00000000-0005-0000-0000-0000E3170000}"/>
    <cellStyle name="No Decimal 2" xfId="6409" xr:uid="{00000000-0005-0000-0000-0000E4170000}"/>
    <cellStyle name="Nodec" xfId="4127" xr:uid="{00000000-0005-0000-0000-0000E5170000}"/>
    <cellStyle name="Normal" xfId="0" builtinId="0"/>
    <cellStyle name="Normal - Style1" xfId="4128" xr:uid="{00000000-0005-0000-0000-0000E7170000}"/>
    <cellStyle name="Normal - Style1 2" xfId="6410" xr:uid="{00000000-0005-0000-0000-0000E8170000}"/>
    <cellStyle name="Normal 10" xfId="4210" xr:uid="{00000000-0005-0000-0000-0000E9170000}"/>
    <cellStyle name="Normal 10 2" xfId="6927" xr:uid="{00000000-0005-0000-0000-0000EA170000}"/>
    <cellStyle name="Normal 11" xfId="4213" xr:uid="{00000000-0005-0000-0000-0000EB170000}"/>
    <cellStyle name="Normal 11 2" xfId="6928" xr:uid="{00000000-0005-0000-0000-0000EC170000}"/>
    <cellStyle name="Normal 11 2 2" xfId="7659" xr:uid="{00000000-0005-0000-0000-0000ED170000}"/>
    <cellStyle name="Normal 11 2 2 2" xfId="7660" xr:uid="{00000000-0005-0000-0000-0000EE170000}"/>
    <cellStyle name="Normal 11 2 2 2 2" xfId="7661" xr:uid="{00000000-0005-0000-0000-0000EF170000}"/>
    <cellStyle name="Normal 11 2 2 2 2 2" xfId="10843" xr:uid="{00000000-0005-0000-0000-0000F0170000}"/>
    <cellStyle name="Normal 11 2 2 2 3" xfId="10842" xr:uid="{00000000-0005-0000-0000-0000F1170000}"/>
    <cellStyle name="Normal 11 2 2 3" xfId="7662" xr:uid="{00000000-0005-0000-0000-0000F2170000}"/>
    <cellStyle name="Normal 11 2 2 3 2" xfId="7663" xr:uid="{00000000-0005-0000-0000-0000F3170000}"/>
    <cellStyle name="Normal 11 2 2 3 2 2" xfId="10845" xr:uid="{00000000-0005-0000-0000-0000F4170000}"/>
    <cellStyle name="Normal 11 2 2 3 3" xfId="10844" xr:uid="{00000000-0005-0000-0000-0000F5170000}"/>
    <cellStyle name="Normal 11 2 2 4" xfId="7664" xr:uid="{00000000-0005-0000-0000-0000F6170000}"/>
    <cellStyle name="Normal 11 2 2 4 2" xfId="10846" xr:uid="{00000000-0005-0000-0000-0000F7170000}"/>
    <cellStyle name="Normal 11 2 2 5" xfId="10841" xr:uid="{00000000-0005-0000-0000-0000F8170000}"/>
    <cellStyle name="Normal 11 2 3" xfId="7665" xr:uid="{00000000-0005-0000-0000-0000F9170000}"/>
    <cellStyle name="Normal 11 2 3 2" xfId="7666" xr:uid="{00000000-0005-0000-0000-0000FA170000}"/>
    <cellStyle name="Normal 11 2 3 2 2" xfId="10848" xr:uid="{00000000-0005-0000-0000-0000FB170000}"/>
    <cellStyle name="Normal 11 2 3 3" xfId="10847" xr:uid="{00000000-0005-0000-0000-0000FC170000}"/>
    <cellStyle name="Normal 11 2 4" xfId="7667" xr:uid="{00000000-0005-0000-0000-0000FD170000}"/>
    <cellStyle name="Normal 11 2 4 2" xfId="7668" xr:uid="{00000000-0005-0000-0000-0000FE170000}"/>
    <cellStyle name="Normal 11 2 4 2 2" xfId="10850" xr:uid="{00000000-0005-0000-0000-0000FF170000}"/>
    <cellStyle name="Normal 11 2 4 3" xfId="10849" xr:uid="{00000000-0005-0000-0000-000000180000}"/>
    <cellStyle name="Normal 11 2 5" xfId="7669" xr:uid="{00000000-0005-0000-0000-000001180000}"/>
    <cellStyle name="Normal 11 2 5 2" xfId="10851" xr:uid="{00000000-0005-0000-0000-000002180000}"/>
    <cellStyle name="Normal 11 3" xfId="7670" xr:uid="{00000000-0005-0000-0000-000003180000}"/>
    <cellStyle name="Normal 11 3 2" xfId="7671" xr:uid="{00000000-0005-0000-0000-000004180000}"/>
    <cellStyle name="Normal 11 3 2 2" xfId="7672" xr:uid="{00000000-0005-0000-0000-000005180000}"/>
    <cellStyle name="Normal 11 3 2 2 2" xfId="10854" xr:uid="{00000000-0005-0000-0000-000006180000}"/>
    <cellStyle name="Normal 11 3 2 3" xfId="10853" xr:uid="{00000000-0005-0000-0000-000007180000}"/>
    <cellStyle name="Normal 11 3 3" xfId="7673" xr:uid="{00000000-0005-0000-0000-000008180000}"/>
    <cellStyle name="Normal 11 3 3 2" xfId="7674" xr:uid="{00000000-0005-0000-0000-000009180000}"/>
    <cellStyle name="Normal 11 3 3 2 2" xfId="10856" xr:uid="{00000000-0005-0000-0000-00000A180000}"/>
    <cellStyle name="Normal 11 3 3 3" xfId="10855" xr:uid="{00000000-0005-0000-0000-00000B180000}"/>
    <cellStyle name="Normal 11 3 4" xfId="7675" xr:uid="{00000000-0005-0000-0000-00000C180000}"/>
    <cellStyle name="Normal 11 3 4 2" xfId="10857" xr:uid="{00000000-0005-0000-0000-00000D180000}"/>
    <cellStyle name="Normal 11 3 5" xfId="10852" xr:uid="{00000000-0005-0000-0000-00000E180000}"/>
    <cellStyle name="Normal 11 4" xfId="7676" xr:uid="{00000000-0005-0000-0000-00000F180000}"/>
    <cellStyle name="Normal 11 4 2" xfId="7677" xr:uid="{00000000-0005-0000-0000-000010180000}"/>
    <cellStyle name="Normal 11 4 2 2" xfId="10859" xr:uid="{00000000-0005-0000-0000-000011180000}"/>
    <cellStyle name="Normal 11 4 3" xfId="10858" xr:uid="{00000000-0005-0000-0000-000012180000}"/>
    <cellStyle name="Normal 11 5" xfId="7678" xr:uid="{00000000-0005-0000-0000-000013180000}"/>
    <cellStyle name="Normal 11 5 2" xfId="7679" xr:uid="{00000000-0005-0000-0000-000014180000}"/>
    <cellStyle name="Normal 11 5 2 2" xfId="10861" xr:uid="{00000000-0005-0000-0000-000015180000}"/>
    <cellStyle name="Normal 11 5 3" xfId="10860" xr:uid="{00000000-0005-0000-0000-000016180000}"/>
    <cellStyle name="Normal 11 6" xfId="7680" xr:uid="{00000000-0005-0000-0000-000017180000}"/>
    <cellStyle name="Normal 11 6 2" xfId="10862" xr:uid="{00000000-0005-0000-0000-000018180000}"/>
    <cellStyle name="Normal 12" xfId="4216" xr:uid="{00000000-0005-0000-0000-000019180000}"/>
    <cellStyle name="Normal 13" xfId="4217" xr:uid="{00000000-0005-0000-0000-00001A180000}"/>
    <cellStyle name="Normal 14" xfId="4222" xr:uid="{00000000-0005-0000-0000-00001B180000}"/>
    <cellStyle name="Normal 14 2" xfId="6931" xr:uid="{00000000-0005-0000-0000-00001C180000}"/>
    <cellStyle name="Normal 15" xfId="6473" xr:uid="{00000000-0005-0000-0000-00001D180000}"/>
    <cellStyle name="Normal 16" xfId="6874" xr:uid="{00000000-0005-0000-0000-00001E180000}"/>
    <cellStyle name="Normal 17" xfId="6878" xr:uid="{00000000-0005-0000-0000-00001F180000}"/>
    <cellStyle name="Normal 18" xfId="6879" xr:uid="{00000000-0005-0000-0000-000020180000}"/>
    <cellStyle name="Normal 19" xfId="6880" xr:uid="{00000000-0005-0000-0000-000021180000}"/>
    <cellStyle name="Normal 2" xfId="459" xr:uid="{00000000-0005-0000-0000-000022180000}"/>
    <cellStyle name="Normal 2 11" xfId="7642" xr:uid="{00000000-0005-0000-0000-000023180000}"/>
    <cellStyle name="Normal 2 2" xfId="460" xr:uid="{00000000-0005-0000-0000-000024180000}"/>
    <cellStyle name="Normal 2 2 2" xfId="7991" xr:uid="{00000000-0005-0000-0000-000025180000}"/>
    <cellStyle name="Normal 2 2 3" xfId="11326" xr:uid="{00000000-0005-0000-0000-000026180000}"/>
    <cellStyle name="Normal 2 3" xfId="4186" xr:uid="{00000000-0005-0000-0000-000027180000}"/>
    <cellStyle name="Normal 2 4" xfId="6901" xr:uid="{00000000-0005-0000-0000-000028180000}"/>
    <cellStyle name="Normal 2 5" xfId="7992" xr:uid="{00000000-0005-0000-0000-000029180000}"/>
    <cellStyle name="Normal 2 6" xfId="11327" xr:uid="{00000000-0005-0000-0000-00002A180000}"/>
    <cellStyle name="Normal 2 7" xfId="11345" xr:uid="{00000000-0005-0000-0000-00002B180000}"/>
    <cellStyle name="Normal 20" xfId="6881" xr:uid="{00000000-0005-0000-0000-00002C180000}"/>
    <cellStyle name="Normal 21" xfId="6882" xr:uid="{00000000-0005-0000-0000-00002D180000}"/>
    <cellStyle name="Normal 22" xfId="6870" xr:uid="{00000000-0005-0000-0000-00002E180000}"/>
    <cellStyle name="Normal 23" xfId="6884" xr:uid="{00000000-0005-0000-0000-00002F180000}"/>
    <cellStyle name="Normal 24" xfId="6885" xr:uid="{00000000-0005-0000-0000-000030180000}"/>
    <cellStyle name="Normal 25" xfId="6959" xr:uid="{00000000-0005-0000-0000-000031180000}"/>
    <cellStyle name="Normal 25 2" xfId="7681" xr:uid="{00000000-0005-0000-0000-000032180000}"/>
    <cellStyle name="Normal 25 2 2" xfId="7682" xr:uid="{00000000-0005-0000-0000-000033180000}"/>
    <cellStyle name="Normal 25 2 2 2" xfId="10864" xr:uid="{00000000-0005-0000-0000-000034180000}"/>
    <cellStyle name="Normal 25 2 3" xfId="10863" xr:uid="{00000000-0005-0000-0000-000035180000}"/>
    <cellStyle name="Normal 25 3" xfId="7683" xr:uid="{00000000-0005-0000-0000-000036180000}"/>
    <cellStyle name="Normal 25 3 2" xfId="7684" xr:uid="{00000000-0005-0000-0000-000037180000}"/>
    <cellStyle name="Normal 25 3 2 2" xfId="10866" xr:uid="{00000000-0005-0000-0000-000038180000}"/>
    <cellStyle name="Normal 25 3 3" xfId="10865" xr:uid="{00000000-0005-0000-0000-000039180000}"/>
    <cellStyle name="Normal 25 4" xfId="7685" xr:uid="{00000000-0005-0000-0000-00003A180000}"/>
    <cellStyle name="Normal 25 4 2" xfId="10867" xr:uid="{00000000-0005-0000-0000-00003B180000}"/>
    <cellStyle name="Normal 26" xfId="7353" xr:uid="{00000000-0005-0000-0000-00003C180000}"/>
    <cellStyle name="Normal 26 2" xfId="7607" xr:uid="{00000000-0005-0000-0000-00003D180000}"/>
    <cellStyle name="Normal 26 2 2" xfId="7641" xr:uid="{00000000-0005-0000-0000-00003E180000}"/>
    <cellStyle name="Normal 26 2 2 2" xfId="7686" xr:uid="{00000000-0005-0000-0000-00003F180000}"/>
    <cellStyle name="Normal 26 2 2 2 2" xfId="7687" xr:uid="{00000000-0005-0000-0000-000040180000}"/>
    <cellStyle name="Normal 26 2 2 2 2 2" xfId="7688" xr:uid="{00000000-0005-0000-0000-000041180000}"/>
    <cellStyle name="Normal 26 2 2 2 2 2 2" xfId="10870" xr:uid="{00000000-0005-0000-0000-000042180000}"/>
    <cellStyle name="Normal 26 2 2 2 2 3" xfId="10869" xr:uid="{00000000-0005-0000-0000-000043180000}"/>
    <cellStyle name="Normal 26 2 2 2 3" xfId="7689" xr:uid="{00000000-0005-0000-0000-000044180000}"/>
    <cellStyle name="Normal 26 2 2 2 3 2" xfId="10871" xr:uid="{00000000-0005-0000-0000-000045180000}"/>
    <cellStyle name="Normal 26 2 2 2 4" xfId="10868" xr:uid="{00000000-0005-0000-0000-000046180000}"/>
    <cellStyle name="Normal 26 2 2 3" xfId="7690" xr:uid="{00000000-0005-0000-0000-000047180000}"/>
    <cellStyle name="Normal 26 2 2 3 2" xfId="7691" xr:uid="{00000000-0005-0000-0000-000048180000}"/>
    <cellStyle name="Normal 26 2 2 3 2 2" xfId="7692" xr:uid="{00000000-0005-0000-0000-000049180000}"/>
    <cellStyle name="Normal 26 2 2 3 2 2 2" xfId="10874" xr:uid="{00000000-0005-0000-0000-00004A180000}"/>
    <cellStyle name="Normal 26 2 2 3 2 3" xfId="10873" xr:uid="{00000000-0005-0000-0000-00004B180000}"/>
    <cellStyle name="Normal 26 2 2 3 3" xfId="7693" xr:uid="{00000000-0005-0000-0000-00004C180000}"/>
    <cellStyle name="Normal 26 2 2 3 3 2" xfId="10875" xr:uid="{00000000-0005-0000-0000-00004D180000}"/>
    <cellStyle name="Normal 26 2 2 3 4" xfId="10872" xr:uid="{00000000-0005-0000-0000-00004E180000}"/>
    <cellStyle name="Normal 26 2 2 4" xfId="7694" xr:uid="{00000000-0005-0000-0000-00004F180000}"/>
    <cellStyle name="Normal 26 2 2 4 2" xfId="7695" xr:uid="{00000000-0005-0000-0000-000050180000}"/>
    <cellStyle name="Normal 26 2 2 4 2 2" xfId="10877" xr:uid="{00000000-0005-0000-0000-000051180000}"/>
    <cellStyle name="Normal 26 2 2 4 3" xfId="10876" xr:uid="{00000000-0005-0000-0000-000052180000}"/>
    <cellStyle name="Normal 26 2 2 5" xfId="7696" xr:uid="{00000000-0005-0000-0000-000053180000}"/>
    <cellStyle name="Normal 26 2 2 5 2" xfId="10878" xr:uid="{00000000-0005-0000-0000-000054180000}"/>
    <cellStyle name="Normal 26 2 2 6" xfId="10838" xr:uid="{00000000-0005-0000-0000-000055180000}"/>
    <cellStyle name="Normal 26 2 3" xfId="7697" xr:uid="{00000000-0005-0000-0000-000056180000}"/>
    <cellStyle name="Normal 26 2 3 2" xfId="7698" xr:uid="{00000000-0005-0000-0000-000057180000}"/>
    <cellStyle name="Normal 26 2 3 2 2" xfId="7699" xr:uid="{00000000-0005-0000-0000-000058180000}"/>
    <cellStyle name="Normal 26 2 3 2 2 2" xfId="10881" xr:uid="{00000000-0005-0000-0000-000059180000}"/>
    <cellStyle name="Normal 26 2 3 2 3" xfId="10880" xr:uid="{00000000-0005-0000-0000-00005A180000}"/>
    <cellStyle name="Normal 26 2 3 3" xfId="7700" xr:uid="{00000000-0005-0000-0000-00005B180000}"/>
    <cellStyle name="Normal 26 2 3 3 2" xfId="10882" xr:uid="{00000000-0005-0000-0000-00005C180000}"/>
    <cellStyle name="Normal 26 2 3 4" xfId="10879" xr:uid="{00000000-0005-0000-0000-00005D180000}"/>
    <cellStyle name="Normal 26 2 4" xfId="7701" xr:uid="{00000000-0005-0000-0000-00005E180000}"/>
    <cellStyle name="Normal 26 2 4 2" xfId="7702" xr:uid="{00000000-0005-0000-0000-00005F180000}"/>
    <cellStyle name="Normal 26 2 4 2 2" xfId="7703" xr:uid="{00000000-0005-0000-0000-000060180000}"/>
    <cellStyle name="Normal 26 2 4 2 2 2" xfId="10885" xr:uid="{00000000-0005-0000-0000-000061180000}"/>
    <cellStyle name="Normal 26 2 4 2 3" xfId="10884" xr:uid="{00000000-0005-0000-0000-000062180000}"/>
    <cellStyle name="Normal 26 2 4 3" xfId="7704" xr:uid="{00000000-0005-0000-0000-000063180000}"/>
    <cellStyle name="Normal 26 2 4 3 2" xfId="10886" xr:uid="{00000000-0005-0000-0000-000064180000}"/>
    <cellStyle name="Normal 26 2 4 4" xfId="10883" xr:uid="{00000000-0005-0000-0000-000065180000}"/>
    <cellStyle name="Normal 26 2 5" xfId="7705" xr:uid="{00000000-0005-0000-0000-000066180000}"/>
    <cellStyle name="Normal 26 2 5 2" xfId="7706" xr:uid="{00000000-0005-0000-0000-000067180000}"/>
    <cellStyle name="Normal 26 2 5 2 2" xfId="10888" xr:uid="{00000000-0005-0000-0000-000068180000}"/>
    <cellStyle name="Normal 26 2 5 3" xfId="10887" xr:uid="{00000000-0005-0000-0000-000069180000}"/>
    <cellStyle name="Normal 26 2 6" xfId="7707" xr:uid="{00000000-0005-0000-0000-00006A180000}"/>
    <cellStyle name="Normal 26 2 6 2" xfId="10889" xr:uid="{00000000-0005-0000-0000-00006B180000}"/>
    <cellStyle name="Normal 26 2 7" xfId="10836" xr:uid="{00000000-0005-0000-0000-00006C180000}"/>
    <cellStyle name="Normal 26 3" xfId="7640" xr:uid="{00000000-0005-0000-0000-00006D180000}"/>
    <cellStyle name="Normal 26 3 2" xfId="7708" xr:uid="{00000000-0005-0000-0000-00006E180000}"/>
    <cellStyle name="Normal 26 3 2 2" xfId="7709" xr:uid="{00000000-0005-0000-0000-00006F180000}"/>
    <cellStyle name="Normal 26 3 2 2 2" xfId="7710" xr:uid="{00000000-0005-0000-0000-000070180000}"/>
    <cellStyle name="Normal 26 3 2 2 2 2" xfId="7711" xr:uid="{00000000-0005-0000-0000-000071180000}"/>
    <cellStyle name="Normal 26 3 2 2 2 2 2" xfId="10893" xr:uid="{00000000-0005-0000-0000-000072180000}"/>
    <cellStyle name="Normal 26 3 2 2 2 3" xfId="10892" xr:uid="{00000000-0005-0000-0000-000073180000}"/>
    <cellStyle name="Normal 26 3 2 2 3" xfId="7712" xr:uid="{00000000-0005-0000-0000-000074180000}"/>
    <cellStyle name="Normal 26 3 2 2 3 2" xfId="10894" xr:uid="{00000000-0005-0000-0000-000075180000}"/>
    <cellStyle name="Normal 26 3 2 2 4" xfId="10891" xr:uid="{00000000-0005-0000-0000-000076180000}"/>
    <cellStyle name="Normal 26 3 2 3" xfId="7713" xr:uid="{00000000-0005-0000-0000-000077180000}"/>
    <cellStyle name="Normal 26 3 2 3 2" xfId="7714" xr:uid="{00000000-0005-0000-0000-000078180000}"/>
    <cellStyle name="Normal 26 3 2 3 2 2" xfId="7715" xr:uid="{00000000-0005-0000-0000-000079180000}"/>
    <cellStyle name="Normal 26 3 2 3 2 2 2" xfId="10897" xr:uid="{00000000-0005-0000-0000-00007A180000}"/>
    <cellStyle name="Normal 26 3 2 3 2 3" xfId="10896" xr:uid="{00000000-0005-0000-0000-00007B180000}"/>
    <cellStyle name="Normal 26 3 2 3 3" xfId="7716" xr:uid="{00000000-0005-0000-0000-00007C180000}"/>
    <cellStyle name="Normal 26 3 2 3 3 2" xfId="10898" xr:uid="{00000000-0005-0000-0000-00007D180000}"/>
    <cellStyle name="Normal 26 3 2 3 4" xfId="10895" xr:uid="{00000000-0005-0000-0000-00007E180000}"/>
    <cellStyle name="Normal 26 3 2 4" xfId="7717" xr:uid="{00000000-0005-0000-0000-00007F180000}"/>
    <cellStyle name="Normal 26 3 2 4 2" xfId="7718" xr:uid="{00000000-0005-0000-0000-000080180000}"/>
    <cellStyle name="Normal 26 3 2 4 2 2" xfId="10900" xr:uid="{00000000-0005-0000-0000-000081180000}"/>
    <cellStyle name="Normal 26 3 2 4 3" xfId="10899" xr:uid="{00000000-0005-0000-0000-000082180000}"/>
    <cellStyle name="Normal 26 3 2 5" xfId="7719" xr:uid="{00000000-0005-0000-0000-000083180000}"/>
    <cellStyle name="Normal 26 3 2 5 2" xfId="10901" xr:uid="{00000000-0005-0000-0000-000084180000}"/>
    <cellStyle name="Normal 26 3 2 6" xfId="10890" xr:uid="{00000000-0005-0000-0000-000085180000}"/>
    <cellStyle name="Normal 26 3 3" xfId="7720" xr:uid="{00000000-0005-0000-0000-000086180000}"/>
    <cellStyle name="Normal 26 3 3 2" xfId="7721" xr:uid="{00000000-0005-0000-0000-000087180000}"/>
    <cellStyle name="Normal 26 3 3 2 2" xfId="7722" xr:uid="{00000000-0005-0000-0000-000088180000}"/>
    <cellStyle name="Normal 26 3 3 2 2 2" xfId="10904" xr:uid="{00000000-0005-0000-0000-000089180000}"/>
    <cellStyle name="Normal 26 3 3 2 3" xfId="10903" xr:uid="{00000000-0005-0000-0000-00008A180000}"/>
    <cellStyle name="Normal 26 3 3 3" xfId="7723" xr:uid="{00000000-0005-0000-0000-00008B180000}"/>
    <cellStyle name="Normal 26 3 3 3 2" xfId="10905" xr:uid="{00000000-0005-0000-0000-00008C180000}"/>
    <cellStyle name="Normal 26 3 3 4" xfId="10902" xr:uid="{00000000-0005-0000-0000-00008D180000}"/>
    <cellStyle name="Normal 26 3 4" xfId="7724" xr:uid="{00000000-0005-0000-0000-00008E180000}"/>
    <cellStyle name="Normal 26 3 4 2" xfId="7725" xr:uid="{00000000-0005-0000-0000-00008F180000}"/>
    <cellStyle name="Normal 26 3 4 2 2" xfId="7726" xr:uid="{00000000-0005-0000-0000-000090180000}"/>
    <cellStyle name="Normal 26 3 4 2 2 2" xfId="10908" xr:uid="{00000000-0005-0000-0000-000091180000}"/>
    <cellStyle name="Normal 26 3 4 2 3" xfId="10907" xr:uid="{00000000-0005-0000-0000-000092180000}"/>
    <cellStyle name="Normal 26 3 4 3" xfId="7727" xr:uid="{00000000-0005-0000-0000-000093180000}"/>
    <cellStyle name="Normal 26 3 4 3 2" xfId="10909" xr:uid="{00000000-0005-0000-0000-000094180000}"/>
    <cellStyle name="Normal 26 3 4 4" xfId="10906" xr:uid="{00000000-0005-0000-0000-000095180000}"/>
    <cellStyle name="Normal 26 3 5" xfId="7728" xr:uid="{00000000-0005-0000-0000-000096180000}"/>
    <cellStyle name="Normal 26 3 5 2" xfId="7729" xr:uid="{00000000-0005-0000-0000-000097180000}"/>
    <cellStyle name="Normal 26 3 5 2 2" xfId="10911" xr:uid="{00000000-0005-0000-0000-000098180000}"/>
    <cellStyle name="Normal 26 3 5 3" xfId="10910" xr:uid="{00000000-0005-0000-0000-000099180000}"/>
    <cellStyle name="Normal 26 3 6" xfId="7730" xr:uid="{00000000-0005-0000-0000-00009A180000}"/>
    <cellStyle name="Normal 26 3 6 2" xfId="10912" xr:uid="{00000000-0005-0000-0000-00009B180000}"/>
    <cellStyle name="Normal 26 3 7" xfId="10837" xr:uid="{00000000-0005-0000-0000-00009C180000}"/>
    <cellStyle name="Normal 26 4" xfId="7731" xr:uid="{00000000-0005-0000-0000-00009D180000}"/>
    <cellStyle name="Normal 26 4 2" xfId="7732" xr:uid="{00000000-0005-0000-0000-00009E180000}"/>
    <cellStyle name="Normal 26 4 2 2" xfId="7733" xr:uid="{00000000-0005-0000-0000-00009F180000}"/>
    <cellStyle name="Normal 26 4 2 2 2" xfId="7734" xr:uid="{00000000-0005-0000-0000-0000A0180000}"/>
    <cellStyle name="Normal 26 4 2 2 2 2" xfId="10916" xr:uid="{00000000-0005-0000-0000-0000A1180000}"/>
    <cellStyle name="Normal 26 4 2 2 3" xfId="10915" xr:uid="{00000000-0005-0000-0000-0000A2180000}"/>
    <cellStyle name="Normal 26 4 2 3" xfId="7735" xr:uid="{00000000-0005-0000-0000-0000A3180000}"/>
    <cellStyle name="Normal 26 4 2 3 2" xfId="10917" xr:uid="{00000000-0005-0000-0000-0000A4180000}"/>
    <cellStyle name="Normal 26 4 2 4" xfId="10914" xr:uid="{00000000-0005-0000-0000-0000A5180000}"/>
    <cellStyle name="Normal 26 4 3" xfId="7736" xr:uid="{00000000-0005-0000-0000-0000A6180000}"/>
    <cellStyle name="Normal 26 4 3 2" xfId="7737" xr:uid="{00000000-0005-0000-0000-0000A7180000}"/>
    <cellStyle name="Normal 26 4 3 2 2" xfId="7738" xr:uid="{00000000-0005-0000-0000-0000A8180000}"/>
    <cellStyle name="Normal 26 4 3 2 2 2" xfId="10920" xr:uid="{00000000-0005-0000-0000-0000A9180000}"/>
    <cellStyle name="Normal 26 4 3 2 3" xfId="10919" xr:uid="{00000000-0005-0000-0000-0000AA180000}"/>
    <cellStyle name="Normal 26 4 3 3" xfId="7739" xr:uid="{00000000-0005-0000-0000-0000AB180000}"/>
    <cellStyle name="Normal 26 4 3 3 2" xfId="10921" xr:uid="{00000000-0005-0000-0000-0000AC180000}"/>
    <cellStyle name="Normal 26 4 3 4" xfId="10918" xr:uid="{00000000-0005-0000-0000-0000AD180000}"/>
    <cellStyle name="Normal 26 4 4" xfId="7740" xr:uid="{00000000-0005-0000-0000-0000AE180000}"/>
    <cellStyle name="Normal 26 4 4 2" xfId="7741" xr:uid="{00000000-0005-0000-0000-0000AF180000}"/>
    <cellStyle name="Normal 26 4 4 2 2" xfId="10923" xr:uid="{00000000-0005-0000-0000-0000B0180000}"/>
    <cellStyle name="Normal 26 4 4 3" xfId="10922" xr:uid="{00000000-0005-0000-0000-0000B1180000}"/>
    <cellStyle name="Normal 26 4 5" xfId="7742" xr:uid="{00000000-0005-0000-0000-0000B2180000}"/>
    <cellStyle name="Normal 26 4 5 2" xfId="10924" xr:uid="{00000000-0005-0000-0000-0000B3180000}"/>
    <cellStyle name="Normal 26 4 6" xfId="10913" xr:uid="{00000000-0005-0000-0000-0000B4180000}"/>
    <cellStyle name="Normal 26 5" xfId="7743" xr:uid="{00000000-0005-0000-0000-0000B5180000}"/>
    <cellStyle name="Normal 26 5 2" xfId="7744" xr:uid="{00000000-0005-0000-0000-0000B6180000}"/>
    <cellStyle name="Normal 26 5 2 2" xfId="7745" xr:uid="{00000000-0005-0000-0000-0000B7180000}"/>
    <cellStyle name="Normal 26 5 2 2 2" xfId="10927" xr:uid="{00000000-0005-0000-0000-0000B8180000}"/>
    <cellStyle name="Normal 26 5 2 3" xfId="10926" xr:uid="{00000000-0005-0000-0000-0000B9180000}"/>
    <cellStyle name="Normal 26 5 3" xfId="7746" xr:uid="{00000000-0005-0000-0000-0000BA180000}"/>
    <cellStyle name="Normal 26 5 3 2" xfId="10928" xr:uid="{00000000-0005-0000-0000-0000BB180000}"/>
    <cellStyle name="Normal 26 5 4" xfId="10925" xr:uid="{00000000-0005-0000-0000-0000BC180000}"/>
    <cellStyle name="Normal 26 6" xfId="7747" xr:uid="{00000000-0005-0000-0000-0000BD180000}"/>
    <cellStyle name="Normal 26 6 2" xfId="7748" xr:uid="{00000000-0005-0000-0000-0000BE180000}"/>
    <cellStyle name="Normal 26 6 2 2" xfId="7749" xr:uid="{00000000-0005-0000-0000-0000BF180000}"/>
    <cellStyle name="Normal 26 6 2 2 2" xfId="10931" xr:uid="{00000000-0005-0000-0000-0000C0180000}"/>
    <cellStyle name="Normal 26 6 2 3" xfId="10930" xr:uid="{00000000-0005-0000-0000-0000C1180000}"/>
    <cellStyle name="Normal 26 6 3" xfId="7750" xr:uid="{00000000-0005-0000-0000-0000C2180000}"/>
    <cellStyle name="Normal 26 6 3 2" xfId="10932" xr:uid="{00000000-0005-0000-0000-0000C3180000}"/>
    <cellStyle name="Normal 26 6 4" xfId="10929" xr:uid="{00000000-0005-0000-0000-0000C4180000}"/>
    <cellStyle name="Normal 26 7" xfId="7751" xr:uid="{00000000-0005-0000-0000-0000C5180000}"/>
    <cellStyle name="Normal 26 7 2" xfId="7752" xr:uid="{00000000-0005-0000-0000-0000C6180000}"/>
    <cellStyle name="Normal 26 7 2 2" xfId="10934" xr:uid="{00000000-0005-0000-0000-0000C7180000}"/>
    <cellStyle name="Normal 26 7 3" xfId="10933" xr:uid="{00000000-0005-0000-0000-0000C8180000}"/>
    <cellStyle name="Normal 26 8" xfId="7753" xr:uid="{00000000-0005-0000-0000-0000C9180000}"/>
    <cellStyle name="Normal 26 8 2" xfId="10935" xr:uid="{00000000-0005-0000-0000-0000CA180000}"/>
    <cellStyle name="Normal 26 9" xfId="10835" xr:uid="{00000000-0005-0000-0000-0000CB180000}"/>
    <cellStyle name="Normal 27" xfId="7643" xr:uid="{00000000-0005-0000-0000-0000CC180000}"/>
    <cellStyle name="Normal 27 2" xfId="7795" xr:uid="{00000000-0005-0000-0000-0000CD180000}"/>
    <cellStyle name="Normal 27 2 2" xfId="10938" xr:uid="{00000000-0005-0000-0000-0000CE180000}"/>
    <cellStyle name="Normal 27 3" xfId="10839" xr:uid="{00000000-0005-0000-0000-0000CF180000}"/>
    <cellStyle name="Normal 28" xfId="7644" xr:uid="{00000000-0005-0000-0000-0000D0180000}"/>
    <cellStyle name="Normal 28 2" xfId="10840" xr:uid="{00000000-0005-0000-0000-0000D1180000}"/>
    <cellStyle name="Normal 29" xfId="7754" xr:uid="{00000000-0005-0000-0000-0000D2180000}"/>
    <cellStyle name="Normal 3" xfId="461" xr:uid="{00000000-0005-0000-0000-0000D3180000}"/>
    <cellStyle name="Normal 3 2" xfId="4180" xr:uid="{00000000-0005-0000-0000-0000D4180000}"/>
    <cellStyle name="Normal 3 3" xfId="6902" xr:uid="{00000000-0005-0000-0000-0000D5180000}"/>
    <cellStyle name="Normal 3 4" xfId="7993" xr:uid="{00000000-0005-0000-0000-0000D6180000}"/>
    <cellStyle name="Normal 3 5" xfId="7994" xr:uid="{00000000-0005-0000-0000-0000D7180000}"/>
    <cellStyle name="Normal 3 5 2" xfId="10941" xr:uid="{00000000-0005-0000-0000-0000D8180000}"/>
    <cellStyle name="Normal 3 6" xfId="11339" xr:uid="{00000000-0005-0000-0000-0000D9180000}"/>
    <cellStyle name="Normal 30" xfId="7755" xr:uid="{00000000-0005-0000-0000-0000DA180000}"/>
    <cellStyle name="Normal 31" xfId="7756" xr:uid="{00000000-0005-0000-0000-0000DB180000}"/>
    <cellStyle name="Normal 32" xfId="7757" xr:uid="{00000000-0005-0000-0000-0000DC180000}"/>
    <cellStyle name="Normal 33" xfId="7758" xr:uid="{00000000-0005-0000-0000-0000DD180000}"/>
    <cellStyle name="Normal 34" xfId="7774" xr:uid="{00000000-0005-0000-0000-0000DE180000}"/>
    <cellStyle name="Normal 34 2" xfId="7796" xr:uid="{00000000-0005-0000-0000-0000DF180000}"/>
    <cellStyle name="Normal 34 2 2" xfId="10939" xr:uid="{00000000-0005-0000-0000-0000E0180000}"/>
    <cellStyle name="Normal 35" xfId="7775" xr:uid="{00000000-0005-0000-0000-0000E1180000}"/>
    <cellStyle name="Normal 35 2" xfId="7797" xr:uid="{00000000-0005-0000-0000-0000E2180000}"/>
    <cellStyle name="Normal 35 2 2" xfId="10940" xr:uid="{00000000-0005-0000-0000-0000E3180000}"/>
    <cellStyle name="Normal 36" xfId="7776" xr:uid="{00000000-0005-0000-0000-0000E4180000}"/>
    <cellStyle name="Normal 36 2" xfId="10936" xr:uid="{00000000-0005-0000-0000-0000E5180000}"/>
    <cellStyle name="Normal 37" xfId="7777" xr:uid="{00000000-0005-0000-0000-0000E6180000}"/>
    <cellStyle name="Normal 37 2" xfId="10937" xr:uid="{00000000-0005-0000-0000-0000E7180000}"/>
    <cellStyle name="Normal 38" xfId="7804" xr:uid="{00000000-0005-0000-0000-0000E8180000}"/>
    <cellStyle name="Normal 39" xfId="7805" xr:uid="{00000000-0005-0000-0000-0000E9180000}"/>
    <cellStyle name="Normal 4" xfId="462" xr:uid="{00000000-0005-0000-0000-0000EA180000}"/>
    <cellStyle name="Normal 4 2" xfId="6903" xr:uid="{00000000-0005-0000-0000-0000EB180000}"/>
    <cellStyle name="Normal 4 3" xfId="6893" xr:uid="{00000000-0005-0000-0000-0000EC180000}"/>
    <cellStyle name="Normal 40" xfId="7806" xr:uid="{00000000-0005-0000-0000-0000ED180000}"/>
    <cellStyle name="Normal 41" xfId="7807" xr:uid="{00000000-0005-0000-0000-0000EE180000}"/>
    <cellStyle name="Normal 42" xfId="7808" xr:uid="{00000000-0005-0000-0000-0000EF180000}"/>
    <cellStyle name="Normal 43" xfId="7809" xr:uid="{00000000-0005-0000-0000-0000F0180000}"/>
    <cellStyle name="Normal 44" xfId="10276" xr:uid="{00000000-0005-0000-0000-0000F1180000}"/>
    <cellStyle name="Normal 44 2" xfId="10942" xr:uid="{00000000-0005-0000-0000-0000F2180000}"/>
    <cellStyle name="Normal 45" xfId="10733" xr:uid="{00000000-0005-0000-0000-0000F3180000}"/>
    <cellStyle name="Normal 46" xfId="10828" xr:uid="{00000000-0005-0000-0000-0000F4180000}"/>
    <cellStyle name="Normal 47" xfId="11260" xr:uid="{00000000-0005-0000-0000-0000F5180000}"/>
    <cellStyle name="Normal 48" xfId="11261" xr:uid="{00000000-0005-0000-0000-0000F6180000}"/>
    <cellStyle name="Normal 49" xfId="11314" xr:uid="{00000000-0005-0000-0000-0000F7180000}"/>
    <cellStyle name="Normal 49 2" xfId="11273" xr:uid="{00000000-0005-0000-0000-0000F8180000}"/>
    <cellStyle name="Normal 5" xfId="4191" xr:uid="{00000000-0005-0000-0000-0000F9180000}"/>
    <cellStyle name="Normal 5 2" xfId="6924" xr:uid="{00000000-0005-0000-0000-0000FA180000}"/>
    <cellStyle name="Normal 5 3" xfId="6897" xr:uid="{00000000-0005-0000-0000-0000FB180000}"/>
    <cellStyle name="Normal 5 4" xfId="11328" xr:uid="{00000000-0005-0000-0000-0000FC180000}"/>
    <cellStyle name="Normal 50" xfId="11316" xr:uid="{00000000-0005-0000-0000-0000FD180000}"/>
    <cellStyle name="Normal 50 2 2" xfId="11329" xr:uid="{00000000-0005-0000-0000-0000FE180000}"/>
    <cellStyle name="Normal 50 2 2 2" xfId="11321" xr:uid="{00000000-0005-0000-0000-0000FF180000}"/>
    <cellStyle name="Normal 50 3" xfId="11333" xr:uid="{00000000-0005-0000-0000-000000190000}"/>
    <cellStyle name="Normal 50 3 2" xfId="11330" xr:uid="{00000000-0005-0000-0000-000001190000}"/>
    <cellStyle name="Normal 50 3 2 2" xfId="11324" xr:uid="{00000000-0005-0000-0000-000002190000}"/>
    <cellStyle name="Normal 51" xfId="11331" xr:uid="{00000000-0005-0000-0000-000003190000}"/>
    <cellStyle name="Normal 52" xfId="11334" xr:uid="{00000000-0005-0000-0000-000004190000}"/>
    <cellStyle name="Normal 53" xfId="11337" xr:uid="{00000000-0005-0000-0000-000005190000}"/>
    <cellStyle name="Normal 53 2 2" xfId="11332" xr:uid="{00000000-0005-0000-0000-000006190000}"/>
    <cellStyle name="Normal 53 2 2 2" xfId="11322" xr:uid="{00000000-0005-0000-0000-000007190000}"/>
    <cellStyle name="Normal 54" xfId="11340" xr:uid="{00000000-0005-0000-0000-000008190000}"/>
    <cellStyle name="Normal 55" xfId="11347" xr:uid="{00000000-0005-0000-0000-000009190000}"/>
    <cellStyle name="Normal 56" xfId="11349" xr:uid="{00000000-0005-0000-0000-00000A190000}"/>
    <cellStyle name="Normal 6" xfId="4194" xr:uid="{00000000-0005-0000-0000-00000B190000}"/>
    <cellStyle name="Normal 6 2" xfId="6925" xr:uid="{00000000-0005-0000-0000-00000C190000}"/>
    <cellStyle name="Normal 6 3" xfId="6892" xr:uid="{00000000-0005-0000-0000-00000D190000}"/>
    <cellStyle name="Normal 7" xfId="4199" xr:uid="{00000000-0005-0000-0000-00000E190000}"/>
    <cellStyle name="Normal 7 2" xfId="10819" xr:uid="{00000000-0005-0000-0000-00000F190000}"/>
    <cellStyle name="Normal 8" xfId="4204" xr:uid="{00000000-0005-0000-0000-000010190000}"/>
    <cellStyle name="Normal 9" xfId="4206" xr:uid="{00000000-0005-0000-0000-000011190000}"/>
    <cellStyle name="Normal 9 2" xfId="6926" xr:uid="{00000000-0005-0000-0000-000012190000}"/>
    <cellStyle name="Normal Cells" xfId="4129" xr:uid="{00000000-0005-0000-0000-000013190000}"/>
    <cellStyle name="Normal no digit" xfId="6411" xr:uid="{00000000-0005-0000-0000-000014190000}"/>
    <cellStyle name="Normal_E-Ton_021808" xfId="11352" xr:uid="{86918059-7079-451B-A570-21F11817B269}"/>
    <cellStyle name="Normal_Sector_Summary_Pack_Eur" xfId="10829" xr:uid="{00000000-0005-0000-0000-000015190000}"/>
    <cellStyle name="Normal3" xfId="6412" xr:uid="{00000000-0005-0000-0000-000016190000}"/>
    <cellStyle name="Normalny_Arkusz1" xfId="6413" xr:uid="{00000000-0005-0000-0000-000017190000}"/>
    <cellStyle name="Note 2" xfId="463" xr:uid="{00000000-0005-0000-0000-000018190000}"/>
    <cellStyle name="Note 2 2" xfId="7995" xr:uid="{00000000-0005-0000-0000-000019190000}"/>
    <cellStyle name="Note 2 3" xfId="7996" xr:uid="{00000000-0005-0000-0000-00001A190000}"/>
    <cellStyle name="Note 2 4" xfId="7997" xr:uid="{00000000-0005-0000-0000-00001B190000}"/>
    <cellStyle name="Note 3" xfId="6414" xr:uid="{00000000-0005-0000-0000-00001C190000}"/>
    <cellStyle name="Note 3 2" xfId="6940" xr:uid="{00000000-0005-0000-0000-00001D190000}"/>
    <cellStyle name="Note 3 2 2" xfId="7998" xr:uid="{00000000-0005-0000-0000-00001E190000}"/>
    <cellStyle name="Note 3 2 3" xfId="7999" xr:uid="{00000000-0005-0000-0000-00001F190000}"/>
    <cellStyle name="Note 3 2 4" xfId="8000" xr:uid="{00000000-0005-0000-0000-000020190000}"/>
    <cellStyle name="Note 3 3" xfId="8001" xr:uid="{00000000-0005-0000-0000-000021190000}"/>
    <cellStyle name="Note 3 4" xfId="8002" xr:uid="{00000000-0005-0000-0000-000022190000}"/>
    <cellStyle name="Note 3 5" xfId="8003" xr:uid="{00000000-0005-0000-0000-000023190000}"/>
    <cellStyle name="Note 4" xfId="8004" xr:uid="{00000000-0005-0000-0000-000024190000}"/>
    <cellStyle name="Note 4 2" xfId="8005" xr:uid="{00000000-0005-0000-0000-000025190000}"/>
    <cellStyle name="Note 4 3" xfId="8006" xr:uid="{00000000-0005-0000-0000-000026190000}"/>
    <cellStyle name="Note 4 4" xfId="8007" xr:uid="{00000000-0005-0000-0000-000027190000}"/>
    <cellStyle name="Note 5" xfId="11315" xr:uid="{00000000-0005-0000-0000-000028190000}"/>
    <cellStyle name="Notes" xfId="4130" xr:uid="{00000000-0005-0000-0000-000029190000}"/>
    <cellStyle name="Notes 2" xfId="7312" xr:uid="{00000000-0005-0000-0000-00002A190000}"/>
    <cellStyle name="Number" xfId="4131" xr:uid="{00000000-0005-0000-0000-00002B190000}"/>
    <cellStyle name="Number 2" xfId="6415" xr:uid="{00000000-0005-0000-0000-00002C190000}"/>
    <cellStyle name="Number 3" xfId="7313" xr:uid="{00000000-0005-0000-0000-00002D190000}"/>
    <cellStyle name="Numbers" xfId="7576" xr:uid="{00000000-0005-0000-0000-00002E190000}"/>
    <cellStyle name="Numbers - Bold" xfId="7577" xr:uid="{00000000-0005-0000-0000-00002F190000}"/>
    <cellStyle name="Numbers - Bold - Italic" xfId="7578" xr:uid="{00000000-0005-0000-0000-000030190000}"/>
    <cellStyle name="Numbers - Bold_Blend" xfId="7579" xr:uid="{00000000-0005-0000-0000-000031190000}"/>
    <cellStyle name="Numbers - Large" xfId="7580" xr:uid="{00000000-0005-0000-0000-000032190000}"/>
    <cellStyle name="Numbers_Comps" xfId="7581" xr:uid="{00000000-0005-0000-0000-000033190000}"/>
    <cellStyle name="numero input" xfId="7314" xr:uid="{00000000-0005-0000-0000-000034190000}"/>
    <cellStyle name="numero normal" xfId="7315" xr:uid="{00000000-0005-0000-0000-000035190000}"/>
    <cellStyle name="Onedec" xfId="7316" xr:uid="{00000000-0005-0000-0000-000036190000}"/>
    <cellStyle name="OSW_ColumnLabels" xfId="7582" xr:uid="{00000000-0005-0000-0000-000037190000}"/>
    <cellStyle name="Output" xfId="11283" builtinId="21" customBuiltin="1"/>
    <cellStyle name="Output 2" xfId="464" xr:uid="{00000000-0005-0000-0000-000039190000}"/>
    <cellStyle name="Output 2 2" xfId="8008" xr:uid="{00000000-0005-0000-0000-00003A190000}"/>
    <cellStyle name="Output 2 3" xfId="8009" xr:uid="{00000000-0005-0000-0000-00003B190000}"/>
    <cellStyle name="Output 2 4" xfId="8010" xr:uid="{00000000-0005-0000-0000-00003C190000}"/>
    <cellStyle name="Output 3" xfId="6416" xr:uid="{00000000-0005-0000-0000-00003D190000}"/>
    <cellStyle name="Output 3 2" xfId="8011" xr:uid="{00000000-0005-0000-0000-00003E190000}"/>
    <cellStyle name="Output 3 3" xfId="8012" xr:uid="{00000000-0005-0000-0000-00003F190000}"/>
    <cellStyle name="Output 3 4" xfId="8013" xr:uid="{00000000-0005-0000-0000-000040190000}"/>
    <cellStyle name="Output 4" xfId="8014" xr:uid="{00000000-0005-0000-0000-000041190000}"/>
    <cellStyle name="Output 5" xfId="8015" xr:uid="{00000000-0005-0000-0000-000042190000}"/>
    <cellStyle name="Output 5 2" xfId="8016" xr:uid="{00000000-0005-0000-0000-000043190000}"/>
    <cellStyle name="Output 5 3" xfId="8017" xr:uid="{00000000-0005-0000-0000-000044190000}"/>
    <cellStyle name="Output 5 4" xfId="8018" xr:uid="{00000000-0005-0000-0000-000045190000}"/>
    <cellStyle name="Output Amounts" xfId="6417" xr:uid="{00000000-0005-0000-0000-000046190000}"/>
    <cellStyle name="P/E" xfId="8019" xr:uid="{00000000-0005-0000-0000-000047190000}"/>
    <cellStyle name="Page" xfId="7583" xr:uid="{00000000-0005-0000-0000-000048190000}"/>
    <cellStyle name="Page header" xfId="4132" xr:uid="{00000000-0005-0000-0000-000049190000}"/>
    <cellStyle name="Page Number" xfId="7317" xr:uid="{00000000-0005-0000-0000-00004A190000}"/>
    <cellStyle name="pc1" xfId="8020" xr:uid="{00000000-0005-0000-0000-00004B190000}"/>
    <cellStyle name="pc1 2" xfId="8021" xr:uid="{00000000-0005-0000-0000-00004C190000}"/>
    <cellStyle name="PE Multiple" xfId="8022" xr:uid="{00000000-0005-0000-0000-00004D190000}"/>
    <cellStyle name="PE/LTGR" xfId="8023" xr:uid="{00000000-0005-0000-0000-00004E190000}"/>
    <cellStyle name="Per" xfId="4133" xr:uid="{00000000-0005-0000-0000-00004F190000}"/>
    <cellStyle name="Percent" xfId="10830" builtinId="5"/>
    <cellStyle name="Percent [2]" xfId="4134" xr:uid="{00000000-0005-0000-0000-000051190000}"/>
    <cellStyle name="Percent [2] 2" xfId="6418" xr:uid="{00000000-0005-0000-0000-000052190000}"/>
    <cellStyle name="Percent [2] 2 2" xfId="6941" xr:uid="{00000000-0005-0000-0000-000053190000}"/>
    <cellStyle name="Percent [2] 3" xfId="6848" xr:uid="{00000000-0005-0000-0000-000054190000}"/>
    <cellStyle name="Percent 10" xfId="4207" xr:uid="{00000000-0005-0000-0000-000055190000}"/>
    <cellStyle name="Percent 11" xfId="4211" xr:uid="{00000000-0005-0000-0000-000056190000}"/>
    <cellStyle name="Percent 12" xfId="4214" xr:uid="{00000000-0005-0000-0000-000057190000}"/>
    <cellStyle name="Percent 12 2" xfId="6929" xr:uid="{00000000-0005-0000-0000-000058190000}"/>
    <cellStyle name="Percent 13" xfId="4218" xr:uid="{00000000-0005-0000-0000-000059190000}"/>
    <cellStyle name="Percent 14" xfId="4220" xr:uid="{00000000-0005-0000-0000-00005A190000}"/>
    <cellStyle name="Percent 15" xfId="6457" xr:uid="{00000000-0005-0000-0000-00005B190000}"/>
    <cellStyle name="Percent 15 2" xfId="6943" xr:uid="{00000000-0005-0000-0000-00005C190000}"/>
    <cellStyle name="Percent 16" xfId="6854" xr:uid="{00000000-0005-0000-0000-00005D190000}"/>
    <cellStyle name="Percent 17" xfId="6776" xr:uid="{00000000-0005-0000-0000-00005E190000}"/>
    <cellStyle name="Percent 18" xfId="6849" xr:uid="{00000000-0005-0000-0000-00005F190000}"/>
    <cellStyle name="Percent 19" xfId="6775" xr:uid="{00000000-0005-0000-0000-000060190000}"/>
    <cellStyle name="Percent 2" xfId="465" xr:uid="{00000000-0005-0000-0000-000061190000}"/>
    <cellStyle name="Percent 2 2" xfId="466" xr:uid="{00000000-0005-0000-0000-000062190000}"/>
    <cellStyle name="Percent 2 2 2" xfId="4182" xr:uid="{00000000-0005-0000-0000-000063190000}"/>
    <cellStyle name="Percent 2 2 3" xfId="6905" xr:uid="{00000000-0005-0000-0000-000064190000}"/>
    <cellStyle name="Percent 2 3" xfId="467" xr:uid="{00000000-0005-0000-0000-000065190000}"/>
    <cellStyle name="Percent 2 4" xfId="4181" xr:uid="{00000000-0005-0000-0000-000066190000}"/>
    <cellStyle name="Percent 2 5" xfId="8024" xr:uid="{00000000-0005-0000-0000-000067190000}"/>
    <cellStyle name="Percent 2 6" xfId="11343" xr:uid="{00000000-0005-0000-0000-000068190000}"/>
    <cellStyle name="Percent 20" xfId="6850" xr:uid="{00000000-0005-0000-0000-000069190000}"/>
    <cellStyle name="Percent 21" xfId="6773" xr:uid="{00000000-0005-0000-0000-00006A190000}"/>
    <cellStyle name="Percent 22" xfId="6852" xr:uid="{00000000-0005-0000-0000-00006B190000}"/>
    <cellStyle name="Percent 23" xfId="4741" xr:uid="{00000000-0005-0000-0000-00006C190000}"/>
    <cellStyle name="Percent 24" xfId="6809" xr:uid="{00000000-0005-0000-0000-00006D190000}"/>
    <cellStyle name="Percent 25" xfId="6127" xr:uid="{00000000-0005-0000-0000-00006E190000}"/>
    <cellStyle name="Percent 26" xfId="6904" xr:uid="{00000000-0005-0000-0000-00006F190000}"/>
    <cellStyle name="Percent 27" xfId="6891" xr:uid="{00000000-0005-0000-0000-000070190000}"/>
    <cellStyle name="Percent 28" xfId="6890" xr:uid="{00000000-0005-0000-0000-000071190000}"/>
    <cellStyle name="Percent 29" xfId="6914" xr:uid="{00000000-0005-0000-0000-000072190000}"/>
    <cellStyle name="Percent 3" xfId="468" xr:uid="{00000000-0005-0000-0000-000073190000}"/>
    <cellStyle name="Percent 3 2" xfId="6906" xr:uid="{00000000-0005-0000-0000-000074190000}"/>
    <cellStyle name="Percent 3 3" xfId="6896" xr:uid="{00000000-0005-0000-0000-000075190000}"/>
    <cellStyle name="Percent 3 4" xfId="11346" xr:uid="{00000000-0005-0000-0000-000076190000}"/>
    <cellStyle name="Percent 30" xfId="6888" xr:uid="{00000000-0005-0000-0000-000077190000}"/>
    <cellStyle name="Percent 31" xfId="6934" xr:uid="{00000000-0005-0000-0000-000078190000}"/>
    <cellStyle name="Percent 32" xfId="6933" xr:uid="{00000000-0005-0000-0000-000079190000}"/>
    <cellStyle name="Percent 33" xfId="6938" xr:uid="{00000000-0005-0000-0000-00007A190000}"/>
    <cellStyle name="Percent 34" xfId="6935" xr:uid="{00000000-0005-0000-0000-00007B190000}"/>
    <cellStyle name="Percent 35" xfId="6932" xr:uid="{00000000-0005-0000-0000-00007C190000}"/>
    <cellStyle name="Percent 36" xfId="6887" xr:uid="{00000000-0005-0000-0000-00007D190000}"/>
    <cellStyle name="Percent 37" xfId="6937" xr:uid="{00000000-0005-0000-0000-00007E190000}"/>
    <cellStyle name="Percent 38" xfId="6936" xr:uid="{00000000-0005-0000-0000-00007F190000}"/>
    <cellStyle name="Percent 39" xfId="6886" xr:uid="{00000000-0005-0000-0000-000080190000}"/>
    <cellStyle name="Percent 4" xfId="4187" xr:uid="{00000000-0005-0000-0000-000081190000}"/>
    <cellStyle name="Percent 40" xfId="6939" xr:uid="{00000000-0005-0000-0000-000082190000}"/>
    <cellStyle name="Percent 41" xfId="6922" xr:uid="{00000000-0005-0000-0000-000083190000}"/>
    <cellStyle name="Percent 42" xfId="6942" xr:uid="{00000000-0005-0000-0000-000084190000}"/>
    <cellStyle name="Percent 43" xfId="6948" xr:uid="{00000000-0005-0000-0000-000085190000}"/>
    <cellStyle name="Percent 44" xfId="6955" xr:uid="{00000000-0005-0000-0000-000086190000}"/>
    <cellStyle name="Percent 45" xfId="6951" xr:uid="{00000000-0005-0000-0000-000087190000}"/>
    <cellStyle name="Percent 46" xfId="6952" xr:uid="{00000000-0005-0000-0000-000088190000}"/>
    <cellStyle name="Percent 47" xfId="6956" xr:uid="{00000000-0005-0000-0000-000089190000}"/>
    <cellStyle name="Percent 48" xfId="6958" xr:uid="{00000000-0005-0000-0000-00008A190000}"/>
    <cellStyle name="Percent 49" xfId="7348" xr:uid="{00000000-0005-0000-0000-00008B190000}"/>
    <cellStyle name="Percent 5" xfId="4189" xr:uid="{00000000-0005-0000-0000-00008C190000}"/>
    <cellStyle name="Percent 50" xfId="7350" xr:uid="{00000000-0005-0000-0000-00008D190000}"/>
    <cellStyle name="Percent 51" xfId="7349" xr:uid="{00000000-0005-0000-0000-00008E190000}"/>
    <cellStyle name="Percent 52" xfId="7602" xr:uid="{00000000-0005-0000-0000-00008F190000}"/>
    <cellStyle name="Percent 53" xfId="7604" xr:uid="{00000000-0005-0000-0000-000090190000}"/>
    <cellStyle name="Percent 54" xfId="7603" xr:uid="{00000000-0005-0000-0000-000091190000}"/>
    <cellStyle name="Percent 55" xfId="7610" xr:uid="{00000000-0005-0000-0000-000092190000}"/>
    <cellStyle name="Percent 56" xfId="7613" xr:uid="{00000000-0005-0000-0000-000093190000}"/>
    <cellStyle name="Percent 57" xfId="7611" xr:uid="{00000000-0005-0000-0000-000094190000}"/>
    <cellStyle name="Percent 58" xfId="7759" xr:uid="{00000000-0005-0000-0000-000095190000}"/>
    <cellStyle name="Percent 59" xfId="7760" xr:uid="{00000000-0005-0000-0000-000096190000}"/>
    <cellStyle name="Percent 6" xfId="4190" xr:uid="{00000000-0005-0000-0000-000097190000}"/>
    <cellStyle name="Percent 60" xfId="7761" xr:uid="{00000000-0005-0000-0000-000098190000}"/>
    <cellStyle name="Percent 61" xfId="7762" xr:uid="{00000000-0005-0000-0000-000099190000}"/>
    <cellStyle name="Percent 62" xfId="7763" xr:uid="{00000000-0005-0000-0000-00009A190000}"/>
    <cellStyle name="Percent 63" xfId="7764" xr:uid="{00000000-0005-0000-0000-00009B190000}"/>
    <cellStyle name="Percent 64" xfId="7765" xr:uid="{00000000-0005-0000-0000-00009C190000}"/>
    <cellStyle name="Percent 65" xfId="7766" xr:uid="{00000000-0005-0000-0000-00009D190000}"/>
    <cellStyle name="Percent 66" xfId="7767" xr:uid="{00000000-0005-0000-0000-00009E190000}"/>
    <cellStyle name="Percent 67" xfId="7768" xr:uid="{00000000-0005-0000-0000-00009F190000}"/>
    <cellStyle name="Percent 68" xfId="7769" xr:uid="{00000000-0005-0000-0000-0000A0190000}"/>
    <cellStyle name="Percent 69" xfId="7770" xr:uid="{00000000-0005-0000-0000-0000A1190000}"/>
    <cellStyle name="Percent 7" xfId="4198" xr:uid="{00000000-0005-0000-0000-0000A2190000}"/>
    <cellStyle name="Percent 70" xfId="7771" xr:uid="{00000000-0005-0000-0000-0000A3190000}"/>
    <cellStyle name="Percent 71" xfId="7780" xr:uid="{00000000-0005-0000-0000-0000A4190000}"/>
    <cellStyle name="Percent 72" xfId="7783" xr:uid="{00000000-0005-0000-0000-0000A5190000}"/>
    <cellStyle name="Percent 73" xfId="7781" xr:uid="{00000000-0005-0000-0000-0000A6190000}"/>
    <cellStyle name="Percent 74" xfId="7782" xr:uid="{00000000-0005-0000-0000-0000A7190000}"/>
    <cellStyle name="Percent 75" xfId="10476" xr:uid="{00000000-0005-0000-0000-0000A8190000}"/>
    <cellStyle name="Percent 75 2" xfId="10943" xr:uid="{00000000-0005-0000-0000-0000A9190000}"/>
    <cellStyle name="Percent 76" xfId="10820" xr:uid="{00000000-0005-0000-0000-0000AA190000}"/>
    <cellStyle name="Percent 77" xfId="11263" xr:uid="{00000000-0005-0000-0000-0000AB190000}"/>
    <cellStyle name="Percent 78" xfId="11318" xr:uid="{00000000-0005-0000-0000-0000AC190000}"/>
    <cellStyle name="Percent 79" xfId="11336" xr:uid="{00000000-0005-0000-0000-0000AD190000}"/>
    <cellStyle name="Percent 8" xfId="4202" xr:uid="{00000000-0005-0000-0000-0000AE190000}"/>
    <cellStyle name="Percent 80" xfId="11338" xr:uid="{00000000-0005-0000-0000-0000AF190000}"/>
    <cellStyle name="Percent 81" xfId="11341" xr:uid="{00000000-0005-0000-0000-0000B0190000}"/>
    <cellStyle name="Percent 82" xfId="11348" xr:uid="{00000000-0005-0000-0000-0000B1190000}"/>
    <cellStyle name="Percent 83" xfId="11351" xr:uid="{00000000-0005-0000-0000-0000B2190000}"/>
    <cellStyle name="Percent 9" xfId="4205" xr:uid="{00000000-0005-0000-0000-0000B3190000}"/>
    <cellStyle name="Percentage" xfId="7584" xr:uid="{00000000-0005-0000-0000-0000B4190000}"/>
    <cellStyle name="PercentChange" xfId="6419" xr:uid="{00000000-0005-0000-0000-0000B5190000}"/>
    <cellStyle name="PercentPresentation" xfId="8025" xr:uid="{00000000-0005-0000-0000-0000B6190000}"/>
    <cellStyle name="PerShare" xfId="8026" xr:uid="{00000000-0005-0000-0000-0000B7190000}"/>
    <cellStyle name="PlainDollar" xfId="7318" xr:uid="{00000000-0005-0000-0000-0000B8190000}"/>
    <cellStyle name="POPS" xfId="8027" xr:uid="{00000000-0005-0000-0000-0000B9190000}"/>
    <cellStyle name="Porcentual_Macro2" xfId="7319" xr:uid="{00000000-0005-0000-0000-0000BA190000}"/>
    <cellStyle name="Prefilled" xfId="6420" xr:uid="{00000000-0005-0000-0000-0000BB190000}"/>
    <cellStyle name="Presentation" xfId="4135" xr:uid="{00000000-0005-0000-0000-0000BC190000}"/>
    <cellStyle name="PresentationZero" xfId="8028" xr:uid="{00000000-0005-0000-0000-0000BD190000}"/>
    <cellStyle name="Price" xfId="4136" xr:uid="{00000000-0005-0000-0000-0000BE190000}"/>
    <cellStyle name="PriceDecimal" xfId="8029" xr:uid="{00000000-0005-0000-0000-0000BF190000}"/>
    <cellStyle name="prot" xfId="7585" xr:uid="{00000000-0005-0000-0000-0000C0190000}"/>
    <cellStyle name="Punto" xfId="7586" xr:uid="{00000000-0005-0000-0000-0000C1190000}"/>
    <cellStyle name="r" xfId="7587" xr:uid="{00000000-0005-0000-0000-0000C2190000}"/>
    <cellStyle name="RatioX" xfId="6421" xr:uid="{00000000-0005-0000-0000-0000C3190000}"/>
    <cellStyle name="reg%" xfId="6422" xr:uid="{00000000-0005-0000-0000-0000C4190000}"/>
    <cellStyle name="Report" xfId="8030" xr:uid="{00000000-0005-0000-0000-0000C5190000}"/>
    <cellStyle name="Report 2" xfId="8031" xr:uid="{00000000-0005-0000-0000-0000C6190000}"/>
    <cellStyle name="Reuters Cells" xfId="4137" xr:uid="{00000000-0005-0000-0000-0000C7190000}"/>
    <cellStyle name="Reuters Cells 2" xfId="8032" xr:uid="{00000000-0005-0000-0000-0000C8190000}"/>
    <cellStyle name="Right" xfId="8033" xr:uid="{00000000-0005-0000-0000-0000C9190000}"/>
    <cellStyle name="RowLevel_0" xfId="6423" xr:uid="{00000000-0005-0000-0000-0000CA190000}"/>
    <cellStyle name="s" xfId="6424" xr:uid="{00000000-0005-0000-0000-0000CB190000}"/>
    <cellStyle name="s]_x000d__x000a_load=C:\CSTAR20\CSTAR20.EXE_x000d__x000a_run=_x000d__x000a_NullPort=None_x000d__x000a_device=Epson LQ-1600K,ESCP24SC,LPT1:_x000d__x000a__x000d__x000a_[Desktop]_x000d__x000a_Wallpaper=(无)" xfId="469" xr:uid="{00000000-0005-0000-0000-0000CC190000}"/>
    <cellStyle name="s_DCFLBO Code" xfId="6425" xr:uid="{00000000-0005-0000-0000-0000CD190000}"/>
    <cellStyle name="s_DCFLBO Code_1" xfId="6426" xr:uid="{00000000-0005-0000-0000-0000CE190000}"/>
    <cellStyle name="SAPBEXaggData" xfId="470" xr:uid="{00000000-0005-0000-0000-0000CF190000}"/>
    <cellStyle name="SAPBEXaggData 10" xfId="471" xr:uid="{00000000-0005-0000-0000-0000D0190000}"/>
    <cellStyle name="SAPBEXaggData 10 2" xfId="8034" xr:uid="{00000000-0005-0000-0000-0000D1190000}"/>
    <cellStyle name="SAPBEXaggData 10 3" xfId="8035" xr:uid="{00000000-0005-0000-0000-0000D2190000}"/>
    <cellStyle name="SAPBEXaggData 10 4" xfId="8036" xr:uid="{00000000-0005-0000-0000-0000D3190000}"/>
    <cellStyle name="SAPBEXaggData 11" xfId="472" xr:uid="{00000000-0005-0000-0000-0000D4190000}"/>
    <cellStyle name="SAPBEXaggData 11 2" xfId="8037" xr:uid="{00000000-0005-0000-0000-0000D5190000}"/>
    <cellStyle name="SAPBEXaggData 11 3" xfId="8038" xr:uid="{00000000-0005-0000-0000-0000D6190000}"/>
    <cellStyle name="SAPBEXaggData 11 4" xfId="8039" xr:uid="{00000000-0005-0000-0000-0000D7190000}"/>
    <cellStyle name="SAPBEXaggData 12" xfId="473" xr:uid="{00000000-0005-0000-0000-0000D8190000}"/>
    <cellStyle name="SAPBEXaggData 12 2" xfId="8040" xr:uid="{00000000-0005-0000-0000-0000D9190000}"/>
    <cellStyle name="SAPBEXaggData 12 3" xfId="8041" xr:uid="{00000000-0005-0000-0000-0000DA190000}"/>
    <cellStyle name="SAPBEXaggData 12 4" xfId="8042" xr:uid="{00000000-0005-0000-0000-0000DB190000}"/>
    <cellStyle name="SAPBEXaggData 13" xfId="474" xr:uid="{00000000-0005-0000-0000-0000DC190000}"/>
    <cellStyle name="SAPBEXaggData 13 2" xfId="8043" xr:uid="{00000000-0005-0000-0000-0000DD190000}"/>
    <cellStyle name="SAPBEXaggData 13 3" xfId="8044" xr:uid="{00000000-0005-0000-0000-0000DE190000}"/>
    <cellStyle name="SAPBEXaggData 13 4" xfId="8045" xr:uid="{00000000-0005-0000-0000-0000DF190000}"/>
    <cellStyle name="SAPBEXaggData 14" xfId="475" xr:uid="{00000000-0005-0000-0000-0000E0190000}"/>
    <cellStyle name="SAPBEXaggData 14 2" xfId="8046" xr:uid="{00000000-0005-0000-0000-0000E1190000}"/>
    <cellStyle name="SAPBEXaggData 14 3" xfId="8047" xr:uid="{00000000-0005-0000-0000-0000E2190000}"/>
    <cellStyle name="SAPBEXaggData 14 4" xfId="8048" xr:uid="{00000000-0005-0000-0000-0000E3190000}"/>
    <cellStyle name="SAPBEXaggData 15" xfId="476" xr:uid="{00000000-0005-0000-0000-0000E4190000}"/>
    <cellStyle name="SAPBEXaggData 15 2" xfId="8049" xr:uid="{00000000-0005-0000-0000-0000E5190000}"/>
    <cellStyle name="SAPBEXaggData 15 3" xfId="8050" xr:uid="{00000000-0005-0000-0000-0000E6190000}"/>
    <cellStyle name="SAPBEXaggData 15 4" xfId="8051" xr:uid="{00000000-0005-0000-0000-0000E7190000}"/>
    <cellStyle name="SAPBEXaggData 16" xfId="477" xr:uid="{00000000-0005-0000-0000-0000E8190000}"/>
    <cellStyle name="SAPBEXaggData 16 2" xfId="8052" xr:uid="{00000000-0005-0000-0000-0000E9190000}"/>
    <cellStyle name="SAPBEXaggData 16 3" xfId="8053" xr:uid="{00000000-0005-0000-0000-0000EA190000}"/>
    <cellStyle name="SAPBEXaggData 16 4" xfId="8054" xr:uid="{00000000-0005-0000-0000-0000EB190000}"/>
    <cellStyle name="SAPBEXaggData 17" xfId="478" xr:uid="{00000000-0005-0000-0000-0000EC190000}"/>
    <cellStyle name="SAPBEXaggData 17 2" xfId="8055" xr:uid="{00000000-0005-0000-0000-0000ED190000}"/>
    <cellStyle name="SAPBEXaggData 17 3" xfId="8056" xr:uid="{00000000-0005-0000-0000-0000EE190000}"/>
    <cellStyle name="SAPBEXaggData 17 4" xfId="8057" xr:uid="{00000000-0005-0000-0000-0000EF190000}"/>
    <cellStyle name="SAPBEXaggData 18" xfId="479" xr:uid="{00000000-0005-0000-0000-0000F0190000}"/>
    <cellStyle name="SAPBEXaggData 18 2" xfId="8058" xr:uid="{00000000-0005-0000-0000-0000F1190000}"/>
    <cellStyle name="SAPBEXaggData 18 3" xfId="8059" xr:uid="{00000000-0005-0000-0000-0000F2190000}"/>
    <cellStyle name="SAPBEXaggData 18 4" xfId="8060" xr:uid="{00000000-0005-0000-0000-0000F3190000}"/>
    <cellStyle name="SAPBEXaggData 19" xfId="480" xr:uid="{00000000-0005-0000-0000-0000F4190000}"/>
    <cellStyle name="SAPBEXaggData 19 2" xfId="8061" xr:uid="{00000000-0005-0000-0000-0000F5190000}"/>
    <cellStyle name="SAPBEXaggData 19 3" xfId="8062" xr:uid="{00000000-0005-0000-0000-0000F6190000}"/>
    <cellStyle name="SAPBEXaggData 19 4" xfId="8063" xr:uid="{00000000-0005-0000-0000-0000F7190000}"/>
    <cellStyle name="SAPBEXaggData 2" xfId="481" xr:uid="{00000000-0005-0000-0000-0000F8190000}"/>
    <cellStyle name="SAPBEXaggData 2 2" xfId="8064" xr:uid="{00000000-0005-0000-0000-0000F9190000}"/>
    <cellStyle name="SAPBEXaggData 2 3" xfId="8065" xr:uid="{00000000-0005-0000-0000-0000FA190000}"/>
    <cellStyle name="SAPBEXaggData 2 4" xfId="8066" xr:uid="{00000000-0005-0000-0000-0000FB190000}"/>
    <cellStyle name="SAPBEXaggData 20" xfId="482" xr:uid="{00000000-0005-0000-0000-0000FC190000}"/>
    <cellStyle name="SAPBEXaggData 20 2" xfId="8067" xr:uid="{00000000-0005-0000-0000-0000FD190000}"/>
    <cellStyle name="SAPBEXaggData 20 3" xfId="8068" xr:uid="{00000000-0005-0000-0000-0000FE190000}"/>
    <cellStyle name="SAPBEXaggData 20 4" xfId="8069" xr:uid="{00000000-0005-0000-0000-0000FF190000}"/>
    <cellStyle name="SAPBEXaggData 21" xfId="8070" xr:uid="{00000000-0005-0000-0000-0000001A0000}"/>
    <cellStyle name="SAPBEXaggData 22" xfId="8071" xr:uid="{00000000-0005-0000-0000-0000011A0000}"/>
    <cellStyle name="SAPBEXaggData 23" xfId="8072" xr:uid="{00000000-0005-0000-0000-0000021A0000}"/>
    <cellStyle name="SAPBEXaggData 3" xfId="483" xr:uid="{00000000-0005-0000-0000-0000031A0000}"/>
    <cellStyle name="SAPBEXaggData 3 2" xfId="8073" xr:uid="{00000000-0005-0000-0000-0000041A0000}"/>
    <cellStyle name="SAPBEXaggData 3 3" xfId="8074" xr:uid="{00000000-0005-0000-0000-0000051A0000}"/>
    <cellStyle name="SAPBEXaggData 3 4" xfId="8075" xr:uid="{00000000-0005-0000-0000-0000061A0000}"/>
    <cellStyle name="SAPBEXaggData 4" xfId="484" xr:uid="{00000000-0005-0000-0000-0000071A0000}"/>
    <cellStyle name="SAPBEXaggData 4 2" xfId="8076" xr:uid="{00000000-0005-0000-0000-0000081A0000}"/>
    <cellStyle name="SAPBEXaggData 4 3" xfId="8077" xr:uid="{00000000-0005-0000-0000-0000091A0000}"/>
    <cellStyle name="SAPBEXaggData 4 4" xfId="8078" xr:uid="{00000000-0005-0000-0000-00000A1A0000}"/>
    <cellStyle name="SAPBEXaggData 5" xfId="485" xr:uid="{00000000-0005-0000-0000-00000B1A0000}"/>
    <cellStyle name="SAPBEXaggData 5 2" xfId="8079" xr:uid="{00000000-0005-0000-0000-00000C1A0000}"/>
    <cellStyle name="SAPBEXaggData 5 3" xfId="8080" xr:uid="{00000000-0005-0000-0000-00000D1A0000}"/>
    <cellStyle name="SAPBEXaggData 5 4" xfId="8081" xr:uid="{00000000-0005-0000-0000-00000E1A0000}"/>
    <cellStyle name="SAPBEXaggData 6" xfId="486" xr:uid="{00000000-0005-0000-0000-00000F1A0000}"/>
    <cellStyle name="SAPBEXaggData 6 2" xfId="8082" xr:uid="{00000000-0005-0000-0000-0000101A0000}"/>
    <cellStyle name="SAPBEXaggData 6 3" xfId="8083" xr:uid="{00000000-0005-0000-0000-0000111A0000}"/>
    <cellStyle name="SAPBEXaggData 6 4" xfId="8084" xr:uid="{00000000-0005-0000-0000-0000121A0000}"/>
    <cellStyle name="SAPBEXaggData 7" xfId="487" xr:uid="{00000000-0005-0000-0000-0000131A0000}"/>
    <cellStyle name="SAPBEXaggData 7 2" xfId="8085" xr:uid="{00000000-0005-0000-0000-0000141A0000}"/>
    <cellStyle name="SAPBEXaggData 7 3" xfId="8086" xr:uid="{00000000-0005-0000-0000-0000151A0000}"/>
    <cellStyle name="SAPBEXaggData 7 4" xfId="8087" xr:uid="{00000000-0005-0000-0000-0000161A0000}"/>
    <cellStyle name="SAPBEXaggData 8" xfId="488" xr:uid="{00000000-0005-0000-0000-0000171A0000}"/>
    <cellStyle name="SAPBEXaggData 8 2" xfId="8088" xr:uid="{00000000-0005-0000-0000-0000181A0000}"/>
    <cellStyle name="SAPBEXaggData 8 3" xfId="8089" xr:uid="{00000000-0005-0000-0000-0000191A0000}"/>
    <cellStyle name="SAPBEXaggData 8 4" xfId="8090" xr:uid="{00000000-0005-0000-0000-00001A1A0000}"/>
    <cellStyle name="SAPBEXaggData 9" xfId="489" xr:uid="{00000000-0005-0000-0000-00001B1A0000}"/>
    <cellStyle name="SAPBEXaggData 9 2" xfId="8091" xr:uid="{00000000-0005-0000-0000-00001C1A0000}"/>
    <cellStyle name="SAPBEXaggData 9 3" xfId="8092" xr:uid="{00000000-0005-0000-0000-00001D1A0000}"/>
    <cellStyle name="SAPBEXaggData 9 4" xfId="8093" xr:uid="{00000000-0005-0000-0000-00001E1A0000}"/>
    <cellStyle name="SAPBEXaggData_Sheet2" xfId="490" xr:uid="{00000000-0005-0000-0000-00001F1A0000}"/>
    <cellStyle name="SAPBEXaggDataEmph" xfId="491" xr:uid="{00000000-0005-0000-0000-0000201A0000}"/>
    <cellStyle name="SAPBEXaggDataEmph 10" xfId="492" xr:uid="{00000000-0005-0000-0000-0000211A0000}"/>
    <cellStyle name="SAPBEXaggDataEmph 10 2" xfId="8094" xr:uid="{00000000-0005-0000-0000-0000221A0000}"/>
    <cellStyle name="SAPBEXaggDataEmph 10 3" xfId="8095" xr:uid="{00000000-0005-0000-0000-0000231A0000}"/>
    <cellStyle name="SAPBEXaggDataEmph 10 4" xfId="8096" xr:uid="{00000000-0005-0000-0000-0000241A0000}"/>
    <cellStyle name="SAPBEXaggDataEmph 11" xfId="493" xr:uid="{00000000-0005-0000-0000-0000251A0000}"/>
    <cellStyle name="SAPBEXaggDataEmph 11 2" xfId="8097" xr:uid="{00000000-0005-0000-0000-0000261A0000}"/>
    <cellStyle name="SAPBEXaggDataEmph 11 3" xfId="8098" xr:uid="{00000000-0005-0000-0000-0000271A0000}"/>
    <cellStyle name="SAPBEXaggDataEmph 11 4" xfId="8099" xr:uid="{00000000-0005-0000-0000-0000281A0000}"/>
    <cellStyle name="SAPBEXaggDataEmph 12" xfId="494" xr:uid="{00000000-0005-0000-0000-0000291A0000}"/>
    <cellStyle name="SAPBEXaggDataEmph 12 2" xfId="8100" xr:uid="{00000000-0005-0000-0000-00002A1A0000}"/>
    <cellStyle name="SAPBEXaggDataEmph 12 3" xfId="8101" xr:uid="{00000000-0005-0000-0000-00002B1A0000}"/>
    <cellStyle name="SAPBEXaggDataEmph 12 4" xfId="8102" xr:uid="{00000000-0005-0000-0000-00002C1A0000}"/>
    <cellStyle name="SAPBEXaggDataEmph 13" xfId="495" xr:uid="{00000000-0005-0000-0000-00002D1A0000}"/>
    <cellStyle name="SAPBEXaggDataEmph 13 2" xfId="8103" xr:uid="{00000000-0005-0000-0000-00002E1A0000}"/>
    <cellStyle name="SAPBEXaggDataEmph 13 3" xfId="8104" xr:uid="{00000000-0005-0000-0000-00002F1A0000}"/>
    <cellStyle name="SAPBEXaggDataEmph 13 4" xfId="8105" xr:uid="{00000000-0005-0000-0000-0000301A0000}"/>
    <cellStyle name="SAPBEXaggDataEmph 14" xfId="496" xr:uid="{00000000-0005-0000-0000-0000311A0000}"/>
    <cellStyle name="SAPBEXaggDataEmph 14 2" xfId="8106" xr:uid="{00000000-0005-0000-0000-0000321A0000}"/>
    <cellStyle name="SAPBEXaggDataEmph 14 3" xfId="8107" xr:uid="{00000000-0005-0000-0000-0000331A0000}"/>
    <cellStyle name="SAPBEXaggDataEmph 14 4" xfId="8108" xr:uid="{00000000-0005-0000-0000-0000341A0000}"/>
    <cellStyle name="SAPBEXaggDataEmph 15" xfId="497" xr:uid="{00000000-0005-0000-0000-0000351A0000}"/>
    <cellStyle name="SAPBEXaggDataEmph 15 2" xfId="8109" xr:uid="{00000000-0005-0000-0000-0000361A0000}"/>
    <cellStyle name="SAPBEXaggDataEmph 15 3" xfId="8110" xr:uid="{00000000-0005-0000-0000-0000371A0000}"/>
    <cellStyle name="SAPBEXaggDataEmph 15 4" xfId="8111" xr:uid="{00000000-0005-0000-0000-0000381A0000}"/>
    <cellStyle name="SAPBEXaggDataEmph 16" xfId="498" xr:uid="{00000000-0005-0000-0000-0000391A0000}"/>
    <cellStyle name="SAPBEXaggDataEmph 16 2" xfId="8112" xr:uid="{00000000-0005-0000-0000-00003A1A0000}"/>
    <cellStyle name="SAPBEXaggDataEmph 16 3" xfId="8113" xr:uid="{00000000-0005-0000-0000-00003B1A0000}"/>
    <cellStyle name="SAPBEXaggDataEmph 16 4" xfId="8114" xr:uid="{00000000-0005-0000-0000-00003C1A0000}"/>
    <cellStyle name="SAPBEXaggDataEmph 17" xfId="499" xr:uid="{00000000-0005-0000-0000-00003D1A0000}"/>
    <cellStyle name="SAPBEXaggDataEmph 17 2" xfId="8115" xr:uid="{00000000-0005-0000-0000-00003E1A0000}"/>
    <cellStyle name="SAPBEXaggDataEmph 17 3" xfId="8116" xr:uid="{00000000-0005-0000-0000-00003F1A0000}"/>
    <cellStyle name="SAPBEXaggDataEmph 17 4" xfId="8117" xr:uid="{00000000-0005-0000-0000-0000401A0000}"/>
    <cellStyle name="SAPBEXaggDataEmph 18" xfId="500" xr:uid="{00000000-0005-0000-0000-0000411A0000}"/>
    <cellStyle name="SAPBEXaggDataEmph 18 2" xfId="8118" xr:uid="{00000000-0005-0000-0000-0000421A0000}"/>
    <cellStyle name="SAPBEXaggDataEmph 18 3" xfId="8119" xr:uid="{00000000-0005-0000-0000-0000431A0000}"/>
    <cellStyle name="SAPBEXaggDataEmph 18 4" xfId="8120" xr:uid="{00000000-0005-0000-0000-0000441A0000}"/>
    <cellStyle name="SAPBEXaggDataEmph 19" xfId="501" xr:uid="{00000000-0005-0000-0000-0000451A0000}"/>
    <cellStyle name="SAPBEXaggDataEmph 19 2" xfId="8121" xr:uid="{00000000-0005-0000-0000-0000461A0000}"/>
    <cellStyle name="SAPBEXaggDataEmph 19 3" xfId="8122" xr:uid="{00000000-0005-0000-0000-0000471A0000}"/>
    <cellStyle name="SAPBEXaggDataEmph 19 4" xfId="8123" xr:uid="{00000000-0005-0000-0000-0000481A0000}"/>
    <cellStyle name="SAPBEXaggDataEmph 2" xfId="502" xr:uid="{00000000-0005-0000-0000-0000491A0000}"/>
    <cellStyle name="SAPBEXaggDataEmph 2 2" xfId="8124" xr:uid="{00000000-0005-0000-0000-00004A1A0000}"/>
    <cellStyle name="SAPBEXaggDataEmph 2 3" xfId="8125" xr:uid="{00000000-0005-0000-0000-00004B1A0000}"/>
    <cellStyle name="SAPBEXaggDataEmph 2 4" xfId="8126" xr:uid="{00000000-0005-0000-0000-00004C1A0000}"/>
    <cellStyle name="SAPBEXaggDataEmph 20" xfId="503" xr:uid="{00000000-0005-0000-0000-00004D1A0000}"/>
    <cellStyle name="SAPBEXaggDataEmph 20 2" xfId="8127" xr:uid="{00000000-0005-0000-0000-00004E1A0000}"/>
    <cellStyle name="SAPBEXaggDataEmph 20 3" xfId="8128" xr:uid="{00000000-0005-0000-0000-00004F1A0000}"/>
    <cellStyle name="SAPBEXaggDataEmph 20 4" xfId="8129" xr:uid="{00000000-0005-0000-0000-0000501A0000}"/>
    <cellStyle name="SAPBEXaggDataEmph 21" xfId="8130" xr:uid="{00000000-0005-0000-0000-0000511A0000}"/>
    <cellStyle name="SAPBEXaggDataEmph 22" xfId="8131" xr:uid="{00000000-0005-0000-0000-0000521A0000}"/>
    <cellStyle name="SAPBEXaggDataEmph 23" xfId="8132" xr:uid="{00000000-0005-0000-0000-0000531A0000}"/>
    <cellStyle name="SAPBEXaggDataEmph 3" xfId="504" xr:uid="{00000000-0005-0000-0000-0000541A0000}"/>
    <cellStyle name="SAPBEXaggDataEmph 3 2" xfId="8133" xr:uid="{00000000-0005-0000-0000-0000551A0000}"/>
    <cellStyle name="SAPBEXaggDataEmph 3 3" xfId="8134" xr:uid="{00000000-0005-0000-0000-0000561A0000}"/>
    <cellStyle name="SAPBEXaggDataEmph 3 4" xfId="8135" xr:uid="{00000000-0005-0000-0000-0000571A0000}"/>
    <cellStyle name="SAPBEXaggDataEmph 4" xfId="505" xr:uid="{00000000-0005-0000-0000-0000581A0000}"/>
    <cellStyle name="SAPBEXaggDataEmph 4 2" xfId="8136" xr:uid="{00000000-0005-0000-0000-0000591A0000}"/>
    <cellStyle name="SAPBEXaggDataEmph 4 3" xfId="8137" xr:uid="{00000000-0005-0000-0000-00005A1A0000}"/>
    <cellStyle name="SAPBEXaggDataEmph 4 4" xfId="8138" xr:uid="{00000000-0005-0000-0000-00005B1A0000}"/>
    <cellStyle name="SAPBEXaggDataEmph 5" xfId="506" xr:uid="{00000000-0005-0000-0000-00005C1A0000}"/>
    <cellStyle name="SAPBEXaggDataEmph 5 2" xfId="8139" xr:uid="{00000000-0005-0000-0000-00005D1A0000}"/>
    <cellStyle name="SAPBEXaggDataEmph 5 3" xfId="8140" xr:uid="{00000000-0005-0000-0000-00005E1A0000}"/>
    <cellStyle name="SAPBEXaggDataEmph 5 4" xfId="8141" xr:uid="{00000000-0005-0000-0000-00005F1A0000}"/>
    <cellStyle name="SAPBEXaggDataEmph 6" xfId="507" xr:uid="{00000000-0005-0000-0000-0000601A0000}"/>
    <cellStyle name="SAPBEXaggDataEmph 6 2" xfId="8142" xr:uid="{00000000-0005-0000-0000-0000611A0000}"/>
    <cellStyle name="SAPBEXaggDataEmph 6 3" xfId="8143" xr:uid="{00000000-0005-0000-0000-0000621A0000}"/>
    <cellStyle name="SAPBEXaggDataEmph 6 4" xfId="8144" xr:uid="{00000000-0005-0000-0000-0000631A0000}"/>
    <cellStyle name="SAPBEXaggDataEmph 7" xfId="508" xr:uid="{00000000-0005-0000-0000-0000641A0000}"/>
    <cellStyle name="SAPBEXaggDataEmph 7 2" xfId="8145" xr:uid="{00000000-0005-0000-0000-0000651A0000}"/>
    <cellStyle name="SAPBEXaggDataEmph 7 3" xfId="8146" xr:uid="{00000000-0005-0000-0000-0000661A0000}"/>
    <cellStyle name="SAPBEXaggDataEmph 7 4" xfId="8147" xr:uid="{00000000-0005-0000-0000-0000671A0000}"/>
    <cellStyle name="SAPBEXaggDataEmph 8" xfId="509" xr:uid="{00000000-0005-0000-0000-0000681A0000}"/>
    <cellStyle name="SAPBEXaggDataEmph 8 2" xfId="8148" xr:uid="{00000000-0005-0000-0000-0000691A0000}"/>
    <cellStyle name="SAPBEXaggDataEmph 8 3" xfId="8149" xr:uid="{00000000-0005-0000-0000-00006A1A0000}"/>
    <cellStyle name="SAPBEXaggDataEmph 8 4" xfId="8150" xr:uid="{00000000-0005-0000-0000-00006B1A0000}"/>
    <cellStyle name="SAPBEXaggDataEmph 9" xfId="510" xr:uid="{00000000-0005-0000-0000-00006C1A0000}"/>
    <cellStyle name="SAPBEXaggDataEmph 9 2" xfId="8151" xr:uid="{00000000-0005-0000-0000-00006D1A0000}"/>
    <cellStyle name="SAPBEXaggDataEmph 9 3" xfId="8152" xr:uid="{00000000-0005-0000-0000-00006E1A0000}"/>
    <cellStyle name="SAPBEXaggDataEmph 9 4" xfId="8153" xr:uid="{00000000-0005-0000-0000-00006F1A0000}"/>
    <cellStyle name="SAPBEXaggDataEmph_Sheet2" xfId="511" xr:uid="{00000000-0005-0000-0000-0000701A0000}"/>
    <cellStyle name="SAPBEXaggItem" xfId="512" xr:uid="{00000000-0005-0000-0000-0000711A0000}"/>
    <cellStyle name="SAPBEXaggItem 10" xfId="513" xr:uid="{00000000-0005-0000-0000-0000721A0000}"/>
    <cellStyle name="SAPBEXaggItem 10 2" xfId="8154" xr:uid="{00000000-0005-0000-0000-0000731A0000}"/>
    <cellStyle name="SAPBEXaggItem 10 3" xfId="8155" xr:uid="{00000000-0005-0000-0000-0000741A0000}"/>
    <cellStyle name="SAPBEXaggItem 10 4" xfId="8156" xr:uid="{00000000-0005-0000-0000-0000751A0000}"/>
    <cellStyle name="SAPBEXaggItem 11" xfId="514" xr:uid="{00000000-0005-0000-0000-0000761A0000}"/>
    <cellStyle name="SAPBEXaggItem 11 2" xfId="8157" xr:uid="{00000000-0005-0000-0000-0000771A0000}"/>
    <cellStyle name="SAPBEXaggItem 11 3" xfId="8158" xr:uid="{00000000-0005-0000-0000-0000781A0000}"/>
    <cellStyle name="SAPBEXaggItem 11 4" xfId="8159" xr:uid="{00000000-0005-0000-0000-0000791A0000}"/>
    <cellStyle name="SAPBEXaggItem 12" xfId="515" xr:uid="{00000000-0005-0000-0000-00007A1A0000}"/>
    <cellStyle name="SAPBEXaggItem 12 2" xfId="8160" xr:uid="{00000000-0005-0000-0000-00007B1A0000}"/>
    <cellStyle name="SAPBEXaggItem 12 3" xfId="8161" xr:uid="{00000000-0005-0000-0000-00007C1A0000}"/>
    <cellStyle name="SAPBEXaggItem 12 4" xfId="8162" xr:uid="{00000000-0005-0000-0000-00007D1A0000}"/>
    <cellStyle name="SAPBEXaggItem 13" xfId="516" xr:uid="{00000000-0005-0000-0000-00007E1A0000}"/>
    <cellStyle name="SAPBEXaggItem 13 2" xfId="8163" xr:uid="{00000000-0005-0000-0000-00007F1A0000}"/>
    <cellStyle name="SAPBEXaggItem 13 3" xfId="8164" xr:uid="{00000000-0005-0000-0000-0000801A0000}"/>
    <cellStyle name="SAPBEXaggItem 13 4" xfId="8165" xr:uid="{00000000-0005-0000-0000-0000811A0000}"/>
    <cellStyle name="SAPBEXaggItem 14" xfId="517" xr:uid="{00000000-0005-0000-0000-0000821A0000}"/>
    <cellStyle name="SAPBEXaggItem 14 2" xfId="8166" xr:uid="{00000000-0005-0000-0000-0000831A0000}"/>
    <cellStyle name="SAPBEXaggItem 14 3" xfId="8167" xr:uid="{00000000-0005-0000-0000-0000841A0000}"/>
    <cellStyle name="SAPBEXaggItem 14 4" xfId="8168" xr:uid="{00000000-0005-0000-0000-0000851A0000}"/>
    <cellStyle name="SAPBEXaggItem 15" xfId="518" xr:uid="{00000000-0005-0000-0000-0000861A0000}"/>
    <cellStyle name="SAPBEXaggItem 15 2" xfId="8169" xr:uid="{00000000-0005-0000-0000-0000871A0000}"/>
    <cellStyle name="SAPBEXaggItem 15 3" xfId="8170" xr:uid="{00000000-0005-0000-0000-0000881A0000}"/>
    <cellStyle name="SAPBEXaggItem 15 4" xfId="8171" xr:uid="{00000000-0005-0000-0000-0000891A0000}"/>
    <cellStyle name="SAPBEXaggItem 16" xfId="519" xr:uid="{00000000-0005-0000-0000-00008A1A0000}"/>
    <cellStyle name="SAPBEXaggItem 16 2" xfId="8172" xr:uid="{00000000-0005-0000-0000-00008B1A0000}"/>
    <cellStyle name="SAPBEXaggItem 16 3" xfId="8173" xr:uid="{00000000-0005-0000-0000-00008C1A0000}"/>
    <cellStyle name="SAPBEXaggItem 16 4" xfId="8174" xr:uid="{00000000-0005-0000-0000-00008D1A0000}"/>
    <cellStyle name="SAPBEXaggItem 17" xfId="520" xr:uid="{00000000-0005-0000-0000-00008E1A0000}"/>
    <cellStyle name="SAPBEXaggItem 17 2" xfId="8175" xr:uid="{00000000-0005-0000-0000-00008F1A0000}"/>
    <cellStyle name="SAPBEXaggItem 17 3" xfId="8176" xr:uid="{00000000-0005-0000-0000-0000901A0000}"/>
    <cellStyle name="SAPBEXaggItem 17 4" xfId="8177" xr:uid="{00000000-0005-0000-0000-0000911A0000}"/>
    <cellStyle name="SAPBEXaggItem 18" xfId="521" xr:uid="{00000000-0005-0000-0000-0000921A0000}"/>
    <cellStyle name="SAPBEXaggItem 18 2" xfId="8178" xr:uid="{00000000-0005-0000-0000-0000931A0000}"/>
    <cellStyle name="SAPBEXaggItem 18 3" xfId="8179" xr:uid="{00000000-0005-0000-0000-0000941A0000}"/>
    <cellStyle name="SAPBEXaggItem 18 4" xfId="8180" xr:uid="{00000000-0005-0000-0000-0000951A0000}"/>
    <cellStyle name="SAPBEXaggItem 19" xfId="522" xr:uid="{00000000-0005-0000-0000-0000961A0000}"/>
    <cellStyle name="SAPBEXaggItem 19 2" xfId="8181" xr:uid="{00000000-0005-0000-0000-0000971A0000}"/>
    <cellStyle name="SAPBEXaggItem 19 3" xfId="8182" xr:uid="{00000000-0005-0000-0000-0000981A0000}"/>
    <cellStyle name="SAPBEXaggItem 19 4" xfId="8183" xr:uid="{00000000-0005-0000-0000-0000991A0000}"/>
    <cellStyle name="SAPBEXaggItem 2" xfId="523" xr:uid="{00000000-0005-0000-0000-00009A1A0000}"/>
    <cellStyle name="SAPBEXaggItem 2 2" xfId="8184" xr:uid="{00000000-0005-0000-0000-00009B1A0000}"/>
    <cellStyle name="SAPBEXaggItem 2 3" xfId="8185" xr:uid="{00000000-0005-0000-0000-00009C1A0000}"/>
    <cellStyle name="SAPBEXaggItem 2 4" xfId="8186" xr:uid="{00000000-0005-0000-0000-00009D1A0000}"/>
    <cellStyle name="SAPBEXaggItem 20" xfId="524" xr:uid="{00000000-0005-0000-0000-00009E1A0000}"/>
    <cellStyle name="SAPBEXaggItem 20 2" xfId="8187" xr:uid="{00000000-0005-0000-0000-00009F1A0000}"/>
    <cellStyle name="SAPBEXaggItem 20 3" xfId="8188" xr:uid="{00000000-0005-0000-0000-0000A01A0000}"/>
    <cellStyle name="SAPBEXaggItem 20 4" xfId="8189" xr:uid="{00000000-0005-0000-0000-0000A11A0000}"/>
    <cellStyle name="SAPBEXaggItem 21" xfId="8190" xr:uid="{00000000-0005-0000-0000-0000A21A0000}"/>
    <cellStyle name="SAPBEXaggItem 22" xfId="8191" xr:uid="{00000000-0005-0000-0000-0000A31A0000}"/>
    <cellStyle name="SAPBEXaggItem 23" xfId="8192" xr:uid="{00000000-0005-0000-0000-0000A41A0000}"/>
    <cellStyle name="SAPBEXaggItem 3" xfId="525" xr:uid="{00000000-0005-0000-0000-0000A51A0000}"/>
    <cellStyle name="SAPBEXaggItem 3 2" xfId="8193" xr:uid="{00000000-0005-0000-0000-0000A61A0000}"/>
    <cellStyle name="SAPBEXaggItem 3 3" xfId="8194" xr:uid="{00000000-0005-0000-0000-0000A71A0000}"/>
    <cellStyle name="SAPBEXaggItem 3 4" xfId="8195" xr:uid="{00000000-0005-0000-0000-0000A81A0000}"/>
    <cellStyle name="SAPBEXaggItem 4" xfId="526" xr:uid="{00000000-0005-0000-0000-0000A91A0000}"/>
    <cellStyle name="SAPBEXaggItem 4 2" xfId="8196" xr:uid="{00000000-0005-0000-0000-0000AA1A0000}"/>
    <cellStyle name="SAPBEXaggItem 4 3" xfId="8197" xr:uid="{00000000-0005-0000-0000-0000AB1A0000}"/>
    <cellStyle name="SAPBEXaggItem 4 4" xfId="8198" xr:uid="{00000000-0005-0000-0000-0000AC1A0000}"/>
    <cellStyle name="SAPBEXaggItem 5" xfId="527" xr:uid="{00000000-0005-0000-0000-0000AD1A0000}"/>
    <cellStyle name="SAPBEXaggItem 5 2" xfId="8199" xr:uid="{00000000-0005-0000-0000-0000AE1A0000}"/>
    <cellStyle name="SAPBEXaggItem 5 3" xfId="8200" xr:uid="{00000000-0005-0000-0000-0000AF1A0000}"/>
    <cellStyle name="SAPBEXaggItem 5 4" xfId="8201" xr:uid="{00000000-0005-0000-0000-0000B01A0000}"/>
    <cellStyle name="SAPBEXaggItem 6" xfId="528" xr:uid="{00000000-0005-0000-0000-0000B11A0000}"/>
    <cellStyle name="SAPBEXaggItem 6 2" xfId="8202" xr:uid="{00000000-0005-0000-0000-0000B21A0000}"/>
    <cellStyle name="SAPBEXaggItem 6 3" xfId="8203" xr:uid="{00000000-0005-0000-0000-0000B31A0000}"/>
    <cellStyle name="SAPBEXaggItem 6 4" xfId="8204" xr:uid="{00000000-0005-0000-0000-0000B41A0000}"/>
    <cellStyle name="SAPBEXaggItem 7" xfId="529" xr:uid="{00000000-0005-0000-0000-0000B51A0000}"/>
    <cellStyle name="SAPBEXaggItem 7 2" xfId="8205" xr:uid="{00000000-0005-0000-0000-0000B61A0000}"/>
    <cellStyle name="SAPBEXaggItem 7 3" xfId="8206" xr:uid="{00000000-0005-0000-0000-0000B71A0000}"/>
    <cellStyle name="SAPBEXaggItem 7 4" xfId="8207" xr:uid="{00000000-0005-0000-0000-0000B81A0000}"/>
    <cellStyle name="SAPBEXaggItem 8" xfId="530" xr:uid="{00000000-0005-0000-0000-0000B91A0000}"/>
    <cellStyle name="SAPBEXaggItem 8 2" xfId="8208" xr:uid="{00000000-0005-0000-0000-0000BA1A0000}"/>
    <cellStyle name="SAPBEXaggItem 8 3" xfId="8209" xr:uid="{00000000-0005-0000-0000-0000BB1A0000}"/>
    <cellStyle name="SAPBEXaggItem 8 4" xfId="8210" xr:uid="{00000000-0005-0000-0000-0000BC1A0000}"/>
    <cellStyle name="SAPBEXaggItem 9" xfId="531" xr:uid="{00000000-0005-0000-0000-0000BD1A0000}"/>
    <cellStyle name="SAPBEXaggItem 9 2" xfId="8211" xr:uid="{00000000-0005-0000-0000-0000BE1A0000}"/>
    <cellStyle name="SAPBEXaggItem 9 3" xfId="8212" xr:uid="{00000000-0005-0000-0000-0000BF1A0000}"/>
    <cellStyle name="SAPBEXaggItem 9 4" xfId="8213" xr:uid="{00000000-0005-0000-0000-0000C01A0000}"/>
    <cellStyle name="SAPBEXaggItem_Sheet2" xfId="532" xr:uid="{00000000-0005-0000-0000-0000C11A0000}"/>
    <cellStyle name="SAPBEXaggItemX" xfId="533" xr:uid="{00000000-0005-0000-0000-0000C21A0000}"/>
    <cellStyle name="SAPBEXaggItemX 10" xfId="534" xr:uid="{00000000-0005-0000-0000-0000C31A0000}"/>
    <cellStyle name="SAPBEXaggItemX 10 2" xfId="8214" xr:uid="{00000000-0005-0000-0000-0000C41A0000}"/>
    <cellStyle name="SAPBEXaggItemX 10 3" xfId="8215" xr:uid="{00000000-0005-0000-0000-0000C51A0000}"/>
    <cellStyle name="SAPBEXaggItemX 10 4" xfId="8216" xr:uid="{00000000-0005-0000-0000-0000C61A0000}"/>
    <cellStyle name="SAPBEXaggItemX 11" xfId="535" xr:uid="{00000000-0005-0000-0000-0000C71A0000}"/>
    <cellStyle name="SAPBEXaggItemX 11 2" xfId="8217" xr:uid="{00000000-0005-0000-0000-0000C81A0000}"/>
    <cellStyle name="SAPBEXaggItemX 11 3" xfId="8218" xr:uid="{00000000-0005-0000-0000-0000C91A0000}"/>
    <cellStyle name="SAPBEXaggItemX 11 4" xfId="8219" xr:uid="{00000000-0005-0000-0000-0000CA1A0000}"/>
    <cellStyle name="SAPBEXaggItemX 12" xfId="536" xr:uid="{00000000-0005-0000-0000-0000CB1A0000}"/>
    <cellStyle name="SAPBEXaggItemX 12 2" xfId="8220" xr:uid="{00000000-0005-0000-0000-0000CC1A0000}"/>
    <cellStyle name="SAPBEXaggItemX 12 3" xfId="8221" xr:uid="{00000000-0005-0000-0000-0000CD1A0000}"/>
    <cellStyle name="SAPBEXaggItemX 12 4" xfId="8222" xr:uid="{00000000-0005-0000-0000-0000CE1A0000}"/>
    <cellStyle name="SAPBEXaggItemX 13" xfId="537" xr:uid="{00000000-0005-0000-0000-0000CF1A0000}"/>
    <cellStyle name="SAPBEXaggItemX 13 2" xfId="8223" xr:uid="{00000000-0005-0000-0000-0000D01A0000}"/>
    <cellStyle name="SAPBEXaggItemX 13 3" xfId="8224" xr:uid="{00000000-0005-0000-0000-0000D11A0000}"/>
    <cellStyle name="SAPBEXaggItemX 13 4" xfId="8225" xr:uid="{00000000-0005-0000-0000-0000D21A0000}"/>
    <cellStyle name="SAPBEXaggItemX 14" xfId="538" xr:uid="{00000000-0005-0000-0000-0000D31A0000}"/>
    <cellStyle name="SAPBEXaggItemX 14 2" xfId="8226" xr:uid="{00000000-0005-0000-0000-0000D41A0000}"/>
    <cellStyle name="SAPBEXaggItemX 14 3" xfId="8227" xr:uid="{00000000-0005-0000-0000-0000D51A0000}"/>
    <cellStyle name="SAPBEXaggItemX 14 4" xfId="8228" xr:uid="{00000000-0005-0000-0000-0000D61A0000}"/>
    <cellStyle name="SAPBEXaggItemX 15" xfId="539" xr:uid="{00000000-0005-0000-0000-0000D71A0000}"/>
    <cellStyle name="SAPBEXaggItemX 15 2" xfId="8229" xr:uid="{00000000-0005-0000-0000-0000D81A0000}"/>
    <cellStyle name="SAPBEXaggItemX 15 3" xfId="8230" xr:uid="{00000000-0005-0000-0000-0000D91A0000}"/>
    <cellStyle name="SAPBEXaggItemX 15 4" xfId="8231" xr:uid="{00000000-0005-0000-0000-0000DA1A0000}"/>
    <cellStyle name="SAPBEXaggItemX 16" xfId="540" xr:uid="{00000000-0005-0000-0000-0000DB1A0000}"/>
    <cellStyle name="SAPBEXaggItemX 16 2" xfId="8232" xr:uid="{00000000-0005-0000-0000-0000DC1A0000}"/>
    <cellStyle name="SAPBEXaggItemX 16 3" xfId="8233" xr:uid="{00000000-0005-0000-0000-0000DD1A0000}"/>
    <cellStyle name="SAPBEXaggItemX 16 4" xfId="8234" xr:uid="{00000000-0005-0000-0000-0000DE1A0000}"/>
    <cellStyle name="SAPBEXaggItemX 17" xfId="541" xr:uid="{00000000-0005-0000-0000-0000DF1A0000}"/>
    <cellStyle name="SAPBEXaggItemX 17 2" xfId="8235" xr:uid="{00000000-0005-0000-0000-0000E01A0000}"/>
    <cellStyle name="SAPBEXaggItemX 17 3" xfId="8236" xr:uid="{00000000-0005-0000-0000-0000E11A0000}"/>
    <cellStyle name="SAPBEXaggItemX 17 4" xfId="8237" xr:uid="{00000000-0005-0000-0000-0000E21A0000}"/>
    <cellStyle name="SAPBEXaggItemX 18" xfId="542" xr:uid="{00000000-0005-0000-0000-0000E31A0000}"/>
    <cellStyle name="SAPBEXaggItemX 18 2" xfId="8238" xr:uid="{00000000-0005-0000-0000-0000E41A0000}"/>
    <cellStyle name="SAPBEXaggItemX 18 3" xfId="8239" xr:uid="{00000000-0005-0000-0000-0000E51A0000}"/>
    <cellStyle name="SAPBEXaggItemX 18 4" xfId="8240" xr:uid="{00000000-0005-0000-0000-0000E61A0000}"/>
    <cellStyle name="SAPBEXaggItemX 19" xfId="543" xr:uid="{00000000-0005-0000-0000-0000E71A0000}"/>
    <cellStyle name="SAPBEXaggItemX 19 2" xfId="8241" xr:uid="{00000000-0005-0000-0000-0000E81A0000}"/>
    <cellStyle name="SAPBEXaggItemX 19 3" xfId="8242" xr:uid="{00000000-0005-0000-0000-0000E91A0000}"/>
    <cellStyle name="SAPBEXaggItemX 19 4" xfId="8243" xr:uid="{00000000-0005-0000-0000-0000EA1A0000}"/>
    <cellStyle name="SAPBEXaggItemX 2" xfId="544" xr:uid="{00000000-0005-0000-0000-0000EB1A0000}"/>
    <cellStyle name="SAPBEXaggItemX 2 2" xfId="8244" xr:uid="{00000000-0005-0000-0000-0000EC1A0000}"/>
    <cellStyle name="SAPBEXaggItemX 2 3" xfId="8245" xr:uid="{00000000-0005-0000-0000-0000ED1A0000}"/>
    <cellStyle name="SAPBEXaggItemX 2 4" xfId="8246" xr:uid="{00000000-0005-0000-0000-0000EE1A0000}"/>
    <cellStyle name="SAPBEXaggItemX 20" xfId="545" xr:uid="{00000000-0005-0000-0000-0000EF1A0000}"/>
    <cellStyle name="SAPBEXaggItemX 20 2" xfId="8247" xr:uid="{00000000-0005-0000-0000-0000F01A0000}"/>
    <cellStyle name="SAPBEXaggItemX 20 3" xfId="8248" xr:uid="{00000000-0005-0000-0000-0000F11A0000}"/>
    <cellStyle name="SAPBEXaggItemX 20 4" xfId="8249" xr:uid="{00000000-0005-0000-0000-0000F21A0000}"/>
    <cellStyle name="SAPBEXaggItemX 21" xfId="8250" xr:uid="{00000000-0005-0000-0000-0000F31A0000}"/>
    <cellStyle name="SAPBEXaggItemX 22" xfId="8251" xr:uid="{00000000-0005-0000-0000-0000F41A0000}"/>
    <cellStyle name="SAPBEXaggItemX 23" xfId="8252" xr:uid="{00000000-0005-0000-0000-0000F51A0000}"/>
    <cellStyle name="SAPBEXaggItemX 3" xfId="546" xr:uid="{00000000-0005-0000-0000-0000F61A0000}"/>
    <cellStyle name="SAPBEXaggItemX 3 2" xfId="8253" xr:uid="{00000000-0005-0000-0000-0000F71A0000}"/>
    <cellStyle name="SAPBEXaggItemX 3 3" xfId="8254" xr:uid="{00000000-0005-0000-0000-0000F81A0000}"/>
    <cellStyle name="SAPBEXaggItemX 3 4" xfId="8255" xr:uid="{00000000-0005-0000-0000-0000F91A0000}"/>
    <cellStyle name="SAPBEXaggItemX 4" xfId="547" xr:uid="{00000000-0005-0000-0000-0000FA1A0000}"/>
    <cellStyle name="SAPBEXaggItemX 4 2" xfId="8256" xr:uid="{00000000-0005-0000-0000-0000FB1A0000}"/>
    <cellStyle name="SAPBEXaggItemX 4 3" xfId="8257" xr:uid="{00000000-0005-0000-0000-0000FC1A0000}"/>
    <cellStyle name="SAPBEXaggItemX 4 4" xfId="8258" xr:uid="{00000000-0005-0000-0000-0000FD1A0000}"/>
    <cellStyle name="SAPBEXaggItemX 5" xfId="548" xr:uid="{00000000-0005-0000-0000-0000FE1A0000}"/>
    <cellStyle name="SAPBEXaggItemX 5 2" xfId="8259" xr:uid="{00000000-0005-0000-0000-0000FF1A0000}"/>
    <cellStyle name="SAPBEXaggItemX 5 3" xfId="8260" xr:uid="{00000000-0005-0000-0000-0000001B0000}"/>
    <cellStyle name="SAPBEXaggItemX 5 4" xfId="8261" xr:uid="{00000000-0005-0000-0000-0000011B0000}"/>
    <cellStyle name="SAPBEXaggItemX 6" xfId="549" xr:uid="{00000000-0005-0000-0000-0000021B0000}"/>
    <cellStyle name="SAPBEXaggItemX 6 2" xfId="8262" xr:uid="{00000000-0005-0000-0000-0000031B0000}"/>
    <cellStyle name="SAPBEXaggItemX 6 3" xfId="8263" xr:uid="{00000000-0005-0000-0000-0000041B0000}"/>
    <cellStyle name="SAPBEXaggItemX 6 4" xfId="8264" xr:uid="{00000000-0005-0000-0000-0000051B0000}"/>
    <cellStyle name="SAPBEXaggItemX 7" xfId="550" xr:uid="{00000000-0005-0000-0000-0000061B0000}"/>
    <cellStyle name="SAPBEXaggItemX 7 2" xfId="8265" xr:uid="{00000000-0005-0000-0000-0000071B0000}"/>
    <cellStyle name="SAPBEXaggItemX 7 3" xfId="8266" xr:uid="{00000000-0005-0000-0000-0000081B0000}"/>
    <cellStyle name="SAPBEXaggItemX 7 4" xfId="8267" xr:uid="{00000000-0005-0000-0000-0000091B0000}"/>
    <cellStyle name="SAPBEXaggItemX 8" xfId="551" xr:uid="{00000000-0005-0000-0000-00000A1B0000}"/>
    <cellStyle name="SAPBEXaggItemX 8 2" xfId="8268" xr:uid="{00000000-0005-0000-0000-00000B1B0000}"/>
    <cellStyle name="SAPBEXaggItemX 8 3" xfId="8269" xr:uid="{00000000-0005-0000-0000-00000C1B0000}"/>
    <cellStyle name="SAPBEXaggItemX 8 4" xfId="8270" xr:uid="{00000000-0005-0000-0000-00000D1B0000}"/>
    <cellStyle name="SAPBEXaggItemX 9" xfId="552" xr:uid="{00000000-0005-0000-0000-00000E1B0000}"/>
    <cellStyle name="SAPBEXaggItemX 9 2" xfId="8271" xr:uid="{00000000-0005-0000-0000-00000F1B0000}"/>
    <cellStyle name="SAPBEXaggItemX 9 3" xfId="8272" xr:uid="{00000000-0005-0000-0000-0000101B0000}"/>
    <cellStyle name="SAPBEXaggItemX 9 4" xfId="8273" xr:uid="{00000000-0005-0000-0000-0000111B0000}"/>
    <cellStyle name="SAPBEXaggItemX_Sheet2" xfId="553" xr:uid="{00000000-0005-0000-0000-0000121B0000}"/>
    <cellStyle name="SAPBEXchaText" xfId="554" xr:uid="{00000000-0005-0000-0000-0000131B0000}"/>
    <cellStyle name="SAPBEXchaText 10" xfId="555" xr:uid="{00000000-0005-0000-0000-0000141B0000}"/>
    <cellStyle name="SAPBEXchaText 10 2" xfId="8274" xr:uid="{00000000-0005-0000-0000-0000151B0000}"/>
    <cellStyle name="SAPBEXchaText 10 3" xfId="8275" xr:uid="{00000000-0005-0000-0000-0000161B0000}"/>
    <cellStyle name="SAPBEXchaText 10 4" xfId="8276" xr:uid="{00000000-0005-0000-0000-0000171B0000}"/>
    <cellStyle name="SAPBEXchaText 11" xfId="556" xr:uid="{00000000-0005-0000-0000-0000181B0000}"/>
    <cellStyle name="SAPBEXchaText 11 2" xfId="8277" xr:uid="{00000000-0005-0000-0000-0000191B0000}"/>
    <cellStyle name="SAPBEXchaText 11 3" xfId="8278" xr:uid="{00000000-0005-0000-0000-00001A1B0000}"/>
    <cellStyle name="SAPBEXchaText 11 4" xfId="8279" xr:uid="{00000000-0005-0000-0000-00001B1B0000}"/>
    <cellStyle name="SAPBEXchaText 12" xfId="557" xr:uid="{00000000-0005-0000-0000-00001C1B0000}"/>
    <cellStyle name="SAPBEXchaText 12 2" xfId="8280" xr:uid="{00000000-0005-0000-0000-00001D1B0000}"/>
    <cellStyle name="SAPBEXchaText 12 3" xfId="8281" xr:uid="{00000000-0005-0000-0000-00001E1B0000}"/>
    <cellStyle name="SAPBEXchaText 12 4" xfId="8282" xr:uid="{00000000-0005-0000-0000-00001F1B0000}"/>
    <cellStyle name="SAPBEXchaText 13" xfId="558" xr:uid="{00000000-0005-0000-0000-0000201B0000}"/>
    <cellStyle name="SAPBEXchaText 13 2" xfId="8283" xr:uid="{00000000-0005-0000-0000-0000211B0000}"/>
    <cellStyle name="SAPBEXchaText 13 3" xfId="8284" xr:uid="{00000000-0005-0000-0000-0000221B0000}"/>
    <cellStyle name="SAPBEXchaText 13 4" xfId="8285" xr:uid="{00000000-0005-0000-0000-0000231B0000}"/>
    <cellStyle name="SAPBEXchaText 14" xfId="559" xr:uid="{00000000-0005-0000-0000-0000241B0000}"/>
    <cellStyle name="SAPBEXchaText 14 2" xfId="8286" xr:uid="{00000000-0005-0000-0000-0000251B0000}"/>
    <cellStyle name="SAPBEXchaText 14 3" xfId="8287" xr:uid="{00000000-0005-0000-0000-0000261B0000}"/>
    <cellStyle name="SAPBEXchaText 14 4" xfId="8288" xr:uid="{00000000-0005-0000-0000-0000271B0000}"/>
    <cellStyle name="SAPBEXchaText 15" xfId="560" xr:uid="{00000000-0005-0000-0000-0000281B0000}"/>
    <cellStyle name="SAPBEXchaText 15 2" xfId="8289" xr:uid="{00000000-0005-0000-0000-0000291B0000}"/>
    <cellStyle name="SAPBEXchaText 15 3" xfId="8290" xr:uid="{00000000-0005-0000-0000-00002A1B0000}"/>
    <cellStyle name="SAPBEXchaText 15 4" xfId="8291" xr:uid="{00000000-0005-0000-0000-00002B1B0000}"/>
    <cellStyle name="SAPBEXchaText 16" xfId="561" xr:uid="{00000000-0005-0000-0000-00002C1B0000}"/>
    <cellStyle name="SAPBEXchaText 16 2" xfId="8292" xr:uid="{00000000-0005-0000-0000-00002D1B0000}"/>
    <cellStyle name="SAPBEXchaText 16 3" xfId="8293" xr:uid="{00000000-0005-0000-0000-00002E1B0000}"/>
    <cellStyle name="SAPBEXchaText 16 4" xfId="8294" xr:uid="{00000000-0005-0000-0000-00002F1B0000}"/>
    <cellStyle name="SAPBEXchaText 17" xfId="562" xr:uid="{00000000-0005-0000-0000-0000301B0000}"/>
    <cellStyle name="SAPBEXchaText 17 2" xfId="8295" xr:uid="{00000000-0005-0000-0000-0000311B0000}"/>
    <cellStyle name="SAPBEXchaText 17 3" xfId="8296" xr:uid="{00000000-0005-0000-0000-0000321B0000}"/>
    <cellStyle name="SAPBEXchaText 17 4" xfId="8297" xr:uid="{00000000-0005-0000-0000-0000331B0000}"/>
    <cellStyle name="SAPBEXchaText 18" xfId="563" xr:uid="{00000000-0005-0000-0000-0000341B0000}"/>
    <cellStyle name="SAPBEXchaText 18 2" xfId="8298" xr:uid="{00000000-0005-0000-0000-0000351B0000}"/>
    <cellStyle name="SAPBEXchaText 18 3" xfId="8299" xr:uid="{00000000-0005-0000-0000-0000361B0000}"/>
    <cellStyle name="SAPBEXchaText 18 4" xfId="8300" xr:uid="{00000000-0005-0000-0000-0000371B0000}"/>
    <cellStyle name="SAPBEXchaText 19" xfId="564" xr:uid="{00000000-0005-0000-0000-0000381B0000}"/>
    <cellStyle name="SAPBEXchaText 19 2" xfId="8301" xr:uid="{00000000-0005-0000-0000-0000391B0000}"/>
    <cellStyle name="SAPBEXchaText 19 3" xfId="8302" xr:uid="{00000000-0005-0000-0000-00003A1B0000}"/>
    <cellStyle name="SAPBEXchaText 19 4" xfId="8303" xr:uid="{00000000-0005-0000-0000-00003B1B0000}"/>
    <cellStyle name="SAPBEXchaText 2" xfId="565" xr:uid="{00000000-0005-0000-0000-00003C1B0000}"/>
    <cellStyle name="SAPBEXchaText 2 2" xfId="8304" xr:uid="{00000000-0005-0000-0000-00003D1B0000}"/>
    <cellStyle name="SAPBEXchaText 2 3" xfId="8305" xr:uid="{00000000-0005-0000-0000-00003E1B0000}"/>
    <cellStyle name="SAPBEXchaText 2 4" xfId="8306" xr:uid="{00000000-0005-0000-0000-00003F1B0000}"/>
    <cellStyle name="SAPBEXchaText 20" xfId="566" xr:uid="{00000000-0005-0000-0000-0000401B0000}"/>
    <cellStyle name="SAPBEXchaText 20 2" xfId="8307" xr:uid="{00000000-0005-0000-0000-0000411B0000}"/>
    <cellStyle name="SAPBEXchaText 20 3" xfId="8308" xr:uid="{00000000-0005-0000-0000-0000421B0000}"/>
    <cellStyle name="SAPBEXchaText 20 4" xfId="8309" xr:uid="{00000000-0005-0000-0000-0000431B0000}"/>
    <cellStyle name="SAPBEXchaText 21" xfId="8310" xr:uid="{00000000-0005-0000-0000-0000441B0000}"/>
    <cellStyle name="SAPBEXchaText 22" xfId="8311" xr:uid="{00000000-0005-0000-0000-0000451B0000}"/>
    <cellStyle name="SAPBEXchaText 23" xfId="8312" xr:uid="{00000000-0005-0000-0000-0000461B0000}"/>
    <cellStyle name="SAPBEXchaText 3" xfId="567" xr:uid="{00000000-0005-0000-0000-0000471B0000}"/>
    <cellStyle name="SAPBEXchaText 3 2" xfId="8313" xr:uid="{00000000-0005-0000-0000-0000481B0000}"/>
    <cellStyle name="SAPBEXchaText 3 3" xfId="8314" xr:uid="{00000000-0005-0000-0000-0000491B0000}"/>
    <cellStyle name="SAPBEXchaText 3 4" xfId="8315" xr:uid="{00000000-0005-0000-0000-00004A1B0000}"/>
    <cellStyle name="SAPBEXchaText 4" xfId="568" xr:uid="{00000000-0005-0000-0000-00004B1B0000}"/>
    <cellStyle name="SAPBEXchaText 4 2" xfId="8316" xr:uid="{00000000-0005-0000-0000-00004C1B0000}"/>
    <cellStyle name="SAPBEXchaText 4 3" xfId="8317" xr:uid="{00000000-0005-0000-0000-00004D1B0000}"/>
    <cellStyle name="SAPBEXchaText 4 4" xfId="8318" xr:uid="{00000000-0005-0000-0000-00004E1B0000}"/>
    <cellStyle name="SAPBEXchaText 5" xfId="569" xr:uid="{00000000-0005-0000-0000-00004F1B0000}"/>
    <cellStyle name="SAPBEXchaText 5 2" xfId="8319" xr:uid="{00000000-0005-0000-0000-0000501B0000}"/>
    <cellStyle name="SAPBEXchaText 5 3" xfId="8320" xr:uid="{00000000-0005-0000-0000-0000511B0000}"/>
    <cellStyle name="SAPBEXchaText 5 4" xfId="8321" xr:uid="{00000000-0005-0000-0000-0000521B0000}"/>
    <cellStyle name="SAPBEXchaText 6" xfId="570" xr:uid="{00000000-0005-0000-0000-0000531B0000}"/>
    <cellStyle name="SAPBEXchaText 6 2" xfId="8322" xr:uid="{00000000-0005-0000-0000-0000541B0000}"/>
    <cellStyle name="SAPBEXchaText 6 3" xfId="8323" xr:uid="{00000000-0005-0000-0000-0000551B0000}"/>
    <cellStyle name="SAPBEXchaText 6 4" xfId="8324" xr:uid="{00000000-0005-0000-0000-0000561B0000}"/>
    <cellStyle name="SAPBEXchaText 7" xfId="571" xr:uid="{00000000-0005-0000-0000-0000571B0000}"/>
    <cellStyle name="SAPBEXchaText 7 2" xfId="8325" xr:uid="{00000000-0005-0000-0000-0000581B0000}"/>
    <cellStyle name="SAPBEXchaText 7 3" xfId="8326" xr:uid="{00000000-0005-0000-0000-0000591B0000}"/>
    <cellStyle name="SAPBEXchaText 7 4" xfId="8327" xr:uid="{00000000-0005-0000-0000-00005A1B0000}"/>
    <cellStyle name="SAPBEXchaText 8" xfId="572" xr:uid="{00000000-0005-0000-0000-00005B1B0000}"/>
    <cellStyle name="SAPBEXchaText 8 2" xfId="8328" xr:uid="{00000000-0005-0000-0000-00005C1B0000}"/>
    <cellStyle name="SAPBEXchaText 8 3" xfId="8329" xr:uid="{00000000-0005-0000-0000-00005D1B0000}"/>
    <cellStyle name="SAPBEXchaText 8 4" xfId="8330" xr:uid="{00000000-0005-0000-0000-00005E1B0000}"/>
    <cellStyle name="SAPBEXchaText 9" xfId="573" xr:uid="{00000000-0005-0000-0000-00005F1B0000}"/>
    <cellStyle name="SAPBEXchaText 9 2" xfId="8331" xr:uid="{00000000-0005-0000-0000-0000601B0000}"/>
    <cellStyle name="SAPBEXchaText 9 3" xfId="8332" xr:uid="{00000000-0005-0000-0000-0000611B0000}"/>
    <cellStyle name="SAPBEXchaText 9 4" xfId="8333" xr:uid="{00000000-0005-0000-0000-0000621B0000}"/>
    <cellStyle name="SAPBEXchaText_Sheet2" xfId="574" xr:uid="{00000000-0005-0000-0000-0000631B0000}"/>
    <cellStyle name="SAPBEXexcBad7" xfId="575" xr:uid="{00000000-0005-0000-0000-0000641B0000}"/>
    <cellStyle name="SAPBEXexcBad7 10" xfId="576" xr:uid="{00000000-0005-0000-0000-0000651B0000}"/>
    <cellStyle name="SAPBEXexcBad7 10 2" xfId="8334" xr:uid="{00000000-0005-0000-0000-0000661B0000}"/>
    <cellStyle name="SAPBEXexcBad7 10 3" xfId="8335" xr:uid="{00000000-0005-0000-0000-0000671B0000}"/>
    <cellStyle name="SAPBEXexcBad7 10 4" xfId="8336" xr:uid="{00000000-0005-0000-0000-0000681B0000}"/>
    <cellStyle name="SAPBEXexcBad7 11" xfId="577" xr:uid="{00000000-0005-0000-0000-0000691B0000}"/>
    <cellStyle name="SAPBEXexcBad7 11 2" xfId="8337" xr:uid="{00000000-0005-0000-0000-00006A1B0000}"/>
    <cellStyle name="SAPBEXexcBad7 11 3" xfId="8338" xr:uid="{00000000-0005-0000-0000-00006B1B0000}"/>
    <cellStyle name="SAPBEXexcBad7 11 4" xfId="8339" xr:uid="{00000000-0005-0000-0000-00006C1B0000}"/>
    <cellStyle name="SAPBEXexcBad7 12" xfId="578" xr:uid="{00000000-0005-0000-0000-00006D1B0000}"/>
    <cellStyle name="SAPBEXexcBad7 12 2" xfId="8340" xr:uid="{00000000-0005-0000-0000-00006E1B0000}"/>
    <cellStyle name="SAPBEXexcBad7 12 3" xfId="8341" xr:uid="{00000000-0005-0000-0000-00006F1B0000}"/>
    <cellStyle name="SAPBEXexcBad7 12 4" xfId="8342" xr:uid="{00000000-0005-0000-0000-0000701B0000}"/>
    <cellStyle name="SAPBEXexcBad7 13" xfId="579" xr:uid="{00000000-0005-0000-0000-0000711B0000}"/>
    <cellStyle name="SAPBEXexcBad7 13 2" xfId="8343" xr:uid="{00000000-0005-0000-0000-0000721B0000}"/>
    <cellStyle name="SAPBEXexcBad7 13 3" xfId="8344" xr:uid="{00000000-0005-0000-0000-0000731B0000}"/>
    <cellStyle name="SAPBEXexcBad7 13 4" xfId="8345" xr:uid="{00000000-0005-0000-0000-0000741B0000}"/>
    <cellStyle name="SAPBEXexcBad7 14" xfId="580" xr:uid="{00000000-0005-0000-0000-0000751B0000}"/>
    <cellStyle name="SAPBEXexcBad7 14 2" xfId="8346" xr:uid="{00000000-0005-0000-0000-0000761B0000}"/>
    <cellStyle name="SAPBEXexcBad7 14 3" xfId="8347" xr:uid="{00000000-0005-0000-0000-0000771B0000}"/>
    <cellStyle name="SAPBEXexcBad7 14 4" xfId="8348" xr:uid="{00000000-0005-0000-0000-0000781B0000}"/>
    <cellStyle name="SAPBEXexcBad7 15" xfId="581" xr:uid="{00000000-0005-0000-0000-0000791B0000}"/>
    <cellStyle name="SAPBEXexcBad7 15 2" xfId="8349" xr:uid="{00000000-0005-0000-0000-00007A1B0000}"/>
    <cellStyle name="SAPBEXexcBad7 15 3" xfId="8350" xr:uid="{00000000-0005-0000-0000-00007B1B0000}"/>
    <cellStyle name="SAPBEXexcBad7 15 4" xfId="8351" xr:uid="{00000000-0005-0000-0000-00007C1B0000}"/>
    <cellStyle name="SAPBEXexcBad7 16" xfId="582" xr:uid="{00000000-0005-0000-0000-00007D1B0000}"/>
    <cellStyle name="SAPBEXexcBad7 16 2" xfId="8352" xr:uid="{00000000-0005-0000-0000-00007E1B0000}"/>
    <cellStyle name="SAPBEXexcBad7 16 3" xfId="8353" xr:uid="{00000000-0005-0000-0000-00007F1B0000}"/>
    <cellStyle name="SAPBEXexcBad7 16 4" xfId="8354" xr:uid="{00000000-0005-0000-0000-0000801B0000}"/>
    <cellStyle name="SAPBEXexcBad7 17" xfId="583" xr:uid="{00000000-0005-0000-0000-0000811B0000}"/>
    <cellStyle name="SAPBEXexcBad7 17 2" xfId="8355" xr:uid="{00000000-0005-0000-0000-0000821B0000}"/>
    <cellStyle name="SAPBEXexcBad7 17 3" xfId="8356" xr:uid="{00000000-0005-0000-0000-0000831B0000}"/>
    <cellStyle name="SAPBEXexcBad7 17 4" xfId="8357" xr:uid="{00000000-0005-0000-0000-0000841B0000}"/>
    <cellStyle name="SAPBEXexcBad7 18" xfId="584" xr:uid="{00000000-0005-0000-0000-0000851B0000}"/>
    <cellStyle name="SAPBEXexcBad7 18 2" xfId="8358" xr:uid="{00000000-0005-0000-0000-0000861B0000}"/>
    <cellStyle name="SAPBEXexcBad7 18 3" xfId="8359" xr:uid="{00000000-0005-0000-0000-0000871B0000}"/>
    <cellStyle name="SAPBEXexcBad7 18 4" xfId="8360" xr:uid="{00000000-0005-0000-0000-0000881B0000}"/>
    <cellStyle name="SAPBEXexcBad7 19" xfId="585" xr:uid="{00000000-0005-0000-0000-0000891B0000}"/>
    <cellStyle name="SAPBEXexcBad7 19 2" xfId="8361" xr:uid="{00000000-0005-0000-0000-00008A1B0000}"/>
    <cellStyle name="SAPBEXexcBad7 19 3" xfId="8362" xr:uid="{00000000-0005-0000-0000-00008B1B0000}"/>
    <cellStyle name="SAPBEXexcBad7 19 4" xfId="8363" xr:uid="{00000000-0005-0000-0000-00008C1B0000}"/>
    <cellStyle name="SAPBEXexcBad7 2" xfId="586" xr:uid="{00000000-0005-0000-0000-00008D1B0000}"/>
    <cellStyle name="SAPBEXexcBad7 2 2" xfId="8364" xr:uid="{00000000-0005-0000-0000-00008E1B0000}"/>
    <cellStyle name="SAPBEXexcBad7 2 3" xfId="8365" xr:uid="{00000000-0005-0000-0000-00008F1B0000}"/>
    <cellStyle name="SAPBEXexcBad7 2 4" xfId="8366" xr:uid="{00000000-0005-0000-0000-0000901B0000}"/>
    <cellStyle name="SAPBEXexcBad7 20" xfId="587" xr:uid="{00000000-0005-0000-0000-0000911B0000}"/>
    <cellStyle name="SAPBEXexcBad7 20 2" xfId="8367" xr:uid="{00000000-0005-0000-0000-0000921B0000}"/>
    <cellStyle name="SAPBEXexcBad7 20 3" xfId="8368" xr:uid="{00000000-0005-0000-0000-0000931B0000}"/>
    <cellStyle name="SAPBEXexcBad7 20 4" xfId="8369" xr:uid="{00000000-0005-0000-0000-0000941B0000}"/>
    <cellStyle name="SAPBEXexcBad7 21" xfId="8370" xr:uid="{00000000-0005-0000-0000-0000951B0000}"/>
    <cellStyle name="SAPBEXexcBad7 22" xfId="8371" xr:uid="{00000000-0005-0000-0000-0000961B0000}"/>
    <cellStyle name="SAPBEXexcBad7 23" xfId="8372" xr:uid="{00000000-0005-0000-0000-0000971B0000}"/>
    <cellStyle name="SAPBEXexcBad7 3" xfId="588" xr:uid="{00000000-0005-0000-0000-0000981B0000}"/>
    <cellStyle name="SAPBEXexcBad7 3 2" xfId="8373" xr:uid="{00000000-0005-0000-0000-0000991B0000}"/>
    <cellStyle name="SAPBEXexcBad7 3 3" xfId="8374" xr:uid="{00000000-0005-0000-0000-00009A1B0000}"/>
    <cellStyle name="SAPBEXexcBad7 3 4" xfId="8375" xr:uid="{00000000-0005-0000-0000-00009B1B0000}"/>
    <cellStyle name="SAPBEXexcBad7 4" xfId="589" xr:uid="{00000000-0005-0000-0000-00009C1B0000}"/>
    <cellStyle name="SAPBEXexcBad7 4 2" xfId="8376" xr:uid="{00000000-0005-0000-0000-00009D1B0000}"/>
    <cellStyle name="SAPBEXexcBad7 4 3" xfId="8377" xr:uid="{00000000-0005-0000-0000-00009E1B0000}"/>
    <cellStyle name="SAPBEXexcBad7 4 4" xfId="8378" xr:uid="{00000000-0005-0000-0000-00009F1B0000}"/>
    <cellStyle name="SAPBEXexcBad7 5" xfId="590" xr:uid="{00000000-0005-0000-0000-0000A01B0000}"/>
    <cellStyle name="SAPBEXexcBad7 5 2" xfId="8379" xr:uid="{00000000-0005-0000-0000-0000A11B0000}"/>
    <cellStyle name="SAPBEXexcBad7 5 3" xfId="8380" xr:uid="{00000000-0005-0000-0000-0000A21B0000}"/>
    <cellStyle name="SAPBEXexcBad7 5 4" xfId="8381" xr:uid="{00000000-0005-0000-0000-0000A31B0000}"/>
    <cellStyle name="SAPBEXexcBad7 6" xfId="591" xr:uid="{00000000-0005-0000-0000-0000A41B0000}"/>
    <cellStyle name="SAPBEXexcBad7 6 2" xfId="8382" xr:uid="{00000000-0005-0000-0000-0000A51B0000}"/>
    <cellStyle name="SAPBEXexcBad7 6 3" xfId="8383" xr:uid="{00000000-0005-0000-0000-0000A61B0000}"/>
    <cellStyle name="SAPBEXexcBad7 6 4" xfId="8384" xr:uid="{00000000-0005-0000-0000-0000A71B0000}"/>
    <cellStyle name="SAPBEXexcBad7 7" xfId="592" xr:uid="{00000000-0005-0000-0000-0000A81B0000}"/>
    <cellStyle name="SAPBEXexcBad7 7 2" xfId="8385" xr:uid="{00000000-0005-0000-0000-0000A91B0000}"/>
    <cellStyle name="SAPBEXexcBad7 7 3" xfId="8386" xr:uid="{00000000-0005-0000-0000-0000AA1B0000}"/>
    <cellStyle name="SAPBEXexcBad7 7 4" xfId="8387" xr:uid="{00000000-0005-0000-0000-0000AB1B0000}"/>
    <cellStyle name="SAPBEXexcBad7 8" xfId="593" xr:uid="{00000000-0005-0000-0000-0000AC1B0000}"/>
    <cellStyle name="SAPBEXexcBad7 8 2" xfId="8388" xr:uid="{00000000-0005-0000-0000-0000AD1B0000}"/>
    <cellStyle name="SAPBEXexcBad7 8 3" xfId="8389" xr:uid="{00000000-0005-0000-0000-0000AE1B0000}"/>
    <cellStyle name="SAPBEXexcBad7 8 4" xfId="8390" xr:uid="{00000000-0005-0000-0000-0000AF1B0000}"/>
    <cellStyle name="SAPBEXexcBad7 9" xfId="594" xr:uid="{00000000-0005-0000-0000-0000B01B0000}"/>
    <cellStyle name="SAPBEXexcBad7 9 2" xfId="8391" xr:uid="{00000000-0005-0000-0000-0000B11B0000}"/>
    <cellStyle name="SAPBEXexcBad7 9 3" xfId="8392" xr:uid="{00000000-0005-0000-0000-0000B21B0000}"/>
    <cellStyle name="SAPBEXexcBad7 9 4" xfId="8393" xr:uid="{00000000-0005-0000-0000-0000B31B0000}"/>
    <cellStyle name="SAPBEXexcBad7_Sheet2" xfId="595" xr:uid="{00000000-0005-0000-0000-0000B41B0000}"/>
    <cellStyle name="SAPBEXexcBad8" xfId="596" xr:uid="{00000000-0005-0000-0000-0000B51B0000}"/>
    <cellStyle name="SAPBEXexcBad8 10" xfId="597" xr:uid="{00000000-0005-0000-0000-0000B61B0000}"/>
    <cellStyle name="SAPBEXexcBad8 10 2" xfId="8394" xr:uid="{00000000-0005-0000-0000-0000B71B0000}"/>
    <cellStyle name="SAPBEXexcBad8 10 3" xfId="8395" xr:uid="{00000000-0005-0000-0000-0000B81B0000}"/>
    <cellStyle name="SAPBEXexcBad8 10 4" xfId="8396" xr:uid="{00000000-0005-0000-0000-0000B91B0000}"/>
    <cellStyle name="SAPBEXexcBad8 11" xfId="598" xr:uid="{00000000-0005-0000-0000-0000BA1B0000}"/>
    <cellStyle name="SAPBEXexcBad8 11 2" xfId="8397" xr:uid="{00000000-0005-0000-0000-0000BB1B0000}"/>
    <cellStyle name="SAPBEXexcBad8 11 3" xfId="8398" xr:uid="{00000000-0005-0000-0000-0000BC1B0000}"/>
    <cellStyle name="SAPBEXexcBad8 11 4" xfId="8399" xr:uid="{00000000-0005-0000-0000-0000BD1B0000}"/>
    <cellStyle name="SAPBEXexcBad8 12" xfId="599" xr:uid="{00000000-0005-0000-0000-0000BE1B0000}"/>
    <cellStyle name="SAPBEXexcBad8 12 2" xfId="8400" xr:uid="{00000000-0005-0000-0000-0000BF1B0000}"/>
    <cellStyle name="SAPBEXexcBad8 12 3" xfId="8401" xr:uid="{00000000-0005-0000-0000-0000C01B0000}"/>
    <cellStyle name="SAPBEXexcBad8 12 4" xfId="8402" xr:uid="{00000000-0005-0000-0000-0000C11B0000}"/>
    <cellStyle name="SAPBEXexcBad8 13" xfId="600" xr:uid="{00000000-0005-0000-0000-0000C21B0000}"/>
    <cellStyle name="SAPBEXexcBad8 13 2" xfId="8403" xr:uid="{00000000-0005-0000-0000-0000C31B0000}"/>
    <cellStyle name="SAPBEXexcBad8 13 3" xfId="8404" xr:uid="{00000000-0005-0000-0000-0000C41B0000}"/>
    <cellStyle name="SAPBEXexcBad8 13 4" xfId="8405" xr:uid="{00000000-0005-0000-0000-0000C51B0000}"/>
    <cellStyle name="SAPBEXexcBad8 14" xfId="601" xr:uid="{00000000-0005-0000-0000-0000C61B0000}"/>
    <cellStyle name="SAPBEXexcBad8 14 2" xfId="8406" xr:uid="{00000000-0005-0000-0000-0000C71B0000}"/>
    <cellStyle name="SAPBEXexcBad8 14 3" xfId="8407" xr:uid="{00000000-0005-0000-0000-0000C81B0000}"/>
    <cellStyle name="SAPBEXexcBad8 14 4" xfId="8408" xr:uid="{00000000-0005-0000-0000-0000C91B0000}"/>
    <cellStyle name="SAPBEXexcBad8 15" xfId="602" xr:uid="{00000000-0005-0000-0000-0000CA1B0000}"/>
    <cellStyle name="SAPBEXexcBad8 15 2" xfId="8409" xr:uid="{00000000-0005-0000-0000-0000CB1B0000}"/>
    <cellStyle name="SAPBEXexcBad8 15 3" xfId="8410" xr:uid="{00000000-0005-0000-0000-0000CC1B0000}"/>
    <cellStyle name="SAPBEXexcBad8 15 4" xfId="8411" xr:uid="{00000000-0005-0000-0000-0000CD1B0000}"/>
    <cellStyle name="SAPBEXexcBad8 16" xfId="603" xr:uid="{00000000-0005-0000-0000-0000CE1B0000}"/>
    <cellStyle name="SAPBEXexcBad8 16 2" xfId="8412" xr:uid="{00000000-0005-0000-0000-0000CF1B0000}"/>
    <cellStyle name="SAPBEXexcBad8 16 3" xfId="8413" xr:uid="{00000000-0005-0000-0000-0000D01B0000}"/>
    <cellStyle name="SAPBEXexcBad8 16 4" xfId="8414" xr:uid="{00000000-0005-0000-0000-0000D11B0000}"/>
    <cellStyle name="SAPBEXexcBad8 17" xfId="604" xr:uid="{00000000-0005-0000-0000-0000D21B0000}"/>
    <cellStyle name="SAPBEXexcBad8 17 2" xfId="8415" xr:uid="{00000000-0005-0000-0000-0000D31B0000}"/>
    <cellStyle name="SAPBEXexcBad8 17 3" xfId="8416" xr:uid="{00000000-0005-0000-0000-0000D41B0000}"/>
    <cellStyle name="SAPBEXexcBad8 17 4" xfId="8417" xr:uid="{00000000-0005-0000-0000-0000D51B0000}"/>
    <cellStyle name="SAPBEXexcBad8 18" xfId="605" xr:uid="{00000000-0005-0000-0000-0000D61B0000}"/>
    <cellStyle name="SAPBEXexcBad8 18 2" xfId="8418" xr:uid="{00000000-0005-0000-0000-0000D71B0000}"/>
    <cellStyle name="SAPBEXexcBad8 18 3" xfId="8419" xr:uid="{00000000-0005-0000-0000-0000D81B0000}"/>
    <cellStyle name="SAPBEXexcBad8 18 4" xfId="8420" xr:uid="{00000000-0005-0000-0000-0000D91B0000}"/>
    <cellStyle name="SAPBEXexcBad8 19" xfId="606" xr:uid="{00000000-0005-0000-0000-0000DA1B0000}"/>
    <cellStyle name="SAPBEXexcBad8 19 2" xfId="8421" xr:uid="{00000000-0005-0000-0000-0000DB1B0000}"/>
    <cellStyle name="SAPBEXexcBad8 19 3" xfId="8422" xr:uid="{00000000-0005-0000-0000-0000DC1B0000}"/>
    <cellStyle name="SAPBEXexcBad8 19 4" xfId="8423" xr:uid="{00000000-0005-0000-0000-0000DD1B0000}"/>
    <cellStyle name="SAPBEXexcBad8 2" xfId="607" xr:uid="{00000000-0005-0000-0000-0000DE1B0000}"/>
    <cellStyle name="SAPBEXexcBad8 2 2" xfId="8424" xr:uid="{00000000-0005-0000-0000-0000DF1B0000}"/>
    <cellStyle name="SAPBEXexcBad8 2 3" xfId="8425" xr:uid="{00000000-0005-0000-0000-0000E01B0000}"/>
    <cellStyle name="SAPBEXexcBad8 2 4" xfId="8426" xr:uid="{00000000-0005-0000-0000-0000E11B0000}"/>
    <cellStyle name="SAPBEXexcBad8 20" xfId="608" xr:uid="{00000000-0005-0000-0000-0000E21B0000}"/>
    <cellStyle name="SAPBEXexcBad8 20 2" xfId="8427" xr:uid="{00000000-0005-0000-0000-0000E31B0000}"/>
    <cellStyle name="SAPBEXexcBad8 20 3" xfId="8428" xr:uid="{00000000-0005-0000-0000-0000E41B0000}"/>
    <cellStyle name="SAPBEXexcBad8 20 4" xfId="8429" xr:uid="{00000000-0005-0000-0000-0000E51B0000}"/>
    <cellStyle name="SAPBEXexcBad8 21" xfId="8430" xr:uid="{00000000-0005-0000-0000-0000E61B0000}"/>
    <cellStyle name="SAPBEXexcBad8 22" xfId="8431" xr:uid="{00000000-0005-0000-0000-0000E71B0000}"/>
    <cellStyle name="SAPBEXexcBad8 23" xfId="8432" xr:uid="{00000000-0005-0000-0000-0000E81B0000}"/>
    <cellStyle name="SAPBEXexcBad8 3" xfId="609" xr:uid="{00000000-0005-0000-0000-0000E91B0000}"/>
    <cellStyle name="SAPBEXexcBad8 3 2" xfId="8433" xr:uid="{00000000-0005-0000-0000-0000EA1B0000}"/>
    <cellStyle name="SAPBEXexcBad8 3 3" xfId="8434" xr:uid="{00000000-0005-0000-0000-0000EB1B0000}"/>
    <cellStyle name="SAPBEXexcBad8 3 4" xfId="8435" xr:uid="{00000000-0005-0000-0000-0000EC1B0000}"/>
    <cellStyle name="SAPBEXexcBad8 4" xfId="610" xr:uid="{00000000-0005-0000-0000-0000ED1B0000}"/>
    <cellStyle name="SAPBEXexcBad8 4 2" xfId="8436" xr:uid="{00000000-0005-0000-0000-0000EE1B0000}"/>
    <cellStyle name="SAPBEXexcBad8 4 3" xfId="8437" xr:uid="{00000000-0005-0000-0000-0000EF1B0000}"/>
    <cellStyle name="SAPBEXexcBad8 4 4" xfId="8438" xr:uid="{00000000-0005-0000-0000-0000F01B0000}"/>
    <cellStyle name="SAPBEXexcBad8 5" xfId="611" xr:uid="{00000000-0005-0000-0000-0000F11B0000}"/>
    <cellStyle name="SAPBEXexcBad8 5 2" xfId="8439" xr:uid="{00000000-0005-0000-0000-0000F21B0000}"/>
    <cellStyle name="SAPBEXexcBad8 5 3" xfId="8440" xr:uid="{00000000-0005-0000-0000-0000F31B0000}"/>
    <cellStyle name="SAPBEXexcBad8 5 4" xfId="8441" xr:uid="{00000000-0005-0000-0000-0000F41B0000}"/>
    <cellStyle name="SAPBEXexcBad8 6" xfId="612" xr:uid="{00000000-0005-0000-0000-0000F51B0000}"/>
    <cellStyle name="SAPBEXexcBad8 6 2" xfId="8442" xr:uid="{00000000-0005-0000-0000-0000F61B0000}"/>
    <cellStyle name="SAPBEXexcBad8 6 3" xfId="8443" xr:uid="{00000000-0005-0000-0000-0000F71B0000}"/>
    <cellStyle name="SAPBEXexcBad8 6 4" xfId="8444" xr:uid="{00000000-0005-0000-0000-0000F81B0000}"/>
    <cellStyle name="SAPBEXexcBad8 7" xfId="613" xr:uid="{00000000-0005-0000-0000-0000F91B0000}"/>
    <cellStyle name="SAPBEXexcBad8 7 2" xfId="8445" xr:uid="{00000000-0005-0000-0000-0000FA1B0000}"/>
    <cellStyle name="SAPBEXexcBad8 7 3" xfId="8446" xr:uid="{00000000-0005-0000-0000-0000FB1B0000}"/>
    <cellStyle name="SAPBEXexcBad8 7 4" xfId="8447" xr:uid="{00000000-0005-0000-0000-0000FC1B0000}"/>
    <cellStyle name="SAPBEXexcBad8 8" xfId="614" xr:uid="{00000000-0005-0000-0000-0000FD1B0000}"/>
    <cellStyle name="SAPBEXexcBad8 8 2" xfId="8448" xr:uid="{00000000-0005-0000-0000-0000FE1B0000}"/>
    <cellStyle name="SAPBEXexcBad8 8 3" xfId="8449" xr:uid="{00000000-0005-0000-0000-0000FF1B0000}"/>
    <cellStyle name="SAPBEXexcBad8 8 4" xfId="8450" xr:uid="{00000000-0005-0000-0000-0000001C0000}"/>
    <cellStyle name="SAPBEXexcBad8 9" xfId="615" xr:uid="{00000000-0005-0000-0000-0000011C0000}"/>
    <cellStyle name="SAPBEXexcBad8 9 2" xfId="8451" xr:uid="{00000000-0005-0000-0000-0000021C0000}"/>
    <cellStyle name="SAPBEXexcBad8 9 3" xfId="8452" xr:uid="{00000000-0005-0000-0000-0000031C0000}"/>
    <cellStyle name="SAPBEXexcBad8 9 4" xfId="8453" xr:uid="{00000000-0005-0000-0000-0000041C0000}"/>
    <cellStyle name="SAPBEXexcBad8_Sheet2" xfId="616" xr:uid="{00000000-0005-0000-0000-0000051C0000}"/>
    <cellStyle name="SAPBEXexcBad9" xfId="617" xr:uid="{00000000-0005-0000-0000-0000061C0000}"/>
    <cellStyle name="SAPBEXexcBad9 10" xfId="618" xr:uid="{00000000-0005-0000-0000-0000071C0000}"/>
    <cellStyle name="SAPBEXexcBad9 10 2" xfId="8454" xr:uid="{00000000-0005-0000-0000-0000081C0000}"/>
    <cellStyle name="SAPBEXexcBad9 10 3" xfId="8455" xr:uid="{00000000-0005-0000-0000-0000091C0000}"/>
    <cellStyle name="SAPBEXexcBad9 10 4" xfId="8456" xr:uid="{00000000-0005-0000-0000-00000A1C0000}"/>
    <cellStyle name="SAPBEXexcBad9 11" xfId="619" xr:uid="{00000000-0005-0000-0000-00000B1C0000}"/>
    <cellStyle name="SAPBEXexcBad9 11 2" xfId="8457" xr:uid="{00000000-0005-0000-0000-00000C1C0000}"/>
    <cellStyle name="SAPBEXexcBad9 11 3" xfId="8458" xr:uid="{00000000-0005-0000-0000-00000D1C0000}"/>
    <cellStyle name="SAPBEXexcBad9 11 4" xfId="8459" xr:uid="{00000000-0005-0000-0000-00000E1C0000}"/>
    <cellStyle name="SAPBEXexcBad9 12" xfId="620" xr:uid="{00000000-0005-0000-0000-00000F1C0000}"/>
    <cellStyle name="SAPBEXexcBad9 12 2" xfId="8460" xr:uid="{00000000-0005-0000-0000-0000101C0000}"/>
    <cellStyle name="SAPBEXexcBad9 12 3" xfId="8461" xr:uid="{00000000-0005-0000-0000-0000111C0000}"/>
    <cellStyle name="SAPBEXexcBad9 12 4" xfId="8462" xr:uid="{00000000-0005-0000-0000-0000121C0000}"/>
    <cellStyle name="SAPBEXexcBad9 13" xfId="621" xr:uid="{00000000-0005-0000-0000-0000131C0000}"/>
    <cellStyle name="SAPBEXexcBad9 13 2" xfId="8463" xr:uid="{00000000-0005-0000-0000-0000141C0000}"/>
    <cellStyle name="SAPBEXexcBad9 13 3" xfId="8464" xr:uid="{00000000-0005-0000-0000-0000151C0000}"/>
    <cellStyle name="SAPBEXexcBad9 13 4" xfId="8465" xr:uid="{00000000-0005-0000-0000-0000161C0000}"/>
    <cellStyle name="SAPBEXexcBad9 14" xfId="622" xr:uid="{00000000-0005-0000-0000-0000171C0000}"/>
    <cellStyle name="SAPBEXexcBad9 14 2" xfId="8466" xr:uid="{00000000-0005-0000-0000-0000181C0000}"/>
    <cellStyle name="SAPBEXexcBad9 14 3" xfId="8467" xr:uid="{00000000-0005-0000-0000-0000191C0000}"/>
    <cellStyle name="SAPBEXexcBad9 14 4" xfId="8468" xr:uid="{00000000-0005-0000-0000-00001A1C0000}"/>
    <cellStyle name="SAPBEXexcBad9 15" xfId="623" xr:uid="{00000000-0005-0000-0000-00001B1C0000}"/>
    <cellStyle name="SAPBEXexcBad9 15 2" xfId="8469" xr:uid="{00000000-0005-0000-0000-00001C1C0000}"/>
    <cellStyle name="SAPBEXexcBad9 15 3" xfId="8470" xr:uid="{00000000-0005-0000-0000-00001D1C0000}"/>
    <cellStyle name="SAPBEXexcBad9 15 4" xfId="8471" xr:uid="{00000000-0005-0000-0000-00001E1C0000}"/>
    <cellStyle name="SAPBEXexcBad9 16" xfId="624" xr:uid="{00000000-0005-0000-0000-00001F1C0000}"/>
    <cellStyle name="SAPBEXexcBad9 16 2" xfId="8472" xr:uid="{00000000-0005-0000-0000-0000201C0000}"/>
    <cellStyle name="SAPBEXexcBad9 16 3" xfId="8473" xr:uid="{00000000-0005-0000-0000-0000211C0000}"/>
    <cellStyle name="SAPBEXexcBad9 16 4" xfId="8474" xr:uid="{00000000-0005-0000-0000-0000221C0000}"/>
    <cellStyle name="SAPBEXexcBad9 17" xfId="625" xr:uid="{00000000-0005-0000-0000-0000231C0000}"/>
    <cellStyle name="SAPBEXexcBad9 17 2" xfId="8475" xr:uid="{00000000-0005-0000-0000-0000241C0000}"/>
    <cellStyle name="SAPBEXexcBad9 17 3" xfId="8476" xr:uid="{00000000-0005-0000-0000-0000251C0000}"/>
    <cellStyle name="SAPBEXexcBad9 17 4" xfId="8477" xr:uid="{00000000-0005-0000-0000-0000261C0000}"/>
    <cellStyle name="SAPBEXexcBad9 18" xfId="626" xr:uid="{00000000-0005-0000-0000-0000271C0000}"/>
    <cellStyle name="SAPBEXexcBad9 18 2" xfId="8478" xr:uid="{00000000-0005-0000-0000-0000281C0000}"/>
    <cellStyle name="SAPBEXexcBad9 18 3" xfId="8479" xr:uid="{00000000-0005-0000-0000-0000291C0000}"/>
    <cellStyle name="SAPBEXexcBad9 18 4" xfId="8480" xr:uid="{00000000-0005-0000-0000-00002A1C0000}"/>
    <cellStyle name="SAPBEXexcBad9 19" xfId="627" xr:uid="{00000000-0005-0000-0000-00002B1C0000}"/>
    <cellStyle name="SAPBEXexcBad9 19 2" xfId="8481" xr:uid="{00000000-0005-0000-0000-00002C1C0000}"/>
    <cellStyle name="SAPBEXexcBad9 19 3" xfId="8482" xr:uid="{00000000-0005-0000-0000-00002D1C0000}"/>
    <cellStyle name="SAPBEXexcBad9 19 4" xfId="8483" xr:uid="{00000000-0005-0000-0000-00002E1C0000}"/>
    <cellStyle name="SAPBEXexcBad9 2" xfId="628" xr:uid="{00000000-0005-0000-0000-00002F1C0000}"/>
    <cellStyle name="SAPBEXexcBad9 2 2" xfId="8484" xr:uid="{00000000-0005-0000-0000-0000301C0000}"/>
    <cellStyle name="SAPBEXexcBad9 2 3" xfId="8485" xr:uid="{00000000-0005-0000-0000-0000311C0000}"/>
    <cellStyle name="SAPBEXexcBad9 2 4" xfId="8486" xr:uid="{00000000-0005-0000-0000-0000321C0000}"/>
    <cellStyle name="SAPBEXexcBad9 20" xfId="629" xr:uid="{00000000-0005-0000-0000-0000331C0000}"/>
    <cellStyle name="SAPBEXexcBad9 20 2" xfId="8487" xr:uid="{00000000-0005-0000-0000-0000341C0000}"/>
    <cellStyle name="SAPBEXexcBad9 20 3" xfId="8488" xr:uid="{00000000-0005-0000-0000-0000351C0000}"/>
    <cellStyle name="SAPBEXexcBad9 20 4" xfId="8489" xr:uid="{00000000-0005-0000-0000-0000361C0000}"/>
    <cellStyle name="SAPBEXexcBad9 21" xfId="8490" xr:uid="{00000000-0005-0000-0000-0000371C0000}"/>
    <cellStyle name="SAPBEXexcBad9 22" xfId="8491" xr:uid="{00000000-0005-0000-0000-0000381C0000}"/>
    <cellStyle name="SAPBEXexcBad9 23" xfId="8492" xr:uid="{00000000-0005-0000-0000-0000391C0000}"/>
    <cellStyle name="SAPBEXexcBad9 3" xfId="630" xr:uid="{00000000-0005-0000-0000-00003A1C0000}"/>
    <cellStyle name="SAPBEXexcBad9 3 2" xfId="8493" xr:uid="{00000000-0005-0000-0000-00003B1C0000}"/>
    <cellStyle name="SAPBEXexcBad9 3 3" xfId="8494" xr:uid="{00000000-0005-0000-0000-00003C1C0000}"/>
    <cellStyle name="SAPBEXexcBad9 3 4" xfId="8495" xr:uid="{00000000-0005-0000-0000-00003D1C0000}"/>
    <cellStyle name="SAPBEXexcBad9 4" xfId="631" xr:uid="{00000000-0005-0000-0000-00003E1C0000}"/>
    <cellStyle name="SAPBEXexcBad9 4 2" xfId="8496" xr:uid="{00000000-0005-0000-0000-00003F1C0000}"/>
    <cellStyle name="SAPBEXexcBad9 4 3" xfId="8497" xr:uid="{00000000-0005-0000-0000-0000401C0000}"/>
    <cellStyle name="SAPBEXexcBad9 4 4" xfId="8498" xr:uid="{00000000-0005-0000-0000-0000411C0000}"/>
    <cellStyle name="SAPBEXexcBad9 5" xfId="632" xr:uid="{00000000-0005-0000-0000-0000421C0000}"/>
    <cellStyle name="SAPBEXexcBad9 5 2" xfId="8499" xr:uid="{00000000-0005-0000-0000-0000431C0000}"/>
    <cellStyle name="SAPBEXexcBad9 5 3" xfId="8500" xr:uid="{00000000-0005-0000-0000-0000441C0000}"/>
    <cellStyle name="SAPBEXexcBad9 5 4" xfId="8501" xr:uid="{00000000-0005-0000-0000-0000451C0000}"/>
    <cellStyle name="SAPBEXexcBad9 6" xfId="633" xr:uid="{00000000-0005-0000-0000-0000461C0000}"/>
    <cellStyle name="SAPBEXexcBad9 6 2" xfId="8502" xr:uid="{00000000-0005-0000-0000-0000471C0000}"/>
    <cellStyle name="SAPBEXexcBad9 6 3" xfId="8503" xr:uid="{00000000-0005-0000-0000-0000481C0000}"/>
    <cellStyle name="SAPBEXexcBad9 6 4" xfId="8504" xr:uid="{00000000-0005-0000-0000-0000491C0000}"/>
    <cellStyle name="SAPBEXexcBad9 7" xfId="634" xr:uid="{00000000-0005-0000-0000-00004A1C0000}"/>
    <cellStyle name="SAPBEXexcBad9 7 2" xfId="8505" xr:uid="{00000000-0005-0000-0000-00004B1C0000}"/>
    <cellStyle name="SAPBEXexcBad9 7 3" xfId="8506" xr:uid="{00000000-0005-0000-0000-00004C1C0000}"/>
    <cellStyle name="SAPBEXexcBad9 7 4" xfId="8507" xr:uid="{00000000-0005-0000-0000-00004D1C0000}"/>
    <cellStyle name="SAPBEXexcBad9 8" xfId="635" xr:uid="{00000000-0005-0000-0000-00004E1C0000}"/>
    <cellStyle name="SAPBEXexcBad9 8 2" xfId="8508" xr:uid="{00000000-0005-0000-0000-00004F1C0000}"/>
    <cellStyle name="SAPBEXexcBad9 8 3" xfId="8509" xr:uid="{00000000-0005-0000-0000-0000501C0000}"/>
    <cellStyle name="SAPBEXexcBad9 8 4" xfId="8510" xr:uid="{00000000-0005-0000-0000-0000511C0000}"/>
    <cellStyle name="SAPBEXexcBad9 9" xfId="636" xr:uid="{00000000-0005-0000-0000-0000521C0000}"/>
    <cellStyle name="SAPBEXexcBad9 9 2" xfId="8511" xr:uid="{00000000-0005-0000-0000-0000531C0000}"/>
    <cellStyle name="SAPBEXexcBad9 9 3" xfId="8512" xr:uid="{00000000-0005-0000-0000-0000541C0000}"/>
    <cellStyle name="SAPBEXexcBad9 9 4" xfId="8513" xr:uid="{00000000-0005-0000-0000-0000551C0000}"/>
    <cellStyle name="SAPBEXexcBad9_Sheet2" xfId="637" xr:uid="{00000000-0005-0000-0000-0000561C0000}"/>
    <cellStyle name="SAPBEXexcCritical4" xfId="638" xr:uid="{00000000-0005-0000-0000-0000571C0000}"/>
    <cellStyle name="SAPBEXexcCritical4 10" xfId="639" xr:uid="{00000000-0005-0000-0000-0000581C0000}"/>
    <cellStyle name="SAPBEXexcCritical4 10 2" xfId="8514" xr:uid="{00000000-0005-0000-0000-0000591C0000}"/>
    <cellStyle name="SAPBEXexcCritical4 10 3" xfId="8515" xr:uid="{00000000-0005-0000-0000-00005A1C0000}"/>
    <cellStyle name="SAPBEXexcCritical4 10 4" xfId="8516" xr:uid="{00000000-0005-0000-0000-00005B1C0000}"/>
    <cellStyle name="SAPBEXexcCritical4 11" xfId="640" xr:uid="{00000000-0005-0000-0000-00005C1C0000}"/>
    <cellStyle name="SAPBEXexcCritical4 11 2" xfId="8517" xr:uid="{00000000-0005-0000-0000-00005D1C0000}"/>
    <cellStyle name="SAPBEXexcCritical4 11 3" xfId="8518" xr:uid="{00000000-0005-0000-0000-00005E1C0000}"/>
    <cellStyle name="SAPBEXexcCritical4 11 4" xfId="8519" xr:uid="{00000000-0005-0000-0000-00005F1C0000}"/>
    <cellStyle name="SAPBEXexcCritical4 12" xfId="641" xr:uid="{00000000-0005-0000-0000-0000601C0000}"/>
    <cellStyle name="SAPBEXexcCritical4 12 2" xfId="8520" xr:uid="{00000000-0005-0000-0000-0000611C0000}"/>
    <cellStyle name="SAPBEXexcCritical4 12 3" xfId="8521" xr:uid="{00000000-0005-0000-0000-0000621C0000}"/>
    <cellStyle name="SAPBEXexcCritical4 12 4" xfId="8522" xr:uid="{00000000-0005-0000-0000-0000631C0000}"/>
    <cellStyle name="SAPBEXexcCritical4 13" xfId="642" xr:uid="{00000000-0005-0000-0000-0000641C0000}"/>
    <cellStyle name="SAPBEXexcCritical4 13 2" xfId="8523" xr:uid="{00000000-0005-0000-0000-0000651C0000}"/>
    <cellStyle name="SAPBEXexcCritical4 13 3" xfId="8524" xr:uid="{00000000-0005-0000-0000-0000661C0000}"/>
    <cellStyle name="SAPBEXexcCritical4 13 4" xfId="8525" xr:uid="{00000000-0005-0000-0000-0000671C0000}"/>
    <cellStyle name="SAPBEXexcCritical4 14" xfId="643" xr:uid="{00000000-0005-0000-0000-0000681C0000}"/>
    <cellStyle name="SAPBEXexcCritical4 14 2" xfId="8526" xr:uid="{00000000-0005-0000-0000-0000691C0000}"/>
    <cellStyle name="SAPBEXexcCritical4 14 3" xfId="8527" xr:uid="{00000000-0005-0000-0000-00006A1C0000}"/>
    <cellStyle name="SAPBEXexcCritical4 14 4" xfId="8528" xr:uid="{00000000-0005-0000-0000-00006B1C0000}"/>
    <cellStyle name="SAPBEXexcCritical4 15" xfId="644" xr:uid="{00000000-0005-0000-0000-00006C1C0000}"/>
    <cellStyle name="SAPBEXexcCritical4 15 2" xfId="8529" xr:uid="{00000000-0005-0000-0000-00006D1C0000}"/>
    <cellStyle name="SAPBEXexcCritical4 15 3" xfId="8530" xr:uid="{00000000-0005-0000-0000-00006E1C0000}"/>
    <cellStyle name="SAPBEXexcCritical4 15 4" xfId="8531" xr:uid="{00000000-0005-0000-0000-00006F1C0000}"/>
    <cellStyle name="SAPBEXexcCritical4 16" xfId="645" xr:uid="{00000000-0005-0000-0000-0000701C0000}"/>
    <cellStyle name="SAPBEXexcCritical4 16 2" xfId="8532" xr:uid="{00000000-0005-0000-0000-0000711C0000}"/>
    <cellStyle name="SAPBEXexcCritical4 16 3" xfId="8533" xr:uid="{00000000-0005-0000-0000-0000721C0000}"/>
    <cellStyle name="SAPBEXexcCritical4 16 4" xfId="8534" xr:uid="{00000000-0005-0000-0000-0000731C0000}"/>
    <cellStyle name="SAPBEXexcCritical4 17" xfId="646" xr:uid="{00000000-0005-0000-0000-0000741C0000}"/>
    <cellStyle name="SAPBEXexcCritical4 17 2" xfId="8535" xr:uid="{00000000-0005-0000-0000-0000751C0000}"/>
    <cellStyle name="SAPBEXexcCritical4 17 3" xfId="8536" xr:uid="{00000000-0005-0000-0000-0000761C0000}"/>
    <cellStyle name="SAPBEXexcCritical4 17 4" xfId="8537" xr:uid="{00000000-0005-0000-0000-0000771C0000}"/>
    <cellStyle name="SAPBEXexcCritical4 18" xfId="647" xr:uid="{00000000-0005-0000-0000-0000781C0000}"/>
    <cellStyle name="SAPBEXexcCritical4 18 2" xfId="8538" xr:uid="{00000000-0005-0000-0000-0000791C0000}"/>
    <cellStyle name="SAPBEXexcCritical4 18 3" xfId="8539" xr:uid="{00000000-0005-0000-0000-00007A1C0000}"/>
    <cellStyle name="SAPBEXexcCritical4 18 4" xfId="8540" xr:uid="{00000000-0005-0000-0000-00007B1C0000}"/>
    <cellStyle name="SAPBEXexcCritical4 19" xfId="648" xr:uid="{00000000-0005-0000-0000-00007C1C0000}"/>
    <cellStyle name="SAPBEXexcCritical4 19 2" xfId="8541" xr:uid="{00000000-0005-0000-0000-00007D1C0000}"/>
    <cellStyle name="SAPBEXexcCritical4 19 3" xfId="8542" xr:uid="{00000000-0005-0000-0000-00007E1C0000}"/>
    <cellStyle name="SAPBEXexcCritical4 19 4" xfId="8543" xr:uid="{00000000-0005-0000-0000-00007F1C0000}"/>
    <cellStyle name="SAPBEXexcCritical4 2" xfId="649" xr:uid="{00000000-0005-0000-0000-0000801C0000}"/>
    <cellStyle name="SAPBEXexcCritical4 2 2" xfId="8544" xr:uid="{00000000-0005-0000-0000-0000811C0000}"/>
    <cellStyle name="SAPBEXexcCritical4 2 3" xfId="8545" xr:uid="{00000000-0005-0000-0000-0000821C0000}"/>
    <cellStyle name="SAPBEXexcCritical4 2 4" xfId="8546" xr:uid="{00000000-0005-0000-0000-0000831C0000}"/>
    <cellStyle name="SAPBEXexcCritical4 20" xfId="650" xr:uid="{00000000-0005-0000-0000-0000841C0000}"/>
    <cellStyle name="SAPBEXexcCritical4 20 2" xfId="8547" xr:uid="{00000000-0005-0000-0000-0000851C0000}"/>
    <cellStyle name="SAPBEXexcCritical4 20 3" xfId="8548" xr:uid="{00000000-0005-0000-0000-0000861C0000}"/>
    <cellStyle name="SAPBEXexcCritical4 20 4" xfId="8549" xr:uid="{00000000-0005-0000-0000-0000871C0000}"/>
    <cellStyle name="SAPBEXexcCritical4 21" xfId="8550" xr:uid="{00000000-0005-0000-0000-0000881C0000}"/>
    <cellStyle name="SAPBEXexcCritical4 22" xfId="8551" xr:uid="{00000000-0005-0000-0000-0000891C0000}"/>
    <cellStyle name="SAPBEXexcCritical4 23" xfId="8552" xr:uid="{00000000-0005-0000-0000-00008A1C0000}"/>
    <cellStyle name="SAPBEXexcCritical4 3" xfId="651" xr:uid="{00000000-0005-0000-0000-00008B1C0000}"/>
    <cellStyle name="SAPBEXexcCritical4 3 2" xfId="8553" xr:uid="{00000000-0005-0000-0000-00008C1C0000}"/>
    <cellStyle name="SAPBEXexcCritical4 3 3" xfId="8554" xr:uid="{00000000-0005-0000-0000-00008D1C0000}"/>
    <cellStyle name="SAPBEXexcCritical4 3 4" xfId="8555" xr:uid="{00000000-0005-0000-0000-00008E1C0000}"/>
    <cellStyle name="SAPBEXexcCritical4 4" xfId="652" xr:uid="{00000000-0005-0000-0000-00008F1C0000}"/>
    <cellStyle name="SAPBEXexcCritical4 4 2" xfId="8556" xr:uid="{00000000-0005-0000-0000-0000901C0000}"/>
    <cellStyle name="SAPBEXexcCritical4 4 3" xfId="8557" xr:uid="{00000000-0005-0000-0000-0000911C0000}"/>
    <cellStyle name="SAPBEXexcCritical4 4 4" xfId="8558" xr:uid="{00000000-0005-0000-0000-0000921C0000}"/>
    <cellStyle name="SAPBEXexcCritical4 5" xfId="653" xr:uid="{00000000-0005-0000-0000-0000931C0000}"/>
    <cellStyle name="SAPBEXexcCritical4 5 2" xfId="8559" xr:uid="{00000000-0005-0000-0000-0000941C0000}"/>
    <cellStyle name="SAPBEXexcCritical4 5 3" xfId="8560" xr:uid="{00000000-0005-0000-0000-0000951C0000}"/>
    <cellStyle name="SAPBEXexcCritical4 5 4" xfId="8561" xr:uid="{00000000-0005-0000-0000-0000961C0000}"/>
    <cellStyle name="SAPBEXexcCritical4 6" xfId="654" xr:uid="{00000000-0005-0000-0000-0000971C0000}"/>
    <cellStyle name="SAPBEXexcCritical4 6 2" xfId="8562" xr:uid="{00000000-0005-0000-0000-0000981C0000}"/>
    <cellStyle name="SAPBEXexcCritical4 6 3" xfId="8563" xr:uid="{00000000-0005-0000-0000-0000991C0000}"/>
    <cellStyle name="SAPBEXexcCritical4 6 4" xfId="8564" xr:uid="{00000000-0005-0000-0000-00009A1C0000}"/>
    <cellStyle name="SAPBEXexcCritical4 7" xfId="655" xr:uid="{00000000-0005-0000-0000-00009B1C0000}"/>
    <cellStyle name="SAPBEXexcCritical4 7 2" xfId="8565" xr:uid="{00000000-0005-0000-0000-00009C1C0000}"/>
    <cellStyle name="SAPBEXexcCritical4 7 3" xfId="8566" xr:uid="{00000000-0005-0000-0000-00009D1C0000}"/>
    <cellStyle name="SAPBEXexcCritical4 7 4" xfId="8567" xr:uid="{00000000-0005-0000-0000-00009E1C0000}"/>
    <cellStyle name="SAPBEXexcCritical4 8" xfId="656" xr:uid="{00000000-0005-0000-0000-00009F1C0000}"/>
    <cellStyle name="SAPBEXexcCritical4 8 2" xfId="8568" xr:uid="{00000000-0005-0000-0000-0000A01C0000}"/>
    <cellStyle name="SAPBEXexcCritical4 8 3" xfId="8569" xr:uid="{00000000-0005-0000-0000-0000A11C0000}"/>
    <cellStyle name="SAPBEXexcCritical4 8 4" xfId="8570" xr:uid="{00000000-0005-0000-0000-0000A21C0000}"/>
    <cellStyle name="SAPBEXexcCritical4 9" xfId="657" xr:uid="{00000000-0005-0000-0000-0000A31C0000}"/>
    <cellStyle name="SAPBEXexcCritical4 9 2" xfId="8571" xr:uid="{00000000-0005-0000-0000-0000A41C0000}"/>
    <cellStyle name="SAPBEXexcCritical4 9 3" xfId="8572" xr:uid="{00000000-0005-0000-0000-0000A51C0000}"/>
    <cellStyle name="SAPBEXexcCritical4 9 4" xfId="8573" xr:uid="{00000000-0005-0000-0000-0000A61C0000}"/>
    <cellStyle name="SAPBEXexcCritical4_Sheet2" xfId="658" xr:uid="{00000000-0005-0000-0000-0000A71C0000}"/>
    <cellStyle name="SAPBEXexcCritical5" xfId="659" xr:uid="{00000000-0005-0000-0000-0000A81C0000}"/>
    <cellStyle name="SAPBEXexcCritical5 10" xfId="660" xr:uid="{00000000-0005-0000-0000-0000A91C0000}"/>
    <cellStyle name="SAPBEXexcCritical5 10 2" xfId="8574" xr:uid="{00000000-0005-0000-0000-0000AA1C0000}"/>
    <cellStyle name="SAPBEXexcCritical5 10 3" xfId="8575" xr:uid="{00000000-0005-0000-0000-0000AB1C0000}"/>
    <cellStyle name="SAPBEXexcCritical5 10 4" xfId="8576" xr:uid="{00000000-0005-0000-0000-0000AC1C0000}"/>
    <cellStyle name="SAPBEXexcCritical5 11" xfId="661" xr:uid="{00000000-0005-0000-0000-0000AD1C0000}"/>
    <cellStyle name="SAPBEXexcCritical5 11 2" xfId="8577" xr:uid="{00000000-0005-0000-0000-0000AE1C0000}"/>
    <cellStyle name="SAPBEXexcCritical5 11 3" xfId="8578" xr:uid="{00000000-0005-0000-0000-0000AF1C0000}"/>
    <cellStyle name="SAPBEXexcCritical5 11 4" xfId="8579" xr:uid="{00000000-0005-0000-0000-0000B01C0000}"/>
    <cellStyle name="SAPBEXexcCritical5 12" xfId="662" xr:uid="{00000000-0005-0000-0000-0000B11C0000}"/>
    <cellStyle name="SAPBEXexcCritical5 12 2" xfId="8580" xr:uid="{00000000-0005-0000-0000-0000B21C0000}"/>
    <cellStyle name="SAPBEXexcCritical5 12 3" xfId="8581" xr:uid="{00000000-0005-0000-0000-0000B31C0000}"/>
    <cellStyle name="SAPBEXexcCritical5 12 4" xfId="8582" xr:uid="{00000000-0005-0000-0000-0000B41C0000}"/>
    <cellStyle name="SAPBEXexcCritical5 13" xfId="663" xr:uid="{00000000-0005-0000-0000-0000B51C0000}"/>
    <cellStyle name="SAPBEXexcCritical5 13 2" xfId="8583" xr:uid="{00000000-0005-0000-0000-0000B61C0000}"/>
    <cellStyle name="SAPBEXexcCritical5 13 3" xfId="8584" xr:uid="{00000000-0005-0000-0000-0000B71C0000}"/>
    <cellStyle name="SAPBEXexcCritical5 13 4" xfId="8585" xr:uid="{00000000-0005-0000-0000-0000B81C0000}"/>
    <cellStyle name="SAPBEXexcCritical5 14" xfId="664" xr:uid="{00000000-0005-0000-0000-0000B91C0000}"/>
    <cellStyle name="SAPBEXexcCritical5 14 2" xfId="8586" xr:uid="{00000000-0005-0000-0000-0000BA1C0000}"/>
    <cellStyle name="SAPBEXexcCritical5 14 3" xfId="8587" xr:uid="{00000000-0005-0000-0000-0000BB1C0000}"/>
    <cellStyle name="SAPBEXexcCritical5 14 4" xfId="8588" xr:uid="{00000000-0005-0000-0000-0000BC1C0000}"/>
    <cellStyle name="SAPBEXexcCritical5 15" xfId="665" xr:uid="{00000000-0005-0000-0000-0000BD1C0000}"/>
    <cellStyle name="SAPBEXexcCritical5 15 2" xfId="8589" xr:uid="{00000000-0005-0000-0000-0000BE1C0000}"/>
    <cellStyle name="SAPBEXexcCritical5 15 3" xfId="8590" xr:uid="{00000000-0005-0000-0000-0000BF1C0000}"/>
    <cellStyle name="SAPBEXexcCritical5 15 4" xfId="8591" xr:uid="{00000000-0005-0000-0000-0000C01C0000}"/>
    <cellStyle name="SAPBEXexcCritical5 16" xfId="666" xr:uid="{00000000-0005-0000-0000-0000C11C0000}"/>
    <cellStyle name="SAPBEXexcCritical5 16 2" xfId="8592" xr:uid="{00000000-0005-0000-0000-0000C21C0000}"/>
    <cellStyle name="SAPBEXexcCritical5 16 3" xfId="8593" xr:uid="{00000000-0005-0000-0000-0000C31C0000}"/>
    <cellStyle name="SAPBEXexcCritical5 16 4" xfId="8594" xr:uid="{00000000-0005-0000-0000-0000C41C0000}"/>
    <cellStyle name="SAPBEXexcCritical5 17" xfId="667" xr:uid="{00000000-0005-0000-0000-0000C51C0000}"/>
    <cellStyle name="SAPBEXexcCritical5 17 2" xfId="8595" xr:uid="{00000000-0005-0000-0000-0000C61C0000}"/>
    <cellStyle name="SAPBEXexcCritical5 17 3" xfId="8596" xr:uid="{00000000-0005-0000-0000-0000C71C0000}"/>
    <cellStyle name="SAPBEXexcCritical5 17 4" xfId="8597" xr:uid="{00000000-0005-0000-0000-0000C81C0000}"/>
    <cellStyle name="SAPBEXexcCritical5 18" xfId="668" xr:uid="{00000000-0005-0000-0000-0000C91C0000}"/>
    <cellStyle name="SAPBEXexcCritical5 18 2" xfId="8598" xr:uid="{00000000-0005-0000-0000-0000CA1C0000}"/>
    <cellStyle name="SAPBEXexcCritical5 18 3" xfId="8599" xr:uid="{00000000-0005-0000-0000-0000CB1C0000}"/>
    <cellStyle name="SAPBEXexcCritical5 18 4" xfId="8600" xr:uid="{00000000-0005-0000-0000-0000CC1C0000}"/>
    <cellStyle name="SAPBEXexcCritical5 19" xfId="669" xr:uid="{00000000-0005-0000-0000-0000CD1C0000}"/>
    <cellStyle name="SAPBEXexcCritical5 19 2" xfId="8601" xr:uid="{00000000-0005-0000-0000-0000CE1C0000}"/>
    <cellStyle name="SAPBEXexcCritical5 19 3" xfId="8602" xr:uid="{00000000-0005-0000-0000-0000CF1C0000}"/>
    <cellStyle name="SAPBEXexcCritical5 19 4" xfId="8603" xr:uid="{00000000-0005-0000-0000-0000D01C0000}"/>
    <cellStyle name="SAPBEXexcCritical5 2" xfId="670" xr:uid="{00000000-0005-0000-0000-0000D11C0000}"/>
    <cellStyle name="SAPBEXexcCritical5 2 2" xfId="8604" xr:uid="{00000000-0005-0000-0000-0000D21C0000}"/>
    <cellStyle name="SAPBEXexcCritical5 2 3" xfId="8605" xr:uid="{00000000-0005-0000-0000-0000D31C0000}"/>
    <cellStyle name="SAPBEXexcCritical5 2 4" xfId="8606" xr:uid="{00000000-0005-0000-0000-0000D41C0000}"/>
    <cellStyle name="SAPBEXexcCritical5 20" xfId="671" xr:uid="{00000000-0005-0000-0000-0000D51C0000}"/>
    <cellStyle name="SAPBEXexcCritical5 20 2" xfId="8607" xr:uid="{00000000-0005-0000-0000-0000D61C0000}"/>
    <cellStyle name="SAPBEXexcCritical5 20 3" xfId="8608" xr:uid="{00000000-0005-0000-0000-0000D71C0000}"/>
    <cellStyle name="SAPBEXexcCritical5 20 4" xfId="8609" xr:uid="{00000000-0005-0000-0000-0000D81C0000}"/>
    <cellStyle name="SAPBEXexcCritical5 21" xfId="8610" xr:uid="{00000000-0005-0000-0000-0000D91C0000}"/>
    <cellStyle name="SAPBEXexcCritical5 22" xfId="8611" xr:uid="{00000000-0005-0000-0000-0000DA1C0000}"/>
    <cellStyle name="SAPBEXexcCritical5 23" xfId="8612" xr:uid="{00000000-0005-0000-0000-0000DB1C0000}"/>
    <cellStyle name="SAPBEXexcCritical5 3" xfId="672" xr:uid="{00000000-0005-0000-0000-0000DC1C0000}"/>
    <cellStyle name="SAPBEXexcCritical5 3 2" xfId="8613" xr:uid="{00000000-0005-0000-0000-0000DD1C0000}"/>
    <cellStyle name="SAPBEXexcCritical5 3 3" xfId="8614" xr:uid="{00000000-0005-0000-0000-0000DE1C0000}"/>
    <cellStyle name="SAPBEXexcCritical5 3 4" xfId="8615" xr:uid="{00000000-0005-0000-0000-0000DF1C0000}"/>
    <cellStyle name="SAPBEXexcCritical5 4" xfId="673" xr:uid="{00000000-0005-0000-0000-0000E01C0000}"/>
    <cellStyle name="SAPBEXexcCritical5 4 2" xfId="8616" xr:uid="{00000000-0005-0000-0000-0000E11C0000}"/>
    <cellStyle name="SAPBEXexcCritical5 4 3" xfId="8617" xr:uid="{00000000-0005-0000-0000-0000E21C0000}"/>
    <cellStyle name="SAPBEXexcCritical5 4 4" xfId="8618" xr:uid="{00000000-0005-0000-0000-0000E31C0000}"/>
    <cellStyle name="SAPBEXexcCritical5 5" xfId="674" xr:uid="{00000000-0005-0000-0000-0000E41C0000}"/>
    <cellStyle name="SAPBEXexcCritical5 5 2" xfId="8619" xr:uid="{00000000-0005-0000-0000-0000E51C0000}"/>
    <cellStyle name="SAPBEXexcCritical5 5 3" xfId="8620" xr:uid="{00000000-0005-0000-0000-0000E61C0000}"/>
    <cellStyle name="SAPBEXexcCritical5 5 4" xfId="8621" xr:uid="{00000000-0005-0000-0000-0000E71C0000}"/>
    <cellStyle name="SAPBEXexcCritical5 6" xfId="675" xr:uid="{00000000-0005-0000-0000-0000E81C0000}"/>
    <cellStyle name="SAPBEXexcCritical5 6 2" xfId="8622" xr:uid="{00000000-0005-0000-0000-0000E91C0000}"/>
    <cellStyle name="SAPBEXexcCritical5 6 3" xfId="8623" xr:uid="{00000000-0005-0000-0000-0000EA1C0000}"/>
    <cellStyle name="SAPBEXexcCritical5 6 4" xfId="8624" xr:uid="{00000000-0005-0000-0000-0000EB1C0000}"/>
    <cellStyle name="SAPBEXexcCritical5 7" xfId="676" xr:uid="{00000000-0005-0000-0000-0000EC1C0000}"/>
    <cellStyle name="SAPBEXexcCritical5 7 2" xfId="8625" xr:uid="{00000000-0005-0000-0000-0000ED1C0000}"/>
    <cellStyle name="SAPBEXexcCritical5 7 3" xfId="8626" xr:uid="{00000000-0005-0000-0000-0000EE1C0000}"/>
    <cellStyle name="SAPBEXexcCritical5 7 4" xfId="8627" xr:uid="{00000000-0005-0000-0000-0000EF1C0000}"/>
    <cellStyle name="SAPBEXexcCritical5 8" xfId="677" xr:uid="{00000000-0005-0000-0000-0000F01C0000}"/>
    <cellStyle name="SAPBEXexcCritical5 8 2" xfId="8628" xr:uid="{00000000-0005-0000-0000-0000F11C0000}"/>
    <cellStyle name="SAPBEXexcCritical5 8 3" xfId="8629" xr:uid="{00000000-0005-0000-0000-0000F21C0000}"/>
    <cellStyle name="SAPBEXexcCritical5 8 4" xfId="8630" xr:uid="{00000000-0005-0000-0000-0000F31C0000}"/>
    <cellStyle name="SAPBEXexcCritical5 9" xfId="678" xr:uid="{00000000-0005-0000-0000-0000F41C0000}"/>
    <cellStyle name="SAPBEXexcCritical5 9 2" xfId="8631" xr:uid="{00000000-0005-0000-0000-0000F51C0000}"/>
    <cellStyle name="SAPBEXexcCritical5 9 3" xfId="8632" xr:uid="{00000000-0005-0000-0000-0000F61C0000}"/>
    <cellStyle name="SAPBEXexcCritical5 9 4" xfId="8633" xr:uid="{00000000-0005-0000-0000-0000F71C0000}"/>
    <cellStyle name="SAPBEXexcCritical5_Sheet2" xfId="679" xr:uid="{00000000-0005-0000-0000-0000F81C0000}"/>
    <cellStyle name="SAPBEXexcCritical6" xfId="680" xr:uid="{00000000-0005-0000-0000-0000F91C0000}"/>
    <cellStyle name="SAPBEXexcCritical6 10" xfId="681" xr:uid="{00000000-0005-0000-0000-0000FA1C0000}"/>
    <cellStyle name="SAPBEXexcCritical6 10 2" xfId="8634" xr:uid="{00000000-0005-0000-0000-0000FB1C0000}"/>
    <cellStyle name="SAPBEXexcCritical6 10 3" xfId="8635" xr:uid="{00000000-0005-0000-0000-0000FC1C0000}"/>
    <cellStyle name="SAPBEXexcCritical6 10 4" xfId="8636" xr:uid="{00000000-0005-0000-0000-0000FD1C0000}"/>
    <cellStyle name="SAPBEXexcCritical6 11" xfId="682" xr:uid="{00000000-0005-0000-0000-0000FE1C0000}"/>
    <cellStyle name="SAPBEXexcCritical6 11 2" xfId="8637" xr:uid="{00000000-0005-0000-0000-0000FF1C0000}"/>
    <cellStyle name="SAPBEXexcCritical6 11 3" xfId="8638" xr:uid="{00000000-0005-0000-0000-0000001D0000}"/>
    <cellStyle name="SAPBEXexcCritical6 11 4" xfId="8639" xr:uid="{00000000-0005-0000-0000-0000011D0000}"/>
    <cellStyle name="SAPBEXexcCritical6 12" xfId="683" xr:uid="{00000000-0005-0000-0000-0000021D0000}"/>
    <cellStyle name="SAPBEXexcCritical6 12 2" xfId="8640" xr:uid="{00000000-0005-0000-0000-0000031D0000}"/>
    <cellStyle name="SAPBEXexcCritical6 12 3" xfId="8641" xr:uid="{00000000-0005-0000-0000-0000041D0000}"/>
    <cellStyle name="SAPBEXexcCritical6 12 4" xfId="8642" xr:uid="{00000000-0005-0000-0000-0000051D0000}"/>
    <cellStyle name="SAPBEXexcCritical6 13" xfId="684" xr:uid="{00000000-0005-0000-0000-0000061D0000}"/>
    <cellStyle name="SAPBEXexcCritical6 13 2" xfId="8643" xr:uid="{00000000-0005-0000-0000-0000071D0000}"/>
    <cellStyle name="SAPBEXexcCritical6 13 3" xfId="8644" xr:uid="{00000000-0005-0000-0000-0000081D0000}"/>
    <cellStyle name="SAPBEXexcCritical6 13 4" xfId="8645" xr:uid="{00000000-0005-0000-0000-0000091D0000}"/>
    <cellStyle name="SAPBEXexcCritical6 14" xfId="685" xr:uid="{00000000-0005-0000-0000-00000A1D0000}"/>
    <cellStyle name="SAPBEXexcCritical6 14 2" xfId="8646" xr:uid="{00000000-0005-0000-0000-00000B1D0000}"/>
    <cellStyle name="SAPBEXexcCritical6 14 3" xfId="8647" xr:uid="{00000000-0005-0000-0000-00000C1D0000}"/>
    <cellStyle name="SAPBEXexcCritical6 14 4" xfId="8648" xr:uid="{00000000-0005-0000-0000-00000D1D0000}"/>
    <cellStyle name="SAPBEXexcCritical6 15" xfId="686" xr:uid="{00000000-0005-0000-0000-00000E1D0000}"/>
    <cellStyle name="SAPBEXexcCritical6 15 2" xfId="8649" xr:uid="{00000000-0005-0000-0000-00000F1D0000}"/>
    <cellStyle name="SAPBEXexcCritical6 15 3" xfId="8650" xr:uid="{00000000-0005-0000-0000-0000101D0000}"/>
    <cellStyle name="SAPBEXexcCritical6 15 4" xfId="8651" xr:uid="{00000000-0005-0000-0000-0000111D0000}"/>
    <cellStyle name="SAPBEXexcCritical6 16" xfId="687" xr:uid="{00000000-0005-0000-0000-0000121D0000}"/>
    <cellStyle name="SAPBEXexcCritical6 16 2" xfId="8652" xr:uid="{00000000-0005-0000-0000-0000131D0000}"/>
    <cellStyle name="SAPBEXexcCritical6 16 3" xfId="8653" xr:uid="{00000000-0005-0000-0000-0000141D0000}"/>
    <cellStyle name="SAPBEXexcCritical6 16 4" xfId="8654" xr:uid="{00000000-0005-0000-0000-0000151D0000}"/>
    <cellStyle name="SAPBEXexcCritical6 17" xfId="688" xr:uid="{00000000-0005-0000-0000-0000161D0000}"/>
    <cellStyle name="SAPBEXexcCritical6 17 2" xfId="8655" xr:uid="{00000000-0005-0000-0000-0000171D0000}"/>
    <cellStyle name="SAPBEXexcCritical6 17 3" xfId="8656" xr:uid="{00000000-0005-0000-0000-0000181D0000}"/>
    <cellStyle name="SAPBEXexcCritical6 17 4" xfId="8657" xr:uid="{00000000-0005-0000-0000-0000191D0000}"/>
    <cellStyle name="SAPBEXexcCritical6 18" xfId="689" xr:uid="{00000000-0005-0000-0000-00001A1D0000}"/>
    <cellStyle name="SAPBEXexcCritical6 18 2" xfId="8658" xr:uid="{00000000-0005-0000-0000-00001B1D0000}"/>
    <cellStyle name="SAPBEXexcCritical6 18 3" xfId="8659" xr:uid="{00000000-0005-0000-0000-00001C1D0000}"/>
    <cellStyle name="SAPBEXexcCritical6 18 4" xfId="8660" xr:uid="{00000000-0005-0000-0000-00001D1D0000}"/>
    <cellStyle name="SAPBEXexcCritical6 19" xfId="690" xr:uid="{00000000-0005-0000-0000-00001E1D0000}"/>
    <cellStyle name="SAPBEXexcCritical6 19 2" xfId="8661" xr:uid="{00000000-0005-0000-0000-00001F1D0000}"/>
    <cellStyle name="SAPBEXexcCritical6 19 3" xfId="8662" xr:uid="{00000000-0005-0000-0000-0000201D0000}"/>
    <cellStyle name="SAPBEXexcCritical6 19 4" xfId="8663" xr:uid="{00000000-0005-0000-0000-0000211D0000}"/>
    <cellStyle name="SAPBEXexcCritical6 2" xfId="691" xr:uid="{00000000-0005-0000-0000-0000221D0000}"/>
    <cellStyle name="SAPBEXexcCritical6 2 2" xfId="8664" xr:uid="{00000000-0005-0000-0000-0000231D0000}"/>
    <cellStyle name="SAPBEXexcCritical6 2 3" xfId="8665" xr:uid="{00000000-0005-0000-0000-0000241D0000}"/>
    <cellStyle name="SAPBEXexcCritical6 2 4" xfId="8666" xr:uid="{00000000-0005-0000-0000-0000251D0000}"/>
    <cellStyle name="SAPBEXexcCritical6 20" xfId="692" xr:uid="{00000000-0005-0000-0000-0000261D0000}"/>
    <cellStyle name="SAPBEXexcCritical6 20 2" xfId="8667" xr:uid="{00000000-0005-0000-0000-0000271D0000}"/>
    <cellStyle name="SAPBEXexcCritical6 20 3" xfId="8668" xr:uid="{00000000-0005-0000-0000-0000281D0000}"/>
    <cellStyle name="SAPBEXexcCritical6 20 4" xfId="8669" xr:uid="{00000000-0005-0000-0000-0000291D0000}"/>
    <cellStyle name="SAPBEXexcCritical6 21" xfId="8670" xr:uid="{00000000-0005-0000-0000-00002A1D0000}"/>
    <cellStyle name="SAPBEXexcCritical6 22" xfId="8671" xr:uid="{00000000-0005-0000-0000-00002B1D0000}"/>
    <cellStyle name="SAPBEXexcCritical6 23" xfId="8672" xr:uid="{00000000-0005-0000-0000-00002C1D0000}"/>
    <cellStyle name="SAPBEXexcCritical6 3" xfId="693" xr:uid="{00000000-0005-0000-0000-00002D1D0000}"/>
    <cellStyle name="SAPBEXexcCritical6 3 2" xfId="8673" xr:uid="{00000000-0005-0000-0000-00002E1D0000}"/>
    <cellStyle name="SAPBEXexcCritical6 3 3" xfId="8674" xr:uid="{00000000-0005-0000-0000-00002F1D0000}"/>
    <cellStyle name="SAPBEXexcCritical6 3 4" xfId="8675" xr:uid="{00000000-0005-0000-0000-0000301D0000}"/>
    <cellStyle name="SAPBEXexcCritical6 4" xfId="694" xr:uid="{00000000-0005-0000-0000-0000311D0000}"/>
    <cellStyle name="SAPBEXexcCritical6 4 2" xfId="8676" xr:uid="{00000000-0005-0000-0000-0000321D0000}"/>
    <cellStyle name="SAPBEXexcCritical6 4 3" xfId="8677" xr:uid="{00000000-0005-0000-0000-0000331D0000}"/>
    <cellStyle name="SAPBEXexcCritical6 4 4" xfId="8678" xr:uid="{00000000-0005-0000-0000-0000341D0000}"/>
    <cellStyle name="SAPBEXexcCritical6 5" xfId="695" xr:uid="{00000000-0005-0000-0000-0000351D0000}"/>
    <cellStyle name="SAPBEXexcCritical6 5 2" xfId="8679" xr:uid="{00000000-0005-0000-0000-0000361D0000}"/>
    <cellStyle name="SAPBEXexcCritical6 5 3" xfId="8680" xr:uid="{00000000-0005-0000-0000-0000371D0000}"/>
    <cellStyle name="SAPBEXexcCritical6 5 4" xfId="8681" xr:uid="{00000000-0005-0000-0000-0000381D0000}"/>
    <cellStyle name="SAPBEXexcCritical6 6" xfId="696" xr:uid="{00000000-0005-0000-0000-0000391D0000}"/>
    <cellStyle name="SAPBEXexcCritical6 6 2" xfId="8682" xr:uid="{00000000-0005-0000-0000-00003A1D0000}"/>
    <cellStyle name="SAPBEXexcCritical6 6 3" xfId="8683" xr:uid="{00000000-0005-0000-0000-00003B1D0000}"/>
    <cellStyle name="SAPBEXexcCritical6 6 4" xfId="8684" xr:uid="{00000000-0005-0000-0000-00003C1D0000}"/>
    <cellStyle name="SAPBEXexcCritical6 7" xfId="697" xr:uid="{00000000-0005-0000-0000-00003D1D0000}"/>
    <cellStyle name="SAPBEXexcCritical6 7 2" xfId="8685" xr:uid="{00000000-0005-0000-0000-00003E1D0000}"/>
    <cellStyle name="SAPBEXexcCritical6 7 3" xfId="8686" xr:uid="{00000000-0005-0000-0000-00003F1D0000}"/>
    <cellStyle name="SAPBEXexcCritical6 7 4" xfId="8687" xr:uid="{00000000-0005-0000-0000-0000401D0000}"/>
    <cellStyle name="SAPBEXexcCritical6 8" xfId="698" xr:uid="{00000000-0005-0000-0000-0000411D0000}"/>
    <cellStyle name="SAPBEXexcCritical6 8 2" xfId="8688" xr:uid="{00000000-0005-0000-0000-0000421D0000}"/>
    <cellStyle name="SAPBEXexcCritical6 8 3" xfId="8689" xr:uid="{00000000-0005-0000-0000-0000431D0000}"/>
    <cellStyle name="SAPBEXexcCritical6 8 4" xfId="8690" xr:uid="{00000000-0005-0000-0000-0000441D0000}"/>
    <cellStyle name="SAPBEXexcCritical6 9" xfId="699" xr:uid="{00000000-0005-0000-0000-0000451D0000}"/>
    <cellStyle name="SAPBEXexcCritical6 9 2" xfId="8691" xr:uid="{00000000-0005-0000-0000-0000461D0000}"/>
    <cellStyle name="SAPBEXexcCritical6 9 3" xfId="8692" xr:uid="{00000000-0005-0000-0000-0000471D0000}"/>
    <cellStyle name="SAPBEXexcCritical6 9 4" xfId="8693" xr:uid="{00000000-0005-0000-0000-0000481D0000}"/>
    <cellStyle name="SAPBEXexcCritical6_Sheet2" xfId="700" xr:uid="{00000000-0005-0000-0000-0000491D0000}"/>
    <cellStyle name="SAPBEXexcGood1" xfId="701" xr:uid="{00000000-0005-0000-0000-00004A1D0000}"/>
    <cellStyle name="SAPBEXexcGood1 10" xfId="702" xr:uid="{00000000-0005-0000-0000-00004B1D0000}"/>
    <cellStyle name="SAPBEXexcGood1 10 2" xfId="8694" xr:uid="{00000000-0005-0000-0000-00004C1D0000}"/>
    <cellStyle name="SAPBEXexcGood1 10 3" xfId="8695" xr:uid="{00000000-0005-0000-0000-00004D1D0000}"/>
    <cellStyle name="SAPBEXexcGood1 10 4" xfId="8696" xr:uid="{00000000-0005-0000-0000-00004E1D0000}"/>
    <cellStyle name="SAPBEXexcGood1 11" xfId="703" xr:uid="{00000000-0005-0000-0000-00004F1D0000}"/>
    <cellStyle name="SAPBEXexcGood1 11 2" xfId="8697" xr:uid="{00000000-0005-0000-0000-0000501D0000}"/>
    <cellStyle name="SAPBEXexcGood1 11 3" xfId="8698" xr:uid="{00000000-0005-0000-0000-0000511D0000}"/>
    <cellStyle name="SAPBEXexcGood1 11 4" xfId="8699" xr:uid="{00000000-0005-0000-0000-0000521D0000}"/>
    <cellStyle name="SAPBEXexcGood1 12" xfId="704" xr:uid="{00000000-0005-0000-0000-0000531D0000}"/>
    <cellStyle name="SAPBEXexcGood1 12 2" xfId="8700" xr:uid="{00000000-0005-0000-0000-0000541D0000}"/>
    <cellStyle name="SAPBEXexcGood1 12 3" xfId="8701" xr:uid="{00000000-0005-0000-0000-0000551D0000}"/>
    <cellStyle name="SAPBEXexcGood1 12 4" xfId="8702" xr:uid="{00000000-0005-0000-0000-0000561D0000}"/>
    <cellStyle name="SAPBEXexcGood1 13" xfId="705" xr:uid="{00000000-0005-0000-0000-0000571D0000}"/>
    <cellStyle name="SAPBEXexcGood1 13 2" xfId="8703" xr:uid="{00000000-0005-0000-0000-0000581D0000}"/>
    <cellStyle name="SAPBEXexcGood1 13 3" xfId="8704" xr:uid="{00000000-0005-0000-0000-0000591D0000}"/>
    <cellStyle name="SAPBEXexcGood1 13 4" xfId="8705" xr:uid="{00000000-0005-0000-0000-00005A1D0000}"/>
    <cellStyle name="SAPBEXexcGood1 14" xfId="706" xr:uid="{00000000-0005-0000-0000-00005B1D0000}"/>
    <cellStyle name="SAPBEXexcGood1 14 2" xfId="8706" xr:uid="{00000000-0005-0000-0000-00005C1D0000}"/>
    <cellStyle name="SAPBEXexcGood1 14 3" xfId="8707" xr:uid="{00000000-0005-0000-0000-00005D1D0000}"/>
    <cellStyle name="SAPBEXexcGood1 14 4" xfId="8708" xr:uid="{00000000-0005-0000-0000-00005E1D0000}"/>
    <cellStyle name="SAPBEXexcGood1 15" xfId="707" xr:uid="{00000000-0005-0000-0000-00005F1D0000}"/>
    <cellStyle name="SAPBEXexcGood1 15 2" xfId="8709" xr:uid="{00000000-0005-0000-0000-0000601D0000}"/>
    <cellStyle name="SAPBEXexcGood1 15 3" xfId="8710" xr:uid="{00000000-0005-0000-0000-0000611D0000}"/>
    <cellStyle name="SAPBEXexcGood1 15 4" xfId="8711" xr:uid="{00000000-0005-0000-0000-0000621D0000}"/>
    <cellStyle name="SAPBEXexcGood1 16" xfId="708" xr:uid="{00000000-0005-0000-0000-0000631D0000}"/>
    <cellStyle name="SAPBEXexcGood1 16 2" xfId="8712" xr:uid="{00000000-0005-0000-0000-0000641D0000}"/>
    <cellStyle name="SAPBEXexcGood1 16 3" xfId="8713" xr:uid="{00000000-0005-0000-0000-0000651D0000}"/>
    <cellStyle name="SAPBEXexcGood1 16 4" xfId="8714" xr:uid="{00000000-0005-0000-0000-0000661D0000}"/>
    <cellStyle name="SAPBEXexcGood1 17" xfId="709" xr:uid="{00000000-0005-0000-0000-0000671D0000}"/>
    <cellStyle name="SAPBEXexcGood1 17 2" xfId="8715" xr:uid="{00000000-0005-0000-0000-0000681D0000}"/>
    <cellStyle name="SAPBEXexcGood1 17 3" xfId="8716" xr:uid="{00000000-0005-0000-0000-0000691D0000}"/>
    <cellStyle name="SAPBEXexcGood1 17 4" xfId="8717" xr:uid="{00000000-0005-0000-0000-00006A1D0000}"/>
    <cellStyle name="SAPBEXexcGood1 18" xfId="710" xr:uid="{00000000-0005-0000-0000-00006B1D0000}"/>
    <cellStyle name="SAPBEXexcGood1 18 2" xfId="8718" xr:uid="{00000000-0005-0000-0000-00006C1D0000}"/>
    <cellStyle name="SAPBEXexcGood1 18 3" xfId="8719" xr:uid="{00000000-0005-0000-0000-00006D1D0000}"/>
    <cellStyle name="SAPBEXexcGood1 18 4" xfId="8720" xr:uid="{00000000-0005-0000-0000-00006E1D0000}"/>
    <cellStyle name="SAPBEXexcGood1 19" xfId="711" xr:uid="{00000000-0005-0000-0000-00006F1D0000}"/>
    <cellStyle name="SAPBEXexcGood1 19 2" xfId="8721" xr:uid="{00000000-0005-0000-0000-0000701D0000}"/>
    <cellStyle name="SAPBEXexcGood1 19 3" xfId="8722" xr:uid="{00000000-0005-0000-0000-0000711D0000}"/>
    <cellStyle name="SAPBEXexcGood1 19 4" xfId="8723" xr:uid="{00000000-0005-0000-0000-0000721D0000}"/>
    <cellStyle name="SAPBEXexcGood1 2" xfId="712" xr:uid="{00000000-0005-0000-0000-0000731D0000}"/>
    <cellStyle name="SAPBEXexcGood1 2 2" xfId="8724" xr:uid="{00000000-0005-0000-0000-0000741D0000}"/>
    <cellStyle name="SAPBEXexcGood1 2 3" xfId="8725" xr:uid="{00000000-0005-0000-0000-0000751D0000}"/>
    <cellStyle name="SAPBEXexcGood1 2 4" xfId="8726" xr:uid="{00000000-0005-0000-0000-0000761D0000}"/>
    <cellStyle name="SAPBEXexcGood1 20" xfId="713" xr:uid="{00000000-0005-0000-0000-0000771D0000}"/>
    <cellStyle name="SAPBEXexcGood1 20 2" xfId="8727" xr:uid="{00000000-0005-0000-0000-0000781D0000}"/>
    <cellStyle name="SAPBEXexcGood1 20 3" xfId="8728" xr:uid="{00000000-0005-0000-0000-0000791D0000}"/>
    <cellStyle name="SAPBEXexcGood1 20 4" xfId="8729" xr:uid="{00000000-0005-0000-0000-00007A1D0000}"/>
    <cellStyle name="SAPBEXexcGood1 21" xfId="8730" xr:uid="{00000000-0005-0000-0000-00007B1D0000}"/>
    <cellStyle name="SAPBEXexcGood1 22" xfId="8731" xr:uid="{00000000-0005-0000-0000-00007C1D0000}"/>
    <cellStyle name="SAPBEXexcGood1 23" xfId="8732" xr:uid="{00000000-0005-0000-0000-00007D1D0000}"/>
    <cellStyle name="SAPBEXexcGood1 3" xfId="714" xr:uid="{00000000-0005-0000-0000-00007E1D0000}"/>
    <cellStyle name="SAPBEXexcGood1 3 2" xfId="8733" xr:uid="{00000000-0005-0000-0000-00007F1D0000}"/>
    <cellStyle name="SAPBEXexcGood1 3 3" xfId="8734" xr:uid="{00000000-0005-0000-0000-0000801D0000}"/>
    <cellStyle name="SAPBEXexcGood1 3 4" xfId="8735" xr:uid="{00000000-0005-0000-0000-0000811D0000}"/>
    <cellStyle name="SAPBEXexcGood1 4" xfId="715" xr:uid="{00000000-0005-0000-0000-0000821D0000}"/>
    <cellStyle name="SAPBEXexcGood1 4 2" xfId="8736" xr:uid="{00000000-0005-0000-0000-0000831D0000}"/>
    <cellStyle name="SAPBEXexcGood1 4 3" xfId="8737" xr:uid="{00000000-0005-0000-0000-0000841D0000}"/>
    <cellStyle name="SAPBEXexcGood1 4 4" xfId="8738" xr:uid="{00000000-0005-0000-0000-0000851D0000}"/>
    <cellStyle name="SAPBEXexcGood1 5" xfId="716" xr:uid="{00000000-0005-0000-0000-0000861D0000}"/>
    <cellStyle name="SAPBEXexcGood1 5 2" xfId="8739" xr:uid="{00000000-0005-0000-0000-0000871D0000}"/>
    <cellStyle name="SAPBEXexcGood1 5 3" xfId="8740" xr:uid="{00000000-0005-0000-0000-0000881D0000}"/>
    <cellStyle name="SAPBEXexcGood1 5 4" xfId="8741" xr:uid="{00000000-0005-0000-0000-0000891D0000}"/>
    <cellStyle name="SAPBEXexcGood1 6" xfId="717" xr:uid="{00000000-0005-0000-0000-00008A1D0000}"/>
    <cellStyle name="SAPBEXexcGood1 6 2" xfId="8742" xr:uid="{00000000-0005-0000-0000-00008B1D0000}"/>
    <cellStyle name="SAPBEXexcGood1 6 3" xfId="8743" xr:uid="{00000000-0005-0000-0000-00008C1D0000}"/>
    <cellStyle name="SAPBEXexcGood1 6 4" xfId="8744" xr:uid="{00000000-0005-0000-0000-00008D1D0000}"/>
    <cellStyle name="SAPBEXexcGood1 7" xfId="718" xr:uid="{00000000-0005-0000-0000-00008E1D0000}"/>
    <cellStyle name="SAPBEXexcGood1 7 2" xfId="8745" xr:uid="{00000000-0005-0000-0000-00008F1D0000}"/>
    <cellStyle name="SAPBEXexcGood1 7 3" xfId="8746" xr:uid="{00000000-0005-0000-0000-0000901D0000}"/>
    <cellStyle name="SAPBEXexcGood1 7 4" xfId="8747" xr:uid="{00000000-0005-0000-0000-0000911D0000}"/>
    <cellStyle name="SAPBEXexcGood1 8" xfId="719" xr:uid="{00000000-0005-0000-0000-0000921D0000}"/>
    <cellStyle name="SAPBEXexcGood1 8 2" xfId="8748" xr:uid="{00000000-0005-0000-0000-0000931D0000}"/>
    <cellStyle name="SAPBEXexcGood1 8 3" xfId="8749" xr:uid="{00000000-0005-0000-0000-0000941D0000}"/>
    <cellStyle name="SAPBEXexcGood1 8 4" xfId="8750" xr:uid="{00000000-0005-0000-0000-0000951D0000}"/>
    <cellStyle name="SAPBEXexcGood1 9" xfId="720" xr:uid="{00000000-0005-0000-0000-0000961D0000}"/>
    <cellStyle name="SAPBEXexcGood1 9 2" xfId="8751" xr:uid="{00000000-0005-0000-0000-0000971D0000}"/>
    <cellStyle name="SAPBEXexcGood1 9 3" xfId="8752" xr:uid="{00000000-0005-0000-0000-0000981D0000}"/>
    <cellStyle name="SAPBEXexcGood1 9 4" xfId="8753" xr:uid="{00000000-0005-0000-0000-0000991D0000}"/>
    <cellStyle name="SAPBEXexcGood1_Sheet2" xfId="721" xr:uid="{00000000-0005-0000-0000-00009A1D0000}"/>
    <cellStyle name="SAPBEXexcGood2" xfId="722" xr:uid="{00000000-0005-0000-0000-00009B1D0000}"/>
    <cellStyle name="SAPBEXexcGood2 10" xfId="723" xr:uid="{00000000-0005-0000-0000-00009C1D0000}"/>
    <cellStyle name="SAPBEXexcGood2 10 2" xfId="8754" xr:uid="{00000000-0005-0000-0000-00009D1D0000}"/>
    <cellStyle name="SAPBEXexcGood2 10 3" xfId="8755" xr:uid="{00000000-0005-0000-0000-00009E1D0000}"/>
    <cellStyle name="SAPBEXexcGood2 10 4" xfId="8756" xr:uid="{00000000-0005-0000-0000-00009F1D0000}"/>
    <cellStyle name="SAPBEXexcGood2 11" xfId="724" xr:uid="{00000000-0005-0000-0000-0000A01D0000}"/>
    <cellStyle name="SAPBEXexcGood2 11 2" xfId="8757" xr:uid="{00000000-0005-0000-0000-0000A11D0000}"/>
    <cellStyle name="SAPBEXexcGood2 11 3" xfId="8758" xr:uid="{00000000-0005-0000-0000-0000A21D0000}"/>
    <cellStyle name="SAPBEXexcGood2 11 4" xfId="8759" xr:uid="{00000000-0005-0000-0000-0000A31D0000}"/>
    <cellStyle name="SAPBEXexcGood2 12" xfId="725" xr:uid="{00000000-0005-0000-0000-0000A41D0000}"/>
    <cellStyle name="SAPBEXexcGood2 12 2" xfId="8760" xr:uid="{00000000-0005-0000-0000-0000A51D0000}"/>
    <cellStyle name="SAPBEXexcGood2 12 3" xfId="8761" xr:uid="{00000000-0005-0000-0000-0000A61D0000}"/>
    <cellStyle name="SAPBEXexcGood2 12 4" xfId="8762" xr:uid="{00000000-0005-0000-0000-0000A71D0000}"/>
    <cellStyle name="SAPBEXexcGood2 13" xfId="726" xr:uid="{00000000-0005-0000-0000-0000A81D0000}"/>
    <cellStyle name="SAPBEXexcGood2 13 2" xfId="8763" xr:uid="{00000000-0005-0000-0000-0000A91D0000}"/>
    <cellStyle name="SAPBEXexcGood2 13 3" xfId="8764" xr:uid="{00000000-0005-0000-0000-0000AA1D0000}"/>
    <cellStyle name="SAPBEXexcGood2 13 4" xfId="8765" xr:uid="{00000000-0005-0000-0000-0000AB1D0000}"/>
    <cellStyle name="SAPBEXexcGood2 14" xfId="727" xr:uid="{00000000-0005-0000-0000-0000AC1D0000}"/>
    <cellStyle name="SAPBEXexcGood2 14 2" xfId="8766" xr:uid="{00000000-0005-0000-0000-0000AD1D0000}"/>
    <cellStyle name="SAPBEXexcGood2 14 3" xfId="8767" xr:uid="{00000000-0005-0000-0000-0000AE1D0000}"/>
    <cellStyle name="SAPBEXexcGood2 14 4" xfId="8768" xr:uid="{00000000-0005-0000-0000-0000AF1D0000}"/>
    <cellStyle name="SAPBEXexcGood2 15" xfId="728" xr:uid="{00000000-0005-0000-0000-0000B01D0000}"/>
    <cellStyle name="SAPBEXexcGood2 15 2" xfId="8769" xr:uid="{00000000-0005-0000-0000-0000B11D0000}"/>
    <cellStyle name="SAPBEXexcGood2 15 3" xfId="8770" xr:uid="{00000000-0005-0000-0000-0000B21D0000}"/>
    <cellStyle name="SAPBEXexcGood2 15 4" xfId="8771" xr:uid="{00000000-0005-0000-0000-0000B31D0000}"/>
    <cellStyle name="SAPBEXexcGood2 16" xfId="729" xr:uid="{00000000-0005-0000-0000-0000B41D0000}"/>
    <cellStyle name="SAPBEXexcGood2 16 2" xfId="8772" xr:uid="{00000000-0005-0000-0000-0000B51D0000}"/>
    <cellStyle name="SAPBEXexcGood2 16 3" xfId="8773" xr:uid="{00000000-0005-0000-0000-0000B61D0000}"/>
    <cellStyle name="SAPBEXexcGood2 16 4" xfId="8774" xr:uid="{00000000-0005-0000-0000-0000B71D0000}"/>
    <cellStyle name="SAPBEXexcGood2 17" xfId="730" xr:uid="{00000000-0005-0000-0000-0000B81D0000}"/>
    <cellStyle name="SAPBEXexcGood2 17 2" xfId="8775" xr:uid="{00000000-0005-0000-0000-0000B91D0000}"/>
    <cellStyle name="SAPBEXexcGood2 17 3" xfId="8776" xr:uid="{00000000-0005-0000-0000-0000BA1D0000}"/>
    <cellStyle name="SAPBEXexcGood2 17 4" xfId="8777" xr:uid="{00000000-0005-0000-0000-0000BB1D0000}"/>
    <cellStyle name="SAPBEXexcGood2 18" xfId="731" xr:uid="{00000000-0005-0000-0000-0000BC1D0000}"/>
    <cellStyle name="SAPBEXexcGood2 18 2" xfId="8778" xr:uid="{00000000-0005-0000-0000-0000BD1D0000}"/>
    <cellStyle name="SAPBEXexcGood2 18 3" xfId="8779" xr:uid="{00000000-0005-0000-0000-0000BE1D0000}"/>
    <cellStyle name="SAPBEXexcGood2 18 4" xfId="8780" xr:uid="{00000000-0005-0000-0000-0000BF1D0000}"/>
    <cellStyle name="SAPBEXexcGood2 19" xfId="732" xr:uid="{00000000-0005-0000-0000-0000C01D0000}"/>
    <cellStyle name="SAPBEXexcGood2 19 2" xfId="8781" xr:uid="{00000000-0005-0000-0000-0000C11D0000}"/>
    <cellStyle name="SAPBEXexcGood2 19 3" xfId="8782" xr:uid="{00000000-0005-0000-0000-0000C21D0000}"/>
    <cellStyle name="SAPBEXexcGood2 19 4" xfId="8783" xr:uid="{00000000-0005-0000-0000-0000C31D0000}"/>
    <cellStyle name="SAPBEXexcGood2 2" xfId="733" xr:uid="{00000000-0005-0000-0000-0000C41D0000}"/>
    <cellStyle name="SAPBEXexcGood2 2 2" xfId="8784" xr:uid="{00000000-0005-0000-0000-0000C51D0000}"/>
    <cellStyle name="SAPBEXexcGood2 2 3" xfId="8785" xr:uid="{00000000-0005-0000-0000-0000C61D0000}"/>
    <cellStyle name="SAPBEXexcGood2 2 4" xfId="8786" xr:uid="{00000000-0005-0000-0000-0000C71D0000}"/>
    <cellStyle name="SAPBEXexcGood2 20" xfId="734" xr:uid="{00000000-0005-0000-0000-0000C81D0000}"/>
    <cellStyle name="SAPBEXexcGood2 20 2" xfId="8787" xr:uid="{00000000-0005-0000-0000-0000C91D0000}"/>
    <cellStyle name="SAPBEXexcGood2 20 3" xfId="8788" xr:uid="{00000000-0005-0000-0000-0000CA1D0000}"/>
    <cellStyle name="SAPBEXexcGood2 20 4" xfId="8789" xr:uid="{00000000-0005-0000-0000-0000CB1D0000}"/>
    <cellStyle name="SAPBEXexcGood2 21" xfId="8790" xr:uid="{00000000-0005-0000-0000-0000CC1D0000}"/>
    <cellStyle name="SAPBEXexcGood2 22" xfId="8791" xr:uid="{00000000-0005-0000-0000-0000CD1D0000}"/>
    <cellStyle name="SAPBEXexcGood2 23" xfId="8792" xr:uid="{00000000-0005-0000-0000-0000CE1D0000}"/>
    <cellStyle name="SAPBEXexcGood2 3" xfId="735" xr:uid="{00000000-0005-0000-0000-0000CF1D0000}"/>
    <cellStyle name="SAPBEXexcGood2 3 2" xfId="8793" xr:uid="{00000000-0005-0000-0000-0000D01D0000}"/>
    <cellStyle name="SAPBEXexcGood2 3 3" xfId="8794" xr:uid="{00000000-0005-0000-0000-0000D11D0000}"/>
    <cellStyle name="SAPBEXexcGood2 3 4" xfId="8795" xr:uid="{00000000-0005-0000-0000-0000D21D0000}"/>
    <cellStyle name="SAPBEXexcGood2 4" xfId="736" xr:uid="{00000000-0005-0000-0000-0000D31D0000}"/>
    <cellStyle name="SAPBEXexcGood2 4 2" xfId="8796" xr:uid="{00000000-0005-0000-0000-0000D41D0000}"/>
    <cellStyle name="SAPBEXexcGood2 4 3" xfId="8797" xr:uid="{00000000-0005-0000-0000-0000D51D0000}"/>
    <cellStyle name="SAPBEXexcGood2 4 4" xfId="8798" xr:uid="{00000000-0005-0000-0000-0000D61D0000}"/>
    <cellStyle name="SAPBEXexcGood2 5" xfId="737" xr:uid="{00000000-0005-0000-0000-0000D71D0000}"/>
    <cellStyle name="SAPBEXexcGood2 5 2" xfId="8799" xr:uid="{00000000-0005-0000-0000-0000D81D0000}"/>
    <cellStyle name="SAPBEXexcGood2 5 3" xfId="8800" xr:uid="{00000000-0005-0000-0000-0000D91D0000}"/>
    <cellStyle name="SAPBEXexcGood2 5 4" xfId="8801" xr:uid="{00000000-0005-0000-0000-0000DA1D0000}"/>
    <cellStyle name="SAPBEXexcGood2 6" xfId="738" xr:uid="{00000000-0005-0000-0000-0000DB1D0000}"/>
    <cellStyle name="SAPBEXexcGood2 6 2" xfId="8802" xr:uid="{00000000-0005-0000-0000-0000DC1D0000}"/>
    <cellStyle name="SAPBEXexcGood2 6 3" xfId="8803" xr:uid="{00000000-0005-0000-0000-0000DD1D0000}"/>
    <cellStyle name="SAPBEXexcGood2 6 4" xfId="8804" xr:uid="{00000000-0005-0000-0000-0000DE1D0000}"/>
    <cellStyle name="SAPBEXexcGood2 7" xfId="739" xr:uid="{00000000-0005-0000-0000-0000DF1D0000}"/>
    <cellStyle name="SAPBEXexcGood2 7 2" xfId="8805" xr:uid="{00000000-0005-0000-0000-0000E01D0000}"/>
    <cellStyle name="SAPBEXexcGood2 7 3" xfId="8806" xr:uid="{00000000-0005-0000-0000-0000E11D0000}"/>
    <cellStyle name="SAPBEXexcGood2 7 4" xfId="8807" xr:uid="{00000000-0005-0000-0000-0000E21D0000}"/>
    <cellStyle name="SAPBEXexcGood2 8" xfId="740" xr:uid="{00000000-0005-0000-0000-0000E31D0000}"/>
    <cellStyle name="SAPBEXexcGood2 8 2" xfId="8808" xr:uid="{00000000-0005-0000-0000-0000E41D0000}"/>
    <cellStyle name="SAPBEXexcGood2 8 3" xfId="8809" xr:uid="{00000000-0005-0000-0000-0000E51D0000}"/>
    <cellStyle name="SAPBEXexcGood2 8 4" xfId="8810" xr:uid="{00000000-0005-0000-0000-0000E61D0000}"/>
    <cellStyle name="SAPBEXexcGood2 9" xfId="741" xr:uid="{00000000-0005-0000-0000-0000E71D0000}"/>
    <cellStyle name="SAPBEXexcGood2 9 2" xfId="8811" xr:uid="{00000000-0005-0000-0000-0000E81D0000}"/>
    <cellStyle name="SAPBEXexcGood2 9 3" xfId="8812" xr:uid="{00000000-0005-0000-0000-0000E91D0000}"/>
    <cellStyle name="SAPBEXexcGood2 9 4" xfId="8813" xr:uid="{00000000-0005-0000-0000-0000EA1D0000}"/>
    <cellStyle name="SAPBEXexcGood2_Sheet2" xfId="742" xr:uid="{00000000-0005-0000-0000-0000EB1D0000}"/>
    <cellStyle name="SAPBEXexcGood3" xfId="743" xr:uid="{00000000-0005-0000-0000-0000EC1D0000}"/>
    <cellStyle name="SAPBEXexcGood3 10" xfId="744" xr:uid="{00000000-0005-0000-0000-0000ED1D0000}"/>
    <cellStyle name="SAPBEXexcGood3 10 2" xfId="8814" xr:uid="{00000000-0005-0000-0000-0000EE1D0000}"/>
    <cellStyle name="SAPBEXexcGood3 10 3" xfId="8815" xr:uid="{00000000-0005-0000-0000-0000EF1D0000}"/>
    <cellStyle name="SAPBEXexcGood3 10 4" xfId="8816" xr:uid="{00000000-0005-0000-0000-0000F01D0000}"/>
    <cellStyle name="SAPBEXexcGood3 11" xfId="745" xr:uid="{00000000-0005-0000-0000-0000F11D0000}"/>
    <cellStyle name="SAPBEXexcGood3 11 2" xfId="8817" xr:uid="{00000000-0005-0000-0000-0000F21D0000}"/>
    <cellStyle name="SAPBEXexcGood3 11 3" xfId="8818" xr:uid="{00000000-0005-0000-0000-0000F31D0000}"/>
    <cellStyle name="SAPBEXexcGood3 11 4" xfId="8819" xr:uid="{00000000-0005-0000-0000-0000F41D0000}"/>
    <cellStyle name="SAPBEXexcGood3 12" xfId="746" xr:uid="{00000000-0005-0000-0000-0000F51D0000}"/>
    <cellStyle name="SAPBEXexcGood3 12 2" xfId="8820" xr:uid="{00000000-0005-0000-0000-0000F61D0000}"/>
    <cellStyle name="SAPBEXexcGood3 12 3" xfId="8821" xr:uid="{00000000-0005-0000-0000-0000F71D0000}"/>
    <cellStyle name="SAPBEXexcGood3 12 4" xfId="8822" xr:uid="{00000000-0005-0000-0000-0000F81D0000}"/>
    <cellStyle name="SAPBEXexcGood3 13" xfId="747" xr:uid="{00000000-0005-0000-0000-0000F91D0000}"/>
    <cellStyle name="SAPBEXexcGood3 13 2" xfId="8823" xr:uid="{00000000-0005-0000-0000-0000FA1D0000}"/>
    <cellStyle name="SAPBEXexcGood3 13 3" xfId="8824" xr:uid="{00000000-0005-0000-0000-0000FB1D0000}"/>
    <cellStyle name="SAPBEXexcGood3 13 4" xfId="8825" xr:uid="{00000000-0005-0000-0000-0000FC1D0000}"/>
    <cellStyle name="SAPBEXexcGood3 14" xfId="748" xr:uid="{00000000-0005-0000-0000-0000FD1D0000}"/>
    <cellStyle name="SAPBEXexcGood3 14 2" xfId="8826" xr:uid="{00000000-0005-0000-0000-0000FE1D0000}"/>
    <cellStyle name="SAPBEXexcGood3 14 3" xfId="8827" xr:uid="{00000000-0005-0000-0000-0000FF1D0000}"/>
    <cellStyle name="SAPBEXexcGood3 14 4" xfId="8828" xr:uid="{00000000-0005-0000-0000-0000001E0000}"/>
    <cellStyle name="SAPBEXexcGood3 15" xfId="749" xr:uid="{00000000-0005-0000-0000-0000011E0000}"/>
    <cellStyle name="SAPBEXexcGood3 15 2" xfId="8829" xr:uid="{00000000-0005-0000-0000-0000021E0000}"/>
    <cellStyle name="SAPBEXexcGood3 15 3" xfId="8830" xr:uid="{00000000-0005-0000-0000-0000031E0000}"/>
    <cellStyle name="SAPBEXexcGood3 15 4" xfId="8831" xr:uid="{00000000-0005-0000-0000-0000041E0000}"/>
    <cellStyle name="SAPBEXexcGood3 16" xfId="750" xr:uid="{00000000-0005-0000-0000-0000051E0000}"/>
    <cellStyle name="SAPBEXexcGood3 16 2" xfId="8832" xr:uid="{00000000-0005-0000-0000-0000061E0000}"/>
    <cellStyle name="SAPBEXexcGood3 16 3" xfId="8833" xr:uid="{00000000-0005-0000-0000-0000071E0000}"/>
    <cellStyle name="SAPBEXexcGood3 16 4" xfId="8834" xr:uid="{00000000-0005-0000-0000-0000081E0000}"/>
    <cellStyle name="SAPBEXexcGood3 17" xfId="751" xr:uid="{00000000-0005-0000-0000-0000091E0000}"/>
    <cellStyle name="SAPBEXexcGood3 17 2" xfId="8835" xr:uid="{00000000-0005-0000-0000-00000A1E0000}"/>
    <cellStyle name="SAPBEXexcGood3 17 3" xfId="8836" xr:uid="{00000000-0005-0000-0000-00000B1E0000}"/>
    <cellStyle name="SAPBEXexcGood3 17 4" xfId="8837" xr:uid="{00000000-0005-0000-0000-00000C1E0000}"/>
    <cellStyle name="SAPBEXexcGood3 18" xfId="752" xr:uid="{00000000-0005-0000-0000-00000D1E0000}"/>
    <cellStyle name="SAPBEXexcGood3 18 2" xfId="8838" xr:uid="{00000000-0005-0000-0000-00000E1E0000}"/>
    <cellStyle name="SAPBEXexcGood3 18 3" xfId="8839" xr:uid="{00000000-0005-0000-0000-00000F1E0000}"/>
    <cellStyle name="SAPBEXexcGood3 18 4" xfId="8840" xr:uid="{00000000-0005-0000-0000-0000101E0000}"/>
    <cellStyle name="SAPBEXexcGood3 19" xfId="753" xr:uid="{00000000-0005-0000-0000-0000111E0000}"/>
    <cellStyle name="SAPBEXexcGood3 19 2" xfId="8841" xr:uid="{00000000-0005-0000-0000-0000121E0000}"/>
    <cellStyle name="SAPBEXexcGood3 19 3" xfId="8842" xr:uid="{00000000-0005-0000-0000-0000131E0000}"/>
    <cellStyle name="SAPBEXexcGood3 19 4" xfId="8843" xr:uid="{00000000-0005-0000-0000-0000141E0000}"/>
    <cellStyle name="SAPBEXexcGood3 2" xfId="754" xr:uid="{00000000-0005-0000-0000-0000151E0000}"/>
    <cellStyle name="SAPBEXexcGood3 2 2" xfId="8844" xr:uid="{00000000-0005-0000-0000-0000161E0000}"/>
    <cellStyle name="SAPBEXexcGood3 2 3" xfId="8845" xr:uid="{00000000-0005-0000-0000-0000171E0000}"/>
    <cellStyle name="SAPBEXexcGood3 2 4" xfId="8846" xr:uid="{00000000-0005-0000-0000-0000181E0000}"/>
    <cellStyle name="SAPBEXexcGood3 20" xfId="755" xr:uid="{00000000-0005-0000-0000-0000191E0000}"/>
    <cellStyle name="SAPBEXexcGood3 20 2" xfId="8847" xr:uid="{00000000-0005-0000-0000-00001A1E0000}"/>
    <cellStyle name="SAPBEXexcGood3 20 3" xfId="8848" xr:uid="{00000000-0005-0000-0000-00001B1E0000}"/>
    <cellStyle name="SAPBEXexcGood3 20 4" xfId="8849" xr:uid="{00000000-0005-0000-0000-00001C1E0000}"/>
    <cellStyle name="SAPBEXexcGood3 21" xfId="8850" xr:uid="{00000000-0005-0000-0000-00001D1E0000}"/>
    <cellStyle name="SAPBEXexcGood3 22" xfId="8851" xr:uid="{00000000-0005-0000-0000-00001E1E0000}"/>
    <cellStyle name="SAPBEXexcGood3 23" xfId="8852" xr:uid="{00000000-0005-0000-0000-00001F1E0000}"/>
    <cellStyle name="SAPBEXexcGood3 3" xfId="756" xr:uid="{00000000-0005-0000-0000-0000201E0000}"/>
    <cellStyle name="SAPBEXexcGood3 3 2" xfId="8853" xr:uid="{00000000-0005-0000-0000-0000211E0000}"/>
    <cellStyle name="SAPBEXexcGood3 3 3" xfId="8854" xr:uid="{00000000-0005-0000-0000-0000221E0000}"/>
    <cellStyle name="SAPBEXexcGood3 3 4" xfId="8855" xr:uid="{00000000-0005-0000-0000-0000231E0000}"/>
    <cellStyle name="SAPBEXexcGood3 4" xfId="757" xr:uid="{00000000-0005-0000-0000-0000241E0000}"/>
    <cellStyle name="SAPBEXexcGood3 4 2" xfId="8856" xr:uid="{00000000-0005-0000-0000-0000251E0000}"/>
    <cellStyle name="SAPBEXexcGood3 4 3" xfId="8857" xr:uid="{00000000-0005-0000-0000-0000261E0000}"/>
    <cellStyle name="SAPBEXexcGood3 4 4" xfId="8858" xr:uid="{00000000-0005-0000-0000-0000271E0000}"/>
    <cellStyle name="SAPBEXexcGood3 5" xfId="758" xr:uid="{00000000-0005-0000-0000-0000281E0000}"/>
    <cellStyle name="SAPBEXexcGood3 5 2" xfId="8859" xr:uid="{00000000-0005-0000-0000-0000291E0000}"/>
    <cellStyle name="SAPBEXexcGood3 5 3" xfId="8860" xr:uid="{00000000-0005-0000-0000-00002A1E0000}"/>
    <cellStyle name="SAPBEXexcGood3 5 4" xfId="8861" xr:uid="{00000000-0005-0000-0000-00002B1E0000}"/>
    <cellStyle name="SAPBEXexcGood3 6" xfId="759" xr:uid="{00000000-0005-0000-0000-00002C1E0000}"/>
    <cellStyle name="SAPBEXexcGood3 6 2" xfId="8862" xr:uid="{00000000-0005-0000-0000-00002D1E0000}"/>
    <cellStyle name="SAPBEXexcGood3 6 3" xfId="8863" xr:uid="{00000000-0005-0000-0000-00002E1E0000}"/>
    <cellStyle name="SAPBEXexcGood3 6 4" xfId="8864" xr:uid="{00000000-0005-0000-0000-00002F1E0000}"/>
    <cellStyle name="SAPBEXexcGood3 7" xfId="760" xr:uid="{00000000-0005-0000-0000-0000301E0000}"/>
    <cellStyle name="SAPBEXexcGood3 7 2" xfId="8865" xr:uid="{00000000-0005-0000-0000-0000311E0000}"/>
    <cellStyle name="SAPBEXexcGood3 7 3" xfId="8866" xr:uid="{00000000-0005-0000-0000-0000321E0000}"/>
    <cellStyle name="SAPBEXexcGood3 7 4" xfId="8867" xr:uid="{00000000-0005-0000-0000-0000331E0000}"/>
    <cellStyle name="SAPBEXexcGood3 8" xfId="761" xr:uid="{00000000-0005-0000-0000-0000341E0000}"/>
    <cellStyle name="SAPBEXexcGood3 8 2" xfId="8868" xr:uid="{00000000-0005-0000-0000-0000351E0000}"/>
    <cellStyle name="SAPBEXexcGood3 8 3" xfId="8869" xr:uid="{00000000-0005-0000-0000-0000361E0000}"/>
    <cellStyle name="SAPBEXexcGood3 8 4" xfId="8870" xr:uid="{00000000-0005-0000-0000-0000371E0000}"/>
    <cellStyle name="SAPBEXexcGood3 9" xfId="762" xr:uid="{00000000-0005-0000-0000-0000381E0000}"/>
    <cellStyle name="SAPBEXexcGood3 9 2" xfId="8871" xr:uid="{00000000-0005-0000-0000-0000391E0000}"/>
    <cellStyle name="SAPBEXexcGood3 9 3" xfId="8872" xr:uid="{00000000-0005-0000-0000-00003A1E0000}"/>
    <cellStyle name="SAPBEXexcGood3 9 4" xfId="8873" xr:uid="{00000000-0005-0000-0000-00003B1E0000}"/>
    <cellStyle name="SAPBEXexcGood3_Sheet2" xfId="763" xr:uid="{00000000-0005-0000-0000-00003C1E0000}"/>
    <cellStyle name="SAPBEXfilterDrill" xfId="764" xr:uid="{00000000-0005-0000-0000-00003D1E0000}"/>
    <cellStyle name="SAPBEXfilterDrill 10" xfId="765" xr:uid="{00000000-0005-0000-0000-00003E1E0000}"/>
    <cellStyle name="SAPBEXfilterDrill 10 2" xfId="8874" xr:uid="{00000000-0005-0000-0000-00003F1E0000}"/>
    <cellStyle name="SAPBEXfilterDrill 10 3" xfId="8875" xr:uid="{00000000-0005-0000-0000-0000401E0000}"/>
    <cellStyle name="SAPBEXfilterDrill 10 4" xfId="8876" xr:uid="{00000000-0005-0000-0000-0000411E0000}"/>
    <cellStyle name="SAPBEXfilterDrill 11" xfId="766" xr:uid="{00000000-0005-0000-0000-0000421E0000}"/>
    <cellStyle name="SAPBEXfilterDrill 11 2" xfId="8877" xr:uid="{00000000-0005-0000-0000-0000431E0000}"/>
    <cellStyle name="SAPBEXfilterDrill 11 3" xfId="8878" xr:uid="{00000000-0005-0000-0000-0000441E0000}"/>
    <cellStyle name="SAPBEXfilterDrill 11 4" xfId="8879" xr:uid="{00000000-0005-0000-0000-0000451E0000}"/>
    <cellStyle name="SAPBEXfilterDrill 12" xfId="767" xr:uid="{00000000-0005-0000-0000-0000461E0000}"/>
    <cellStyle name="SAPBEXfilterDrill 12 2" xfId="8880" xr:uid="{00000000-0005-0000-0000-0000471E0000}"/>
    <cellStyle name="SAPBEXfilterDrill 12 3" xfId="8881" xr:uid="{00000000-0005-0000-0000-0000481E0000}"/>
    <cellStyle name="SAPBEXfilterDrill 12 4" xfId="8882" xr:uid="{00000000-0005-0000-0000-0000491E0000}"/>
    <cellStyle name="SAPBEXfilterDrill 13" xfId="768" xr:uid="{00000000-0005-0000-0000-00004A1E0000}"/>
    <cellStyle name="SAPBEXfilterDrill 13 2" xfId="8883" xr:uid="{00000000-0005-0000-0000-00004B1E0000}"/>
    <cellStyle name="SAPBEXfilterDrill 13 3" xfId="8884" xr:uid="{00000000-0005-0000-0000-00004C1E0000}"/>
    <cellStyle name="SAPBEXfilterDrill 13 4" xfId="8885" xr:uid="{00000000-0005-0000-0000-00004D1E0000}"/>
    <cellStyle name="SAPBEXfilterDrill 14" xfId="769" xr:uid="{00000000-0005-0000-0000-00004E1E0000}"/>
    <cellStyle name="SAPBEXfilterDrill 14 2" xfId="8886" xr:uid="{00000000-0005-0000-0000-00004F1E0000}"/>
    <cellStyle name="SAPBEXfilterDrill 14 3" xfId="8887" xr:uid="{00000000-0005-0000-0000-0000501E0000}"/>
    <cellStyle name="SAPBEXfilterDrill 14 4" xfId="8888" xr:uid="{00000000-0005-0000-0000-0000511E0000}"/>
    <cellStyle name="SAPBEXfilterDrill 15" xfId="770" xr:uid="{00000000-0005-0000-0000-0000521E0000}"/>
    <cellStyle name="SAPBEXfilterDrill 15 2" xfId="8889" xr:uid="{00000000-0005-0000-0000-0000531E0000}"/>
    <cellStyle name="SAPBEXfilterDrill 15 3" xfId="8890" xr:uid="{00000000-0005-0000-0000-0000541E0000}"/>
    <cellStyle name="SAPBEXfilterDrill 15 4" xfId="8891" xr:uid="{00000000-0005-0000-0000-0000551E0000}"/>
    <cellStyle name="SAPBEXfilterDrill 16" xfId="771" xr:uid="{00000000-0005-0000-0000-0000561E0000}"/>
    <cellStyle name="SAPBEXfilterDrill 16 2" xfId="8892" xr:uid="{00000000-0005-0000-0000-0000571E0000}"/>
    <cellStyle name="SAPBEXfilterDrill 16 3" xfId="8893" xr:uid="{00000000-0005-0000-0000-0000581E0000}"/>
    <cellStyle name="SAPBEXfilterDrill 16 4" xfId="8894" xr:uid="{00000000-0005-0000-0000-0000591E0000}"/>
    <cellStyle name="SAPBEXfilterDrill 17" xfId="772" xr:uid="{00000000-0005-0000-0000-00005A1E0000}"/>
    <cellStyle name="SAPBEXfilterDrill 17 2" xfId="8895" xr:uid="{00000000-0005-0000-0000-00005B1E0000}"/>
    <cellStyle name="SAPBEXfilterDrill 17 3" xfId="8896" xr:uid="{00000000-0005-0000-0000-00005C1E0000}"/>
    <cellStyle name="SAPBEXfilterDrill 17 4" xfId="8897" xr:uid="{00000000-0005-0000-0000-00005D1E0000}"/>
    <cellStyle name="SAPBEXfilterDrill 18" xfId="773" xr:uid="{00000000-0005-0000-0000-00005E1E0000}"/>
    <cellStyle name="SAPBEXfilterDrill 18 2" xfId="8898" xr:uid="{00000000-0005-0000-0000-00005F1E0000}"/>
    <cellStyle name="SAPBEXfilterDrill 18 3" xfId="8899" xr:uid="{00000000-0005-0000-0000-0000601E0000}"/>
    <cellStyle name="SAPBEXfilterDrill 18 4" xfId="8900" xr:uid="{00000000-0005-0000-0000-0000611E0000}"/>
    <cellStyle name="SAPBEXfilterDrill 19" xfId="774" xr:uid="{00000000-0005-0000-0000-0000621E0000}"/>
    <cellStyle name="SAPBEXfilterDrill 19 2" xfId="8901" xr:uid="{00000000-0005-0000-0000-0000631E0000}"/>
    <cellStyle name="SAPBEXfilterDrill 19 3" xfId="8902" xr:uid="{00000000-0005-0000-0000-0000641E0000}"/>
    <cellStyle name="SAPBEXfilterDrill 19 4" xfId="8903" xr:uid="{00000000-0005-0000-0000-0000651E0000}"/>
    <cellStyle name="SAPBEXfilterDrill 2" xfId="775" xr:uid="{00000000-0005-0000-0000-0000661E0000}"/>
    <cellStyle name="SAPBEXfilterDrill 2 2" xfId="8904" xr:uid="{00000000-0005-0000-0000-0000671E0000}"/>
    <cellStyle name="SAPBEXfilterDrill 2 3" xfId="8905" xr:uid="{00000000-0005-0000-0000-0000681E0000}"/>
    <cellStyle name="SAPBEXfilterDrill 2 4" xfId="8906" xr:uid="{00000000-0005-0000-0000-0000691E0000}"/>
    <cellStyle name="SAPBEXfilterDrill 20" xfId="776" xr:uid="{00000000-0005-0000-0000-00006A1E0000}"/>
    <cellStyle name="SAPBEXfilterDrill 20 2" xfId="8907" xr:uid="{00000000-0005-0000-0000-00006B1E0000}"/>
    <cellStyle name="SAPBEXfilterDrill 20 3" xfId="8908" xr:uid="{00000000-0005-0000-0000-00006C1E0000}"/>
    <cellStyle name="SAPBEXfilterDrill 20 4" xfId="8909" xr:uid="{00000000-0005-0000-0000-00006D1E0000}"/>
    <cellStyle name="SAPBEXfilterDrill 21" xfId="8910" xr:uid="{00000000-0005-0000-0000-00006E1E0000}"/>
    <cellStyle name="SAPBEXfilterDrill 22" xfId="8911" xr:uid="{00000000-0005-0000-0000-00006F1E0000}"/>
    <cellStyle name="SAPBEXfilterDrill 23" xfId="8912" xr:uid="{00000000-0005-0000-0000-0000701E0000}"/>
    <cellStyle name="SAPBEXfilterDrill 3" xfId="777" xr:uid="{00000000-0005-0000-0000-0000711E0000}"/>
    <cellStyle name="SAPBEXfilterDrill 3 2" xfId="8913" xr:uid="{00000000-0005-0000-0000-0000721E0000}"/>
    <cellStyle name="SAPBEXfilterDrill 3 3" xfId="8914" xr:uid="{00000000-0005-0000-0000-0000731E0000}"/>
    <cellStyle name="SAPBEXfilterDrill 3 4" xfId="8915" xr:uid="{00000000-0005-0000-0000-0000741E0000}"/>
    <cellStyle name="SAPBEXfilterDrill 4" xfId="778" xr:uid="{00000000-0005-0000-0000-0000751E0000}"/>
    <cellStyle name="SAPBEXfilterDrill 4 2" xfId="8916" xr:uid="{00000000-0005-0000-0000-0000761E0000}"/>
    <cellStyle name="SAPBEXfilterDrill 4 3" xfId="8917" xr:uid="{00000000-0005-0000-0000-0000771E0000}"/>
    <cellStyle name="SAPBEXfilterDrill 4 4" xfId="8918" xr:uid="{00000000-0005-0000-0000-0000781E0000}"/>
    <cellStyle name="SAPBEXfilterDrill 5" xfId="779" xr:uid="{00000000-0005-0000-0000-0000791E0000}"/>
    <cellStyle name="SAPBEXfilterDrill 5 2" xfId="8919" xr:uid="{00000000-0005-0000-0000-00007A1E0000}"/>
    <cellStyle name="SAPBEXfilterDrill 5 3" xfId="8920" xr:uid="{00000000-0005-0000-0000-00007B1E0000}"/>
    <cellStyle name="SAPBEXfilterDrill 5 4" xfId="8921" xr:uid="{00000000-0005-0000-0000-00007C1E0000}"/>
    <cellStyle name="SAPBEXfilterDrill 6" xfId="780" xr:uid="{00000000-0005-0000-0000-00007D1E0000}"/>
    <cellStyle name="SAPBEXfilterDrill 6 2" xfId="8922" xr:uid="{00000000-0005-0000-0000-00007E1E0000}"/>
    <cellStyle name="SAPBEXfilterDrill 6 3" xfId="8923" xr:uid="{00000000-0005-0000-0000-00007F1E0000}"/>
    <cellStyle name="SAPBEXfilterDrill 6 4" xfId="8924" xr:uid="{00000000-0005-0000-0000-0000801E0000}"/>
    <cellStyle name="SAPBEXfilterDrill 7" xfId="781" xr:uid="{00000000-0005-0000-0000-0000811E0000}"/>
    <cellStyle name="SAPBEXfilterDrill 7 2" xfId="8925" xr:uid="{00000000-0005-0000-0000-0000821E0000}"/>
    <cellStyle name="SAPBEXfilterDrill 7 3" xfId="8926" xr:uid="{00000000-0005-0000-0000-0000831E0000}"/>
    <cellStyle name="SAPBEXfilterDrill 7 4" xfId="8927" xr:uid="{00000000-0005-0000-0000-0000841E0000}"/>
    <cellStyle name="SAPBEXfilterDrill 8" xfId="782" xr:uid="{00000000-0005-0000-0000-0000851E0000}"/>
    <cellStyle name="SAPBEXfilterDrill 8 2" xfId="8928" xr:uid="{00000000-0005-0000-0000-0000861E0000}"/>
    <cellStyle name="SAPBEXfilterDrill 8 3" xfId="8929" xr:uid="{00000000-0005-0000-0000-0000871E0000}"/>
    <cellStyle name="SAPBEXfilterDrill 8 4" xfId="8930" xr:uid="{00000000-0005-0000-0000-0000881E0000}"/>
    <cellStyle name="SAPBEXfilterDrill 9" xfId="783" xr:uid="{00000000-0005-0000-0000-0000891E0000}"/>
    <cellStyle name="SAPBEXfilterDrill 9 2" xfId="8931" xr:uid="{00000000-0005-0000-0000-00008A1E0000}"/>
    <cellStyle name="SAPBEXfilterDrill 9 3" xfId="8932" xr:uid="{00000000-0005-0000-0000-00008B1E0000}"/>
    <cellStyle name="SAPBEXfilterDrill 9 4" xfId="8933" xr:uid="{00000000-0005-0000-0000-00008C1E0000}"/>
    <cellStyle name="SAPBEXfilterDrill_Sheet2" xfId="784" xr:uid="{00000000-0005-0000-0000-00008D1E0000}"/>
    <cellStyle name="SAPBEXfilterItem" xfId="785" xr:uid="{00000000-0005-0000-0000-00008E1E0000}"/>
    <cellStyle name="SAPBEXfilterItem 10" xfId="786" xr:uid="{00000000-0005-0000-0000-00008F1E0000}"/>
    <cellStyle name="SAPBEXfilterItem 10 2" xfId="8934" xr:uid="{00000000-0005-0000-0000-0000901E0000}"/>
    <cellStyle name="SAPBEXfilterItem 10 3" xfId="8935" xr:uid="{00000000-0005-0000-0000-0000911E0000}"/>
    <cellStyle name="SAPBEXfilterItem 10 4" xfId="8936" xr:uid="{00000000-0005-0000-0000-0000921E0000}"/>
    <cellStyle name="SAPBEXfilterItem 11" xfId="787" xr:uid="{00000000-0005-0000-0000-0000931E0000}"/>
    <cellStyle name="SAPBEXfilterItem 11 2" xfId="8937" xr:uid="{00000000-0005-0000-0000-0000941E0000}"/>
    <cellStyle name="SAPBEXfilterItem 11 3" xfId="8938" xr:uid="{00000000-0005-0000-0000-0000951E0000}"/>
    <cellStyle name="SAPBEXfilterItem 11 4" xfId="8939" xr:uid="{00000000-0005-0000-0000-0000961E0000}"/>
    <cellStyle name="SAPBEXfilterItem 12" xfId="788" xr:uid="{00000000-0005-0000-0000-0000971E0000}"/>
    <cellStyle name="SAPBEXfilterItem 12 2" xfId="8940" xr:uid="{00000000-0005-0000-0000-0000981E0000}"/>
    <cellStyle name="SAPBEXfilterItem 12 3" xfId="8941" xr:uid="{00000000-0005-0000-0000-0000991E0000}"/>
    <cellStyle name="SAPBEXfilterItem 12 4" xfId="8942" xr:uid="{00000000-0005-0000-0000-00009A1E0000}"/>
    <cellStyle name="SAPBEXfilterItem 13" xfId="789" xr:uid="{00000000-0005-0000-0000-00009B1E0000}"/>
    <cellStyle name="SAPBEXfilterItem 13 2" xfId="8943" xr:uid="{00000000-0005-0000-0000-00009C1E0000}"/>
    <cellStyle name="SAPBEXfilterItem 13 3" xfId="8944" xr:uid="{00000000-0005-0000-0000-00009D1E0000}"/>
    <cellStyle name="SAPBEXfilterItem 13 4" xfId="8945" xr:uid="{00000000-0005-0000-0000-00009E1E0000}"/>
    <cellStyle name="SAPBEXfilterItem 14" xfId="790" xr:uid="{00000000-0005-0000-0000-00009F1E0000}"/>
    <cellStyle name="SAPBEXfilterItem 14 2" xfId="8946" xr:uid="{00000000-0005-0000-0000-0000A01E0000}"/>
    <cellStyle name="SAPBEXfilterItem 14 3" xfId="8947" xr:uid="{00000000-0005-0000-0000-0000A11E0000}"/>
    <cellStyle name="SAPBEXfilterItem 14 4" xfId="8948" xr:uid="{00000000-0005-0000-0000-0000A21E0000}"/>
    <cellStyle name="SAPBEXfilterItem 15" xfId="791" xr:uid="{00000000-0005-0000-0000-0000A31E0000}"/>
    <cellStyle name="SAPBEXfilterItem 15 2" xfId="8949" xr:uid="{00000000-0005-0000-0000-0000A41E0000}"/>
    <cellStyle name="SAPBEXfilterItem 15 3" xfId="8950" xr:uid="{00000000-0005-0000-0000-0000A51E0000}"/>
    <cellStyle name="SAPBEXfilterItem 15 4" xfId="8951" xr:uid="{00000000-0005-0000-0000-0000A61E0000}"/>
    <cellStyle name="SAPBEXfilterItem 16" xfId="792" xr:uid="{00000000-0005-0000-0000-0000A71E0000}"/>
    <cellStyle name="SAPBEXfilterItem 16 2" xfId="8952" xr:uid="{00000000-0005-0000-0000-0000A81E0000}"/>
    <cellStyle name="SAPBEXfilterItem 16 3" xfId="8953" xr:uid="{00000000-0005-0000-0000-0000A91E0000}"/>
    <cellStyle name="SAPBEXfilterItem 16 4" xfId="8954" xr:uid="{00000000-0005-0000-0000-0000AA1E0000}"/>
    <cellStyle name="SAPBEXfilterItem 17" xfId="793" xr:uid="{00000000-0005-0000-0000-0000AB1E0000}"/>
    <cellStyle name="SAPBEXfilterItem 17 2" xfId="8955" xr:uid="{00000000-0005-0000-0000-0000AC1E0000}"/>
    <cellStyle name="SAPBEXfilterItem 17 3" xfId="8956" xr:uid="{00000000-0005-0000-0000-0000AD1E0000}"/>
    <cellStyle name="SAPBEXfilterItem 17 4" xfId="8957" xr:uid="{00000000-0005-0000-0000-0000AE1E0000}"/>
    <cellStyle name="SAPBEXfilterItem 18" xfId="794" xr:uid="{00000000-0005-0000-0000-0000AF1E0000}"/>
    <cellStyle name="SAPBEXfilterItem 18 2" xfId="8958" xr:uid="{00000000-0005-0000-0000-0000B01E0000}"/>
    <cellStyle name="SAPBEXfilterItem 18 3" xfId="8959" xr:uid="{00000000-0005-0000-0000-0000B11E0000}"/>
    <cellStyle name="SAPBEXfilterItem 18 4" xfId="8960" xr:uid="{00000000-0005-0000-0000-0000B21E0000}"/>
    <cellStyle name="SAPBEXfilterItem 19" xfId="795" xr:uid="{00000000-0005-0000-0000-0000B31E0000}"/>
    <cellStyle name="SAPBEXfilterItem 19 2" xfId="8961" xr:uid="{00000000-0005-0000-0000-0000B41E0000}"/>
    <cellStyle name="SAPBEXfilterItem 19 3" xfId="8962" xr:uid="{00000000-0005-0000-0000-0000B51E0000}"/>
    <cellStyle name="SAPBEXfilterItem 19 4" xfId="8963" xr:uid="{00000000-0005-0000-0000-0000B61E0000}"/>
    <cellStyle name="SAPBEXfilterItem 2" xfId="796" xr:uid="{00000000-0005-0000-0000-0000B71E0000}"/>
    <cellStyle name="SAPBEXfilterItem 2 2" xfId="8964" xr:uid="{00000000-0005-0000-0000-0000B81E0000}"/>
    <cellStyle name="SAPBEXfilterItem 2 3" xfId="8965" xr:uid="{00000000-0005-0000-0000-0000B91E0000}"/>
    <cellStyle name="SAPBEXfilterItem 2 4" xfId="8966" xr:uid="{00000000-0005-0000-0000-0000BA1E0000}"/>
    <cellStyle name="SAPBEXfilterItem 20" xfId="797" xr:uid="{00000000-0005-0000-0000-0000BB1E0000}"/>
    <cellStyle name="SAPBEXfilterItem 20 2" xfId="8967" xr:uid="{00000000-0005-0000-0000-0000BC1E0000}"/>
    <cellStyle name="SAPBEXfilterItem 20 3" xfId="8968" xr:uid="{00000000-0005-0000-0000-0000BD1E0000}"/>
    <cellStyle name="SAPBEXfilterItem 20 4" xfId="8969" xr:uid="{00000000-0005-0000-0000-0000BE1E0000}"/>
    <cellStyle name="SAPBEXfilterItem 21" xfId="8970" xr:uid="{00000000-0005-0000-0000-0000BF1E0000}"/>
    <cellStyle name="SAPBEXfilterItem 22" xfId="8971" xr:uid="{00000000-0005-0000-0000-0000C01E0000}"/>
    <cellStyle name="SAPBEXfilterItem 23" xfId="8972" xr:uid="{00000000-0005-0000-0000-0000C11E0000}"/>
    <cellStyle name="SAPBEXfilterItem 3" xfId="798" xr:uid="{00000000-0005-0000-0000-0000C21E0000}"/>
    <cellStyle name="SAPBEXfilterItem 3 2" xfId="8973" xr:uid="{00000000-0005-0000-0000-0000C31E0000}"/>
    <cellStyle name="SAPBEXfilterItem 3 3" xfId="8974" xr:uid="{00000000-0005-0000-0000-0000C41E0000}"/>
    <cellStyle name="SAPBEXfilterItem 3 4" xfId="8975" xr:uid="{00000000-0005-0000-0000-0000C51E0000}"/>
    <cellStyle name="SAPBEXfilterItem 4" xfId="799" xr:uid="{00000000-0005-0000-0000-0000C61E0000}"/>
    <cellStyle name="SAPBEXfilterItem 4 2" xfId="8976" xr:uid="{00000000-0005-0000-0000-0000C71E0000}"/>
    <cellStyle name="SAPBEXfilterItem 4 3" xfId="8977" xr:uid="{00000000-0005-0000-0000-0000C81E0000}"/>
    <cellStyle name="SAPBEXfilterItem 4 4" xfId="8978" xr:uid="{00000000-0005-0000-0000-0000C91E0000}"/>
    <cellStyle name="SAPBEXfilterItem 5" xfId="800" xr:uid="{00000000-0005-0000-0000-0000CA1E0000}"/>
    <cellStyle name="SAPBEXfilterItem 5 2" xfId="8979" xr:uid="{00000000-0005-0000-0000-0000CB1E0000}"/>
    <cellStyle name="SAPBEXfilterItem 5 3" xfId="8980" xr:uid="{00000000-0005-0000-0000-0000CC1E0000}"/>
    <cellStyle name="SAPBEXfilterItem 5 4" xfId="8981" xr:uid="{00000000-0005-0000-0000-0000CD1E0000}"/>
    <cellStyle name="SAPBEXfilterItem 6" xfId="801" xr:uid="{00000000-0005-0000-0000-0000CE1E0000}"/>
    <cellStyle name="SAPBEXfilterItem 6 2" xfId="8982" xr:uid="{00000000-0005-0000-0000-0000CF1E0000}"/>
    <cellStyle name="SAPBEXfilterItem 6 3" xfId="8983" xr:uid="{00000000-0005-0000-0000-0000D01E0000}"/>
    <cellStyle name="SAPBEXfilterItem 6 4" xfId="8984" xr:uid="{00000000-0005-0000-0000-0000D11E0000}"/>
    <cellStyle name="SAPBEXfilterItem 7" xfId="802" xr:uid="{00000000-0005-0000-0000-0000D21E0000}"/>
    <cellStyle name="SAPBEXfilterItem 7 2" xfId="8985" xr:uid="{00000000-0005-0000-0000-0000D31E0000}"/>
    <cellStyle name="SAPBEXfilterItem 7 3" xfId="8986" xr:uid="{00000000-0005-0000-0000-0000D41E0000}"/>
    <cellStyle name="SAPBEXfilterItem 7 4" xfId="8987" xr:uid="{00000000-0005-0000-0000-0000D51E0000}"/>
    <cellStyle name="SAPBEXfilterItem 8" xfId="803" xr:uid="{00000000-0005-0000-0000-0000D61E0000}"/>
    <cellStyle name="SAPBEXfilterItem 8 2" xfId="8988" xr:uid="{00000000-0005-0000-0000-0000D71E0000}"/>
    <cellStyle name="SAPBEXfilterItem 8 3" xfId="8989" xr:uid="{00000000-0005-0000-0000-0000D81E0000}"/>
    <cellStyle name="SAPBEXfilterItem 8 4" xfId="8990" xr:uid="{00000000-0005-0000-0000-0000D91E0000}"/>
    <cellStyle name="SAPBEXfilterItem 9" xfId="804" xr:uid="{00000000-0005-0000-0000-0000DA1E0000}"/>
    <cellStyle name="SAPBEXfilterItem 9 2" xfId="8991" xr:uid="{00000000-0005-0000-0000-0000DB1E0000}"/>
    <cellStyle name="SAPBEXfilterItem 9 3" xfId="8992" xr:uid="{00000000-0005-0000-0000-0000DC1E0000}"/>
    <cellStyle name="SAPBEXfilterItem 9 4" xfId="8993" xr:uid="{00000000-0005-0000-0000-0000DD1E0000}"/>
    <cellStyle name="SAPBEXfilterItem_Sheet2" xfId="805" xr:uid="{00000000-0005-0000-0000-0000DE1E0000}"/>
    <cellStyle name="SAPBEXfilterText" xfId="806" xr:uid="{00000000-0005-0000-0000-0000DF1E0000}"/>
    <cellStyle name="SAPBEXfilterText 10" xfId="807" xr:uid="{00000000-0005-0000-0000-0000E01E0000}"/>
    <cellStyle name="SAPBEXfilterText 10 2" xfId="8994" xr:uid="{00000000-0005-0000-0000-0000E11E0000}"/>
    <cellStyle name="SAPBEXfilterText 10 3" xfId="8995" xr:uid="{00000000-0005-0000-0000-0000E21E0000}"/>
    <cellStyle name="SAPBEXfilterText 10 4" xfId="8996" xr:uid="{00000000-0005-0000-0000-0000E31E0000}"/>
    <cellStyle name="SAPBEXfilterText 11" xfId="808" xr:uid="{00000000-0005-0000-0000-0000E41E0000}"/>
    <cellStyle name="SAPBEXfilterText 11 2" xfId="8997" xr:uid="{00000000-0005-0000-0000-0000E51E0000}"/>
    <cellStyle name="SAPBEXfilterText 11 3" xfId="8998" xr:uid="{00000000-0005-0000-0000-0000E61E0000}"/>
    <cellStyle name="SAPBEXfilterText 11 4" xfId="8999" xr:uid="{00000000-0005-0000-0000-0000E71E0000}"/>
    <cellStyle name="SAPBEXfilterText 12" xfId="809" xr:uid="{00000000-0005-0000-0000-0000E81E0000}"/>
    <cellStyle name="SAPBEXfilterText 12 2" xfId="9000" xr:uid="{00000000-0005-0000-0000-0000E91E0000}"/>
    <cellStyle name="SAPBEXfilterText 12 3" xfId="9001" xr:uid="{00000000-0005-0000-0000-0000EA1E0000}"/>
    <cellStyle name="SAPBEXfilterText 12 4" xfId="9002" xr:uid="{00000000-0005-0000-0000-0000EB1E0000}"/>
    <cellStyle name="SAPBEXfilterText 13" xfId="810" xr:uid="{00000000-0005-0000-0000-0000EC1E0000}"/>
    <cellStyle name="SAPBEXfilterText 13 2" xfId="9003" xr:uid="{00000000-0005-0000-0000-0000ED1E0000}"/>
    <cellStyle name="SAPBEXfilterText 13 3" xfId="9004" xr:uid="{00000000-0005-0000-0000-0000EE1E0000}"/>
    <cellStyle name="SAPBEXfilterText 13 4" xfId="9005" xr:uid="{00000000-0005-0000-0000-0000EF1E0000}"/>
    <cellStyle name="SAPBEXfilterText 14" xfId="811" xr:uid="{00000000-0005-0000-0000-0000F01E0000}"/>
    <cellStyle name="SAPBEXfilterText 14 2" xfId="9006" xr:uid="{00000000-0005-0000-0000-0000F11E0000}"/>
    <cellStyle name="SAPBEXfilterText 14 3" xfId="9007" xr:uid="{00000000-0005-0000-0000-0000F21E0000}"/>
    <cellStyle name="SAPBEXfilterText 14 4" xfId="9008" xr:uid="{00000000-0005-0000-0000-0000F31E0000}"/>
    <cellStyle name="SAPBEXfilterText 15" xfId="812" xr:uid="{00000000-0005-0000-0000-0000F41E0000}"/>
    <cellStyle name="SAPBEXfilterText 15 2" xfId="9009" xr:uid="{00000000-0005-0000-0000-0000F51E0000}"/>
    <cellStyle name="SAPBEXfilterText 15 3" xfId="9010" xr:uid="{00000000-0005-0000-0000-0000F61E0000}"/>
    <cellStyle name="SAPBEXfilterText 15 4" xfId="9011" xr:uid="{00000000-0005-0000-0000-0000F71E0000}"/>
    <cellStyle name="SAPBEXfilterText 16" xfId="813" xr:uid="{00000000-0005-0000-0000-0000F81E0000}"/>
    <cellStyle name="SAPBEXfilterText 16 2" xfId="9012" xr:uid="{00000000-0005-0000-0000-0000F91E0000}"/>
    <cellStyle name="SAPBEXfilterText 16 3" xfId="9013" xr:uid="{00000000-0005-0000-0000-0000FA1E0000}"/>
    <cellStyle name="SAPBEXfilterText 16 4" xfId="9014" xr:uid="{00000000-0005-0000-0000-0000FB1E0000}"/>
    <cellStyle name="SAPBEXfilterText 17" xfId="814" xr:uid="{00000000-0005-0000-0000-0000FC1E0000}"/>
    <cellStyle name="SAPBEXfilterText 17 2" xfId="9015" xr:uid="{00000000-0005-0000-0000-0000FD1E0000}"/>
    <cellStyle name="SAPBEXfilterText 17 3" xfId="9016" xr:uid="{00000000-0005-0000-0000-0000FE1E0000}"/>
    <cellStyle name="SAPBEXfilterText 17 4" xfId="9017" xr:uid="{00000000-0005-0000-0000-0000FF1E0000}"/>
    <cellStyle name="SAPBEXfilterText 18" xfId="815" xr:uid="{00000000-0005-0000-0000-0000001F0000}"/>
    <cellStyle name="SAPBEXfilterText 18 2" xfId="9018" xr:uid="{00000000-0005-0000-0000-0000011F0000}"/>
    <cellStyle name="SAPBEXfilterText 18 3" xfId="9019" xr:uid="{00000000-0005-0000-0000-0000021F0000}"/>
    <cellStyle name="SAPBEXfilterText 18 4" xfId="9020" xr:uid="{00000000-0005-0000-0000-0000031F0000}"/>
    <cellStyle name="SAPBEXfilterText 19" xfId="816" xr:uid="{00000000-0005-0000-0000-0000041F0000}"/>
    <cellStyle name="SAPBEXfilterText 19 2" xfId="9021" xr:uid="{00000000-0005-0000-0000-0000051F0000}"/>
    <cellStyle name="SAPBEXfilterText 19 3" xfId="9022" xr:uid="{00000000-0005-0000-0000-0000061F0000}"/>
    <cellStyle name="SAPBEXfilterText 19 4" xfId="9023" xr:uid="{00000000-0005-0000-0000-0000071F0000}"/>
    <cellStyle name="SAPBEXfilterText 2" xfId="817" xr:uid="{00000000-0005-0000-0000-0000081F0000}"/>
    <cellStyle name="SAPBEXfilterText 2 2" xfId="9024" xr:uid="{00000000-0005-0000-0000-0000091F0000}"/>
    <cellStyle name="SAPBEXfilterText 2 3" xfId="9025" xr:uid="{00000000-0005-0000-0000-00000A1F0000}"/>
    <cellStyle name="SAPBEXfilterText 2 4" xfId="9026" xr:uid="{00000000-0005-0000-0000-00000B1F0000}"/>
    <cellStyle name="SAPBEXfilterText 20" xfId="818" xr:uid="{00000000-0005-0000-0000-00000C1F0000}"/>
    <cellStyle name="SAPBEXfilterText 20 2" xfId="9027" xr:uid="{00000000-0005-0000-0000-00000D1F0000}"/>
    <cellStyle name="SAPBEXfilterText 20 3" xfId="9028" xr:uid="{00000000-0005-0000-0000-00000E1F0000}"/>
    <cellStyle name="SAPBEXfilterText 20 4" xfId="9029" xr:uid="{00000000-0005-0000-0000-00000F1F0000}"/>
    <cellStyle name="SAPBEXfilterText 21" xfId="9030" xr:uid="{00000000-0005-0000-0000-0000101F0000}"/>
    <cellStyle name="SAPBEXfilterText 22" xfId="9031" xr:uid="{00000000-0005-0000-0000-0000111F0000}"/>
    <cellStyle name="SAPBEXfilterText 23" xfId="9032" xr:uid="{00000000-0005-0000-0000-0000121F0000}"/>
    <cellStyle name="SAPBEXfilterText 3" xfId="819" xr:uid="{00000000-0005-0000-0000-0000131F0000}"/>
    <cellStyle name="SAPBEXfilterText 3 2" xfId="9033" xr:uid="{00000000-0005-0000-0000-0000141F0000}"/>
    <cellStyle name="SAPBEXfilterText 3 3" xfId="9034" xr:uid="{00000000-0005-0000-0000-0000151F0000}"/>
    <cellStyle name="SAPBEXfilterText 3 4" xfId="9035" xr:uid="{00000000-0005-0000-0000-0000161F0000}"/>
    <cellStyle name="SAPBEXfilterText 4" xfId="820" xr:uid="{00000000-0005-0000-0000-0000171F0000}"/>
    <cellStyle name="SAPBEXfilterText 4 2" xfId="9036" xr:uid="{00000000-0005-0000-0000-0000181F0000}"/>
    <cellStyle name="SAPBEXfilterText 4 3" xfId="9037" xr:uid="{00000000-0005-0000-0000-0000191F0000}"/>
    <cellStyle name="SAPBEXfilterText 4 4" xfId="9038" xr:uid="{00000000-0005-0000-0000-00001A1F0000}"/>
    <cellStyle name="SAPBEXfilterText 5" xfId="821" xr:uid="{00000000-0005-0000-0000-00001B1F0000}"/>
    <cellStyle name="SAPBEXfilterText 5 2" xfId="9039" xr:uid="{00000000-0005-0000-0000-00001C1F0000}"/>
    <cellStyle name="SAPBEXfilterText 5 3" xfId="9040" xr:uid="{00000000-0005-0000-0000-00001D1F0000}"/>
    <cellStyle name="SAPBEXfilterText 5 4" xfId="9041" xr:uid="{00000000-0005-0000-0000-00001E1F0000}"/>
    <cellStyle name="SAPBEXfilterText 6" xfId="822" xr:uid="{00000000-0005-0000-0000-00001F1F0000}"/>
    <cellStyle name="SAPBEXfilterText 6 2" xfId="9042" xr:uid="{00000000-0005-0000-0000-0000201F0000}"/>
    <cellStyle name="SAPBEXfilterText 6 3" xfId="9043" xr:uid="{00000000-0005-0000-0000-0000211F0000}"/>
    <cellStyle name="SAPBEXfilterText 6 4" xfId="9044" xr:uid="{00000000-0005-0000-0000-0000221F0000}"/>
    <cellStyle name="SAPBEXfilterText 7" xfId="823" xr:uid="{00000000-0005-0000-0000-0000231F0000}"/>
    <cellStyle name="SAPBEXfilterText 7 2" xfId="9045" xr:uid="{00000000-0005-0000-0000-0000241F0000}"/>
    <cellStyle name="SAPBEXfilterText 7 3" xfId="9046" xr:uid="{00000000-0005-0000-0000-0000251F0000}"/>
    <cellStyle name="SAPBEXfilterText 7 4" xfId="9047" xr:uid="{00000000-0005-0000-0000-0000261F0000}"/>
    <cellStyle name="SAPBEXfilterText 8" xfId="824" xr:uid="{00000000-0005-0000-0000-0000271F0000}"/>
    <cellStyle name="SAPBEXfilterText 8 2" xfId="9048" xr:uid="{00000000-0005-0000-0000-0000281F0000}"/>
    <cellStyle name="SAPBEXfilterText 8 3" xfId="9049" xr:uid="{00000000-0005-0000-0000-0000291F0000}"/>
    <cellStyle name="SAPBEXfilterText 8 4" xfId="9050" xr:uid="{00000000-0005-0000-0000-00002A1F0000}"/>
    <cellStyle name="SAPBEXfilterText 9" xfId="825" xr:uid="{00000000-0005-0000-0000-00002B1F0000}"/>
    <cellStyle name="SAPBEXfilterText 9 2" xfId="9051" xr:uid="{00000000-0005-0000-0000-00002C1F0000}"/>
    <cellStyle name="SAPBEXfilterText 9 3" xfId="9052" xr:uid="{00000000-0005-0000-0000-00002D1F0000}"/>
    <cellStyle name="SAPBEXfilterText 9 4" xfId="9053" xr:uid="{00000000-0005-0000-0000-00002E1F0000}"/>
    <cellStyle name="SAPBEXfilterText_Sheet2" xfId="826" xr:uid="{00000000-0005-0000-0000-00002F1F0000}"/>
    <cellStyle name="SAPBEXformats" xfId="827" xr:uid="{00000000-0005-0000-0000-0000301F0000}"/>
    <cellStyle name="SAPBEXformats 10" xfId="828" xr:uid="{00000000-0005-0000-0000-0000311F0000}"/>
    <cellStyle name="SAPBEXformats 10 2" xfId="9054" xr:uid="{00000000-0005-0000-0000-0000321F0000}"/>
    <cellStyle name="SAPBEXformats 10 3" xfId="9055" xr:uid="{00000000-0005-0000-0000-0000331F0000}"/>
    <cellStyle name="SAPBEXformats 10 4" xfId="9056" xr:uid="{00000000-0005-0000-0000-0000341F0000}"/>
    <cellStyle name="SAPBEXformats 11" xfId="829" xr:uid="{00000000-0005-0000-0000-0000351F0000}"/>
    <cellStyle name="SAPBEXformats 11 2" xfId="9057" xr:uid="{00000000-0005-0000-0000-0000361F0000}"/>
    <cellStyle name="SAPBEXformats 11 3" xfId="9058" xr:uid="{00000000-0005-0000-0000-0000371F0000}"/>
    <cellStyle name="SAPBEXformats 11 4" xfId="9059" xr:uid="{00000000-0005-0000-0000-0000381F0000}"/>
    <cellStyle name="SAPBEXformats 12" xfId="830" xr:uid="{00000000-0005-0000-0000-0000391F0000}"/>
    <cellStyle name="SAPBEXformats 12 2" xfId="9060" xr:uid="{00000000-0005-0000-0000-00003A1F0000}"/>
    <cellStyle name="SAPBEXformats 12 3" xfId="9061" xr:uid="{00000000-0005-0000-0000-00003B1F0000}"/>
    <cellStyle name="SAPBEXformats 12 4" xfId="9062" xr:uid="{00000000-0005-0000-0000-00003C1F0000}"/>
    <cellStyle name="SAPBEXformats 13" xfId="831" xr:uid="{00000000-0005-0000-0000-00003D1F0000}"/>
    <cellStyle name="SAPBEXformats 13 2" xfId="9063" xr:uid="{00000000-0005-0000-0000-00003E1F0000}"/>
    <cellStyle name="SAPBEXformats 13 3" xfId="9064" xr:uid="{00000000-0005-0000-0000-00003F1F0000}"/>
    <cellStyle name="SAPBEXformats 13 4" xfId="9065" xr:uid="{00000000-0005-0000-0000-0000401F0000}"/>
    <cellStyle name="SAPBEXformats 14" xfId="832" xr:uid="{00000000-0005-0000-0000-0000411F0000}"/>
    <cellStyle name="SAPBEXformats 14 2" xfId="9066" xr:uid="{00000000-0005-0000-0000-0000421F0000}"/>
    <cellStyle name="SAPBEXformats 14 3" xfId="9067" xr:uid="{00000000-0005-0000-0000-0000431F0000}"/>
    <cellStyle name="SAPBEXformats 14 4" xfId="9068" xr:uid="{00000000-0005-0000-0000-0000441F0000}"/>
    <cellStyle name="SAPBEXformats 15" xfId="833" xr:uid="{00000000-0005-0000-0000-0000451F0000}"/>
    <cellStyle name="SAPBEXformats 15 2" xfId="9069" xr:uid="{00000000-0005-0000-0000-0000461F0000}"/>
    <cellStyle name="SAPBEXformats 15 3" xfId="9070" xr:uid="{00000000-0005-0000-0000-0000471F0000}"/>
    <cellStyle name="SAPBEXformats 15 4" xfId="9071" xr:uid="{00000000-0005-0000-0000-0000481F0000}"/>
    <cellStyle name="SAPBEXformats 16" xfId="834" xr:uid="{00000000-0005-0000-0000-0000491F0000}"/>
    <cellStyle name="SAPBEXformats 16 2" xfId="9072" xr:uid="{00000000-0005-0000-0000-00004A1F0000}"/>
    <cellStyle name="SAPBEXformats 16 3" xfId="9073" xr:uid="{00000000-0005-0000-0000-00004B1F0000}"/>
    <cellStyle name="SAPBEXformats 16 4" xfId="9074" xr:uid="{00000000-0005-0000-0000-00004C1F0000}"/>
    <cellStyle name="SAPBEXformats 17" xfId="835" xr:uid="{00000000-0005-0000-0000-00004D1F0000}"/>
    <cellStyle name="SAPBEXformats 17 2" xfId="9075" xr:uid="{00000000-0005-0000-0000-00004E1F0000}"/>
    <cellStyle name="SAPBEXformats 17 3" xfId="9076" xr:uid="{00000000-0005-0000-0000-00004F1F0000}"/>
    <cellStyle name="SAPBEXformats 17 4" xfId="9077" xr:uid="{00000000-0005-0000-0000-0000501F0000}"/>
    <cellStyle name="SAPBEXformats 18" xfId="836" xr:uid="{00000000-0005-0000-0000-0000511F0000}"/>
    <cellStyle name="SAPBEXformats 18 2" xfId="9078" xr:uid="{00000000-0005-0000-0000-0000521F0000}"/>
    <cellStyle name="SAPBEXformats 18 3" xfId="9079" xr:uid="{00000000-0005-0000-0000-0000531F0000}"/>
    <cellStyle name="SAPBEXformats 18 4" xfId="9080" xr:uid="{00000000-0005-0000-0000-0000541F0000}"/>
    <cellStyle name="SAPBEXformats 19" xfId="837" xr:uid="{00000000-0005-0000-0000-0000551F0000}"/>
    <cellStyle name="SAPBEXformats 19 2" xfId="9081" xr:uid="{00000000-0005-0000-0000-0000561F0000}"/>
    <cellStyle name="SAPBEXformats 19 3" xfId="9082" xr:uid="{00000000-0005-0000-0000-0000571F0000}"/>
    <cellStyle name="SAPBEXformats 19 4" xfId="9083" xr:uid="{00000000-0005-0000-0000-0000581F0000}"/>
    <cellStyle name="SAPBEXformats 2" xfId="838" xr:uid="{00000000-0005-0000-0000-0000591F0000}"/>
    <cellStyle name="SAPBEXformats 2 2" xfId="9084" xr:uid="{00000000-0005-0000-0000-00005A1F0000}"/>
    <cellStyle name="SAPBEXformats 2 3" xfId="9085" xr:uid="{00000000-0005-0000-0000-00005B1F0000}"/>
    <cellStyle name="SAPBEXformats 2 4" xfId="9086" xr:uid="{00000000-0005-0000-0000-00005C1F0000}"/>
    <cellStyle name="SAPBEXformats 20" xfId="839" xr:uid="{00000000-0005-0000-0000-00005D1F0000}"/>
    <cellStyle name="SAPBEXformats 20 2" xfId="9087" xr:uid="{00000000-0005-0000-0000-00005E1F0000}"/>
    <cellStyle name="SAPBEXformats 20 3" xfId="9088" xr:uid="{00000000-0005-0000-0000-00005F1F0000}"/>
    <cellStyle name="SAPBEXformats 20 4" xfId="9089" xr:uid="{00000000-0005-0000-0000-0000601F0000}"/>
    <cellStyle name="SAPBEXformats 21" xfId="9090" xr:uid="{00000000-0005-0000-0000-0000611F0000}"/>
    <cellStyle name="SAPBEXformats 22" xfId="9091" xr:uid="{00000000-0005-0000-0000-0000621F0000}"/>
    <cellStyle name="SAPBEXformats 23" xfId="9092" xr:uid="{00000000-0005-0000-0000-0000631F0000}"/>
    <cellStyle name="SAPBEXformats 3" xfId="840" xr:uid="{00000000-0005-0000-0000-0000641F0000}"/>
    <cellStyle name="SAPBEXformats 3 2" xfId="9093" xr:uid="{00000000-0005-0000-0000-0000651F0000}"/>
    <cellStyle name="SAPBEXformats 3 3" xfId="9094" xr:uid="{00000000-0005-0000-0000-0000661F0000}"/>
    <cellStyle name="SAPBEXformats 3 4" xfId="9095" xr:uid="{00000000-0005-0000-0000-0000671F0000}"/>
    <cellStyle name="SAPBEXformats 4" xfId="841" xr:uid="{00000000-0005-0000-0000-0000681F0000}"/>
    <cellStyle name="SAPBEXformats 4 2" xfId="9096" xr:uid="{00000000-0005-0000-0000-0000691F0000}"/>
    <cellStyle name="SAPBEXformats 4 3" xfId="9097" xr:uid="{00000000-0005-0000-0000-00006A1F0000}"/>
    <cellStyle name="SAPBEXformats 4 4" xfId="9098" xr:uid="{00000000-0005-0000-0000-00006B1F0000}"/>
    <cellStyle name="SAPBEXformats 5" xfId="842" xr:uid="{00000000-0005-0000-0000-00006C1F0000}"/>
    <cellStyle name="SAPBEXformats 5 2" xfId="9099" xr:uid="{00000000-0005-0000-0000-00006D1F0000}"/>
    <cellStyle name="SAPBEXformats 5 3" xfId="9100" xr:uid="{00000000-0005-0000-0000-00006E1F0000}"/>
    <cellStyle name="SAPBEXformats 5 4" xfId="9101" xr:uid="{00000000-0005-0000-0000-00006F1F0000}"/>
    <cellStyle name="SAPBEXformats 6" xfId="843" xr:uid="{00000000-0005-0000-0000-0000701F0000}"/>
    <cellStyle name="SAPBEXformats 6 2" xfId="9102" xr:uid="{00000000-0005-0000-0000-0000711F0000}"/>
    <cellStyle name="SAPBEXformats 6 3" xfId="9103" xr:uid="{00000000-0005-0000-0000-0000721F0000}"/>
    <cellStyle name="SAPBEXformats 6 4" xfId="9104" xr:uid="{00000000-0005-0000-0000-0000731F0000}"/>
    <cellStyle name="SAPBEXformats 7" xfId="844" xr:uid="{00000000-0005-0000-0000-0000741F0000}"/>
    <cellStyle name="SAPBEXformats 7 2" xfId="9105" xr:uid="{00000000-0005-0000-0000-0000751F0000}"/>
    <cellStyle name="SAPBEXformats 7 3" xfId="9106" xr:uid="{00000000-0005-0000-0000-0000761F0000}"/>
    <cellStyle name="SAPBEXformats 7 4" xfId="9107" xr:uid="{00000000-0005-0000-0000-0000771F0000}"/>
    <cellStyle name="SAPBEXformats 8" xfId="845" xr:uid="{00000000-0005-0000-0000-0000781F0000}"/>
    <cellStyle name="SAPBEXformats 8 2" xfId="9108" xr:uid="{00000000-0005-0000-0000-0000791F0000}"/>
    <cellStyle name="SAPBEXformats 8 3" xfId="9109" xr:uid="{00000000-0005-0000-0000-00007A1F0000}"/>
    <cellStyle name="SAPBEXformats 8 4" xfId="9110" xr:uid="{00000000-0005-0000-0000-00007B1F0000}"/>
    <cellStyle name="SAPBEXformats 9" xfId="846" xr:uid="{00000000-0005-0000-0000-00007C1F0000}"/>
    <cellStyle name="SAPBEXformats 9 2" xfId="9111" xr:uid="{00000000-0005-0000-0000-00007D1F0000}"/>
    <cellStyle name="SAPBEXformats 9 3" xfId="9112" xr:uid="{00000000-0005-0000-0000-00007E1F0000}"/>
    <cellStyle name="SAPBEXformats 9 4" xfId="9113" xr:uid="{00000000-0005-0000-0000-00007F1F0000}"/>
    <cellStyle name="SAPBEXformats_Sheet2" xfId="847" xr:uid="{00000000-0005-0000-0000-0000801F0000}"/>
    <cellStyle name="SAPBEXheaderItem" xfId="848" xr:uid="{00000000-0005-0000-0000-0000811F0000}"/>
    <cellStyle name="SAPBEXheaderItem 10" xfId="849" xr:uid="{00000000-0005-0000-0000-0000821F0000}"/>
    <cellStyle name="SAPBEXheaderItem 10 2" xfId="9114" xr:uid="{00000000-0005-0000-0000-0000831F0000}"/>
    <cellStyle name="SAPBEXheaderItem 10 3" xfId="9115" xr:uid="{00000000-0005-0000-0000-0000841F0000}"/>
    <cellStyle name="SAPBEXheaderItem 10 4" xfId="9116" xr:uid="{00000000-0005-0000-0000-0000851F0000}"/>
    <cellStyle name="SAPBEXheaderItem 11" xfId="850" xr:uid="{00000000-0005-0000-0000-0000861F0000}"/>
    <cellStyle name="SAPBEXheaderItem 11 2" xfId="9117" xr:uid="{00000000-0005-0000-0000-0000871F0000}"/>
    <cellStyle name="SAPBEXheaderItem 11 3" xfId="9118" xr:uid="{00000000-0005-0000-0000-0000881F0000}"/>
    <cellStyle name="SAPBEXheaderItem 11 4" xfId="9119" xr:uid="{00000000-0005-0000-0000-0000891F0000}"/>
    <cellStyle name="SAPBEXheaderItem 12" xfId="851" xr:uid="{00000000-0005-0000-0000-00008A1F0000}"/>
    <cellStyle name="SAPBEXheaderItem 12 2" xfId="9120" xr:uid="{00000000-0005-0000-0000-00008B1F0000}"/>
    <cellStyle name="SAPBEXheaderItem 12 3" xfId="9121" xr:uid="{00000000-0005-0000-0000-00008C1F0000}"/>
    <cellStyle name="SAPBEXheaderItem 12 4" xfId="9122" xr:uid="{00000000-0005-0000-0000-00008D1F0000}"/>
    <cellStyle name="SAPBEXheaderItem 13" xfId="852" xr:uid="{00000000-0005-0000-0000-00008E1F0000}"/>
    <cellStyle name="SAPBEXheaderItem 13 2" xfId="9123" xr:uid="{00000000-0005-0000-0000-00008F1F0000}"/>
    <cellStyle name="SAPBEXheaderItem 13 3" xfId="9124" xr:uid="{00000000-0005-0000-0000-0000901F0000}"/>
    <cellStyle name="SAPBEXheaderItem 13 4" xfId="9125" xr:uid="{00000000-0005-0000-0000-0000911F0000}"/>
    <cellStyle name="SAPBEXheaderItem 14" xfId="853" xr:uid="{00000000-0005-0000-0000-0000921F0000}"/>
    <cellStyle name="SAPBEXheaderItem 14 2" xfId="9126" xr:uid="{00000000-0005-0000-0000-0000931F0000}"/>
    <cellStyle name="SAPBEXheaderItem 14 3" xfId="9127" xr:uid="{00000000-0005-0000-0000-0000941F0000}"/>
    <cellStyle name="SAPBEXheaderItem 14 4" xfId="9128" xr:uid="{00000000-0005-0000-0000-0000951F0000}"/>
    <cellStyle name="SAPBEXheaderItem 15" xfId="854" xr:uid="{00000000-0005-0000-0000-0000961F0000}"/>
    <cellStyle name="SAPBEXheaderItem 15 2" xfId="9129" xr:uid="{00000000-0005-0000-0000-0000971F0000}"/>
    <cellStyle name="SAPBEXheaderItem 15 3" xfId="9130" xr:uid="{00000000-0005-0000-0000-0000981F0000}"/>
    <cellStyle name="SAPBEXheaderItem 15 4" xfId="9131" xr:uid="{00000000-0005-0000-0000-0000991F0000}"/>
    <cellStyle name="SAPBEXheaderItem 16" xfId="855" xr:uid="{00000000-0005-0000-0000-00009A1F0000}"/>
    <cellStyle name="SAPBEXheaderItem 16 2" xfId="9132" xr:uid="{00000000-0005-0000-0000-00009B1F0000}"/>
    <cellStyle name="SAPBEXheaderItem 16 3" xfId="9133" xr:uid="{00000000-0005-0000-0000-00009C1F0000}"/>
    <cellStyle name="SAPBEXheaderItem 16 4" xfId="9134" xr:uid="{00000000-0005-0000-0000-00009D1F0000}"/>
    <cellStyle name="SAPBEXheaderItem 17" xfId="856" xr:uid="{00000000-0005-0000-0000-00009E1F0000}"/>
    <cellStyle name="SAPBEXheaderItem 17 2" xfId="9135" xr:uid="{00000000-0005-0000-0000-00009F1F0000}"/>
    <cellStyle name="SAPBEXheaderItem 17 3" xfId="9136" xr:uid="{00000000-0005-0000-0000-0000A01F0000}"/>
    <cellStyle name="SAPBEXheaderItem 17 4" xfId="9137" xr:uid="{00000000-0005-0000-0000-0000A11F0000}"/>
    <cellStyle name="SAPBEXheaderItem 18" xfId="857" xr:uid="{00000000-0005-0000-0000-0000A21F0000}"/>
    <cellStyle name="SAPBEXheaderItem 18 2" xfId="9138" xr:uid="{00000000-0005-0000-0000-0000A31F0000}"/>
    <cellStyle name="SAPBEXheaderItem 18 3" xfId="9139" xr:uid="{00000000-0005-0000-0000-0000A41F0000}"/>
    <cellStyle name="SAPBEXheaderItem 18 4" xfId="9140" xr:uid="{00000000-0005-0000-0000-0000A51F0000}"/>
    <cellStyle name="SAPBEXheaderItem 19" xfId="858" xr:uid="{00000000-0005-0000-0000-0000A61F0000}"/>
    <cellStyle name="SAPBEXheaderItem 19 2" xfId="9141" xr:uid="{00000000-0005-0000-0000-0000A71F0000}"/>
    <cellStyle name="SAPBEXheaderItem 19 3" xfId="9142" xr:uid="{00000000-0005-0000-0000-0000A81F0000}"/>
    <cellStyle name="SAPBEXheaderItem 19 4" xfId="9143" xr:uid="{00000000-0005-0000-0000-0000A91F0000}"/>
    <cellStyle name="SAPBEXheaderItem 2" xfId="859" xr:uid="{00000000-0005-0000-0000-0000AA1F0000}"/>
    <cellStyle name="SAPBEXheaderItem 2 2" xfId="9144" xr:uid="{00000000-0005-0000-0000-0000AB1F0000}"/>
    <cellStyle name="SAPBEXheaderItem 2 3" xfId="9145" xr:uid="{00000000-0005-0000-0000-0000AC1F0000}"/>
    <cellStyle name="SAPBEXheaderItem 2 4" xfId="9146" xr:uid="{00000000-0005-0000-0000-0000AD1F0000}"/>
    <cellStyle name="SAPBEXheaderItem 20" xfId="860" xr:uid="{00000000-0005-0000-0000-0000AE1F0000}"/>
    <cellStyle name="SAPBEXheaderItem 20 2" xfId="9147" xr:uid="{00000000-0005-0000-0000-0000AF1F0000}"/>
    <cellStyle name="SAPBEXheaderItem 20 3" xfId="9148" xr:uid="{00000000-0005-0000-0000-0000B01F0000}"/>
    <cellStyle name="SAPBEXheaderItem 20 4" xfId="9149" xr:uid="{00000000-0005-0000-0000-0000B11F0000}"/>
    <cellStyle name="SAPBEXheaderItem 21" xfId="9150" xr:uid="{00000000-0005-0000-0000-0000B21F0000}"/>
    <cellStyle name="SAPBEXheaderItem 22" xfId="9151" xr:uid="{00000000-0005-0000-0000-0000B31F0000}"/>
    <cellStyle name="SAPBEXheaderItem 23" xfId="9152" xr:uid="{00000000-0005-0000-0000-0000B41F0000}"/>
    <cellStyle name="SAPBEXheaderItem 3" xfId="861" xr:uid="{00000000-0005-0000-0000-0000B51F0000}"/>
    <cellStyle name="SAPBEXheaderItem 3 2" xfId="9153" xr:uid="{00000000-0005-0000-0000-0000B61F0000}"/>
    <cellStyle name="SAPBEXheaderItem 3 3" xfId="9154" xr:uid="{00000000-0005-0000-0000-0000B71F0000}"/>
    <cellStyle name="SAPBEXheaderItem 3 4" xfId="9155" xr:uid="{00000000-0005-0000-0000-0000B81F0000}"/>
    <cellStyle name="SAPBEXheaderItem 4" xfId="862" xr:uid="{00000000-0005-0000-0000-0000B91F0000}"/>
    <cellStyle name="SAPBEXheaderItem 4 2" xfId="9156" xr:uid="{00000000-0005-0000-0000-0000BA1F0000}"/>
    <cellStyle name="SAPBEXheaderItem 4 3" xfId="9157" xr:uid="{00000000-0005-0000-0000-0000BB1F0000}"/>
    <cellStyle name="SAPBEXheaderItem 4 4" xfId="9158" xr:uid="{00000000-0005-0000-0000-0000BC1F0000}"/>
    <cellStyle name="SAPBEXheaderItem 5" xfId="863" xr:uid="{00000000-0005-0000-0000-0000BD1F0000}"/>
    <cellStyle name="SAPBEXheaderItem 5 2" xfId="9159" xr:uid="{00000000-0005-0000-0000-0000BE1F0000}"/>
    <cellStyle name="SAPBEXheaderItem 5 3" xfId="9160" xr:uid="{00000000-0005-0000-0000-0000BF1F0000}"/>
    <cellStyle name="SAPBEXheaderItem 5 4" xfId="9161" xr:uid="{00000000-0005-0000-0000-0000C01F0000}"/>
    <cellStyle name="SAPBEXheaderItem 6" xfId="864" xr:uid="{00000000-0005-0000-0000-0000C11F0000}"/>
    <cellStyle name="SAPBEXheaderItem 6 2" xfId="9162" xr:uid="{00000000-0005-0000-0000-0000C21F0000}"/>
    <cellStyle name="SAPBEXheaderItem 6 3" xfId="9163" xr:uid="{00000000-0005-0000-0000-0000C31F0000}"/>
    <cellStyle name="SAPBEXheaderItem 6 4" xfId="9164" xr:uid="{00000000-0005-0000-0000-0000C41F0000}"/>
    <cellStyle name="SAPBEXheaderItem 7" xfId="865" xr:uid="{00000000-0005-0000-0000-0000C51F0000}"/>
    <cellStyle name="SAPBEXheaderItem 7 2" xfId="9165" xr:uid="{00000000-0005-0000-0000-0000C61F0000}"/>
    <cellStyle name="SAPBEXheaderItem 7 3" xfId="9166" xr:uid="{00000000-0005-0000-0000-0000C71F0000}"/>
    <cellStyle name="SAPBEXheaderItem 7 4" xfId="9167" xr:uid="{00000000-0005-0000-0000-0000C81F0000}"/>
    <cellStyle name="SAPBEXheaderItem 8" xfId="866" xr:uid="{00000000-0005-0000-0000-0000C91F0000}"/>
    <cellStyle name="SAPBEXheaderItem 8 2" xfId="9168" xr:uid="{00000000-0005-0000-0000-0000CA1F0000}"/>
    <cellStyle name="SAPBEXheaderItem 8 3" xfId="9169" xr:uid="{00000000-0005-0000-0000-0000CB1F0000}"/>
    <cellStyle name="SAPBEXheaderItem 8 4" xfId="9170" xr:uid="{00000000-0005-0000-0000-0000CC1F0000}"/>
    <cellStyle name="SAPBEXheaderItem 9" xfId="867" xr:uid="{00000000-0005-0000-0000-0000CD1F0000}"/>
    <cellStyle name="SAPBEXheaderItem 9 2" xfId="9171" xr:uid="{00000000-0005-0000-0000-0000CE1F0000}"/>
    <cellStyle name="SAPBEXheaderItem 9 3" xfId="9172" xr:uid="{00000000-0005-0000-0000-0000CF1F0000}"/>
    <cellStyle name="SAPBEXheaderItem 9 4" xfId="9173" xr:uid="{00000000-0005-0000-0000-0000D01F0000}"/>
    <cellStyle name="SAPBEXheaderItem_Sheet2" xfId="868" xr:uid="{00000000-0005-0000-0000-0000D11F0000}"/>
    <cellStyle name="SAPBEXheaderText" xfId="869" xr:uid="{00000000-0005-0000-0000-0000D21F0000}"/>
    <cellStyle name="SAPBEXheaderText 10" xfId="870" xr:uid="{00000000-0005-0000-0000-0000D31F0000}"/>
    <cellStyle name="SAPBEXheaderText 10 2" xfId="9174" xr:uid="{00000000-0005-0000-0000-0000D41F0000}"/>
    <cellStyle name="SAPBEXheaderText 10 3" xfId="9175" xr:uid="{00000000-0005-0000-0000-0000D51F0000}"/>
    <cellStyle name="SAPBEXheaderText 10 4" xfId="9176" xr:uid="{00000000-0005-0000-0000-0000D61F0000}"/>
    <cellStyle name="SAPBEXheaderText 11" xfId="871" xr:uid="{00000000-0005-0000-0000-0000D71F0000}"/>
    <cellStyle name="SAPBEXheaderText 11 2" xfId="9177" xr:uid="{00000000-0005-0000-0000-0000D81F0000}"/>
    <cellStyle name="SAPBEXheaderText 11 3" xfId="9178" xr:uid="{00000000-0005-0000-0000-0000D91F0000}"/>
    <cellStyle name="SAPBEXheaderText 11 4" xfId="9179" xr:uid="{00000000-0005-0000-0000-0000DA1F0000}"/>
    <cellStyle name="SAPBEXheaderText 12" xfId="872" xr:uid="{00000000-0005-0000-0000-0000DB1F0000}"/>
    <cellStyle name="SAPBEXheaderText 12 2" xfId="9180" xr:uid="{00000000-0005-0000-0000-0000DC1F0000}"/>
    <cellStyle name="SAPBEXheaderText 12 3" xfId="9181" xr:uid="{00000000-0005-0000-0000-0000DD1F0000}"/>
    <cellStyle name="SAPBEXheaderText 12 4" xfId="9182" xr:uid="{00000000-0005-0000-0000-0000DE1F0000}"/>
    <cellStyle name="SAPBEXheaderText 13" xfId="873" xr:uid="{00000000-0005-0000-0000-0000DF1F0000}"/>
    <cellStyle name="SAPBEXheaderText 13 2" xfId="9183" xr:uid="{00000000-0005-0000-0000-0000E01F0000}"/>
    <cellStyle name="SAPBEXheaderText 13 3" xfId="9184" xr:uid="{00000000-0005-0000-0000-0000E11F0000}"/>
    <cellStyle name="SAPBEXheaderText 13 4" xfId="9185" xr:uid="{00000000-0005-0000-0000-0000E21F0000}"/>
    <cellStyle name="SAPBEXheaderText 14" xfId="874" xr:uid="{00000000-0005-0000-0000-0000E31F0000}"/>
    <cellStyle name="SAPBEXheaderText 14 2" xfId="9186" xr:uid="{00000000-0005-0000-0000-0000E41F0000}"/>
    <cellStyle name="SAPBEXheaderText 14 3" xfId="9187" xr:uid="{00000000-0005-0000-0000-0000E51F0000}"/>
    <cellStyle name="SAPBEXheaderText 14 4" xfId="9188" xr:uid="{00000000-0005-0000-0000-0000E61F0000}"/>
    <cellStyle name="SAPBEXheaderText 15" xfId="875" xr:uid="{00000000-0005-0000-0000-0000E71F0000}"/>
    <cellStyle name="SAPBEXheaderText 15 2" xfId="9189" xr:uid="{00000000-0005-0000-0000-0000E81F0000}"/>
    <cellStyle name="SAPBEXheaderText 15 3" xfId="9190" xr:uid="{00000000-0005-0000-0000-0000E91F0000}"/>
    <cellStyle name="SAPBEXheaderText 15 4" xfId="9191" xr:uid="{00000000-0005-0000-0000-0000EA1F0000}"/>
    <cellStyle name="SAPBEXheaderText 16" xfId="876" xr:uid="{00000000-0005-0000-0000-0000EB1F0000}"/>
    <cellStyle name="SAPBEXheaderText 16 2" xfId="9192" xr:uid="{00000000-0005-0000-0000-0000EC1F0000}"/>
    <cellStyle name="SAPBEXheaderText 16 3" xfId="9193" xr:uid="{00000000-0005-0000-0000-0000ED1F0000}"/>
    <cellStyle name="SAPBEXheaderText 16 4" xfId="9194" xr:uid="{00000000-0005-0000-0000-0000EE1F0000}"/>
    <cellStyle name="SAPBEXheaderText 17" xfId="877" xr:uid="{00000000-0005-0000-0000-0000EF1F0000}"/>
    <cellStyle name="SAPBEXheaderText 17 2" xfId="9195" xr:uid="{00000000-0005-0000-0000-0000F01F0000}"/>
    <cellStyle name="SAPBEXheaderText 17 3" xfId="9196" xr:uid="{00000000-0005-0000-0000-0000F11F0000}"/>
    <cellStyle name="SAPBEXheaderText 17 4" xfId="9197" xr:uid="{00000000-0005-0000-0000-0000F21F0000}"/>
    <cellStyle name="SAPBEXheaderText 18" xfId="878" xr:uid="{00000000-0005-0000-0000-0000F31F0000}"/>
    <cellStyle name="SAPBEXheaderText 18 2" xfId="9198" xr:uid="{00000000-0005-0000-0000-0000F41F0000}"/>
    <cellStyle name="SAPBEXheaderText 18 3" xfId="9199" xr:uid="{00000000-0005-0000-0000-0000F51F0000}"/>
    <cellStyle name="SAPBEXheaderText 18 4" xfId="9200" xr:uid="{00000000-0005-0000-0000-0000F61F0000}"/>
    <cellStyle name="SAPBEXheaderText 19" xfId="879" xr:uid="{00000000-0005-0000-0000-0000F71F0000}"/>
    <cellStyle name="SAPBEXheaderText 19 2" xfId="9201" xr:uid="{00000000-0005-0000-0000-0000F81F0000}"/>
    <cellStyle name="SAPBEXheaderText 19 3" xfId="9202" xr:uid="{00000000-0005-0000-0000-0000F91F0000}"/>
    <cellStyle name="SAPBEXheaderText 19 4" xfId="9203" xr:uid="{00000000-0005-0000-0000-0000FA1F0000}"/>
    <cellStyle name="SAPBEXheaderText 2" xfId="880" xr:uid="{00000000-0005-0000-0000-0000FB1F0000}"/>
    <cellStyle name="SAPBEXheaderText 2 2" xfId="9204" xr:uid="{00000000-0005-0000-0000-0000FC1F0000}"/>
    <cellStyle name="SAPBEXheaderText 2 3" xfId="9205" xr:uid="{00000000-0005-0000-0000-0000FD1F0000}"/>
    <cellStyle name="SAPBEXheaderText 2 4" xfId="9206" xr:uid="{00000000-0005-0000-0000-0000FE1F0000}"/>
    <cellStyle name="SAPBEXheaderText 20" xfId="881" xr:uid="{00000000-0005-0000-0000-0000FF1F0000}"/>
    <cellStyle name="SAPBEXheaderText 20 2" xfId="9207" xr:uid="{00000000-0005-0000-0000-000000200000}"/>
    <cellStyle name="SAPBEXheaderText 20 3" xfId="9208" xr:uid="{00000000-0005-0000-0000-000001200000}"/>
    <cellStyle name="SAPBEXheaderText 20 4" xfId="9209" xr:uid="{00000000-0005-0000-0000-000002200000}"/>
    <cellStyle name="SAPBEXheaderText 21" xfId="9210" xr:uid="{00000000-0005-0000-0000-000003200000}"/>
    <cellStyle name="SAPBEXheaderText 22" xfId="9211" xr:uid="{00000000-0005-0000-0000-000004200000}"/>
    <cellStyle name="SAPBEXheaderText 23" xfId="9212" xr:uid="{00000000-0005-0000-0000-000005200000}"/>
    <cellStyle name="SAPBEXheaderText 3" xfId="882" xr:uid="{00000000-0005-0000-0000-000006200000}"/>
    <cellStyle name="SAPBEXheaderText 3 2" xfId="9213" xr:uid="{00000000-0005-0000-0000-000007200000}"/>
    <cellStyle name="SAPBEXheaderText 3 3" xfId="9214" xr:uid="{00000000-0005-0000-0000-000008200000}"/>
    <cellStyle name="SAPBEXheaderText 3 4" xfId="9215" xr:uid="{00000000-0005-0000-0000-000009200000}"/>
    <cellStyle name="SAPBEXheaderText 4" xfId="883" xr:uid="{00000000-0005-0000-0000-00000A200000}"/>
    <cellStyle name="SAPBEXheaderText 4 2" xfId="9216" xr:uid="{00000000-0005-0000-0000-00000B200000}"/>
    <cellStyle name="SAPBEXheaderText 4 3" xfId="9217" xr:uid="{00000000-0005-0000-0000-00000C200000}"/>
    <cellStyle name="SAPBEXheaderText 4 4" xfId="9218" xr:uid="{00000000-0005-0000-0000-00000D200000}"/>
    <cellStyle name="SAPBEXheaderText 5" xfId="884" xr:uid="{00000000-0005-0000-0000-00000E200000}"/>
    <cellStyle name="SAPBEXheaderText 5 2" xfId="9219" xr:uid="{00000000-0005-0000-0000-00000F200000}"/>
    <cellStyle name="SAPBEXheaderText 5 3" xfId="9220" xr:uid="{00000000-0005-0000-0000-000010200000}"/>
    <cellStyle name="SAPBEXheaderText 5 4" xfId="9221" xr:uid="{00000000-0005-0000-0000-000011200000}"/>
    <cellStyle name="SAPBEXheaderText 6" xfId="885" xr:uid="{00000000-0005-0000-0000-000012200000}"/>
    <cellStyle name="SAPBEXheaderText 6 2" xfId="9222" xr:uid="{00000000-0005-0000-0000-000013200000}"/>
    <cellStyle name="SAPBEXheaderText 6 3" xfId="9223" xr:uid="{00000000-0005-0000-0000-000014200000}"/>
    <cellStyle name="SAPBEXheaderText 6 4" xfId="9224" xr:uid="{00000000-0005-0000-0000-000015200000}"/>
    <cellStyle name="SAPBEXheaderText 7" xfId="886" xr:uid="{00000000-0005-0000-0000-000016200000}"/>
    <cellStyle name="SAPBEXheaderText 7 2" xfId="9225" xr:uid="{00000000-0005-0000-0000-000017200000}"/>
    <cellStyle name="SAPBEXheaderText 7 3" xfId="9226" xr:uid="{00000000-0005-0000-0000-000018200000}"/>
    <cellStyle name="SAPBEXheaderText 7 4" xfId="9227" xr:uid="{00000000-0005-0000-0000-000019200000}"/>
    <cellStyle name="SAPBEXheaderText 8" xfId="887" xr:uid="{00000000-0005-0000-0000-00001A200000}"/>
    <cellStyle name="SAPBEXheaderText 8 2" xfId="9228" xr:uid="{00000000-0005-0000-0000-00001B200000}"/>
    <cellStyle name="SAPBEXheaderText 8 3" xfId="9229" xr:uid="{00000000-0005-0000-0000-00001C200000}"/>
    <cellStyle name="SAPBEXheaderText 8 4" xfId="9230" xr:uid="{00000000-0005-0000-0000-00001D200000}"/>
    <cellStyle name="SAPBEXheaderText 9" xfId="888" xr:uid="{00000000-0005-0000-0000-00001E200000}"/>
    <cellStyle name="SAPBEXheaderText 9 2" xfId="9231" xr:uid="{00000000-0005-0000-0000-00001F200000}"/>
    <cellStyle name="SAPBEXheaderText 9 3" xfId="9232" xr:uid="{00000000-0005-0000-0000-000020200000}"/>
    <cellStyle name="SAPBEXheaderText 9 4" xfId="9233" xr:uid="{00000000-0005-0000-0000-000021200000}"/>
    <cellStyle name="SAPBEXheaderText_Sheet2" xfId="889" xr:uid="{00000000-0005-0000-0000-000022200000}"/>
    <cellStyle name="SAPBEXHLevel0" xfId="890" xr:uid="{00000000-0005-0000-0000-000023200000}"/>
    <cellStyle name="SAPBEXHLevel0 10" xfId="891" xr:uid="{00000000-0005-0000-0000-000024200000}"/>
    <cellStyle name="SAPBEXHLevel0 10 2" xfId="9234" xr:uid="{00000000-0005-0000-0000-000025200000}"/>
    <cellStyle name="SAPBEXHLevel0 10 3" xfId="9235" xr:uid="{00000000-0005-0000-0000-000026200000}"/>
    <cellStyle name="SAPBEXHLevel0 10 4" xfId="9236" xr:uid="{00000000-0005-0000-0000-000027200000}"/>
    <cellStyle name="SAPBEXHLevel0 11" xfId="892" xr:uid="{00000000-0005-0000-0000-000028200000}"/>
    <cellStyle name="SAPBEXHLevel0 11 2" xfId="9237" xr:uid="{00000000-0005-0000-0000-000029200000}"/>
    <cellStyle name="SAPBEXHLevel0 11 3" xfId="9238" xr:uid="{00000000-0005-0000-0000-00002A200000}"/>
    <cellStyle name="SAPBEXHLevel0 11 4" xfId="9239" xr:uid="{00000000-0005-0000-0000-00002B200000}"/>
    <cellStyle name="SAPBEXHLevel0 12" xfId="893" xr:uid="{00000000-0005-0000-0000-00002C200000}"/>
    <cellStyle name="SAPBEXHLevel0 12 2" xfId="9240" xr:uid="{00000000-0005-0000-0000-00002D200000}"/>
    <cellStyle name="SAPBEXHLevel0 12 3" xfId="9241" xr:uid="{00000000-0005-0000-0000-00002E200000}"/>
    <cellStyle name="SAPBEXHLevel0 12 4" xfId="9242" xr:uid="{00000000-0005-0000-0000-00002F200000}"/>
    <cellStyle name="SAPBEXHLevel0 13" xfId="894" xr:uid="{00000000-0005-0000-0000-000030200000}"/>
    <cellStyle name="SAPBEXHLevel0 13 2" xfId="9243" xr:uid="{00000000-0005-0000-0000-000031200000}"/>
    <cellStyle name="SAPBEXHLevel0 13 3" xfId="9244" xr:uid="{00000000-0005-0000-0000-000032200000}"/>
    <cellStyle name="SAPBEXHLevel0 13 4" xfId="9245" xr:uid="{00000000-0005-0000-0000-000033200000}"/>
    <cellStyle name="SAPBEXHLevel0 14" xfId="895" xr:uid="{00000000-0005-0000-0000-000034200000}"/>
    <cellStyle name="SAPBEXHLevel0 14 2" xfId="9246" xr:uid="{00000000-0005-0000-0000-000035200000}"/>
    <cellStyle name="SAPBEXHLevel0 14 3" xfId="9247" xr:uid="{00000000-0005-0000-0000-000036200000}"/>
    <cellStyle name="SAPBEXHLevel0 14 4" xfId="9248" xr:uid="{00000000-0005-0000-0000-000037200000}"/>
    <cellStyle name="SAPBEXHLevel0 15" xfId="896" xr:uid="{00000000-0005-0000-0000-000038200000}"/>
    <cellStyle name="SAPBEXHLevel0 15 2" xfId="9249" xr:uid="{00000000-0005-0000-0000-000039200000}"/>
    <cellStyle name="SAPBEXHLevel0 15 3" xfId="9250" xr:uid="{00000000-0005-0000-0000-00003A200000}"/>
    <cellStyle name="SAPBEXHLevel0 15 4" xfId="9251" xr:uid="{00000000-0005-0000-0000-00003B200000}"/>
    <cellStyle name="SAPBEXHLevel0 16" xfId="897" xr:uid="{00000000-0005-0000-0000-00003C200000}"/>
    <cellStyle name="SAPBEXHLevel0 16 2" xfId="9252" xr:uid="{00000000-0005-0000-0000-00003D200000}"/>
    <cellStyle name="SAPBEXHLevel0 16 3" xfId="9253" xr:uid="{00000000-0005-0000-0000-00003E200000}"/>
    <cellStyle name="SAPBEXHLevel0 16 4" xfId="9254" xr:uid="{00000000-0005-0000-0000-00003F200000}"/>
    <cellStyle name="SAPBEXHLevel0 17" xfId="898" xr:uid="{00000000-0005-0000-0000-000040200000}"/>
    <cellStyle name="SAPBEXHLevel0 17 2" xfId="9255" xr:uid="{00000000-0005-0000-0000-000041200000}"/>
    <cellStyle name="SAPBEXHLevel0 17 3" xfId="9256" xr:uid="{00000000-0005-0000-0000-000042200000}"/>
    <cellStyle name="SAPBEXHLevel0 17 4" xfId="9257" xr:uid="{00000000-0005-0000-0000-000043200000}"/>
    <cellStyle name="SAPBEXHLevel0 18" xfId="899" xr:uid="{00000000-0005-0000-0000-000044200000}"/>
    <cellStyle name="SAPBEXHLevel0 18 2" xfId="9258" xr:uid="{00000000-0005-0000-0000-000045200000}"/>
    <cellStyle name="SAPBEXHLevel0 18 3" xfId="9259" xr:uid="{00000000-0005-0000-0000-000046200000}"/>
    <cellStyle name="SAPBEXHLevel0 18 4" xfId="9260" xr:uid="{00000000-0005-0000-0000-000047200000}"/>
    <cellStyle name="SAPBEXHLevel0 19" xfId="900" xr:uid="{00000000-0005-0000-0000-000048200000}"/>
    <cellStyle name="SAPBEXHLevel0 19 2" xfId="9261" xr:uid="{00000000-0005-0000-0000-000049200000}"/>
    <cellStyle name="SAPBEXHLevel0 19 3" xfId="9262" xr:uid="{00000000-0005-0000-0000-00004A200000}"/>
    <cellStyle name="SAPBEXHLevel0 19 4" xfId="9263" xr:uid="{00000000-0005-0000-0000-00004B200000}"/>
    <cellStyle name="SAPBEXHLevel0 2" xfId="901" xr:uid="{00000000-0005-0000-0000-00004C200000}"/>
    <cellStyle name="SAPBEXHLevel0 2 2" xfId="9264" xr:uid="{00000000-0005-0000-0000-00004D200000}"/>
    <cellStyle name="SAPBEXHLevel0 2 3" xfId="9265" xr:uid="{00000000-0005-0000-0000-00004E200000}"/>
    <cellStyle name="SAPBEXHLevel0 2 4" xfId="9266" xr:uid="{00000000-0005-0000-0000-00004F200000}"/>
    <cellStyle name="SAPBEXHLevel0 20" xfId="902" xr:uid="{00000000-0005-0000-0000-000050200000}"/>
    <cellStyle name="SAPBEXHLevel0 20 2" xfId="9267" xr:uid="{00000000-0005-0000-0000-000051200000}"/>
    <cellStyle name="SAPBEXHLevel0 20 3" xfId="9268" xr:uid="{00000000-0005-0000-0000-000052200000}"/>
    <cellStyle name="SAPBEXHLevel0 20 4" xfId="9269" xr:uid="{00000000-0005-0000-0000-000053200000}"/>
    <cellStyle name="SAPBEXHLevel0 21" xfId="9270" xr:uid="{00000000-0005-0000-0000-000054200000}"/>
    <cellStyle name="SAPBEXHLevel0 22" xfId="9271" xr:uid="{00000000-0005-0000-0000-000055200000}"/>
    <cellStyle name="SAPBEXHLevel0 23" xfId="9272" xr:uid="{00000000-0005-0000-0000-000056200000}"/>
    <cellStyle name="SAPBEXHLevel0 3" xfId="903" xr:uid="{00000000-0005-0000-0000-000057200000}"/>
    <cellStyle name="SAPBEXHLevel0 3 2" xfId="9273" xr:uid="{00000000-0005-0000-0000-000058200000}"/>
    <cellStyle name="SAPBEXHLevel0 3 3" xfId="9274" xr:uid="{00000000-0005-0000-0000-000059200000}"/>
    <cellStyle name="SAPBEXHLevel0 3 4" xfId="9275" xr:uid="{00000000-0005-0000-0000-00005A200000}"/>
    <cellStyle name="SAPBEXHLevel0 4" xfId="904" xr:uid="{00000000-0005-0000-0000-00005B200000}"/>
    <cellStyle name="SAPBEXHLevel0 4 2" xfId="9276" xr:uid="{00000000-0005-0000-0000-00005C200000}"/>
    <cellStyle name="SAPBEXHLevel0 4 3" xfId="9277" xr:uid="{00000000-0005-0000-0000-00005D200000}"/>
    <cellStyle name="SAPBEXHLevel0 4 4" xfId="9278" xr:uid="{00000000-0005-0000-0000-00005E200000}"/>
    <cellStyle name="SAPBEXHLevel0 5" xfId="905" xr:uid="{00000000-0005-0000-0000-00005F200000}"/>
    <cellStyle name="SAPBEXHLevel0 5 2" xfId="9279" xr:uid="{00000000-0005-0000-0000-000060200000}"/>
    <cellStyle name="SAPBEXHLevel0 5 3" xfId="9280" xr:uid="{00000000-0005-0000-0000-000061200000}"/>
    <cellStyle name="SAPBEXHLevel0 5 4" xfId="9281" xr:uid="{00000000-0005-0000-0000-000062200000}"/>
    <cellStyle name="SAPBEXHLevel0 6" xfId="906" xr:uid="{00000000-0005-0000-0000-000063200000}"/>
    <cellStyle name="SAPBEXHLevel0 6 2" xfId="9282" xr:uid="{00000000-0005-0000-0000-000064200000}"/>
    <cellStyle name="SAPBEXHLevel0 6 3" xfId="9283" xr:uid="{00000000-0005-0000-0000-000065200000}"/>
    <cellStyle name="SAPBEXHLevel0 6 4" xfId="9284" xr:uid="{00000000-0005-0000-0000-000066200000}"/>
    <cellStyle name="SAPBEXHLevel0 7" xfId="907" xr:uid="{00000000-0005-0000-0000-000067200000}"/>
    <cellStyle name="SAPBEXHLevel0 7 2" xfId="9285" xr:uid="{00000000-0005-0000-0000-000068200000}"/>
    <cellStyle name="SAPBEXHLevel0 7 3" xfId="9286" xr:uid="{00000000-0005-0000-0000-000069200000}"/>
    <cellStyle name="SAPBEXHLevel0 7 4" xfId="9287" xr:uid="{00000000-0005-0000-0000-00006A200000}"/>
    <cellStyle name="SAPBEXHLevel0 8" xfId="908" xr:uid="{00000000-0005-0000-0000-00006B200000}"/>
    <cellStyle name="SAPBEXHLevel0 8 2" xfId="9288" xr:uid="{00000000-0005-0000-0000-00006C200000}"/>
    <cellStyle name="SAPBEXHLevel0 8 3" xfId="9289" xr:uid="{00000000-0005-0000-0000-00006D200000}"/>
    <cellStyle name="SAPBEXHLevel0 8 4" xfId="9290" xr:uid="{00000000-0005-0000-0000-00006E200000}"/>
    <cellStyle name="SAPBEXHLevel0 9" xfId="909" xr:uid="{00000000-0005-0000-0000-00006F200000}"/>
    <cellStyle name="SAPBEXHLevel0 9 2" xfId="9291" xr:uid="{00000000-0005-0000-0000-000070200000}"/>
    <cellStyle name="SAPBEXHLevel0 9 3" xfId="9292" xr:uid="{00000000-0005-0000-0000-000071200000}"/>
    <cellStyle name="SAPBEXHLevel0 9 4" xfId="9293" xr:uid="{00000000-0005-0000-0000-000072200000}"/>
    <cellStyle name="SAPBEXHLevel0_Sheet2" xfId="910" xr:uid="{00000000-0005-0000-0000-000073200000}"/>
    <cellStyle name="SAPBEXHLevel0X" xfId="911" xr:uid="{00000000-0005-0000-0000-000074200000}"/>
    <cellStyle name="SAPBEXHLevel0X 10" xfId="912" xr:uid="{00000000-0005-0000-0000-000075200000}"/>
    <cellStyle name="SAPBEXHLevel0X 10 2" xfId="9294" xr:uid="{00000000-0005-0000-0000-000076200000}"/>
    <cellStyle name="SAPBEXHLevel0X 10 3" xfId="9295" xr:uid="{00000000-0005-0000-0000-000077200000}"/>
    <cellStyle name="SAPBEXHLevel0X 10 4" xfId="9296" xr:uid="{00000000-0005-0000-0000-000078200000}"/>
    <cellStyle name="SAPBEXHLevel0X 11" xfId="913" xr:uid="{00000000-0005-0000-0000-000079200000}"/>
    <cellStyle name="SAPBEXHLevel0X 11 2" xfId="9297" xr:uid="{00000000-0005-0000-0000-00007A200000}"/>
    <cellStyle name="SAPBEXHLevel0X 11 3" xfId="9298" xr:uid="{00000000-0005-0000-0000-00007B200000}"/>
    <cellStyle name="SAPBEXHLevel0X 11 4" xfId="9299" xr:uid="{00000000-0005-0000-0000-00007C200000}"/>
    <cellStyle name="SAPBEXHLevel0X 12" xfId="914" xr:uid="{00000000-0005-0000-0000-00007D200000}"/>
    <cellStyle name="SAPBEXHLevel0X 12 2" xfId="9300" xr:uid="{00000000-0005-0000-0000-00007E200000}"/>
    <cellStyle name="SAPBEXHLevel0X 12 3" xfId="9301" xr:uid="{00000000-0005-0000-0000-00007F200000}"/>
    <cellStyle name="SAPBEXHLevel0X 12 4" xfId="9302" xr:uid="{00000000-0005-0000-0000-000080200000}"/>
    <cellStyle name="SAPBEXHLevel0X 13" xfId="915" xr:uid="{00000000-0005-0000-0000-000081200000}"/>
    <cellStyle name="SAPBEXHLevel0X 13 2" xfId="9303" xr:uid="{00000000-0005-0000-0000-000082200000}"/>
    <cellStyle name="SAPBEXHLevel0X 13 3" xfId="9304" xr:uid="{00000000-0005-0000-0000-000083200000}"/>
    <cellStyle name="SAPBEXHLevel0X 13 4" xfId="9305" xr:uid="{00000000-0005-0000-0000-000084200000}"/>
    <cellStyle name="SAPBEXHLevel0X 14" xfId="916" xr:uid="{00000000-0005-0000-0000-000085200000}"/>
    <cellStyle name="SAPBEXHLevel0X 14 2" xfId="9306" xr:uid="{00000000-0005-0000-0000-000086200000}"/>
    <cellStyle name="SAPBEXHLevel0X 14 3" xfId="9307" xr:uid="{00000000-0005-0000-0000-000087200000}"/>
    <cellStyle name="SAPBEXHLevel0X 14 4" xfId="9308" xr:uid="{00000000-0005-0000-0000-000088200000}"/>
    <cellStyle name="SAPBEXHLevel0X 15" xfId="917" xr:uid="{00000000-0005-0000-0000-000089200000}"/>
    <cellStyle name="SAPBEXHLevel0X 15 2" xfId="9309" xr:uid="{00000000-0005-0000-0000-00008A200000}"/>
    <cellStyle name="SAPBEXHLevel0X 15 3" xfId="9310" xr:uid="{00000000-0005-0000-0000-00008B200000}"/>
    <cellStyle name="SAPBEXHLevel0X 15 4" xfId="9311" xr:uid="{00000000-0005-0000-0000-00008C200000}"/>
    <cellStyle name="SAPBEXHLevel0X 16" xfId="918" xr:uid="{00000000-0005-0000-0000-00008D200000}"/>
    <cellStyle name="SAPBEXHLevel0X 16 2" xfId="9312" xr:uid="{00000000-0005-0000-0000-00008E200000}"/>
    <cellStyle name="SAPBEXHLevel0X 16 3" xfId="9313" xr:uid="{00000000-0005-0000-0000-00008F200000}"/>
    <cellStyle name="SAPBEXHLevel0X 16 4" xfId="9314" xr:uid="{00000000-0005-0000-0000-000090200000}"/>
    <cellStyle name="SAPBEXHLevel0X 17" xfId="919" xr:uid="{00000000-0005-0000-0000-000091200000}"/>
    <cellStyle name="SAPBEXHLevel0X 17 2" xfId="9315" xr:uid="{00000000-0005-0000-0000-000092200000}"/>
    <cellStyle name="SAPBEXHLevel0X 17 3" xfId="9316" xr:uid="{00000000-0005-0000-0000-000093200000}"/>
    <cellStyle name="SAPBEXHLevel0X 17 4" xfId="9317" xr:uid="{00000000-0005-0000-0000-000094200000}"/>
    <cellStyle name="SAPBEXHLevel0X 18" xfId="920" xr:uid="{00000000-0005-0000-0000-000095200000}"/>
    <cellStyle name="SAPBEXHLevel0X 18 2" xfId="9318" xr:uid="{00000000-0005-0000-0000-000096200000}"/>
    <cellStyle name="SAPBEXHLevel0X 18 3" xfId="9319" xr:uid="{00000000-0005-0000-0000-000097200000}"/>
    <cellStyle name="SAPBEXHLevel0X 18 4" xfId="9320" xr:uid="{00000000-0005-0000-0000-000098200000}"/>
    <cellStyle name="SAPBEXHLevel0X 19" xfId="921" xr:uid="{00000000-0005-0000-0000-000099200000}"/>
    <cellStyle name="SAPBEXHLevel0X 19 2" xfId="9321" xr:uid="{00000000-0005-0000-0000-00009A200000}"/>
    <cellStyle name="SAPBEXHLevel0X 19 3" xfId="9322" xr:uid="{00000000-0005-0000-0000-00009B200000}"/>
    <cellStyle name="SAPBEXHLevel0X 19 4" xfId="9323" xr:uid="{00000000-0005-0000-0000-00009C200000}"/>
    <cellStyle name="SAPBEXHLevel0X 2" xfId="922" xr:uid="{00000000-0005-0000-0000-00009D200000}"/>
    <cellStyle name="SAPBEXHLevel0X 2 2" xfId="9324" xr:uid="{00000000-0005-0000-0000-00009E200000}"/>
    <cellStyle name="SAPBEXHLevel0X 2 3" xfId="9325" xr:uid="{00000000-0005-0000-0000-00009F200000}"/>
    <cellStyle name="SAPBEXHLevel0X 2 4" xfId="9326" xr:uid="{00000000-0005-0000-0000-0000A0200000}"/>
    <cellStyle name="SAPBEXHLevel0X 20" xfId="923" xr:uid="{00000000-0005-0000-0000-0000A1200000}"/>
    <cellStyle name="SAPBEXHLevel0X 20 2" xfId="9327" xr:uid="{00000000-0005-0000-0000-0000A2200000}"/>
    <cellStyle name="SAPBEXHLevel0X 20 3" xfId="9328" xr:uid="{00000000-0005-0000-0000-0000A3200000}"/>
    <cellStyle name="SAPBEXHLevel0X 20 4" xfId="9329" xr:uid="{00000000-0005-0000-0000-0000A4200000}"/>
    <cellStyle name="SAPBEXHLevel0X 21" xfId="9330" xr:uid="{00000000-0005-0000-0000-0000A5200000}"/>
    <cellStyle name="SAPBEXHLevel0X 22" xfId="9331" xr:uid="{00000000-0005-0000-0000-0000A6200000}"/>
    <cellStyle name="SAPBEXHLevel0X 23" xfId="9332" xr:uid="{00000000-0005-0000-0000-0000A7200000}"/>
    <cellStyle name="SAPBEXHLevel0X 3" xfId="924" xr:uid="{00000000-0005-0000-0000-0000A8200000}"/>
    <cellStyle name="SAPBEXHLevel0X 3 2" xfId="9333" xr:uid="{00000000-0005-0000-0000-0000A9200000}"/>
    <cellStyle name="SAPBEXHLevel0X 3 3" xfId="9334" xr:uid="{00000000-0005-0000-0000-0000AA200000}"/>
    <cellStyle name="SAPBEXHLevel0X 3 4" xfId="9335" xr:uid="{00000000-0005-0000-0000-0000AB200000}"/>
    <cellStyle name="SAPBEXHLevel0X 4" xfId="925" xr:uid="{00000000-0005-0000-0000-0000AC200000}"/>
    <cellStyle name="SAPBEXHLevel0X 4 2" xfId="9336" xr:uid="{00000000-0005-0000-0000-0000AD200000}"/>
    <cellStyle name="SAPBEXHLevel0X 4 3" xfId="9337" xr:uid="{00000000-0005-0000-0000-0000AE200000}"/>
    <cellStyle name="SAPBEXHLevel0X 4 4" xfId="9338" xr:uid="{00000000-0005-0000-0000-0000AF200000}"/>
    <cellStyle name="SAPBEXHLevel0X 5" xfId="926" xr:uid="{00000000-0005-0000-0000-0000B0200000}"/>
    <cellStyle name="SAPBEXHLevel0X 5 2" xfId="9339" xr:uid="{00000000-0005-0000-0000-0000B1200000}"/>
    <cellStyle name="SAPBEXHLevel0X 5 3" xfId="9340" xr:uid="{00000000-0005-0000-0000-0000B2200000}"/>
    <cellStyle name="SAPBEXHLevel0X 5 4" xfId="9341" xr:uid="{00000000-0005-0000-0000-0000B3200000}"/>
    <cellStyle name="SAPBEXHLevel0X 6" xfId="927" xr:uid="{00000000-0005-0000-0000-0000B4200000}"/>
    <cellStyle name="SAPBEXHLevel0X 6 2" xfId="9342" xr:uid="{00000000-0005-0000-0000-0000B5200000}"/>
    <cellStyle name="SAPBEXHLevel0X 6 3" xfId="9343" xr:uid="{00000000-0005-0000-0000-0000B6200000}"/>
    <cellStyle name="SAPBEXHLevel0X 6 4" xfId="9344" xr:uid="{00000000-0005-0000-0000-0000B7200000}"/>
    <cellStyle name="SAPBEXHLevel0X 7" xfId="928" xr:uid="{00000000-0005-0000-0000-0000B8200000}"/>
    <cellStyle name="SAPBEXHLevel0X 7 2" xfId="9345" xr:uid="{00000000-0005-0000-0000-0000B9200000}"/>
    <cellStyle name="SAPBEXHLevel0X 7 3" xfId="9346" xr:uid="{00000000-0005-0000-0000-0000BA200000}"/>
    <cellStyle name="SAPBEXHLevel0X 7 4" xfId="9347" xr:uid="{00000000-0005-0000-0000-0000BB200000}"/>
    <cellStyle name="SAPBEXHLevel0X 8" xfId="929" xr:uid="{00000000-0005-0000-0000-0000BC200000}"/>
    <cellStyle name="SAPBEXHLevel0X 8 2" xfId="9348" xr:uid="{00000000-0005-0000-0000-0000BD200000}"/>
    <cellStyle name="SAPBEXHLevel0X 8 3" xfId="9349" xr:uid="{00000000-0005-0000-0000-0000BE200000}"/>
    <cellStyle name="SAPBEXHLevel0X 8 4" xfId="9350" xr:uid="{00000000-0005-0000-0000-0000BF200000}"/>
    <cellStyle name="SAPBEXHLevel0X 9" xfId="930" xr:uid="{00000000-0005-0000-0000-0000C0200000}"/>
    <cellStyle name="SAPBEXHLevel0X 9 2" xfId="9351" xr:uid="{00000000-0005-0000-0000-0000C1200000}"/>
    <cellStyle name="SAPBEXHLevel0X 9 3" xfId="9352" xr:uid="{00000000-0005-0000-0000-0000C2200000}"/>
    <cellStyle name="SAPBEXHLevel0X 9 4" xfId="9353" xr:uid="{00000000-0005-0000-0000-0000C3200000}"/>
    <cellStyle name="SAPBEXHLevel0X_Sheet2" xfId="931" xr:uid="{00000000-0005-0000-0000-0000C4200000}"/>
    <cellStyle name="SAPBEXHLevel1" xfId="932" xr:uid="{00000000-0005-0000-0000-0000C5200000}"/>
    <cellStyle name="SAPBEXHLevel1 10" xfId="933" xr:uid="{00000000-0005-0000-0000-0000C6200000}"/>
    <cellStyle name="SAPBEXHLevel1 10 2" xfId="9354" xr:uid="{00000000-0005-0000-0000-0000C7200000}"/>
    <cellStyle name="SAPBEXHLevel1 10 3" xfId="9355" xr:uid="{00000000-0005-0000-0000-0000C8200000}"/>
    <cellStyle name="SAPBEXHLevel1 10 4" xfId="9356" xr:uid="{00000000-0005-0000-0000-0000C9200000}"/>
    <cellStyle name="SAPBEXHLevel1 11" xfId="934" xr:uid="{00000000-0005-0000-0000-0000CA200000}"/>
    <cellStyle name="SAPBEXHLevel1 11 2" xfId="9357" xr:uid="{00000000-0005-0000-0000-0000CB200000}"/>
    <cellStyle name="SAPBEXHLevel1 11 3" xfId="9358" xr:uid="{00000000-0005-0000-0000-0000CC200000}"/>
    <cellStyle name="SAPBEXHLevel1 11 4" xfId="9359" xr:uid="{00000000-0005-0000-0000-0000CD200000}"/>
    <cellStyle name="SAPBEXHLevel1 12" xfId="935" xr:uid="{00000000-0005-0000-0000-0000CE200000}"/>
    <cellStyle name="SAPBEXHLevel1 12 2" xfId="9360" xr:uid="{00000000-0005-0000-0000-0000CF200000}"/>
    <cellStyle name="SAPBEXHLevel1 12 3" xfId="9361" xr:uid="{00000000-0005-0000-0000-0000D0200000}"/>
    <cellStyle name="SAPBEXHLevel1 12 4" xfId="9362" xr:uid="{00000000-0005-0000-0000-0000D1200000}"/>
    <cellStyle name="SAPBEXHLevel1 13" xfId="936" xr:uid="{00000000-0005-0000-0000-0000D2200000}"/>
    <cellStyle name="SAPBEXHLevel1 13 2" xfId="9363" xr:uid="{00000000-0005-0000-0000-0000D3200000}"/>
    <cellStyle name="SAPBEXHLevel1 13 3" xfId="9364" xr:uid="{00000000-0005-0000-0000-0000D4200000}"/>
    <cellStyle name="SAPBEXHLevel1 13 4" xfId="9365" xr:uid="{00000000-0005-0000-0000-0000D5200000}"/>
    <cellStyle name="SAPBEXHLevel1 14" xfId="937" xr:uid="{00000000-0005-0000-0000-0000D6200000}"/>
    <cellStyle name="SAPBEXHLevel1 14 2" xfId="9366" xr:uid="{00000000-0005-0000-0000-0000D7200000}"/>
    <cellStyle name="SAPBEXHLevel1 14 3" xfId="9367" xr:uid="{00000000-0005-0000-0000-0000D8200000}"/>
    <cellStyle name="SAPBEXHLevel1 14 4" xfId="9368" xr:uid="{00000000-0005-0000-0000-0000D9200000}"/>
    <cellStyle name="SAPBEXHLevel1 15" xfId="938" xr:uid="{00000000-0005-0000-0000-0000DA200000}"/>
    <cellStyle name="SAPBEXHLevel1 15 2" xfId="9369" xr:uid="{00000000-0005-0000-0000-0000DB200000}"/>
    <cellStyle name="SAPBEXHLevel1 15 3" xfId="9370" xr:uid="{00000000-0005-0000-0000-0000DC200000}"/>
    <cellStyle name="SAPBEXHLevel1 15 4" xfId="9371" xr:uid="{00000000-0005-0000-0000-0000DD200000}"/>
    <cellStyle name="SAPBEXHLevel1 16" xfId="939" xr:uid="{00000000-0005-0000-0000-0000DE200000}"/>
    <cellStyle name="SAPBEXHLevel1 16 2" xfId="9372" xr:uid="{00000000-0005-0000-0000-0000DF200000}"/>
    <cellStyle name="SAPBEXHLevel1 16 3" xfId="9373" xr:uid="{00000000-0005-0000-0000-0000E0200000}"/>
    <cellStyle name="SAPBEXHLevel1 16 4" xfId="9374" xr:uid="{00000000-0005-0000-0000-0000E1200000}"/>
    <cellStyle name="SAPBEXHLevel1 17" xfId="940" xr:uid="{00000000-0005-0000-0000-0000E2200000}"/>
    <cellStyle name="SAPBEXHLevel1 17 2" xfId="9375" xr:uid="{00000000-0005-0000-0000-0000E3200000}"/>
    <cellStyle name="SAPBEXHLevel1 17 3" xfId="9376" xr:uid="{00000000-0005-0000-0000-0000E4200000}"/>
    <cellStyle name="SAPBEXHLevel1 17 4" xfId="9377" xr:uid="{00000000-0005-0000-0000-0000E5200000}"/>
    <cellStyle name="SAPBEXHLevel1 18" xfId="941" xr:uid="{00000000-0005-0000-0000-0000E6200000}"/>
    <cellStyle name="SAPBEXHLevel1 18 2" xfId="9378" xr:uid="{00000000-0005-0000-0000-0000E7200000}"/>
    <cellStyle name="SAPBEXHLevel1 18 3" xfId="9379" xr:uid="{00000000-0005-0000-0000-0000E8200000}"/>
    <cellStyle name="SAPBEXHLevel1 18 4" xfId="9380" xr:uid="{00000000-0005-0000-0000-0000E9200000}"/>
    <cellStyle name="SAPBEXHLevel1 19" xfId="942" xr:uid="{00000000-0005-0000-0000-0000EA200000}"/>
    <cellStyle name="SAPBEXHLevel1 19 2" xfId="9381" xr:uid="{00000000-0005-0000-0000-0000EB200000}"/>
    <cellStyle name="SAPBEXHLevel1 19 3" xfId="9382" xr:uid="{00000000-0005-0000-0000-0000EC200000}"/>
    <cellStyle name="SAPBEXHLevel1 19 4" xfId="9383" xr:uid="{00000000-0005-0000-0000-0000ED200000}"/>
    <cellStyle name="SAPBEXHLevel1 2" xfId="943" xr:uid="{00000000-0005-0000-0000-0000EE200000}"/>
    <cellStyle name="SAPBEXHLevel1 2 2" xfId="9384" xr:uid="{00000000-0005-0000-0000-0000EF200000}"/>
    <cellStyle name="SAPBEXHLevel1 2 3" xfId="9385" xr:uid="{00000000-0005-0000-0000-0000F0200000}"/>
    <cellStyle name="SAPBEXHLevel1 2 4" xfId="9386" xr:uid="{00000000-0005-0000-0000-0000F1200000}"/>
    <cellStyle name="SAPBEXHLevel1 20" xfId="944" xr:uid="{00000000-0005-0000-0000-0000F2200000}"/>
    <cellStyle name="SAPBEXHLevel1 20 2" xfId="9387" xr:uid="{00000000-0005-0000-0000-0000F3200000}"/>
    <cellStyle name="SAPBEXHLevel1 20 3" xfId="9388" xr:uid="{00000000-0005-0000-0000-0000F4200000}"/>
    <cellStyle name="SAPBEXHLevel1 20 4" xfId="9389" xr:uid="{00000000-0005-0000-0000-0000F5200000}"/>
    <cellStyle name="SAPBEXHLevel1 21" xfId="9390" xr:uid="{00000000-0005-0000-0000-0000F6200000}"/>
    <cellStyle name="SAPBEXHLevel1 22" xfId="9391" xr:uid="{00000000-0005-0000-0000-0000F7200000}"/>
    <cellStyle name="SAPBEXHLevel1 23" xfId="9392" xr:uid="{00000000-0005-0000-0000-0000F8200000}"/>
    <cellStyle name="SAPBEXHLevel1 3" xfId="945" xr:uid="{00000000-0005-0000-0000-0000F9200000}"/>
    <cellStyle name="SAPBEXHLevel1 3 2" xfId="9393" xr:uid="{00000000-0005-0000-0000-0000FA200000}"/>
    <cellStyle name="SAPBEXHLevel1 3 3" xfId="9394" xr:uid="{00000000-0005-0000-0000-0000FB200000}"/>
    <cellStyle name="SAPBEXHLevel1 3 4" xfId="9395" xr:uid="{00000000-0005-0000-0000-0000FC200000}"/>
    <cellStyle name="SAPBEXHLevel1 4" xfId="946" xr:uid="{00000000-0005-0000-0000-0000FD200000}"/>
    <cellStyle name="SAPBEXHLevel1 4 2" xfId="9396" xr:uid="{00000000-0005-0000-0000-0000FE200000}"/>
    <cellStyle name="SAPBEXHLevel1 4 3" xfId="9397" xr:uid="{00000000-0005-0000-0000-0000FF200000}"/>
    <cellStyle name="SAPBEXHLevel1 4 4" xfId="9398" xr:uid="{00000000-0005-0000-0000-000000210000}"/>
    <cellStyle name="SAPBEXHLevel1 5" xfId="947" xr:uid="{00000000-0005-0000-0000-000001210000}"/>
    <cellStyle name="SAPBEXHLevel1 5 2" xfId="9399" xr:uid="{00000000-0005-0000-0000-000002210000}"/>
    <cellStyle name="SAPBEXHLevel1 5 3" xfId="9400" xr:uid="{00000000-0005-0000-0000-000003210000}"/>
    <cellStyle name="SAPBEXHLevel1 5 4" xfId="9401" xr:uid="{00000000-0005-0000-0000-000004210000}"/>
    <cellStyle name="SAPBEXHLevel1 6" xfId="948" xr:uid="{00000000-0005-0000-0000-000005210000}"/>
    <cellStyle name="SAPBEXHLevel1 6 2" xfId="9402" xr:uid="{00000000-0005-0000-0000-000006210000}"/>
    <cellStyle name="SAPBEXHLevel1 6 3" xfId="9403" xr:uid="{00000000-0005-0000-0000-000007210000}"/>
    <cellStyle name="SAPBEXHLevel1 6 4" xfId="9404" xr:uid="{00000000-0005-0000-0000-000008210000}"/>
    <cellStyle name="SAPBEXHLevel1 7" xfId="949" xr:uid="{00000000-0005-0000-0000-000009210000}"/>
    <cellStyle name="SAPBEXHLevel1 7 2" xfId="9405" xr:uid="{00000000-0005-0000-0000-00000A210000}"/>
    <cellStyle name="SAPBEXHLevel1 7 3" xfId="9406" xr:uid="{00000000-0005-0000-0000-00000B210000}"/>
    <cellStyle name="SAPBEXHLevel1 7 4" xfId="9407" xr:uid="{00000000-0005-0000-0000-00000C210000}"/>
    <cellStyle name="SAPBEXHLevel1 8" xfId="950" xr:uid="{00000000-0005-0000-0000-00000D210000}"/>
    <cellStyle name="SAPBEXHLevel1 8 2" xfId="9408" xr:uid="{00000000-0005-0000-0000-00000E210000}"/>
    <cellStyle name="SAPBEXHLevel1 8 3" xfId="9409" xr:uid="{00000000-0005-0000-0000-00000F210000}"/>
    <cellStyle name="SAPBEXHLevel1 8 4" xfId="9410" xr:uid="{00000000-0005-0000-0000-000010210000}"/>
    <cellStyle name="SAPBEXHLevel1 9" xfId="951" xr:uid="{00000000-0005-0000-0000-000011210000}"/>
    <cellStyle name="SAPBEXHLevel1 9 2" xfId="9411" xr:uid="{00000000-0005-0000-0000-000012210000}"/>
    <cellStyle name="SAPBEXHLevel1 9 3" xfId="9412" xr:uid="{00000000-0005-0000-0000-000013210000}"/>
    <cellStyle name="SAPBEXHLevel1 9 4" xfId="9413" xr:uid="{00000000-0005-0000-0000-000014210000}"/>
    <cellStyle name="SAPBEXHLevel1_Sheet2" xfId="952" xr:uid="{00000000-0005-0000-0000-000015210000}"/>
    <cellStyle name="SAPBEXHLevel1X" xfId="953" xr:uid="{00000000-0005-0000-0000-000016210000}"/>
    <cellStyle name="SAPBEXHLevel1X 10" xfId="954" xr:uid="{00000000-0005-0000-0000-000017210000}"/>
    <cellStyle name="SAPBEXHLevel1X 10 2" xfId="9414" xr:uid="{00000000-0005-0000-0000-000018210000}"/>
    <cellStyle name="SAPBEXHLevel1X 10 3" xfId="9415" xr:uid="{00000000-0005-0000-0000-000019210000}"/>
    <cellStyle name="SAPBEXHLevel1X 10 4" xfId="9416" xr:uid="{00000000-0005-0000-0000-00001A210000}"/>
    <cellStyle name="SAPBEXHLevel1X 11" xfId="955" xr:uid="{00000000-0005-0000-0000-00001B210000}"/>
    <cellStyle name="SAPBEXHLevel1X 11 2" xfId="9417" xr:uid="{00000000-0005-0000-0000-00001C210000}"/>
    <cellStyle name="SAPBEXHLevel1X 11 3" xfId="9418" xr:uid="{00000000-0005-0000-0000-00001D210000}"/>
    <cellStyle name="SAPBEXHLevel1X 11 4" xfId="9419" xr:uid="{00000000-0005-0000-0000-00001E210000}"/>
    <cellStyle name="SAPBEXHLevel1X 12" xfId="956" xr:uid="{00000000-0005-0000-0000-00001F210000}"/>
    <cellStyle name="SAPBEXHLevel1X 12 2" xfId="9420" xr:uid="{00000000-0005-0000-0000-000020210000}"/>
    <cellStyle name="SAPBEXHLevel1X 12 3" xfId="9421" xr:uid="{00000000-0005-0000-0000-000021210000}"/>
    <cellStyle name="SAPBEXHLevel1X 12 4" xfId="9422" xr:uid="{00000000-0005-0000-0000-000022210000}"/>
    <cellStyle name="SAPBEXHLevel1X 13" xfId="957" xr:uid="{00000000-0005-0000-0000-000023210000}"/>
    <cellStyle name="SAPBEXHLevel1X 13 2" xfId="9423" xr:uid="{00000000-0005-0000-0000-000024210000}"/>
    <cellStyle name="SAPBEXHLevel1X 13 3" xfId="9424" xr:uid="{00000000-0005-0000-0000-000025210000}"/>
    <cellStyle name="SAPBEXHLevel1X 13 4" xfId="9425" xr:uid="{00000000-0005-0000-0000-000026210000}"/>
    <cellStyle name="SAPBEXHLevel1X 14" xfId="958" xr:uid="{00000000-0005-0000-0000-000027210000}"/>
    <cellStyle name="SAPBEXHLevel1X 14 2" xfId="9426" xr:uid="{00000000-0005-0000-0000-000028210000}"/>
    <cellStyle name="SAPBEXHLevel1X 14 3" xfId="9427" xr:uid="{00000000-0005-0000-0000-000029210000}"/>
    <cellStyle name="SAPBEXHLevel1X 14 4" xfId="9428" xr:uid="{00000000-0005-0000-0000-00002A210000}"/>
    <cellStyle name="SAPBEXHLevel1X 15" xfId="959" xr:uid="{00000000-0005-0000-0000-00002B210000}"/>
    <cellStyle name="SAPBEXHLevel1X 15 2" xfId="9429" xr:uid="{00000000-0005-0000-0000-00002C210000}"/>
    <cellStyle name="SAPBEXHLevel1X 15 3" xfId="9430" xr:uid="{00000000-0005-0000-0000-00002D210000}"/>
    <cellStyle name="SAPBEXHLevel1X 15 4" xfId="9431" xr:uid="{00000000-0005-0000-0000-00002E210000}"/>
    <cellStyle name="SAPBEXHLevel1X 16" xfId="960" xr:uid="{00000000-0005-0000-0000-00002F210000}"/>
    <cellStyle name="SAPBEXHLevel1X 16 2" xfId="9432" xr:uid="{00000000-0005-0000-0000-000030210000}"/>
    <cellStyle name="SAPBEXHLevel1X 16 3" xfId="9433" xr:uid="{00000000-0005-0000-0000-000031210000}"/>
    <cellStyle name="SAPBEXHLevel1X 16 4" xfId="9434" xr:uid="{00000000-0005-0000-0000-000032210000}"/>
    <cellStyle name="SAPBEXHLevel1X 17" xfId="961" xr:uid="{00000000-0005-0000-0000-000033210000}"/>
    <cellStyle name="SAPBEXHLevel1X 17 2" xfId="9435" xr:uid="{00000000-0005-0000-0000-000034210000}"/>
    <cellStyle name="SAPBEXHLevel1X 17 3" xfId="9436" xr:uid="{00000000-0005-0000-0000-000035210000}"/>
    <cellStyle name="SAPBEXHLevel1X 17 4" xfId="9437" xr:uid="{00000000-0005-0000-0000-000036210000}"/>
    <cellStyle name="SAPBEXHLevel1X 18" xfId="962" xr:uid="{00000000-0005-0000-0000-000037210000}"/>
    <cellStyle name="SAPBEXHLevel1X 18 2" xfId="9438" xr:uid="{00000000-0005-0000-0000-000038210000}"/>
    <cellStyle name="SAPBEXHLevel1X 18 3" xfId="9439" xr:uid="{00000000-0005-0000-0000-000039210000}"/>
    <cellStyle name="SAPBEXHLevel1X 18 4" xfId="9440" xr:uid="{00000000-0005-0000-0000-00003A210000}"/>
    <cellStyle name="SAPBEXHLevel1X 19" xfId="963" xr:uid="{00000000-0005-0000-0000-00003B210000}"/>
    <cellStyle name="SAPBEXHLevel1X 19 2" xfId="9441" xr:uid="{00000000-0005-0000-0000-00003C210000}"/>
    <cellStyle name="SAPBEXHLevel1X 19 3" xfId="9442" xr:uid="{00000000-0005-0000-0000-00003D210000}"/>
    <cellStyle name="SAPBEXHLevel1X 19 4" xfId="9443" xr:uid="{00000000-0005-0000-0000-00003E210000}"/>
    <cellStyle name="SAPBEXHLevel1X 2" xfId="964" xr:uid="{00000000-0005-0000-0000-00003F210000}"/>
    <cellStyle name="SAPBEXHLevel1X 2 2" xfId="9444" xr:uid="{00000000-0005-0000-0000-000040210000}"/>
    <cellStyle name="SAPBEXHLevel1X 2 3" xfId="9445" xr:uid="{00000000-0005-0000-0000-000041210000}"/>
    <cellStyle name="SAPBEXHLevel1X 2 4" xfId="9446" xr:uid="{00000000-0005-0000-0000-000042210000}"/>
    <cellStyle name="SAPBEXHLevel1X 20" xfId="965" xr:uid="{00000000-0005-0000-0000-000043210000}"/>
    <cellStyle name="SAPBEXHLevel1X 20 2" xfId="9447" xr:uid="{00000000-0005-0000-0000-000044210000}"/>
    <cellStyle name="SAPBEXHLevel1X 20 3" xfId="9448" xr:uid="{00000000-0005-0000-0000-000045210000}"/>
    <cellStyle name="SAPBEXHLevel1X 20 4" xfId="9449" xr:uid="{00000000-0005-0000-0000-000046210000}"/>
    <cellStyle name="SAPBEXHLevel1X 21" xfId="9450" xr:uid="{00000000-0005-0000-0000-000047210000}"/>
    <cellStyle name="SAPBEXHLevel1X 22" xfId="9451" xr:uid="{00000000-0005-0000-0000-000048210000}"/>
    <cellStyle name="SAPBEXHLevel1X 23" xfId="9452" xr:uid="{00000000-0005-0000-0000-000049210000}"/>
    <cellStyle name="SAPBEXHLevel1X 3" xfId="966" xr:uid="{00000000-0005-0000-0000-00004A210000}"/>
    <cellStyle name="SAPBEXHLevel1X 3 2" xfId="9453" xr:uid="{00000000-0005-0000-0000-00004B210000}"/>
    <cellStyle name="SAPBEXHLevel1X 3 3" xfId="9454" xr:uid="{00000000-0005-0000-0000-00004C210000}"/>
    <cellStyle name="SAPBEXHLevel1X 3 4" xfId="9455" xr:uid="{00000000-0005-0000-0000-00004D210000}"/>
    <cellStyle name="SAPBEXHLevel1X 4" xfId="967" xr:uid="{00000000-0005-0000-0000-00004E210000}"/>
    <cellStyle name="SAPBEXHLevel1X 4 2" xfId="9456" xr:uid="{00000000-0005-0000-0000-00004F210000}"/>
    <cellStyle name="SAPBEXHLevel1X 4 3" xfId="9457" xr:uid="{00000000-0005-0000-0000-000050210000}"/>
    <cellStyle name="SAPBEXHLevel1X 4 4" xfId="9458" xr:uid="{00000000-0005-0000-0000-000051210000}"/>
    <cellStyle name="SAPBEXHLevel1X 5" xfId="968" xr:uid="{00000000-0005-0000-0000-000052210000}"/>
    <cellStyle name="SAPBEXHLevel1X 5 2" xfId="9459" xr:uid="{00000000-0005-0000-0000-000053210000}"/>
    <cellStyle name="SAPBEXHLevel1X 5 3" xfId="9460" xr:uid="{00000000-0005-0000-0000-000054210000}"/>
    <cellStyle name="SAPBEXHLevel1X 5 4" xfId="9461" xr:uid="{00000000-0005-0000-0000-000055210000}"/>
    <cellStyle name="SAPBEXHLevel1X 6" xfId="969" xr:uid="{00000000-0005-0000-0000-000056210000}"/>
    <cellStyle name="SAPBEXHLevel1X 6 2" xfId="9462" xr:uid="{00000000-0005-0000-0000-000057210000}"/>
    <cellStyle name="SAPBEXHLevel1X 6 3" xfId="9463" xr:uid="{00000000-0005-0000-0000-000058210000}"/>
    <cellStyle name="SAPBEXHLevel1X 6 4" xfId="9464" xr:uid="{00000000-0005-0000-0000-000059210000}"/>
    <cellStyle name="SAPBEXHLevel1X 7" xfId="970" xr:uid="{00000000-0005-0000-0000-00005A210000}"/>
    <cellStyle name="SAPBEXHLevel1X 7 2" xfId="9465" xr:uid="{00000000-0005-0000-0000-00005B210000}"/>
    <cellStyle name="SAPBEXHLevel1X 7 3" xfId="9466" xr:uid="{00000000-0005-0000-0000-00005C210000}"/>
    <cellStyle name="SAPBEXHLevel1X 7 4" xfId="9467" xr:uid="{00000000-0005-0000-0000-00005D210000}"/>
    <cellStyle name="SAPBEXHLevel1X 8" xfId="971" xr:uid="{00000000-0005-0000-0000-00005E210000}"/>
    <cellStyle name="SAPBEXHLevel1X 8 2" xfId="9468" xr:uid="{00000000-0005-0000-0000-00005F210000}"/>
    <cellStyle name="SAPBEXHLevel1X 8 3" xfId="9469" xr:uid="{00000000-0005-0000-0000-000060210000}"/>
    <cellStyle name="SAPBEXHLevel1X 8 4" xfId="9470" xr:uid="{00000000-0005-0000-0000-000061210000}"/>
    <cellStyle name="SAPBEXHLevel1X 9" xfId="972" xr:uid="{00000000-0005-0000-0000-000062210000}"/>
    <cellStyle name="SAPBEXHLevel1X 9 2" xfId="9471" xr:uid="{00000000-0005-0000-0000-000063210000}"/>
    <cellStyle name="SAPBEXHLevel1X 9 3" xfId="9472" xr:uid="{00000000-0005-0000-0000-000064210000}"/>
    <cellStyle name="SAPBEXHLevel1X 9 4" xfId="9473" xr:uid="{00000000-0005-0000-0000-000065210000}"/>
    <cellStyle name="SAPBEXHLevel1X_Sheet2" xfId="973" xr:uid="{00000000-0005-0000-0000-000066210000}"/>
    <cellStyle name="SAPBEXHLevel2" xfId="974" xr:uid="{00000000-0005-0000-0000-000067210000}"/>
    <cellStyle name="SAPBEXHLevel2 10" xfId="975" xr:uid="{00000000-0005-0000-0000-000068210000}"/>
    <cellStyle name="SAPBEXHLevel2 10 2" xfId="9474" xr:uid="{00000000-0005-0000-0000-000069210000}"/>
    <cellStyle name="SAPBEXHLevel2 10 3" xfId="9475" xr:uid="{00000000-0005-0000-0000-00006A210000}"/>
    <cellStyle name="SAPBEXHLevel2 10 4" xfId="9476" xr:uid="{00000000-0005-0000-0000-00006B210000}"/>
    <cellStyle name="SAPBEXHLevel2 11" xfId="976" xr:uid="{00000000-0005-0000-0000-00006C210000}"/>
    <cellStyle name="SAPBEXHLevel2 11 2" xfId="9477" xr:uid="{00000000-0005-0000-0000-00006D210000}"/>
    <cellStyle name="SAPBEXHLevel2 11 3" xfId="9478" xr:uid="{00000000-0005-0000-0000-00006E210000}"/>
    <cellStyle name="SAPBEXHLevel2 11 4" xfId="9479" xr:uid="{00000000-0005-0000-0000-00006F210000}"/>
    <cellStyle name="SAPBEXHLevel2 12" xfId="977" xr:uid="{00000000-0005-0000-0000-000070210000}"/>
    <cellStyle name="SAPBEXHLevel2 12 2" xfId="9480" xr:uid="{00000000-0005-0000-0000-000071210000}"/>
    <cellStyle name="SAPBEXHLevel2 12 3" xfId="9481" xr:uid="{00000000-0005-0000-0000-000072210000}"/>
    <cellStyle name="SAPBEXHLevel2 12 4" xfId="9482" xr:uid="{00000000-0005-0000-0000-000073210000}"/>
    <cellStyle name="SAPBEXHLevel2 13" xfId="978" xr:uid="{00000000-0005-0000-0000-000074210000}"/>
    <cellStyle name="SAPBEXHLevel2 13 2" xfId="9483" xr:uid="{00000000-0005-0000-0000-000075210000}"/>
    <cellStyle name="SAPBEXHLevel2 13 3" xfId="9484" xr:uid="{00000000-0005-0000-0000-000076210000}"/>
    <cellStyle name="SAPBEXHLevel2 13 4" xfId="9485" xr:uid="{00000000-0005-0000-0000-000077210000}"/>
    <cellStyle name="SAPBEXHLevel2 14" xfId="979" xr:uid="{00000000-0005-0000-0000-000078210000}"/>
    <cellStyle name="SAPBEXHLevel2 14 2" xfId="9486" xr:uid="{00000000-0005-0000-0000-000079210000}"/>
    <cellStyle name="SAPBEXHLevel2 14 3" xfId="9487" xr:uid="{00000000-0005-0000-0000-00007A210000}"/>
    <cellStyle name="SAPBEXHLevel2 14 4" xfId="9488" xr:uid="{00000000-0005-0000-0000-00007B210000}"/>
    <cellStyle name="SAPBEXHLevel2 15" xfId="980" xr:uid="{00000000-0005-0000-0000-00007C210000}"/>
    <cellStyle name="SAPBEXHLevel2 15 2" xfId="9489" xr:uid="{00000000-0005-0000-0000-00007D210000}"/>
    <cellStyle name="SAPBEXHLevel2 15 3" xfId="9490" xr:uid="{00000000-0005-0000-0000-00007E210000}"/>
    <cellStyle name="SAPBEXHLevel2 15 4" xfId="9491" xr:uid="{00000000-0005-0000-0000-00007F210000}"/>
    <cellStyle name="SAPBEXHLevel2 16" xfId="981" xr:uid="{00000000-0005-0000-0000-000080210000}"/>
    <cellStyle name="SAPBEXHLevel2 16 2" xfId="9492" xr:uid="{00000000-0005-0000-0000-000081210000}"/>
    <cellStyle name="SAPBEXHLevel2 16 3" xfId="9493" xr:uid="{00000000-0005-0000-0000-000082210000}"/>
    <cellStyle name="SAPBEXHLevel2 16 4" xfId="9494" xr:uid="{00000000-0005-0000-0000-000083210000}"/>
    <cellStyle name="SAPBEXHLevel2 17" xfId="982" xr:uid="{00000000-0005-0000-0000-000084210000}"/>
    <cellStyle name="SAPBEXHLevel2 17 2" xfId="9495" xr:uid="{00000000-0005-0000-0000-000085210000}"/>
    <cellStyle name="SAPBEXHLevel2 17 3" xfId="9496" xr:uid="{00000000-0005-0000-0000-000086210000}"/>
    <cellStyle name="SAPBEXHLevel2 17 4" xfId="9497" xr:uid="{00000000-0005-0000-0000-000087210000}"/>
    <cellStyle name="SAPBEXHLevel2 18" xfId="983" xr:uid="{00000000-0005-0000-0000-000088210000}"/>
    <cellStyle name="SAPBEXHLevel2 18 2" xfId="9498" xr:uid="{00000000-0005-0000-0000-000089210000}"/>
    <cellStyle name="SAPBEXHLevel2 18 3" xfId="9499" xr:uid="{00000000-0005-0000-0000-00008A210000}"/>
    <cellStyle name="SAPBEXHLevel2 18 4" xfId="9500" xr:uid="{00000000-0005-0000-0000-00008B210000}"/>
    <cellStyle name="SAPBEXHLevel2 19" xfId="984" xr:uid="{00000000-0005-0000-0000-00008C210000}"/>
    <cellStyle name="SAPBEXHLevel2 19 2" xfId="9501" xr:uid="{00000000-0005-0000-0000-00008D210000}"/>
    <cellStyle name="SAPBEXHLevel2 19 3" xfId="9502" xr:uid="{00000000-0005-0000-0000-00008E210000}"/>
    <cellStyle name="SAPBEXHLevel2 19 4" xfId="9503" xr:uid="{00000000-0005-0000-0000-00008F210000}"/>
    <cellStyle name="SAPBEXHLevel2 2" xfId="985" xr:uid="{00000000-0005-0000-0000-000090210000}"/>
    <cellStyle name="SAPBEXHLevel2 2 2" xfId="9504" xr:uid="{00000000-0005-0000-0000-000091210000}"/>
    <cellStyle name="SAPBEXHLevel2 2 3" xfId="9505" xr:uid="{00000000-0005-0000-0000-000092210000}"/>
    <cellStyle name="SAPBEXHLevel2 2 4" xfId="9506" xr:uid="{00000000-0005-0000-0000-000093210000}"/>
    <cellStyle name="SAPBEXHLevel2 20" xfId="986" xr:uid="{00000000-0005-0000-0000-000094210000}"/>
    <cellStyle name="SAPBEXHLevel2 20 2" xfId="9507" xr:uid="{00000000-0005-0000-0000-000095210000}"/>
    <cellStyle name="SAPBEXHLevel2 20 3" xfId="9508" xr:uid="{00000000-0005-0000-0000-000096210000}"/>
    <cellStyle name="SAPBEXHLevel2 20 4" xfId="9509" xr:uid="{00000000-0005-0000-0000-000097210000}"/>
    <cellStyle name="SAPBEXHLevel2 21" xfId="9510" xr:uid="{00000000-0005-0000-0000-000098210000}"/>
    <cellStyle name="SAPBEXHLevel2 22" xfId="9511" xr:uid="{00000000-0005-0000-0000-000099210000}"/>
    <cellStyle name="SAPBEXHLevel2 23" xfId="9512" xr:uid="{00000000-0005-0000-0000-00009A210000}"/>
    <cellStyle name="SAPBEXHLevel2 3" xfId="987" xr:uid="{00000000-0005-0000-0000-00009B210000}"/>
    <cellStyle name="SAPBEXHLevel2 3 2" xfId="9513" xr:uid="{00000000-0005-0000-0000-00009C210000}"/>
    <cellStyle name="SAPBEXHLevel2 3 3" xfId="9514" xr:uid="{00000000-0005-0000-0000-00009D210000}"/>
    <cellStyle name="SAPBEXHLevel2 3 4" xfId="9515" xr:uid="{00000000-0005-0000-0000-00009E210000}"/>
    <cellStyle name="SAPBEXHLevel2 4" xfId="988" xr:uid="{00000000-0005-0000-0000-00009F210000}"/>
    <cellStyle name="SAPBEXHLevel2 4 2" xfId="9516" xr:uid="{00000000-0005-0000-0000-0000A0210000}"/>
    <cellStyle name="SAPBEXHLevel2 4 3" xfId="9517" xr:uid="{00000000-0005-0000-0000-0000A1210000}"/>
    <cellStyle name="SAPBEXHLevel2 4 4" xfId="9518" xr:uid="{00000000-0005-0000-0000-0000A2210000}"/>
    <cellStyle name="SAPBEXHLevel2 5" xfId="989" xr:uid="{00000000-0005-0000-0000-0000A3210000}"/>
    <cellStyle name="SAPBEXHLevel2 5 2" xfId="9519" xr:uid="{00000000-0005-0000-0000-0000A4210000}"/>
    <cellStyle name="SAPBEXHLevel2 5 3" xfId="9520" xr:uid="{00000000-0005-0000-0000-0000A5210000}"/>
    <cellStyle name="SAPBEXHLevel2 5 4" xfId="9521" xr:uid="{00000000-0005-0000-0000-0000A6210000}"/>
    <cellStyle name="SAPBEXHLevel2 6" xfId="990" xr:uid="{00000000-0005-0000-0000-0000A7210000}"/>
    <cellStyle name="SAPBEXHLevel2 6 2" xfId="9522" xr:uid="{00000000-0005-0000-0000-0000A8210000}"/>
    <cellStyle name="SAPBEXHLevel2 6 3" xfId="9523" xr:uid="{00000000-0005-0000-0000-0000A9210000}"/>
    <cellStyle name="SAPBEXHLevel2 6 4" xfId="9524" xr:uid="{00000000-0005-0000-0000-0000AA210000}"/>
    <cellStyle name="SAPBEXHLevel2 7" xfId="991" xr:uid="{00000000-0005-0000-0000-0000AB210000}"/>
    <cellStyle name="SAPBEXHLevel2 7 2" xfId="9525" xr:uid="{00000000-0005-0000-0000-0000AC210000}"/>
    <cellStyle name="SAPBEXHLevel2 7 3" xfId="9526" xr:uid="{00000000-0005-0000-0000-0000AD210000}"/>
    <cellStyle name="SAPBEXHLevel2 7 4" xfId="9527" xr:uid="{00000000-0005-0000-0000-0000AE210000}"/>
    <cellStyle name="SAPBEXHLevel2 8" xfId="992" xr:uid="{00000000-0005-0000-0000-0000AF210000}"/>
    <cellStyle name="SAPBEXHLevel2 8 2" xfId="9528" xr:uid="{00000000-0005-0000-0000-0000B0210000}"/>
    <cellStyle name="SAPBEXHLevel2 8 3" xfId="9529" xr:uid="{00000000-0005-0000-0000-0000B1210000}"/>
    <cellStyle name="SAPBEXHLevel2 8 4" xfId="9530" xr:uid="{00000000-0005-0000-0000-0000B2210000}"/>
    <cellStyle name="SAPBEXHLevel2 9" xfId="993" xr:uid="{00000000-0005-0000-0000-0000B3210000}"/>
    <cellStyle name="SAPBEXHLevel2 9 2" xfId="9531" xr:uid="{00000000-0005-0000-0000-0000B4210000}"/>
    <cellStyle name="SAPBEXHLevel2 9 3" xfId="9532" xr:uid="{00000000-0005-0000-0000-0000B5210000}"/>
    <cellStyle name="SAPBEXHLevel2 9 4" xfId="9533" xr:uid="{00000000-0005-0000-0000-0000B6210000}"/>
    <cellStyle name="SAPBEXHLevel2_Sheet2" xfId="994" xr:uid="{00000000-0005-0000-0000-0000B7210000}"/>
    <cellStyle name="SAPBEXHLevel2X" xfId="995" xr:uid="{00000000-0005-0000-0000-0000B8210000}"/>
    <cellStyle name="SAPBEXHLevel2X 10" xfId="996" xr:uid="{00000000-0005-0000-0000-0000B9210000}"/>
    <cellStyle name="SAPBEXHLevel2X 10 2" xfId="9534" xr:uid="{00000000-0005-0000-0000-0000BA210000}"/>
    <cellStyle name="SAPBEXHLevel2X 10 3" xfId="9535" xr:uid="{00000000-0005-0000-0000-0000BB210000}"/>
    <cellStyle name="SAPBEXHLevel2X 10 4" xfId="9536" xr:uid="{00000000-0005-0000-0000-0000BC210000}"/>
    <cellStyle name="SAPBEXHLevel2X 11" xfId="997" xr:uid="{00000000-0005-0000-0000-0000BD210000}"/>
    <cellStyle name="SAPBEXHLevel2X 11 2" xfId="9537" xr:uid="{00000000-0005-0000-0000-0000BE210000}"/>
    <cellStyle name="SAPBEXHLevel2X 11 3" xfId="9538" xr:uid="{00000000-0005-0000-0000-0000BF210000}"/>
    <cellStyle name="SAPBEXHLevel2X 11 4" xfId="9539" xr:uid="{00000000-0005-0000-0000-0000C0210000}"/>
    <cellStyle name="SAPBEXHLevel2X 12" xfId="998" xr:uid="{00000000-0005-0000-0000-0000C1210000}"/>
    <cellStyle name="SAPBEXHLevel2X 12 2" xfId="9540" xr:uid="{00000000-0005-0000-0000-0000C2210000}"/>
    <cellStyle name="SAPBEXHLevel2X 12 3" xfId="9541" xr:uid="{00000000-0005-0000-0000-0000C3210000}"/>
    <cellStyle name="SAPBEXHLevel2X 12 4" xfId="9542" xr:uid="{00000000-0005-0000-0000-0000C4210000}"/>
    <cellStyle name="SAPBEXHLevel2X 13" xfId="999" xr:uid="{00000000-0005-0000-0000-0000C5210000}"/>
    <cellStyle name="SAPBEXHLevel2X 13 2" xfId="9543" xr:uid="{00000000-0005-0000-0000-0000C6210000}"/>
    <cellStyle name="SAPBEXHLevel2X 13 3" xfId="9544" xr:uid="{00000000-0005-0000-0000-0000C7210000}"/>
    <cellStyle name="SAPBEXHLevel2X 13 4" xfId="9545" xr:uid="{00000000-0005-0000-0000-0000C8210000}"/>
    <cellStyle name="SAPBEXHLevel2X 14" xfId="1000" xr:uid="{00000000-0005-0000-0000-0000C9210000}"/>
    <cellStyle name="SAPBEXHLevel2X 14 2" xfId="9546" xr:uid="{00000000-0005-0000-0000-0000CA210000}"/>
    <cellStyle name="SAPBEXHLevel2X 14 3" xfId="9547" xr:uid="{00000000-0005-0000-0000-0000CB210000}"/>
    <cellStyle name="SAPBEXHLevel2X 14 4" xfId="9548" xr:uid="{00000000-0005-0000-0000-0000CC210000}"/>
    <cellStyle name="SAPBEXHLevel2X 15" xfId="1001" xr:uid="{00000000-0005-0000-0000-0000CD210000}"/>
    <cellStyle name="SAPBEXHLevel2X 15 2" xfId="9549" xr:uid="{00000000-0005-0000-0000-0000CE210000}"/>
    <cellStyle name="SAPBEXHLevel2X 15 3" xfId="9550" xr:uid="{00000000-0005-0000-0000-0000CF210000}"/>
    <cellStyle name="SAPBEXHLevel2X 15 4" xfId="9551" xr:uid="{00000000-0005-0000-0000-0000D0210000}"/>
    <cellStyle name="SAPBEXHLevel2X 16" xfId="1002" xr:uid="{00000000-0005-0000-0000-0000D1210000}"/>
    <cellStyle name="SAPBEXHLevel2X 16 2" xfId="9552" xr:uid="{00000000-0005-0000-0000-0000D2210000}"/>
    <cellStyle name="SAPBEXHLevel2X 16 3" xfId="9553" xr:uid="{00000000-0005-0000-0000-0000D3210000}"/>
    <cellStyle name="SAPBEXHLevel2X 16 4" xfId="9554" xr:uid="{00000000-0005-0000-0000-0000D4210000}"/>
    <cellStyle name="SAPBEXHLevel2X 17" xfId="1003" xr:uid="{00000000-0005-0000-0000-0000D5210000}"/>
    <cellStyle name="SAPBEXHLevel2X 17 2" xfId="9555" xr:uid="{00000000-0005-0000-0000-0000D6210000}"/>
    <cellStyle name="SAPBEXHLevel2X 17 3" xfId="9556" xr:uid="{00000000-0005-0000-0000-0000D7210000}"/>
    <cellStyle name="SAPBEXHLevel2X 17 4" xfId="9557" xr:uid="{00000000-0005-0000-0000-0000D8210000}"/>
    <cellStyle name="SAPBEXHLevel2X 18" xfId="1004" xr:uid="{00000000-0005-0000-0000-0000D9210000}"/>
    <cellStyle name="SAPBEXHLevel2X 18 2" xfId="9558" xr:uid="{00000000-0005-0000-0000-0000DA210000}"/>
    <cellStyle name="SAPBEXHLevel2X 18 3" xfId="9559" xr:uid="{00000000-0005-0000-0000-0000DB210000}"/>
    <cellStyle name="SAPBEXHLevel2X 18 4" xfId="9560" xr:uid="{00000000-0005-0000-0000-0000DC210000}"/>
    <cellStyle name="SAPBEXHLevel2X 19" xfId="1005" xr:uid="{00000000-0005-0000-0000-0000DD210000}"/>
    <cellStyle name="SAPBEXHLevel2X 19 2" xfId="9561" xr:uid="{00000000-0005-0000-0000-0000DE210000}"/>
    <cellStyle name="SAPBEXHLevel2X 19 3" xfId="9562" xr:uid="{00000000-0005-0000-0000-0000DF210000}"/>
    <cellStyle name="SAPBEXHLevel2X 19 4" xfId="9563" xr:uid="{00000000-0005-0000-0000-0000E0210000}"/>
    <cellStyle name="SAPBEXHLevel2X 2" xfId="1006" xr:uid="{00000000-0005-0000-0000-0000E1210000}"/>
    <cellStyle name="SAPBEXHLevel2X 2 2" xfId="9564" xr:uid="{00000000-0005-0000-0000-0000E2210000}"/>
    <cellStyle name="SAPBEXHLevel2X 2 3" xfId="9565" xr:uid="{00000000-0005-0000-0000-0000E3210000}"/>
    <cellStyle name="SAPBEXHLevel2X 2 4" xfId="9566" xr:uid="{00000000-0005-0000-0000-0000E4210000}"/>
    <cellStyle name="SAPBEXHLevel2X 20" xfId="1007" xr:uid="{00000000-0005-0000-0000-0000E5210000}"/>
    <cellStyle name="SAPBEXHLevel2X 20 2" xfId="9567" xr:uid="{00000000-0005-0000-0000-0000E6210000}"/>
    <cellStyle name="SAPBEXHLevel2X 20 3" xfId="9568" xr:uid="{00000000-0005-0000-0000-0000E7210000}"/>
    <cellStyle name="SAPBEXHLevel2X 20 4" xfId="9569" xr:uid="{00000000-0005-0000-0000-0000E8210000}"/>
    <cellStyle name="SAPBEXHLevel2X 21" xfId="9570" xr:uid="{00000000-0005-0000-0000-0000E9210000}"/>
    <cellStyle name="SAPBEXHLevel2X 22" xfId="9571" xr:uid="{00000000-0005-0000-0000-0000EA210000}"/>
    <cellStyle name="SAPBEXHLevel2X 23" xfId="9572" xr:uid="{00000000-0005-0000-0000-0000EB210000}"/>
    <cellStyle name="SAPBEXHLevel2X 3" xfId="1008" xr:uid="{00000000-0005-0000-0000-0000EC210000}"/>
    <cellStyle name="SAPBEXHLevel2X 3 2" xfId="9573" xr:uid="{00000000-0005-0000-0000-0000ED210000}"/>
    <cellStyle name="SAPBEXHLevel2X 3 3" xfId="9574" xr:uid="{00000000-0005-0000-0000-0000EE210000}"/>
    <cellStyle name="SAPBEXHLevel2X 3 4" xfId="9575" xr:uid="{00000000-0005-0000-0000-0000EF210000}"/>
    <cellStyle name="SAPBEXHLevel2X 4" xfId="1009" xr:uid="{00000000-0005-0000-0000-0000F0210000}"/>
    <cellStyle name="SAPBEXHLevel2X 4 2" xfId="9576" xr:uid="{00000000-0005-0000-0000-0000F1210000}"/>
    <cellStyle name="SAPBEXHLevel2X 4 3" xfId="9577" xr:uid="{00000000-0005-0000-0000-0000F2210000}"/>
    <cellStyle name="SAPBEXHLevel2X 4 4" xfId="9578" xr:uid="{00000000-0005-0000-0000-0000F3210000}"/>
    <cellStyle name="SAPBEXHLevel2X 5" xfId="1010" xr:uid="{00000000-0005-0000-0000-0000F4210000}"/>
    <cellStyle name="SAPBEXHLevel2X 5 2" xfId="9579" xr:uid="{00000000-0005-0000-0000-0000F5210000}"/>
    <cellStyle name="SAPBEXHLevel2X 5 3" xfId="9580" xr:uid="{00000000-0005-0000-0000-0000F6210000}"/>
    <cellStyle name="SAPBEXHLevel2X 5 4" xfId="9581" xr:uid="{00000000-0005-0000-0000-0000F7210000}"/>
    <cellStyle name="SAPBEXHLevel2X 6" xfId="1011" xr:uid="{00000000-0005-0000-0000-0000F8210000}"/>
    <cellStyle name="SAPBEXHLevel2X 6 2" xfId="9582" xr:uid="{00000000-0005-0000-0000-0000F9210000}"/>
    <cellStyle name="SAPBEXHLevel2X 6 3" xfId="9583" xr:uid="{00000000-0005-0000-0000-0000FA210000}"/>
    <cellStyle name="SAPBEXHLevel2X 6 4" xfId="9584" xr:uid="{00000000-0005-0000-0000-0000FB210000}"/>
    <cellStyle name="SAPBEXHLevel2X 7" xfId="1012" xr:uid="{00000000-0005-0000-0000-0000FC210000}"/>
    <cellStyle name="SAPBEXHLevel2X 7 2" xfId="9585" xr:uid="{00000000-0005-0000-0000-0000FD210000}"/>
    <cellStyle name="SAPBEXHLevel2X 7 3" xfId="9586" xr:uid="{00000000-0005-0000-0000-0000FE210000}"/>
    <cellStyle name="SAPBEXHLevel2X 7 4" xfId="9587" xr:uid="{00000000-0005-0000-0000-0000FF210000}"/>
    <cellStyle name="SAPBEXHLevel2X 8" xfId="1013" xr:uid="{00000000-0005-0000-0000-000000220000}"/>
    <cellStyle name="SAPBEXHLevel2X 8 2" xfId="9588" xr:uid="{00000000-0005-0000-0000-000001220000}"/>
    <cellStyle name="SAPBEXHLevel2X 8 3" xfId="9589" xr:uid="{00000000-0005-0000-0000-000002220000}"/>
    <cellStyle name="SAPBEXHLevel2X 8 4" xfId="9590" xr:uid="{00000000-0005-0000-0000-000003220000}"/>
    <cellStyle name="SAPBEXHLevel2X 9" xfId="1014" xr:uid="{00000000-0005-0000-0000-000004220000}"/>
    <cellStyle name="SAPBEXHLevel2X 9 2" xfId="9591" xr:uid="{00000000-0005-0000-0000-000005220000}"/>
    <cellStyle name="SAPBEXHLevel2X 9 3" xfId="9592" xr:uid="{00000000-0005-0000-0000-000006220000}"/>
    <cellStyle name="SAPBEXHLevel2X 9 4" xfId="9593" xr:uid="{00000000-0005-0000-0000-000007220000}"/>
    <cellStyle name="SAPBEXHLevel2X_Sheet2" xfId="1015" xr:uid="{00000000-0005-0000-0000-000008220000}"/>
    <cellStyle name="SAPBEXHLevel3" xfId="1016" xr:uid="{00000000-0005-0000-0000-000009220000}"/>
    <cellStyle name="SAPBEXHLevel3 10" xfId="1017" xr:uid="{00000000-0005-0000-0000-00000A220000}"/>
    <cellStyle name="SAPBEXHLevel3 10 2" xfId="9594" xr:uid="{00000000-0005-0000-0000-00000B220000}"/>
    <cellStyle name="SAPBEXHLevel3 10 3" xfId="9595" xr:uid="{00000000-0005-0000-0000-00000C220000}"/>
    <cellStyle name="SAPBEXHLevel3 10 4" xfId="9596" xr:uid="{00000000-0005-0000-0000-00000D220000}"/>
    <cellStyle name="SAPBEXHLevel3 11" xfId="1018" xr:uid="{00000000-0005-0000-0000-00000E220000}"/>
    <cellStyle name="SAPBEXHLevel3 11 2" xfId="9597" xr:uid="{00000000-0005-0000-0000-00000F220000}"/>
    <cellStyle name="SAPBEXHLevel3 11 3" xfId="9598" xr:uid="{00000000-0005-0000-0000-000010220000}"/>
    <cellStyle name="SAPBEXHLevel3 11 4" xfId="9599" xr:uid="{00000000-0005-0000-0000-000011220000}"/>
    <cellStyle name="SAPBEXHLevel3 12" xfId="1019" xr:uid="{00000000-0005-0000-0000-000012220000}"/>
    <cellStyle name="SAPBEXHLevel3 12 2" xfId="9600" xr:uid="{00000000-0005-0000-0000-000013220000}"/>
    <cellStyle name="SAPBEXHLevel3 12 3" xfId="9601" xr:uid="{00000000-0005-0000-0000-000014220000}"/>
    <cellStyle name="SAPBEXHLevel3 12 4" xfId="9602" xr:uid="{00000000-0005-0000-0000-000015220000}"/>
    <cellStyle name="SAPBEXHLevel3 13" xfId="1020" xr:uid="{00000000-0005-0000-0000-000016220000}"/>
    <cellStyle name="SAPBEXHLevel3 13 2" xfId="9603" xr:uid="{00000000-0005-0000-0000-000017220000}"/>
    <cellStyle name="SAPBEXHLevel3 13 3" xfId="9604" xr:uid="{00000000-0005-0000-0000-000018220000}"/>
    <cellStyle name="SAPBEXHLevel3 13 4" xfId="9605" xr:uid="{00000000-0005-0000-0000-000019220000}"/>
    <cellStyle name="SAPBEXHLevel3 14" xfId="1021" xr:uid="{00000000-0005-0000-0000-00001A220000}"/>
    <cellStyle name="SAPBEXHLevel3 14 2" xfId="9606" xr:uid="{00000000-0005-0000-0000-00001B220000}"/>
    <cellStyle name="SAPBEXHLevel3 14 3" xfId="9607" xr:uid="{00000000-0005-0000-0000-00001C220000}"/>
    <cellStyle name="SAPBEXHLevel3 14 4" xfId="9608" xr:uid="{00000000-0005-0000-0000-00001D220000}"/>
    <cellStyle name="SAPBEXHLevel3 15" xfId="1022" xr:uid="{00000000-0005-0000-0000-00001E220000}"/>
    <cellStyle name="SAPBEXHLevel3 15 2" xfId="9609" xr:uid="{00000000-0005-0000-0000-00001F220000}"/>
    <cellStyle name="SAPBEXHLevel3 15 3" xfId="9610" xr:uid="{00000000-0005-0000-0000-000020220000}"/>
    <cellStyle name="SAPBEXHLevel3 15 4" xfId="9611" xr:uid="{00000000-0005-0000-0000-000021220000}"/>
    <cellStyle name="SAPBEXHLevel3 16" xfId="1023" xr:uid="{00000000-0005-0000-0000-000022220000}"/>
    <cellStyle name="SAPBEXHLevel3 16 2" xfId="9612" xr:uid="{00000000-0005-0000-0000-000023220000}"/>
    <cellStyle name="SAPBEXHLevel3 16 3" xfId="9613" xr:uid="{00000000-0005-0000-0000-000024220000}"/>
    <cellStyle name="SAPBEXHLevel3 16 4" xfId="9614" xr:uid="{00000000-0005-0000-0000-000025220000}"/>
    <cellStyle name="SAPBEXHLevel3 17" xfId="1024" xr:uid="{00000000-0005-0000-0000-000026220000}"/>
    <cellStyle name="SAPBEXHLevel3 17 2" xfId="9615" xr:uid="{00000000-0005-0000-0000-000027220000}"/>
    <cellStyle name="SAPBEXHLevel3 17 3" xfId="9616" xr:uid="{00000000-0005-0000-0000-000028220000}"/>
    <cellStyle name="SAPBEXHLevel3 17 4" xfId="9617" xr:uid="{00000000-0005-0000-0000-000029220000}"/>
    <cellStyle name="SAPBEXHLevel3 18" xfId="1025" xr:uid="{00000000-0005-0000-0000-00002A220000}"/>
    <cellStyle name="SAPBEXHLevel3 18 2" xfId="9618" xr:uid="{00000000-0005-0000-0000-00002B220000}"/>
    <cellStyle name="SAPBEXHLevel3 18 3" xfId="9619" xr:uid="{00000000-0005-0000-0000-00002C220000}"/>
    <cellStyle name="SAPBEXHLevel3 18 4" xfId="9620" xr:uid="{00000000-0005-0000-0000-00002D220000}"/>
    <cellStyle name="SAPBEXHLevel3 19" xfId="1026" xr:uid="{00000000-0005-0000-0000-00002E220000}"/>
    <cellStyle name="SAPBEXHLevel3 19 2" xfId="9621" xr:uid="{00000000-0005-0000-0000-00002F220000}"/>
    <cellStyle name="SAPBEXHLevel3 19 3" xfId="9622" xr:uid="{00000000-0005-0000-0000-000030220000}"/>
    <cellStyle name="SAPBEXHLevel3 19 4" xfId="9623" xr:uid="{00000000-0005-0000-0000-000031220000}"/>
    <cellStyle name="SAPBEXHLevel3 2" xfId="1027" xr:uid="{00000000-0005-0000-0000-000032220000}"/>
    <cellStyle name="SAPBEXHLevel3 2 2" xfId="9624" xr:uid="{00000000-0005-0000-0000-000033220000}"/>
    <cellStyle name="SAPBEXHLevel3 2 3" xfId="9625" xr:uid="{00000000-0005-0000-0000-000034220000}"/>
    <cellStyle name="SAPBEXHLevel3 2 4" xfId="9626" xr:uid="{00000000-0005-0000-0000-000035220000}"/>
    <cellStyle name="SAPBEXHLevel3 20" xfId="1028" xr:uid="{00000000-0005-0000-0000-000036220000}"/>
    <cellStyle name="SAPBEXHLevel3 20 2" xfId="9627" xr:uid="{00000000-0005-0000-0000-000037220000}"/>
    <cellStyle name="SAPBEXHLevel3 20 3" xfId="9628" xr:uid="{00000000-0005-0000-0000-000038220000}"/>
    <cellStyle name="SAPBEXHLevel3 20 4" xfId="9629" xr:uid="{00000000-0005-0000-0000-000039220000}"/>
    <cellStyle name="SAPBEXHLevel3 21" xfId="9630" xr:uid="{00000000-0005-0000-0000-00003A220000}"/>
    <cellStyle name="SAPBEXHLevel3 22" xfId="9631" xr:uid="{00000000-0005-0000-0000-00003B220000}"/>
    <cellStyle name="SAPBEXHLevel3 23" xfId="9632" xr:uid="{00000000-0005-0000-0000-00003C220000}"/>
    <cellStyle name="SAPBEXHLevel3 3" xfId="1029" xr:uid="{00000000-0005-0000-0000-00003D220000}"/>
    <cellStyle name="SAPBEXHLevel3 3 2" xfId="9633" xr:uid="{00000000-0005-0000-0000-00003E220000}"/>
    <cellStyle name="SAPBEXHLevel3 3 3" xfId="9634" xr:uid="{00000000-0005-0000-0000-00003F220000}"/>
    <cellStyle name="SAPBEXHLevel3 3 4" xfId="9635" xr:uid="{00000000-0005-0000-0000-000040220000}"/>
    <cellStyle name="SAPBEXHLevel3 4" xfId="1030" xr:uid="{00000000-0005-0000-0000-000041220000}"/>
    <cellStyle name="SAPBEXHLevel3 4 2" xfId="9636" xr:uid="{00000000-0005-0000-0000-000042220000}"/>
    <cellStyle name="SAPBEXHLevel3 4 3" xfId="9637" xr:uid="{00000000-0005-0000-0000-000043220000}"/>
    <cellStyle name="SAPBEXHLevel3 4 4" xfId="9638" xr:uid="{00000000-0005-0000-0000-000044220000}"/>
    <cellStyle name="SAPBEXHLevel3 5" xfId="1031" xr:uid="{00000000-0005-0000-0000-000045220000}"/>
    <cellStyle name="SAPBEXHLevel3 5 2" xfId="9639" xr:uid="{00000000-0005-0000-0000-000046220000}"/>
    <cellStyle name="SAPBEXHLevel3 5 3" xfId="9640" xr:uid="{00000000-0005-0000-0000-000047220000}"/>
    <cellStyle name="SAPBEXHLevel3 5 4" xfId="9641" xr:uid="{00000000-0005-0000-0000-000048220000}"/>
    <cellStyle name="SAPBEXHLevel3 6" xfId="1032" xr:uid="{00000000-0005-0000-0000-000049220000}"/>
    <cellStyle name="SAPBEXHLevel3 6 2" xfId="9642" xr:uid="{00000000-0005-0000-0000-00004A220000}"/>
    <cellStyle name="SAPBEXHLevel3 6 3" xfId="9643" xr:uid="{00000000-0005-0000-0000-00004B220000}"/>
    <cellStyle name="SAPBEXHLevel3 6 4" xfId="9644" xr:uid="{00000000-0005-0000-0000-00004C220000}"/>
    <cellStyle name="SAPBEXHLevel3 7" xfId="1033" xr:uid="{00000000-0005-0000-0000-00004D220000}"/>
    <cellStyle name="SAPBEXHLevel3 7 2" xfId="9645" xr:uid="{00000000-0005-0000-0000-00004E220000}"/>
    <cellStyle name="SAPBEXHLevel3 7 3" xfId="9646" xr:uid="{00000000-0005-0000-0000-00004F220000}"/>
    <cellStyle name="SAPBEXHLevel3 7 4" xfId="9647" xr:uid="{00000000-0005-0000-0000-000050220000}"/>
    <cellStyle name="SAPBEXHLevel3 8" xfId="1034" xr:uid="{00000000-0005-0000-0000-000051220000}"/>
    <cellStyle name="SAPBEXHLevel3 8 2" xfId="9648" xr:uid="{00000000-0005-0000-0000-000052220000}"/>
    <cellStyle name="SAPBEXHLevel3 8 3" xfId="9649" xr:uid="{00000000-0005-0000-0000-000053220000}"/>
    <cellStyle name="SAPBEXHLevel3 8 4" xfId="9650" xr:uid="{00000000-0005-0000-0000-000054220000}"/>
    <cellStyle name="SAPBEXHLevel3 9" xfId="1035" xr:uid="{00000000-0005-0000-0000-000055220000}"/>
    <cellStyle name="SAPBEXHLevel3 9 2" xfId="9651" xr:uid="{00000000-0005-0000-0000-000056220000}"/>
    <cellStyle name="SAPBEXHLevel3 9 3" xfId="9652" xr:uid="{00000000-0005-0000-0000-000057220000}"/>
    <cellStyle name="SAPBEXHLevel3 9 4" xfId="9653" xr:uid="{00000000-0005-0000-0000-000058220000}"/>
    <cellStyle name="SAPBEXHLevel3_Sheet2" xfId="1036" xr:uid="{00000000-0005-0000-0000-000059220000}"/>
    <cellStyle name="SAPBEXHLevel3X" xfId="1037" xr:uid="{00000000-0005-0000-0000-00005A220000}"/>
    <cellStyle name="SAPBEXHLevel3X 10" xfId="1038" xr:uid="{00000000-0005-0000-0000-00005B220000}"/>
    <cellStyle name="SAPBEXHLevel3X 10 2" xfId="9654" xr:uid="{00000000-0005-0000-0000-00005C220000}"/>
    <cellStyle name="SAPBEXHLevel3X 10 3" xfId="9655" xr:uid="{00000000-0005-0000-0000-00005D220000}"/>
    <cellStyle name="SAPBEXHLevel3X 10 4" xfId="9656" xr:uid="{00000000-0005-0000-0000-00005E220000}"/>
    <cellStyle name="SAPBEXHLevel3X 11" xfId="1039" xr:uid="{00000000-0005-0000-0000-00005F220000}"/>
    <cellStyle name="SAPBEXHLevel3X 11 2" xfId="9657" xr:uid="{00000000-0005-0000-0000-000060220000}"/>
    <cellStyle name="SAPBEXHLevel3X 11 3" xfId="9658" xr:uid="{00000000-0005-0000-0000-000061220000}"/>
    <cellStyle name="SAPBEXHLevel3X 11 4" xfId="9659" xr:uid="{00000000-0005-0000-0000-000062220000}"/>
    <cellStyle name="SAPBEXHLevel3X 12" xfId="1040" xr:uid="{00000000-0005-0000-0000-000063220000}"/>
    <cellStyle name="SAPBEXHLevel3X 12 2" xfId="9660" xr:uid="{00000000-0005-0000-0000-000064220000}"/>
    <cellStyle name="SAPBEXHLevel3X 12 3" xfId="9661" xr:uid="{00000000-0005-0000-0000-000065220000}"/>
    <cellStyle name="SAPBEXHLevel3X 12 4" xfId="9662" xr:uid="{00000000-0005-0000-0000-000066220000}"/>
    <cellStyle name="SAPBEXHLevel3X 13" xfId="1041" xr:uid="{00000000-0005-0000-0000-000067220000}"/>
    <cellStyle name="SAPBEXHLevel3X 13 2" xfId="9663" xr:uid="{00000000-0005-0000-0000-000068220000}"/>
    <cellStyle name="SAPBEXHLevel3X 13 3" xfId="9664" xr:uid="{00000000-0005-0000-0000-000069220000}"/>
    <cellStyle name="SAPBEXHLevel3X 13 4" xfId="9665" xr:uid="{00000000-0005-0000-0000-00006A220000}"/>
    <cellStyle name="SAPBEXHLevel3X 14" xfId="1042" xr:uid="{00000000-0005-0000-0000-00006B220000}"/>
    <cellStyle name="SAPBEXHLevel3X 14 2" xfId="9666" xr:uid="{00000000-0005-0000-0000-00006C220000}"/>
    <cellStyle name="SAPBEXHLevel3X 14 3" xfId="9667" xr:uid="{00000000-0005-0000-0000-00006D220000}"/>
    <cellStyle name="SAPBEXHLevel3X 14 4" xfId="9668" xr:uid="{00000000-0005-0000-0000-00006E220000}"/>
    <cellStyle name="SAPBEXHLevel3X 15" xfId="1043" xr:uid="{00000000-0005-0000-0000-00006F220000}"/>
    <cellStyle name="SAPBEXHLevel3X 15 2" xfId="9669" xr:uid="{00000000-0005-0000-0000-000070220000}"/>
    <cellStyle name="SAPBEXHLevel3X 15 3" xfId="9670" xr:uid="{00000000-0005-0000-0000-000071220000}"/>
    <cellStyle name="SAPBEXHLevel3X 15 4" xfId="9671" xr:uid="{00000000-0005-0000-0000-000072220000}"/>
    <cellStyle name="SAPBEXHLevel3X 16" xfId="1044" xr:uid="{00000000-0005-0000-0000-000073220000}"/>
    <cellStyle name="SAPBEXHLevel3X 16 2" xfId="9672" xr:uid="{00000000-0005-0000-0000-000074220000}"/>
    <cellStyle name="SAPBEXHLevel3X 16 3" xfId="9673" xr:uid="{00000000-0005-0000-0000-000075220000}"/>
    <cellStyle name="SAPBEXHLevel3X 16 4" xfId="9674" xr:uid="{00000000-0005-0000-0000-000076220000}"/>
    <cellStyle name="SAPBEXHLevel3X 17" xfId="1045" xr:uid="{00000000-0005-0000-0000-000077220000}"/>
    <cellStyle name="SAPBEXHLevel3X 17 2" xfId="9675" xr:uid="{00000000-0005-0000-0000-000078220000}"/>
    <cellStyle name="SAPBEXHLevel3X 17 3" xfId="9676" xr:uid="{00000000-0005-0000-0000-000079220000}"/>
    <cellStyle name="SAPBEXHLevel3X 17 4" xfId="9677" xr:uid="{00000000-0005-0000-0000-00007A220000}"/>
    <cellStyle name="SAPBEXHLevel3X 18" xfId="1046" xr:uid="{00000000-0005-0000-0000-00007B220000}"/>
    <cellStyle name="SAPBEXHLevel3X 18 2" xfId="9678" xr:uid="{00000000-0005-0000-0000-00007C220000}"/>
    <cellStyle name="SAPBEXHLevel3X 18 3" xfId="9679" xr:uid="{00000000-0005-0000-0000-00007D220000}"/>
    <cellStyle name="SAPBEXHLevel3X 18 4" xfId="9680" xr:uid="{00000000-0005-0000-0000-00007E220000}"/>
    <cellStyle name="SAPBEXHLevel3X 19" xfId="1047" xr:uid="{00000000-0005-0000-0000-00007F220000}"/>
    <cellStyle name="SAPBEXHLevel3X 19 2" xfId="9681" xr:uid="{00000000-0005-0000-0000-000080220000}"/>
    <cellStyle name="SAPBEXHLevel3X 19 3" xfId="9682" xr:uid="{00000000-0005-0000-0000-000081220000}"/>
    <cellStyle name="SAPBEXHLevel3X 19 4" xfId="9683" xr:uid="{00000000-0005-0000-0000-000082220000}"/>
    <cellStyle name="SAPBEXHLevel3X 2" xfId="1048" xr:uid="{00000000-0005-0000-0000-000083220000}"/>
    <cellStyle name="SAPBEXHLevel3X 2 2" xfId="9684" xr:uid="{00000000-0005-0000-0000-000084220000}"/>
    <cellStyle name="SAPBEXHLevel3X 2 3" xfId="9685" xr:uid="{00000000-0005-0000-0000-000085220000}"/>
    <cellStyle name="SAPBEXHLevel3X 2 4" xfId="9686" xr:uid="{00000000-0005-0000-0000-000086220000}"/>
    <cellStyle name="SAPBEXHLevel3X 20" xfId="1049" xr:uid="{00000000-0005-0000-0000-000087220000}"/>
    <cellStyle name="SAPBEXHLevel3X 20 2" xfId="9687" xr:uid="{00000000-0005-0000-0000-000088220000}"/>
    <cellStyle name="SAPBEXHLevel3X 20 3" xfId="9688" xr:uid="{00000000-0005-0000-0000-000089220000}"/>
    <cellStyle name="SAPBEXHLevel3X 20 4" xfId="9689" xr:uid="{00000000-0005-0000-0000-00008A220000}"/>
    <cellStyle name="SAPBEXHLevel3X 21" xfId="9690" xr:uid="{00000000-0005-0000-0000-00008B220000}"/>
    <cellStyle name="SAPBEXHLevel3X 22" xfId="9691" xr:uid="{00000000-0005-0000-0000-00008C220000}"/>
    <cellStyle name="SAPBEXHLevel3X 23" xfId="9692" xr:uid="{00000000-0005-0000-0000-00008D220000}"/>
    <cellStyle name="SAPBEXHLevel3X 3" xfId="1050" xr:uid="{00000000-0005-0000-0000-00008E220000}"/>
    <cellStyle name="SAPBEXHLevel3X 3 2" xfId="9693" xr:uid="{00000000-0005-0000-0000-00008F220000}"/>
    <cellStyle name="SAPBEXHLevel3X 3 3" xfId="9694" xr:uid="{00000000-0005-0000-0000-000090220000}"/>
    <cellStyle name="SAPBEXHLevel3X 3 4" xfId="9695" xr:uid="{00000000-0005-0000-0000-000091220000}"/>
    <cellStyle name="SAPBEXHLevel3X 4" xfId="1051" xr:uid="{00000000-0005-0000-0000-000092220000}"/>
    <cellStyle name="SAPBEXHLevel3X 4 2" xfId="9696" xr:uid="{00000000-0005-0000-0000-000093220000}"/>
    <cellStyle name="SAPBEXHLevel3X 4 3" xfId="9697" xr:uid="{00000000-0005-0000-0000-000094220000}"/>
    <cellStyle name="SAPBEXHLevel3X 4 4" xfId="9698" xr:uid="{00000000-0005-0000-0000-000095220000}"/>
    <cellStyle name="SAPBEXHLevel3X 5" xfId="1052" xr:uid="{00000000-0005-0000-0000-000096220000}"/>
    <cellStyle name="SAPBEXHLevel3X 5 2" xfId="9699" xr:uid="{00000000-0005-0000-0000-000097220000}"/>
    <cellStyle name="SAPBEXHLevel3X 5 3" xfId="9700" xr:uid="{00000000-0005-0000-0000-000098220000}"/>
    <cellStyle name="SAPBEXHLevel3X 5 4" xfId="9701" xr:uid="{00000000-0005-0000-0000-000099220000}"/>
    <cellStyle name="SAPBEXHLevel3X 6" xfId="1053" xr:uid="{00000000-0005-0000-0000-00009A220000}"/>
    <cellStyle name="SAPBEXHLevel3X 6 2" xfId="9702" xr:uid="{00000000-0005-0000-0000-00009B220000}"/>
    <cellStyle name="SAPBEXHLevel3X 6 3" xfId="9703" xr:uid="{00000000-0005-0000-0000-00009C220000}"/>
    <cellStyle name="SAPBEXHLevel3X 6 4" xfId="9704" xr:uid="{00000000-0005-0000-0000-00009D220000}"/>
    <cellStyle name="SAPBEXHLevel3X 7" xfId="1054" xr:uid="{00000000-0005-0000-0000-00009E220000}"/>
    <cellStyle name="SAPBEXHLevel3X 7 2" xfId="9705" xr:uid="{00000000-0005-0000-0000-00009F220000}"/>
    <cellStyle name="SAPBEXHLevel3X 7 3" xfId="9706" xr:uid="{00000000-0005-0000-0000-0000A0220000}"/>
    <cellStyle name="SAPBEXHLevel3X 7 4" xfId="9707" xr:uid="{00000000-0005-0000-0000-0000A1220000}"/>
    <cellStyle name="SAPBEXHLevel3X 8" xfId="1055" xr:uid="{00000000-0005-0000-0000-0000A2220000}"/>
    <cellStyle name="SAPBEXHLevel3X 8 2" xfId="9708" xr:uid="{00000000-0005-0000-0000-0000A3220000}"/>
    <cellStyle name="SAPBEXHLevel3X 8 3" xfId="9709" xr:uid="{00000000-0005-0000-0000-0000A4220000}"/>
    <cellStyle name="SAPBEXHLevel3X 8 4" xfId="9710" xr:uid="{00000000-0005-0000-0000-0000A5220000}"/>
    <cellStyle name="SAPBEXHLevel3X 9" xfId="1056" xr:uid="{00000000-0005-0000-0000-0000A6220000}"/>
    <cellStyle name="SAPBEXHLevel3X 9 2" xfId="9711" xr:uid="{00000000-0005-0000-0000-0000A7220000}"/>
    <cellStyle name="SAPBEXHLevel3X 9 3" xfId="9712" xr:uid="{00000000-0005-0000-0000-0000A8220000}"/>
    <cellStyle name="SAPBEXHLevel3X 9 4" xfId="9713" xr:uid="{00000000-0005-0000-0000-0000A9220000}"/>
    <cellStyle name="SAPBEXHLevel3X_Sheet2" xfId="1057" xr:uid="{00000000-0005-0000-0000-0000AA220000}"/>
    <cellStyle name="SAPBEXinputData" xfId="1058" xr:uid="{00000000-0005-0000-0000-0000AB220000}"/>
    <cellStyle name="SAPBEXinputData 10" xfId="1059" xr:uid="{00000000-0005-0000-0000-0000AC220000}"/>
    <cellStyle name="SAPBEXinputData 11" xfId="1060" xr:uid="{00000000-0005-0000-0000-0000AD220000}"/>
    <cellStyle name="SAPBEXinputData 12" xfId="1061" xr:uid="{00000000-0005-0000-0000-0000AE220000}"/>
    <cellStyle name="SAPBEXinputData 13" xfId="1062" xr:uid="{00000000-0005-0000-0000-0000AF220000}"/>
    <cellStyle name="SAPBEXinputData 14" xfId="1063" xr:uid="{00000000-0005-0000-0000-0000B0220000}"/>
    <cellStyle name="SAPBEXinputData 15" xfId="1064" xr:uid="{00000000-0005-0000-0000-0000B1220000}"/>
    <cellStyle name="SAPBEXinputData 16" xfId="1065" xr:uid="{00000000-0005-0000-0000-0000B2220000}"/>
    <cellStyle name="SAPBEXinputData 17" xfId="1066" xr:uid="{00000000-0005-0000-0000-0000B3220000}"/>
    <cellStyle name="SAPBEXinputData 18" xfId="1067" xr:uid="{00000000-0005-0000-0000-0000B4220000}"/>
    <cellStyle name="SAPBEXinputData 19" xfId="1068" xr:uid="{00000000-0005-0000-0000-0000B5220000}"/>
    <cellStyle name="SAPBEXinputData 2" xfId="1069" xr:uid="{00000000-0005-0000-0000-0000B6220000}"/>
    <cellStyle name="SAPBEXinputData 20" xfId="1070" xr:uid="{00000000-0005-0000-0000-0000B7220000}"/>
    <cellStyle name="SAPBEXinputData 3" xfId="1071" xr:uid="{00000000-0005-0000-0000-0000B8220000}"/>
    <cellStyle name="SAPBEXinputData 4" xfId="1072" xr:uid="{00000000-0005-0000-0000-0000B9220000}"/>
    <cellStyle name="SAPBEXinputData 5" xfId="1073" xr:uid="{00000000-0005-0000-0000-0000BA220000}"/>
    <cellStyle name="SAPBEXinputData 6" xfId="1074" xr:uid="{00000000-0005-0000-0000-0000BB220000}"/>
    <cellStyle name="SAPBEXinputData 7" xfId="1075" xr:uid="{00000000-0005-0000-0000-0000BC220000}"/>
    <cellStyle name="SAPBEXinputData 8" xfId="1076" xr:uid="{00000000-0005-0000-0000-0000BD220000}"/>
    <cellStyle name="SAPBEXinputData 9" xfId="1077" xr:uid="{00000000-0005-0000-0000-0000BE220000}"/>
    <cellStyle name="SAPBEXinputData_Sheet2" xfId="1078" xr:uid="{00000000-0005-0000-0000-0000BF220000}"/>
    <cellStyle name="SAPBEXItemHeader" xfId="1079" xr:uid="{00000000-0005-0000-0000-0000C0220000}"/>
    <cellStyle name="SAPBEXItemHeader 2" xfId="9714" xr:uid="{00000000-0005-0000-0000-0000C1220000}"/>
    <cellStyle name="SAPBEXItemHeader 3" xfId="9715" xr:uid="{00000000-0005-0000-0000-0000C2220000}"/>
    <cellStyle name="SAPBEXItemHeader 4" xfId="9716" xr:uid="{00000000-0005-0000-0000-0000C3220000}"/>
    <cellStyle name="SAPBEXresData" xfId="1080" xr:uid="{00000000-0005-0000-0000-0000C4220000}"/>
    <cellStyle name="SAPBEXresData 10" xfId="1081" xr:uid="{00000000-0005-0000-0000-0000C5220000}"/>
    <cellStyle name="SAPBEXresData 10 2" xfId="9717" xr:uid="{00000000-0005-0000-0000-0000C6220000}"/>
    <cellStyle name="SAPBEXresData 10 3" xfId="9718" xr:uid="{00000000-0005-0000-0000-0000C7220000}"/>
    <cellStyle name="SAPBEXresData 10 4" xfId="9719" xr:uid="{00000000-0005-0000-0000-0000C8220000}"/>
    <cellStyle name="SAPBEXresData 11" xfId="1082" xr:uid="{00000000-0005-0000-0000-0000C9220000}"/>
    <cellStyle name="SAPBEXresData 11 2" xfId="9720" xr:uid="{00000000-0005-0000-0000-0000CA220000}"/>
    <cellStyle name="SAPBEXresData 11 3" xfId="9721" xr:uid="{00000000-0005-0000-0000-0000CB220000}"/>
    <cellStyle name="SAPBEXresData 11 4" xfId="9722" xr:uid="{00000000-0005-0000-0000-0000CC220000}"/>
    <cellStyle name="SAPBEXresData 12" xfId="1083" xr:uid="{00000000-0005-0000-0000-0000CD220000}"/>
    <cellStyle name="SAPBEXresData 12 2" xfId="9723" xr:uid="{00000000-0005-0000-0000-0000CE220000}"/>
    <cellStyle name="SAPBEXresData 12 3" xfId="9724" xr:uid="{00000000-0005-0000-0000-0000CF220000}"/>
    <cellStyle name="SAPBEXresData 12 4" xfId="9725" xr:uid="{00000000-0005-0000-0000-0000D0220000}"/>
    <cellStyle name="SAPBEXresData 13" xfId="1084" xr:uid="{00000000-0005-0000-0000-0000D1220000}"/>
    <cellStyle name="SAPBEXresData 13 2" xfId="9726" xr:uid="{00000000-0005-0000-0000-0000D2220000}"/>
    <cellStyle name="SAPBEXresData 13 3" xfId="9727" xr:uid="{00000000-0005-0000-0000-0000D3220000}"/>
    <cellStyle name="SAPBEXresData 13 4" xfId="9728" xr:uid="{00000000-0005-0000-0000-0000D4220000}"/>
    <cellStyle name="SAPBEXresData 14" xfId="1085" xr:uid="{00000000-0005-0000-0000-0000D5220000}"/>
    <cellStyle name="SAPBEXresData 14 2" xfId="9729" xr:uid="{00000000-0005-0000-0000-0000D6220000}"/>
    <cellStyle name="SAPBEXresData 14 3" xfId="9730" xr:uid="{00000000-0005-0000-0000-0000D7220000}"/>
    <cellStyle name="SAPBEXresData 14 4" xfId="9731" xr:uid="{00000000-0005-0000-0000-0000D8220000}"/>
    <cellStyle name="SAPBEXresData 15" xfId="1086" xr:uid="{00000000-0005-0000-0000-0000D9220000}"/>
    <cellStyle name="SAPBEXresData 15 2" xfId="9732" xr:uid="{00000000-0005-0000-0000-0000DA220000}"/>
    <cellStyle name="SAPBEXresData 15 3" xfId="9733" xr:uid="{00000000-0005-0000-0000-0000DB220000}"/>
    <cellStyle name="SAPBEXresData 15 4" xfId="9734" xr:uid="{00000000-0005-0000-0000-0000DC220000}"/>
    <cellStyle name="SAPBEXresData 16" xfId="1087" xr:uid="{00000000-0005-0000-0000-0000DD220000}"/>
    <cellStyle name="SAPBEXresData 16 2" xfId="9735" xr:uid="{00000000-0005-0000-0000-0000DE220000}"/>
    <cellStyle name="SAPBEXresData 16 3" xfId="9736" xr:uid="{00000000-0005-0000-0000-0000DF220000}"/>
    <cellStyle name="SAPBEXresData 16 4" xfId="9737" xr:uid="{00000000-0005-0000-0000-0000E0220000}"/>
    <cellStyle name="SAPBEXresData 17" xfId="1088" xr:uid="{00000000-0005-0000-0000-0000E1220000}"/>
    <cellStyle name="SAPBEXresData 17 2" xfId="9738" xr:uid="{00000000-0005-0000-0000-0000E2220000}"/>
    <cellStyle name="SAPBEXresData 17 3" xfId="9739" xr:uid="{00000000-0005-0000-0000-0000E3220000}"/>
    <cellStyle name="SAPBEXresData 17 4" xfId="9740" xr:uid="{00000000-0005-0000-0000-0000E4220000}"/>
    <cellStyle name="SAPBEXresData 18" xfId="1089" xr:uid="{00000000-0005-0000-0000-0000E5220000}"/>
    <cellStyle name="SAPBEXresData 18 2" xfId="9741" xr:uid="{00000000-0005-0000-0000-0000E6220000}"/>
    <cellStyle name="SAPBEXresData 18 3" xfId="9742" xr:uid="{00000000-0005-0000-0000-0000E7220000}"/>
    <cellStyle name="SAPBEXresData 18 4" xfId="9743" xr:uid="{00000000-0005-0000-0000-0000E8220000}"/>
    <cellStyle name="SAPBEXresData 19" xfId="1090" xr:uid="{00000000-0005-0000-0000-0000E9220000}"/>
    <cellStyle name="SAPBEXresData 19 2" xfId="9744" xr:uid="{00000000-0005-0000-0000-0000EA220000}"/>
    <cellStyle name="SAPBEXresData 19 3" xfId="9745" xr:uid="{00000000-0005-0000-0000-0000EB220000}"/>
    <cellStyle name="SAPBEXresData 19 4" xfId="9746" xr:uid="{00000000-0005-0000-0000-0000EC220000}"/>
    <cellStyle name="SAPBEXresData 2" xfId="1091" xr:uid="{00000000-0005-0000-0000-0000ED220000}"/>
    <cellStyle name="SAPBEXresData 2 2" xfId="9747" xr:uid="{00000000-0005-0000-0000-0000EE220000}"/>
    <cellStyle name="SAPBEXresData 2 3" xfId="9748" xr:uid="{00000000-0005-0000-0000-0000EF220000}"/>
    <cellStyle name="SAPBEXresData 2 4" xfId="9749" xr:uid="{00000000-0005-0000-0000-0000F0220000}"/>
    <cellStyle name="SAPBEXresData 20" xfId="1092" xr:uid="{00000000-0005-0000-0000-0000F1220000}"/>
    <cellStyle name="SAPBEXresData 20 2" xfId="9750" xr:uid="{00000000-0005-0000-0000-0000F2220000}"/>
    <cellStyle name="SAPBEXresData 20 3" xfId="9751" xr:uid="{00000000-0005-0000-0000-0000F3220000}"/>
    <cellStyle name="SAPBEXresData 20 4" xfId="9752" xr:uid="{00000000-0005-0000-0000-0000F4220000}"/>
    <cellStyle name="SAPBEXresData 21" xfId="9753" xr:uid="{00000000-0005-0000-0000-0000F5220000}"/>
    <cellStyle name="SAPBEXresData 22" xfId="9754" xr:uid="{00000000-0005-0000-0000-0000F6220000}"/>
    <cellStyle name="SAPBEXresData 23" xfId="9755" xr:uid="{00000000-0005-0000-0000-0000F7220000}"/>
    <cellStyle name="SAPBEXresData 3" xfId="1093" xr:uid="{00000000-0005-0000-0000-0000F8220000}"/>
    <cellStyle name="SAPBEXresData 3 2" xfId="9756" xr:uid="{00000000-0005-0000-0000-0000F9220000}"/>
    <cellStyle name="SAPBEXresData 3 3" xfId="9757" xr:uid="{00000000-0005-0000-0000-0000FA220000}"/>
    <cellStyle name="SAPBEXresData 3 4" xfId="9758" xr:uid="{00000000-0005-0000-0000-0000FB220000}"/>
    <cellStyle name="SAPBEXresData 4" xfId="1094" xr:uid="{00000000-0005-0000-0000-0000FC220000}"/>
    <cellStyle name="SAPBEXresData 4 2" xfId="9759" xr:uid="{00000000-0005-0000-0000-0000FD220000}"/>
    <cellStyle name="SAPBEXresData 4 3" xfId="9760" xr:uid="{00000000-0005-0000-0000-0000FE220000}"/>
    <cellStyle name="SAPBEXresData 4 4" xfId="9761" xr:uid="{00000000-0005-0000-0000-0000FF220000}"/>
    <cellStyle name="SAPBEXresData 5" xfId="1095" xr:uid="{00000000-0005-0000-0000-000000230000}"/>
    <cellStyle name="SAPBEXresData 5 2" xfId="9762" xr:uid="{00000000-0005-0000-0000-000001230000}"/>
    <cellStyle name="SAPBEXresData 5 3" xfId="9763" xr:uid="{00000000-0005-0000-0000-000002230000}"/>
    <cellStyle name="SAPBEXresData 5 4" xfId="9764" xr:uid="{00000000-0005-0000-0000-000003230000}"/>
    <cellStyle name="SAPBEXresData 6" xfId="1096" xr:uid="{00000000-0005-0000-0000-000004230000}"/>
    <cellStyle name="SAPBEXresData 6 2" xfId="9765" xr:uid="{00000000-0005-0000-0000-000005230000}"/>
    <cellStyle name="SAPBEXresData 6 3" xfId="9766" xr:uid="{00000000-0005-0000-0000-000006230000}"/>
    <cellStyle name="SAPBEXresData 6 4" xfId="9767" xr:uid="{00000000-0005-0000-0000-000007230000}"/>
    <cellStyle name="SAPBEXresData 7" xfId="1097" xr:uid="{00000000-0005-0000-0000-000008230000}"/>
    <cellStyle name="SAPBEXresData 7 2" xfId="9768" xr:uid="{00000000-0005-0000-0000-000009230000}"/>
    <cellStyle name="SAPBEXresData 7 3" xfId="9769" xr:uid="{00000000-0005-0000-0000-00000A230000}"/>
    <cellStyle name="SAPBEXresData 7 4" xfId="9770" xr:uid="{00000000-0005-0000-0000-00000B230000}"/>
    <cellStyle name="SAPBEXresData 8" xfId="1098" xr:uid="{00000000-0005-0000-0000-00000C230000}"/>
    <cellStyle name="SAPBEXresData 8 2" xfId="9771" xr:uid="{00000000-0005-0000-0000-00000D230000}"/>
    <cellStyle name="SAPBEXresData 8 3" xfId="9772" xr:uid="{00000000-0005-0000-0000-00000E230000}"/>
    <cellStyle name="SAPBEXresData 8 4" xfId="9773" xr:uid="{00000000-0005-0000-0000-00000F230000}"/>
    <cellStyle name="SAPBEXresData 9" xfId="1099" xr:uid="{00000000-0005-0000-0000-000010230000}"/>
    <cellStyle name="SAPBEXresData 9 2" xfId="9774" xr:uid="{00000000-0005-0000-0000-000011230000}"/>
    <cellStyle name="SAPBEXresData 9 3" xfId="9775" xr:uid="{00000000-0005-0000-0000-000012230000}"/>
    <cellStyle name="SAPBEXresData 9 4" xfId="9776" xr:uid="{00000000-0005-0000-0000-000013230000}"/>
    <cellStyle name="SAPBEXresData_Sheet2" xfId="1100" xr:uid="{00000000-0005-0000-0000-000014230000}"/>
    <cellStyle name="SAPBEXresDataEmph" xfId="1101" xr:uid="{00000000-0005-0000-0000-000015230000}"/>
    <cellStyle name="SAPBEXresDataEmph 10" xfId="1102" xr:uid="{00000000-0005-0000-0000-000016230000}"/>
    <cellStyle name="SAPBEXresDataEmph 11" xfId="1103" xr:uid="{00000000-0005-0000-0000-000017230000}"/>
    <cellStyle name="SAPBEXresDataEmph 12" xfId="1104" xr:uid="{00000000-0005-0000-0000-000018230000}"/>
    <cellStyle name="SAPBEXresDataEmph 13" xfId="1105" xr:uid="{00000000-0005-0000-0000-000019230000}"/>
    <cellStyle name="SAPBEXresDataEmph 14" xfId="1106" xr:uid="{00000000-0005-0000-0000-00001A230000}"/>
    <cellStyle name="SAPBEXresDataEmph 15" xfId="1107" xr:uid="{00000000-0005-0000-0000-00001B230000}"/>
    <cellStyle name="SAPBEXresDataEmph 16" xfId="1108" xr:uid="{00000000-0005-0000-0000-00001C230000}"/>
    <cellStyle name="SAPBEXresDataEmph 17" xfId="1109" xr:uid="{00000000-0005-0000-0000-00001D230000}"/>
    <cellStyle name="SAPBEXresDataEmph 18" xfId="1110" xr:uid="{00000000-0005-0000-0000-00001E230000}"/>
    <cellStyle name="SAPBEXresDataEmph 19" xfId="1111" xr:uid="{00000000-0005-0000-0000-00001F230000}"/>
    <cellStyle name="SAPBEXresDataEmph 2" xfId="1112" xr:uid="{00000000-0005-0000-0000-000020230000}"/>
    <cellStyle name="SAPBEXresDataEmph 20" xfId="1113" xr:uid="{00000000-0005-0000-0000-000021230000}"/>
    <cellStyle name="SAPBEXresDataEmph 3" xfId="1114" xr:uid="{00000000-0005-0000-0000-000022230000}"/>
    <cellStyle name="SAPBEXresDataEmph 4" xfId="1115" xr:uid="{00000000-0005-0000-0000-000023230000}"/>
    <cellStyle name="SAPBEXresDataEmph 5" xfId="1116" xr:uid="{00000000-0005-0000-0000-000024230000}"/>
    <cellStyle name="SAPBEXresDataEmph 6" xfId="1117" xr:uid="{00000000-0005-0000-0000-000025230000}"/>
    <cellStyle name="SAPBEXresDataEmph 7" xfId="1118" xr:uid="{00000000-0005-0000-0000-000026230000}"/>
    <cellStyle name="SAPBEXresDataEmph 8" xfId="1119" xr:uid="{00000000-0005-0000-0000-000027230000}"/>
    <cellStyle name="SAPBEXresDataEmph 9" xfId="1120" xr:uid="{00000000-0005-0000-0000-000028230000}"/>
    <cellStyle name="SAPBEXresDataEmph_Sheet2" xfId="1121" xr:uid="{00000000-0005-0000-0000-000029230000}"/>
    <cellStyle name="SAPBEXresItem" xfId="1122" xr:uid="{00000000-0005-0000-0000-00002A230000}"/>
    <cellStyle name="SAPBEXresItem 10" xfId="1123" xr:uid="{00000000-0005-0000-0000-00002B230000}"/>
    <cellStyle name="SAPBEXresItem 10 2" xfId="9777" xr:uid="{00000000-0005-0000-0000-00002C230000}"/>
    <cellStyle name="SAPBEXresItem 10 3" xfId="9778" xr:uid="{00000000-0005-0000-0000-00002D230000}"/>
    <cellStyle name="SAPBEXresItem 10 4" xfId="9779" xr:uid="{00000000-0005-0000-0000-00002E230000}"/>
    <cellStyle name="SAPBEXresItem 11" xfId="1124" xr:uid="{00000000-0005-0000-0000-00002F230000}"/>
    <cellStyle name="SAPBEXresItem 11 2" xfId="9780" xr:uid="{00000000-0005-0000-0000-000030230000}"/>
    <cellStyle name="SAPBEXresItem 11 3" xfId="9781" xr:uid="{00000000-0005-0000-0000-000031230000}"/>
    <cellStyle name="SAPBEXresItem 11 4" xfId="9782" xr:uid="{00000000-0005-0000-0000-000032230000}"/>
    <cellStyle name="SAPBEXresItem 12" xfId="1125" xr:uid="{00000000-0005-0000-0000-000033230000}"/>
    <cellStyle name="SAPBEXresItem 12 2" xfId="9783" xr:uid="{00000000-0005-0000-0000-000034230000}"/>
    <cellStyle name="SAPBEXresItem 12 3" xfId="9784" xr:uid="{00000000-0005-0000-0000-000035230000}"/>
    <cellStyle name="SAPBEXresItem 12 4" xfId="9785" xr:uid="{00000000-0005-0000-0000-000036230000}"/>
    <cellStyle name="SAPBEXresItem 13" xfId="1126" xr:uid="{00000000-0005-0000-0000-000037230000}"/>
    <cellStyle name="SAPBEXresItem 13 2" xfId="9786" xr:uid="{00000000-0005-0000-0000-000038230000}"/>
    <cellStyle name="SAPBEXresItem 13 3" xfId="9787" xr:uid="{00000000-0005-0000-0000-000039230000}"/>
    <cellStyle name="SAPBEXresItem 13 4" xfId="9788" xr:uid="{00000000-0005-0000-0000-00003A230000}"/>
    <cellStyle name="SAPBEXresItem 14" xfId="1127" xr:uid="{00000000-0005-0000-0000-00003B230000}"/>
    <cellStyle name="SAPBEXresItem 14 2" xfId="9789" xr:uid="{00000000-0005-0000-0000-00003C230000}"/>
    <cellStyle name="SAPBEXresItem 14 3" xfId="9790" xr:uid="{00000000-0005-0000-0000-00003D230000}"/>
    <cellStyle name="SAPBEXresItem 14 4" xfId="9791" xr:uid="{00000000-0005-0000-0000-00003E230000}"/>
    <cellStyle name="SAPBEXresItem 15" xfId="1128" xr:uid="{00000000-0005-0000-0000-00003F230000}"/>
    <cellStyle name="SAPBEXresItem 15 2" xfId="9792" xr:uid="{00000000-0005-0000-0000-000040230000}"/>
    <cellStyle name="SAPBEXresItem 15 3" xfId="9793" xr:uid="{00000000-0005-0000-0000-000041230000}"/>
    <cellStyle name="SAPBEXresItem 15 4" xfId="9794" xr:uid="{00000000-0005-0000-0000-000042230000}"/>
    <cellStyle name="SAPBEXresItem 16" xfId="1129" xr:uid="{00000000-0005-0000-0000-000043230000}"/>
    <cellStyle name="SAPBEXresItem 16 2" xfId="9795" xr:uid="{00000000-0005-0000-0000-000044230000}"/>
    <cellStyle name="SAPBEXresItem 16 3" xfId="9796" xr:uid="{00000000-0005-0000-0000-000045230000}"/>
    <cellStyle name="SAPBEXresItem 16 4" xfId="9797" xr:uid="{00000000-0005-0000-0000-000046230000}"/>
    <cellStyle name="SAPBEXresItem 17" xfId="1130" xr:uid="{00000000-0005-0000-0000-000047230000}"/>
    <cellStyle name="SAPBEXresItem 17 2" xfId="9798" xr:uid="{00000000-0005-0000-0000-000048230000}"/>
    <cellStyle name="SAPBEXresItem 17 3" xfId="9799" xr:uid="{00000000-0005-0000-0000-000049230000}"/>
    <cellStyle name="SAPBEXresItem 17 4" xfId="9800" xr:uid="{00000000-0005-0000-0000-00004A230000}"/>
    <cellStyle name="SAPBEXresItem 18" xfId="1131" xr:uid="{00000000-0005-0000-0000-00004B230000}"/>
    <cellStyle name="SAPBEXresItem 18 2" xfId="9801" xr:uid="{00000000-0005-0000-0000-00004C230000}"/>
    <cellStyle name="SAPBEXresItem 18 3" xfId="9802" xr:uid="{00000000-0005-0000-0000-00004D230000}"/>
    <cellStyle name="SAPBEXresItem 18 4" xfId="9803" xr:uid="{00000000-0005-0000-0000-00004E230000}"/>
    <cellStyle name="SAPBEXresItem 19" xfId="1132" xr:uid="{00000000-0005-0000-0000-00004F230000}"/>
    <cellStyle name="SAPBEXresItem 19 2" xfId="9804" xr:uid="{00000000-0005-0000-0000-000050230000}"/>
    <cellStyle name="SAPBEXresItem 19 3" xfId="9805" xr:uid="{00000000-0005-0000-0000-000051230000}"/>
    <cellStyle name="SAPBEXresItem 19 4" xfId="9806" xr:uid="{00000000-0005-0000-0000-000052230000}"/>
    <cellStyle name="SAPBEXresItem 2" xfId="1133" xr:uid="{00000000-0005-0000-0000-000053230000}"/>
    <cellStyle name="SAPBEXresItem 2 2" xfId="9807" xr:uid="{00000000-0005-0000-0000-000054230000}"/>
    <cellStyle name="SAPBEXresItem 2 3" xfId="9808" xr:uid="{00000000-0005-0000-0000-000055230000}"/>
    <cellStyle name="SAPBEXresItem 2 4" xfId="9809" xr:uid="{00000000-0005-0000-0000-000056230000}"/>
    <cellStyle name="SAPBEXresItem 20" xfId="1134" xr:uid="{00000000-0005-0000-0000-000057230000}"/>
    <cellStyle name="SAPBEXresItem 20 2" xfId="9810" xr:uid="{00000000-0005-0000-0000-000058230000}"/>
    <cellStyle name="SAPBEXresItem 20 3" xfId="9811" xr:uid="{00000000-0005-0000-0000-000059230000}"/>
    <cellStyle name="SAPBEXresItem 20 4" xfId="9812" xr:uid="{00000000-0005-0000-0000-00005A230000}"/>
    <cellStyle name="SAPBEXresItem 21" xfId="9813" xr:uid="{00000000-0005-0000-0000-00005B230000}"/>
    <cellStyle name="SAPBEXresItem 22" xfId="9814" xr:uid="{00000000-0005-0000-0000-00005C230000}"/>
    <cellStyle name="SAPBEXresItem 23" xfId="9815" xr:uid="{00000000-0005-0000-0000-00005D230000}"/>
    <cellStyle name="SAPBEXresItem 3" xfId="1135" xr:uid="{00000000-0005-0000-0000-00005E230000}"/>
    <cellStyle name="SAPBEXresItem 3 2" xfId="9816" xr:uid="{00000000-0005-0000-0000-00005F230000}"/>
    <cellStyle name="SAPBEXresItem 3 3" xfId="9817" xr:uid="{00000000-0005-0000-0000-000060230000}"/>
    <cellStyle name="SAPBEXresItem 3 4" xfId="9818" xr:uid="{00000000-0005-0000-0000-000061230000}"/>
    <cellStyle name="SAPBEXresItem 4" xfId="1136" xr:uid="{00000000-0005-0000-0000-000062230000}"/>
    <cellStyle name="SAPBEXresItem 4 2" xfId="9819" xr:uid="{00000000-0005-0000-0000-000063230000}"/>
    <cellStyle name="SAPBEXresItem 4 3" xfId="9820" xr:uid="{00000000-0005-0000-0000-000064230000}"/>
    <cellStyle name="SAPBEXresItem 4 4" xfId="9821" xr:uid="{00000000-0005-0000-0000-000065230000}"/>
    <cellStyle name="SAPBEXresItem 5" xfId="1137" xr:uid="{00000000-0005-0000-0000-000066230000}"/>
    <cellStyle name="SAPBEXresItem 5 2" xfId="9822" xr:uid="{00000000-0005-0000-0000-000067230000}"/>
    <cellStyle name="SAPBEXresItem 5 3" xfId="9823" xr:uid="{00000000-0005-0000-0000-000068230000}"/>
    <cellStyle name="SAPBEXresItem 5 4" xfId="9824" xr:uid="{00000000-0005-0000-0000-000069230000}"/>
    <cellStyle name="SAPBEXresItem 6" xfId="1138" xr:uid="{00000000-0005-0000-0000-00006A230000}"/>
    <cellStyle name="SAPBEXresItem 6 2" xfId="9825" xr:uid="{00000000-0005-0000-0000-00006B230000}"/>
    <cellStyle name="SAPBEXresItem 6 3" xfId="9826" xr:uid="{00000000-0005-0000-0000-00006C230000}"/>
    <cellStyle name="SAPBEXresItem 6 4" xfId="9827" xr:uid="{00000000-0005-0000-0000-00006D230000}"/>
    <cellStyle name="SAPBEXresItem 7" xfId="1139" xr:uid="{00000000-0005-0000-0000-00006E230000}"/>
    <cellStyle name="SAPBEXresItem 7 2" xfId="9828" xr:uid="{00000000-0005-0000-0000-00006F230000}"/>
    <cellStyle name="SAPBEXresItem 7 3" xfId="9829" xr:uid="{00000000-0005-0000-0000-000070230000}"/>
    <cellStyle name="SAPBEXresItem 7 4" xfId="9830" xr:uid="{00000000-0005-0000-0000-000071230000}"/>
    <cellStyle name="SAPBEXresItem 8" xfId="1140" xr:uid="{00000000-0005-0000-0000-000072230000}"/>
    <cellStyle name="SAPBEXresItem 8 2" xfId="9831" xr:uid="{00000000-0005-0000-0000-000073230000}"/>
    <cellStyle name="SAPBEXresItem 8 3" xfId="9832" xr:uid="{00000000-0005-0000-0000-000074230000}"/>
    <cellStyle name="SAPBEXresItem 8 4" xfId="9833" xr:uid="{00000000-0005-0000-0000-000075230000}"/>
    <cellStyle name="SAPBEXresItem 9" xfId="1141" xr:uid="{00000000-0005-0000-0000-000076230000}"/>
    <cellStyle name="SAPBEXresItem 9 2" xfId="9834" xr:uid="{00000000-0005-0000-0000-000077230000}"/>
    <cellStyle name="SAPBEXresItem 9 3" xfId="9835" xr:uid="{00000000-0005-0000-0000-000078230000}"/>
    <cellStyle name="SAPBEXresItem 9 4" xfId="9836" xr:uid="{00000000-0005-0000-0000-000079230000}"/>
    <cellStyle name="SAPBEXresItem_Sheet2" xfId="1142" xr:uid="{00000000-0005-0000-0000-00007A230000}"/>
    <cellStyle name="SAPBEXresItemX" xfId="1143" xr:uid="{00000000-0005-0000-0000-00007B230000}"/>
    <cellStyle name="SAPBEXresItemX 10" xfId="1144" xr:uid="{00000000-0005-0000-0000-00007C230000}"/>
    <cellStyle name="SAPBEXresItemX 10 2" xfId="9837" xr:uid="{00000000-0005-0000-0000-00007D230000}"/>
    <cellStyle name="SAPBEXresItemX 10 3" xfId="9838" xr:uid="{00000000-0005-0000-0000-00007E230000}"/>
    <cellStyle name="SAPBEXresItemX 10 4" xfId="9839" xr:uid="{00000000-0005-0000-0000-00007F230000}"/>
    <cellStyle name="SAPBEXresItemX 11" xfId="1145" xr:uid="{00000000-0005-0000-0000-000080230000}"/>
    <cellStyle name="SAPBEXresItemX 11 2" xfId="9840" xr:uid="{00000000-0005-0000-0000-000081230000}"/>
    <cellStyle name="SAPBEXresItemX 11 3" xfId="9841" xr:uid="{00000000-0005-0000-0000-000082230000}"/>
    <cellStyle name="SAPBEXresItemX 11 4" xfId="9842" xr:uid="{00000000-0005-0000-0000-000083230000}"/>
    <cellStyle name="SAPBEXresItemX 12" xfId="1146" xr:uid="{00000000-0005-0000-0000-000084230000}"/>
    <cellStyle name="SAPBEXresItemX 12 2" xfId="9843" xr:uid="{00000000-0005-0000-0000-000085230000}"/>
    <cellStyle name="SAPBEXresItemX 12 3" xfId="9844" xr:uid="{00000000-0005-0000-0000-000086230000}"/>
    <cellStyle name="SAPBEXresItemX 12 4" xfId="9845" xr:uid="{00000000-0005-0000-0000-000087230000}"/>
    <cellStyle name="SAPBEXresItemX 13" xfId="1147" xr:uid="{00000000-0005-0000-0000-000088230000}"/>
    <cellStyle name="SAPBEXresItemX 13 2" xfId="9846" xr:uid="{00000000-0005-0000-0000-000089230000}"/>
    <cellStyle name="SAPBEXresItemX 13 3" xfId="9847" xr:uid="{00000000-0005-0000-0000-00008A230000}"/>
    <cellStyle name="SAPBEXresItemX 13 4" xfId="9848" xr:uid="{00000000-0005-0000-0000-00008B230000}"/>
    <cellStyle name="SAPBEXresItemX 14" xfId="1148" xr:uid="{00000000-0005-0000-0000-00008C230000}"/>
    <cellStyle name="SAPBEXresItemX 14 2" xfId="9849" xr:uid="{00000000-0005-0000-0000-00008D230000}"/>
    <cellStyle name="SAPBEXresItemX 14 3" xfId="9850" xr:uid="{00000000-0005-0000-0000-00008E230000}"/>
    <cellStyle name="SAPBEXresItemX 14 4" xfId="9851" xr:uid="{00000000-0005-0000-0000-00008F230000}"/>
    <cellStyle name="SAPBEXresItemX 15" xfId="1149" xr:uid="{00000000-0005-0000-0000-000090230000}"/>
    <cellStyle name="SAPBEXresItemX 15 2" xfId="9852" xr:uid="{00000000-0005-0000-0000-000091230000}"/>
    <cellStyle name="SAPBEXresItemX 15 3" xfId="9853" xr:uid="{00000000-0005-0000-0000-000092230000}"/>
    <cellStyle name="SAPBEXresItemX 15 4" xfId="9854" xr:uid="{00000000-0005-0000-0000-000093230000}"/>
    <cellStyle name="SAPBEXresItemX 16" xfId="1150" xr:uid="{00000000-0005-0000-0000-000094230000}"/>
    <cellStyle name="SAPBEXresItemX 16 2" xfId="9855" xr:uid="{00000000-0005-0000-0000-000095230000}"/>
    <cellStyle name="SAPBEXresItemX 16 3" xfId="9856" xr:uid="{00000000-0005-0000-0000-000096230000}"/>
    <cellStyle name="SAPBEXresItemX 16 4" xfId="9857" xr:uid="{00000000-0005-0000-0000-000097230000}"/>
    <cellStyle name="SAPBEXresItemX 17" xfId="1151" xr:uid="{00000000-0005-0000-0000-000098230000}"/>
    <cellStyle name="SAPBEXresItemX 17 2" xfId="9858" xr:uid="{00000000-0005-0000-0000-000099230000}"/>
    <cellStyle name="SAPBEXresItemX 17 3" xfId="9859" xr:uid="{00000000-0005-0000-0000-00009A230000}"/>
    <cellStyle name="SAPBEXresItemX 17 4" xfId="9860" xr:uid="{00000000-0005-0000-0000-00009B230000}"/>
    <cellStyle name="SAPBEXresItemX 18" xfId="1152" xr:uid="{00000000-0005-0000-0000-00009C230000}"/>
    <cellStyle name="SAPBEXresItemX 18 2" xfId="9861" xr:uid="{00000000-0005-0000-0000-00009D230000}"/>
    <cellStyle name="SAPBEXresItemX 18 3" xfId="9862" xr:uid="{00000000-0005-0000-0000-00009E230000}"/>
    <cellStyle name="SAPBEXresItemX 18 4" xfId="9863" xr:uid="{00000000-0005-0000-0000-00009F230000}"/>
    <cellStyle name="SAPBEXresItemX 19" xfId="1153" xr:uid="{00000000-0005-0000-0000-0000A0230000}"/>
    <cellStyle name="SAPBEXresItemX 19 2" xfId="9864" xr:uid="{00000000-0005-0000-0000-0000A1230000}"/>
    <cellStyle name="SAPBEXresItemX 19 3" xfId="9865" xr:uid="{00000000-0005-0000-0000-0000A2230000}"/>
    <cellStyle name="SAPBEXresItemX 19 4" xfId="9866" xr:uid="{00000000-0005-0000-0000-0000A3230000}"/>
    <cellStyle name="SAPBEXresItemX 2" xfId="1154" xr:uid="{00000000-0005-0000-0000-0000A4230000}"/>
    <cellStyle name="SAPBEXresItemX 2 2" xfId="9867" xr:uid="{00000000-0005-0000-0000-0000A5230000}"/>
    <cellStyle name="SAPBEXresItemX 2 3" xfId="9868" xr:uid="{00000000-0005-0000-0000-0000A6230000}"/>
    <cellStyle name="SAPBEXresItemX 2 4" xfId="9869" xr:uid="{00000000-0005-0000-0000-0000A7230000}"/>
    <cellStyle name="SAPBEXresItemX 20" xfId="1155" xr:uid="{00000000-0005-0000-0000-0000A8230000}"/>
    <cellStyle name="SAPBEXresItemX 20 2" xfId="9870" xr:uid="{00000000-0005-0000-0000-0000A9230000}"/>
    <cellStyle name="SAPBEXresItemX 20 3" xfId="9871" xr:uid="{00000000-0005-0000-0000-0000AA230000}"/>
    <cellStyle name="SAPBEXresItemX 20 4" xfId="9872" xr:uid="{00000000-0005-0000-0000-0000AB230000}"/>
    <cellStyle name="SAPBEXresItemX 21" xfId="9873" xr:uid="{00000000-0005-0000-0000-0000AC230000}"/>
    <cellStyle name="SAPBEXresItemX 22" xfId="9874" xr:uid="{00000000-0005-0000-0000-0000AD230000}"/>
    <cellStyle name="SAPBEXresItemX 23" xfId="9875" xr:uid="{00000000-0005-0000-0000-0000AE230000}"/>
    <cellStyle name="SAPBEXresItemX 3" xfId="1156" xr:uid="{00000000-0005-0000-0000-0000AF230000}"/>
    <cellStyle name="SAPBEXresItemX 3 2" xfId="9876" xr:uid="{00000000-0005-0000-0000-0000B0230000}"/>
    <cellStyle name="SAPBEXresItemX 3 3" xfId="9877" xr:uid="{00000000-0005-0000-0000-0000B1230000}"/>
    <cellStyle name="SAPBEXresItemX 3 4" xfId="9878" xr:uid="{00000000-0005-0000-0000-0000B2230000}"/>
    <cellStyle name="SAPBEXresItemX 4" xfId="1157" xr:uid="{00000000-0005-0000-0000-0000B3230000}"/>
    <cellStyle name="SAPBEXresItemX 4 2" xfId="9879" xr:uid="{00000000-0005-0000-0000-0000B4230000}"/>
    <cellStyle name="SAPBEXresItemX 4 3" xfId="9880" xr:uid="{00000000-0005-0000-0000-0000B5230000}"/>
    <cellStyle name="SAPBEXresItemX 4 4" xfId="9881" xr:uid="{00000000-0005-0000-0000-0000B6230000}"/>
    <cellStyle name="SAPBEXresItemX 5" xfId="1158" xr:uid="{00000000-0005-0000-0000-0000B7230000}"/>
    <cellStyle name="SAPBEXresItemX 5 2" xfId="9882" xr:uid="{00000000-0005-0000-0000-0000B8230000}"/>
    <cellStyle name="SAPBEXresItemX 5 3" xfId="9883" xr:uid="{00000000-0005-0000-0000-0000B9230000}"/>
    <cellStyle name="SAPBEXresItemX 5 4" xfId="9884" xr:uid="{00000000-0005-0000-0000-0000BA230000}"/>
    <cellStyle name="SAPBEXresItemX 6" xfId="1159" xr:uid="{00000000-0005-0000-0000-0000BB230000}"/>
    <cellStyle name="SAPBEXresItemX 6 2" xfId="9885" xr:uid="{00000000-0005-0000-0000-0000BC230000}"/>
    <cellStyle name="SAPBEXresItemX 6 3" xfId="9886" xr:uid="{00000000-0005-0000-0000-0000BD230000}"/>
    <cellStyle name="SAPBEXresItemX 6 4" xfId="9887" xr:uid="{00000000-0005-0000-0000-0000BE230000}"/>
    <cellStyle name="SAPBEXresItemX 7" xfId="1160" xr:uid="{00000000-0005-0000-0000-0000BF230000}"/>
    <cellStyle name="SAPBEXresItemX 7 2" xfId="9888" xr:uid="{00000000-0005-0000-0000-0000C0230000}"/>
    <cellStyle name="SAPBEXresItemX 7 3" xfId="9889" xr:uid="{00000000-0005-0000-0000-0000C1230000}"/>
    <cellStyle name="SAPBEXresItemX 7 4" xfId="9890" xr:uid="{00000000-0005-0000-0000-0000C2230000}"/>
    <cellStyle name="SAPBEXresItemX 8" xfId="1161" xr:uid="{00000000-0005-0000-0000-0000C3230000}"/>
    <cellStyle name="SAPBEXresItemX 8 2" xfId="9891" xr:uid="{00000000-0005-0000-0000-0000C4230000}"/>
    <cellStyle name="SAPBEXresItemX 8 3" xfId="9892" xr:uid="{00000000-0005-0000-0000-0000C5230000}"/>
    <cellStyle name="SAPBEXresItemX 8 4" xfId="9893" xr:uid="{00000000-0005-0000-0000-0000C6230000}"/>
    <cellStyle name="SAPBEXresItemX 9" xfId="1162" xr:uid="{00000000-0005-0000-0000-0000C7230000}"/>
    <cellStyle name="SAPBEXresItemX 9 2" xfId="9894" xr:uid="{00000000-0005-0000-0000-0000C8230000}"/>
    <cellStyle name="SAPBEXresItemX 9 3" xfId="9895" xr:uid="{00000000-0005-0000-0000-0000C9230000}"/>
    <cellStyle name="SAPBEXresItemX 9 4" xfId="9896" xr:uid="{00000000-0005-0000-0000-0000CA230000}"/>
    <cellStyle name="SAPBEXresItemX_Sheet2" xfId="1163" xr:uid="{00000000-0005-0000-0000-0000CB230000}"/>
    <cellStyle name="SAPBEXstdData" xfId="1164" xr:uid="{00000000-0005-0000-0000-0000CC230000}"/>
    <cellStyle name="SAPBEXstdData 10" xfId="1165" xr:uid="{00000000-0005-0000-0000-0000CD230000}"/>
    <cellStyle name="SAPBEXstdData 10 2" xfId="9897" xr:uid="{00000000-0005-0000-0000-0000CE230000}"/>
    <cellStyle name="SAPBEXstdData 10 3" xfId="9898" xr:uid="{00000000-0005-0000-0000-0000CF230000}"/>
    <cellStyle name="SAPBEXstdData 10 4" xfId="9899" xr:uid="{00000000-0005-0000-0000-0000D0230000}"/>
    <cellStyle name="SAPBEXstdData 11" xfId="1166" xr:uid="{00000000-0005-0000-0000-0000D1230000}"/>
    <cellStyle name="SAPBEXstdData 11 2" xfId="9900" xr:uid="{00000000-0005-0000-0000-0000D2230000}"/>
    <cellStyle name="SAPBEXstdData 11 3" xfId="9901" xr:uid="{00000000-0005-0000-0000-0000D3230000}"/>
    <cellStyle name="SAPBEXstdData 11 4" xfId="9902" xr:uid="{00000000-0005-0000-0000-0000D4230000}"/>
    <cellStyle name="SAPBEXstdData 12" xfId="1167" xr:uid="{00000000-0005-0000-0000-0000D5230000}"/>
    <cellStyle name="SAPBEXstdData 12 2" xfId="9903" xr:uid="{00000000-0005-0000-0000-0000D6230000}"/>
    <cellStyle name="SAPBEXstdData 12 3" xfId="9904" xr:uid="{00000000-0005-0000-0000-0000D7230000}"/>
    <cellStyle name="SAPBEXstdData 12 4" xfId="9905" xr:uid="{00000000-0005-0000-0000-0000D8230000}"/>
    <cellStyle name="SAPBEXstdData 13" xfId="1168" xr:uid="{00000000-0005-0000-0000-0000D9230000}"/>
    <cellStyle name="SAPBEXstdData 13 2" xfId="9906" xr:uid="{00000000-0005-0000-0000-0000DA230000}"/>
    <cellStyle name="SAPBEXstdData 13 3" xfId="9907" xr:uid="{00000000-0005-0000-0000-0000DB230000}"/>
    <cellStyle name="SAPBEXstdData 13 4" xfId="9908" xr:uid="{00000000-0005-0000-0000-0000DC230000}"/>
    <cellStyle name="SAPBEXstdData 14" xfId="1169" xr:uid="{00000000-0005-0000-0000-0000DD230000}"/>
    <cellStyle name="SAPBEXstdData 14 2" xfId="9909" xr:uid="{00000000-0005-0000-0000-0000DE230000}"/>
    <cellStyle name="SAPBEXstdData 14 3" xfId="9910" xr:uid="{00000000-0005-0000-0000-0000DF230000}"/>
    <cellStyle name="SAPBEXstdData 14 4" xfId="9911" xr:uid="{00000000-0005-0000-0000-0000E0230000}"/>
    <cellStyle name="SAPBEXstdData 15" xfId="1170" xr:uid="{00000000-0005-0000-0000-0000E1230000}"/>
    <cellStyle name="SAPBEXstdData 15 2" xfId="9912" xr:uid="{00000000-0005-0000-0000-0000E2230000}"/>
    <cellStyle name="SAPBEXstdData 15 3" xfId="9913" xr:uid="{00000000-0005-0000-0000-0000E3230000}"/>
    <cellStyle name="SAPBEXstdData 15 4" xfId="9914" xr:uid="{00000000-0005-0000-0000-0000E4230000}"/>
    <cellStyle name="SAPBEXstdData 16" xfId="1171" xr:uid="{00000000-0005-0000-0000-0000E5230000}"/>
    <cellStyle name="SAPBEXstdData 16 2" xfId="9915" xr:uid="{00000000-0005-0000-0000-0000E6230000}"/>
    <cellStyle name="SAPBEXstdData 16 3" xfId="9916" xr:uid="{00000000-0005-0000-0000-0000E7230000}"/>
    <cellStyle name="SAPBEXstdData 16 4" xfId="9917" xr:uid="{00000000-0005-0000-0000-0000E8230000}"/>
    <cellStyle name="SAPBEXstdData 17" xfId="1172" xr:uid="{00000000-0005-0000-0000-0000E9230000}"/>
    <cellStyle name="SAPBEXstdData 17 2" xfId="9918" xr:uid="{00000000-0005-0000-0000-0000EA230000}"/>
    <cellStyle name="SAPBEXstdData 17 3" xfId="9919" xr:uid="{00000000-0005-0000-0000-0000EB230000}"/>
    <cellStyle name="SAPBEXstdData 17 4" xfId="9920" xr:uid="{00000000-0005-0000-0000-0000EC230000}"/>
    <cellStyle name="SAPBEXstdData 18" xfId="1173" xr:uid="{00000000-0005-0000-0000-0000ED230000}"/>
    <cellStyle name="SAPBEXstdData 18 2" xfId="9921" xr:uid="{00000000-0005-0000-0000-0000EE230000}"/>
    <cellStyle name="SAPBEXstdData 18 3" xfId="9922" xr:uid="{00000000-0005-0000-0000-0000EF230000}"/>
    <cellStyle name="SAPBEXstdData 18 4" xfId="9923" xr:uid="{00000000-0005-0000-0000-0000F0230000}"/>
    <cellStyle name="SAPBEXstdData 19" xfId="1174" xr:uid="{00000000-0005-0000-0000-0000F1230000}"/>
    <cellStyle name="SAPBEXstdData 19 2" xfId="9924" xr:uid="{00000000-0005-0000-0000-0000F2230000}"/>
    <cellStyle name="SAPBEXstdData 19 3" xfId="9925" xr:uid="{00000000-0005-0000-0000-0000F3230000}"/>
    <cellStyle name="SAPBEXstdData 19 4" xfId="9926" xr:uid="{00000000-0005-0000-0000-0000F4230000}"/>
    <cellStyle name="SAPBEXstdData 2" xfId="1175" xr:uid="{00000000-0005-0000-0000-0000F5230000}"/>
    <cellStyle name="SAPBEXstdData 2 2" xfId="9927" xr:uid="{00000000-0005-0000-0000-0000F6230000}"/>
    <cellStyle name="SAPBEXstdData 2 3" xfId="9928" xr:uid="{00000000-0005-0000-0000-0000F7230000}"/>
    <cellStyle name="SAPBEXstdData 2 4" xfId="9929" xr:uid="{00000000-0005-0000-0000-0000F8230000}"/>
    <cellStyle name="SAPBEXstdData 20" xfId="1176" xr:uid="{00000000-0005-0000-0000-0000F9230000}"/>
    <cellStyle name="SAPBEXstdData 20 2" xfId="9930" xr:uid="{00000000-0005-0000-0000-0000FA230000}"/>
    <cellStyle name="SAPBEXstdData 20 3" xfId="9931" xr:uid="{00000000-0005-0000-0000-0000FB230000}"/>
    <cellStyle name="SAPBEXstdData 20 4" xfId="9932" xr:uid="{00000000-0005-0000-0000-0000FC230000}"/>
    <cellStyle name="SAPBEXstdData 21" xfId="9933" xr:uid="{00000000-0005-0000-0000-0000FD230000}"/>
    <cellStyle name="SAPBEXstdData 22" xfId="9934" xr:uid="{00000000-0005-0000-0000-0000FE230000}"/>
    <cellStyle name="SAPBEXstdData 23" xfId="9935" xr:uid="{00000000-0005-0000-0000-0000FF230000}"/>
    <cellStyle name="SAPBEXstdData 3" xfId="1177" xr:uid="{00000000-0005-0000-0000-000000240000}"/>
    <cellStyle name="SAPBEXstdData 3 2" xfId="9936" xr:uid="{00000000-0005-0000-0000-000001240000}"/>
    <cellStyle name="SAPBEXstdData 3 3" xfId="9937" xr:uid="{00000000-0005-0000-0000-000002240000}"/>
    <cellStyle name="SAPBEXstdData 3 4" xfId="9938" xr:uid="{00000000-0005-0000-0000-000003240000}"/>
    <cellStyle name="SAPBEXstdData 4" xfId="1178" xr:uid="{00000000-0005-0000-0000-000004240000}"/>
    <cellStyle name="SAPBEXstdData 4 2" xfId="9939" xr:uid="{00000000-0005-0000-0000-000005240000}"/>
    <cellStyle name="SAPBEXstdData 4 3" xfId="9940" xr:uid="{00000000-0005-0000-0000-000006240000}"/>
    <cellStyle name="SAPBEXstdData 4 4" xfId="9941" xr:uid="{00000000-0005-0000-0000-000007240000}"/>
    <cellStyle name="SAPBEXstdData 5" xfId="1179" xr:uid="{00000000-0005-0000-0000-000008240000}"/>
    <cellStyle name="SAPBEXstdData 5 2" xfId="9942" xr:uid="{00000000-0005-0000-0000-000009240000}"/>
    <cellStyle name="SAPBEXstdData 5 3" xfId="9943" xr:uid="{00000000-0005-0000-0000-00000A240000}"/>
    <cellStyle name="SAPBEXstdData 5 4" xfId="9944" xr:uid="{00000000-0005-0000-0000-00000B240000}"/>
    <cellStyle name="SAPBEXstdData 6" xfId="1180" xr:uid="{00000000-0005-0000-0000-00000C240000}"/>
    <cellStyle name="SAPBEXstdData 6 2" xfId="9945" xr:uid="{00000000-0005-0000-0000-00000D240000}"/>
    <cellStyle name="SAPBEXstdData 6 3" xfId="9946" xr:uid="{00000000-0005-0000-0000-00000E240000}"/>
    <cellStyle name="SAPBEXstdData 6 4" xfId="9947" xr:uid="{00000000-0005-0000-0000-00000F240000}"/>
    <cellStyle name="SAPBEXstdData 7" xfId="1181" xr:uid="{00000000-0005-0000-0000-000010240000}"/>
    <cellStyle name="SAPBEXstdData 7 2" xfId="9948" xr:uid="{00000000-0005-0000-0000-000011240000}"/>
    <cellStyle name="SAPBEXstdData 7 3" xfId="9949" xr:uid="{00000000-0005-0000-0000-000012240000}"/>
    <cellStyle name="SAPBEXstdData 7 4" xfId="9950" xr:uid="{00000000-0005-0000-0000-000013240000}"/>
    <cellStyle name="SAPBEXstdData 8" xfId="1182" xr:uid="{00000000-0005-0000-0000-000014240000}"/>
    <cellStyle name="SAPBEXstdData 8 2" xfId="9951" xr:uid="{00000000-0005-0000-0000-000015240000}"/>
    <cellStyle name="SAPBEXstdData 8 3" xfId="9952" xr:uid="{00000000-0005-0000-0000-000016240000}"/>
    <cellStyle name="SAPBEXstdData 8 4" xfId="9953" xr:uid="{00000000-0005-0000-0000-000017240000}"/>
    <cellStyle name="SAPBEXstdData 9" xfId="1183" xr:uid="{00000000-0005-0000-0000-000018240000}"/>
    <cellStyle name="SAPBEXstdData 9 2" xfId="9954" xr:uid="{00000000-0005-0000-0000-000019240000}"/>
    <cellStyle name="SAPBEXstdData 9 3" xfId="9955" xr:uid="{00000000-0005-0000-0000-00001A240000}"/>
    <cellStyle name="SAPBEXstdData 9 4" xfId="9956" xr:uid="{00000000-0005-0000-0000-00001B240000}"/>
    <cellStyle name="SAPBEXstdData_Sheet2" xfId="1184" xr:uid="{00000000-0005-0000-0000-00001C240000}"/>
    <cellStyle name="SAPBEXstdDataEmph" xfId="1185" xr:uid="{00000000-0005-0000-0000-00001D240000}"/>
    <cellStyle name="SAPBEXstdDataEmph 10" xfId="1186" xr:uid="{00000000-0005-0000-0000-00001E240000}"/>
    <cellStyle name="SAPBEXstdDataEmph 10 2" xfId="9957" xr:uid="{00000000-0005-0000-0000-00001F240000}"/>
    <cellStyle name="SAPBEXstdDataEmph 10 3" xfId="9958" xr:uid="{00000000-0005-0000-0000-000020240000}"/>
    <cellStyle name="SAPBEXstdDataEmph 10 4" xfId="9959" xr:uid="{00000000-0005-0000-0000-000021240000}"/>
    <cellStyle name="SAPBEXstdDataEmph 11" xfId="1187" xr:uid="{00000000-0005-0000-0000-000022240000}"/>
    <cellStyle name="SAPBEXstdDataEmph 11 2" xfId="9960" xr:uid="{00000000-0005-0000-0000-000023240000}"/>
    <cellStyle name="SAPBEXstdDataEmph 11 3" xfId="9961" xr:uid="{00000000-0005-0000-0000-000024240000}"/>
    <cellStyle name="SAPBEXstdDataEmph 11 4" xfId="9962" xr:uid="{00000000-0005-0000-0000-000025240000}"/>
    <cellStyle name="SAPBEXstdDataEmph 12" xfId="1188" xr:uid="{00000000-0005-0000-0000-000026240000}"/>
    <cellStyle name="SAPBEXstdDataEmph 12 2" xfId="9963" xr:uid="{00000000-0005-0000-0000-000027240000}"/>
    <cellStyle name="SAPBEXstdDataEmph 12 3" xfId="9964" xr:uid="{00000000-0005-0000-0000-000028240000}"/>
    <cellStyle name="SAPBEXstdDataEmph 12 4" xfId="9965" xr:uid="{00000000-0005-0000-0000-000029240000}"/>
    <cellStyle name="SAPBEXstdDataEmph 13" xfId="1189" xr:uid="{00000000-0005-0000-0000-00002A240000}"/>
    <cellStyle name="SAPBEXstdDataEmph 13 2" xfId="9966" xr:uid="{00000000-0005-0000-0000-00002B240000}"/>
    <cellStyle name="SAPBEXstdDataEmph 13 3" xfId="9967" xr:uid="{00000000-0005-0000-0000-00002C240000}"/>
    <cellStyle name="SAPBEXstdDataEmph 13 4" xfId="9968" xr:uid="{00000000-0005-0000-0000-00002D240000}"/>
    <cellStyle name="SAPBEXstdDataEmph 14" xfId="1190" xr:uid="{00000000-0005-0000-0000-00002E240000}"/>
    <cellStyle name="SAPBEXstdDataEmph 14 2" xfId="9969" xr:uid="{00000000-0005-0000-0000-00002F240000}"/>
    <cellStyle name="SAPBEXstdDataEmph 14 3" xfId="9970" xr:uid="{00000000-0005-0000-0000-000030240000}"/>
    <cellStyle name="SAPBEXstdDataEmph 14 4" xfId="9971" xr:uid="{00000000-0005-0000-0000-000031240000}"/>
    <cellStyle name="SAPBEXstdDataEmph 15" xfId="1191" xr:uid="{00000000-0005-0000-0000-000032240000}"/>
    <cellStyle name="SAPBEXstdDataEmph 15 2" xfId="9972" xr:uid="{00000000-0005-0000-0000-000033240000}"/>
    <cellStyle name="SAPBEXstdDataEmph 15 3" xfId="9973" xr:uid="{00000000-0005-0000-0000-000034240000}"/>
    <cellStyle name="SAPBEXstdDataEmph 15 4" xfId="9974" xr:uid="{00000000-0005-0000-0000-000035240000}"/>
    <cellStyle name="SAPBEXstdDataEmph 16" xfId="1192" xr:uid="{00000000-0005-0000-0000-000036240000}"/>
    <cellStyle name="SAPBEXstdDataEmph 16 2" xfId="9975" xr:uid="{00000000-0005-0000-0000-000037240000}"/>
    <cellStyle name="SAPBEXstdDataEmph 16 3" xfId="9976" xr:uid="{00000000-0005-0000-0000-000038240000}"/>
    <cellStyle name="SAPBEXstdDataEmph 16 4" xfId="9977" xr:uid="{00000000-0005-0000-0000-000039240000}"/>
    <cellStyle name="SAPBEXstdDataEmph 17" xfId="1193" xr:uid="{00000000-0005-0000-0000-00003A240000}"/>
    <cellStyle name="SAPBEXstdDataEmph 17 2" xfId="9978" xr:uid="{00000000-0005-0000-0000-00003B240000}"/>
    <cellStyle name="SAPBEXstdDataEmph 17 3" xfId="9979" xr:uid="{00000000-0005-0000-0000-00003C240000}"/>
    <cellStyle name="SAPBEXstdDataEmph 17 4" xfId="9980" xr:uid="{00000000-0005-0000-0000-00003D240000}"/>
    <cellStyle name="SAPBEXstdDataEmph 18" xfId="1194" xr:uid="{00000000-0005-0000-0000-00003E240000}"/>
    <cellStyle name="SAPBEXstdDataEmph 18 2" xfId="9981" xr:uid="{00000000-0005-0000-0000-00003F240000}"/>
    <cellStyle name="SAPBEXstdDataEmph 18 3" xfId="9982" xr:uid="{00000000-0005-0000-0000-000040240000}"/>
    <cellStyle name="SAPBEXstdDataEmph 18 4" xfId="9983" xr:uid="{00000000-0005-0000-0000-000041240000}"/>
    <cellStyle name="SAPBEXstdDataEmph 19" xfId="1195" xr:uid="{00000000-0005-0000-0000-000042240000}"/>
    <cellStyle name="SAPBEXstdDataEmph 19 2" xfId="9984" xr:uid="{00000000-0005-0000-0000-000043240000}"/>
    <cellStyle name="SAPBEXstdDataEmph 19 3" xfId="9985" xr:uid="{00000000-0005-0000-0000-000044240000}"/>
    <cellStyle name="SAPBEXstdDataEmph 19 4" xfId="9986" xr:uid="{00000000-0005-0000-0000-000045240000}"/>
    <cellStyle name="SAPBEXstdDataEmph 2" xfId="1196" xr:uid="{00000000-0005-0000-0000-000046240000}"/>
    <cellStyle name="SAPBEXstdDataEmph 2 2" xfId="9987" xr:uid="{00000000-0005-0000-0000-000047240000}"/>
    <cellStyle name="SAPBEXstdDataEmph 2 3" xfId="9988" xr:uid="{00000000-0005-0000-0000-000048240000}"/>
    <cellStyle name="SAPBEXstdDataEmph 2 4" xfId="9989" xr:uid="{00000000-0005-0000-0000-000049240000}"/>
    <cellStyle name="SAPBEXstdDataEmph 20" xfId="1197" xr:uid="{00000000-0005-0000-0000-00004A240000}"/>
    <cellStyle name="SAPBEXstdDataEmph 20 2" xfId="9990" xr:uid="{00000000-0005-0000-0000-00004B240000}"/>
    <cellStyle name="SAPBEXstdDataEmph 20 3" xfId="9991" xr:uid="{00000000-0005-0000-0000-00004C240000}"/>
    <cellStyle name="SAPBEXstdDataEmph 20 4" xfId="9992" xr:uid="{00000000-0005-0000-0000-00004D240000}"/>
    <cellStyle name="SAPBEXstdDataEmph 21" xfId="9993" xr:uid="{00000000-0005-0000-0000-00004E240000}"/>
    <cellStyle name="SAPBEXstdDataEmph 22" xfId="9994" xr:uid="{00000000-0005-0000-0000-00004F240000}"/>
    <cellStyle name="SAPBEXstdDataEmph 23" xfId="9995" xr:uid="{00000000-0005-0000-0000-000050240000}"/>
    <cellStyle name="SAPBEXstdDataEmph 3" xfId="1198" xr:uid="{00000000-0005-0000-0000-000051240000}"/>
    <cellStyle name="SAPBEXstdDataEmph 3 2" xfId="9996" xr:uid="{00000000-0005-0000-0000-000052240000}"/>
    <cellStyle name="SAPBEXstdDataEmph 3 3" xfId="9997" xr:uid="{00000000-0005-0000-0000-000053240000}"/>
    <cellStyle name="SAPBEXstdDataEmph 3 4" xfId="9998" xr:uid="{00000000-0005-0000-0000-000054240000}"/>
    <cellStyle name="SAPBEXstdDataEmph 4" xfId="1199" xr:uid="{00000000-0005-0000-0000-000055240000}"/>
    <cellStyle name="SAPBEXstdDataEmph 4 2" xfId="9999" xr:uid="{00000000-0005-0000-0000-000056240000}"/>
    <cellStyle name="SAPBEXstdDataEmph 4 3" xfId="10000" xr:uid="{00000000-0005-0000-0000-000057240000}"/>
    <cellStyle name="SAPBEXstdDataEmph 4 4" xfId="10001" xr:uid="{00000000-0005-0000-0000-000058240000}"/>
    <cellStyle name="SAPBEXstdDataEmph 5" xfId="1200" xr:uid="{00000000-0005-0000-0000-000059240000}"/>
    <cellStyle name="SAPBEXstdDataEmph 5 2" xfId="10002" xr:uid="{00000000-0005-0000-0000-00005A240000}"/>
    <cellStyle name="SAPBEXstdDataEmph 5 3" xfId="10003" xr:uid="{00000000-0005-0000-0000-00005B240000}"/>
    <cellStyle name="SAPBEXstdDataEmph 5 4" xfId="10004" xr:uid="{00000000-0005-0000-0000-00005C240000}"/>
    <cellStyle name="SAPBEXstdDataEmph 6" xfId="1201" xr:uid="{00000000-0005-0000-0000-00005D240000}"/>
    <cellStyle name="SAPBEXstdDataEmph 6 2" xfId="10005" xr:uid="{00000000-0005-0000-0000-00005E240000}"/>
    <cellStyle name="SAPBEXstdDataEmph 6 3" xfId="10006" xr:uid="{00000000-0005-0000-0000-00005F240000}"/>
    <cellStyle name="SAPBEXstdDataEmph 6 4" xfId="10007" xr:uid="{00000000-0005-0000-0000-000060240000}"/>
    <cellStyle name="SAPBEXstdDataEmph 7" xfId="1202" xr:uid="{00000000-0005-0000-0000-000061240000}"/>
    <cellStyle name="SAPBEXstdDataEmph 7 2" xfId="10008" xr:uid="{00000000-0005-0000-0000-000062240000}"/>
    <cellStyle name="SAPBEXstdDataEmph 7 3" xfId="10009" xr:uid="{00000000-0005-0000-0000-000063240000}"/>
    <cellStyle name="SAPBEXstdDataEmph 7 4" xfId="10010" xr:uid="{00000000-0005-0000-0000-000064240000}"/>
    <cellStyle name="SAPBEXstdDataEmph 8" xfId="1203" xr:uid="{00000000-0005-0000-0000-000065240000}"/>
    <cellStyle name="SAPBEXstdDataEmph 8 2" xfId="10011" xr:uid="{00000000-0005-0000-0000-000066240000}"/>
    <cellStyle name="SAPBEXstdDataEmph 8 3" xfId="10012" xr:uid="{00000000-0005-0000-0000-000067240000}"/>
    <cellStyle name="SAPBEXstdDataEmph 8 4" xfId="10013" xr:uid="{00000000-0005-0000-0000-000068240000}"/>
    <cellStyle name="SAPBEXstdDataEmph 9" xfId="1204" xr:uid="{00000000-0005-0000-0000-000069240000}"/>
    <cellStyle name="SAPBEXstdDataEmph 9 2" xfId="10014" xr:uid="{00000000-0005-0000-0000-00006A240000}"/>
    <cellStyle name="SAPBEXstdDataEmph 9 3" xfId="10015" xr:uid="{00000000-0005-0000-0000-00006B240000}"/>
    <cellStyle name="SAPBEXstdDataEmph 9 4" xfId="10016" xr:uid="{00000000-0005-0000-0000-00006C240000}"/>
    <cellStyle name="SAPBEXstdDataEmph_Sheet2" xfId="1205" xr:uid="{00000000-0005-0000-0000-00006D240000}"/>
    <cellStyle name="SAPBEXstdItem" xfId="1206" xr:uid="{00000000-0005-0000-0000-00006E240000}"/>
    <cellStyle name="SAPBEXstdItem 10" xfId="1207" xr:uid="{00000000-0005-0000-0000-00006F240000}"/>
    <cellStyle name="SAPBEXstdItem 10 2" xfId="10017" xr:uid="{00000000-0005-0000-0000-000070240000}"/>
    <cellStyle name="SAPBEXstdItem 10 3" xfId="10018" xr:uid="{00000000-0005-0000-0000-000071240000}"/>
    <cellStyle name="SAPBEXstdItem 10 4" xfId="10019" xr:uid="{00000000-0005-0000-0000-000072240000}"/>
    <cellStyle name="SAPBEXstdItem 11" xfId="1208" xr:uid="{00000000-0005-0000-0000-000073240000}"/>
    <cellStyle name="SAPBEXstdItem 11 2" xfId="10020" xr:uid="{00000000-0005-0000-0000-000074240000}"/>
    <cellStyle name="SAPBEXstdItem 11 3" xfId="10021" xr:uid="{00000000-0005-0000-0000-000075240000}"/>
    <cellStyle name="SAPBEXstdItem 11 4" xfId="10022" xr:uid="{00000000-0005-0000-0000-000076240000}"/>
    <cellStyle name="SAPBEXstdItem 12" xfId="1209" xr:uid="{00000000-0005-0000-0000-000077240000}"/>
    <cellStyle name="SAPBEXstdItem 12 2" xfId="10023" xr:uid="{00000000-0005-0000-0000-000078240000}"/>
    <cellStyle name="SAPBEXstdItem 12 3" xfId="10024" xr:uid="{00000000-0005-0000-0000-000079240000}"/>
    <cellStyle name="SAPBEXstdItem 12 4" xfId="10025" xr:uid="{00000000-0005-0000-0000-00007A240000}"/>
    <cellStyle name="SAPBEXstdItem 13" xfId="1210" xr:uid="{00000000-0005-0000-0000-00007B240000}"/>
    <cellStyle name="SAPBEXstdItem 13 2" xfId="10026" xr:uid="{00000000-0005-0000-0000-00007C240000}"/>
    <cellStyle name="SAPBEXstdItem 13 3" xfId="10027" xr:uid="{00000000-0005-0000-0000-00007D240000}"/>
    <cellStyle name="SAPBEXstdItem 13 4" xfId="10028" xr:uid="{00000000-0005-0000-0000-00007E240000}"/>
    <cellStyle name="SAPBEXstdItem 14" xfId="1211" xr:uid="{00000000-0005-0000-0000-00007F240000}"/>
    <cellStyle name="SAPBEXstdItem 14 2" xfId="10029" xr:uid="{00000000-0005-0000-0000-000080240000}"/>
    <cellStyle name="SAPBEXstdItem 14 3" xfId="10030" xr:uid="{00000000-0005-0000-0000-000081240000}"/>
    <cellStyle name="SAPBEXstdItem 14 4" xfId="10031" xr:uid="{00000000-0005-0000-0000-000082240000}"/>
    <cellStyle name="SAPBEXstdItem 15" xfId="1212" xr:uid="{00000000-0005-0000-0000-000083240000}"/>
    <cellStyle name="SAPBEXstdItem 15 2" xfId="10032" xr:uid="{00000000-0005-0000-0000-000084240000}"/>
    <cellStyle name="SAPBEXstdItem 15 3" xfId="10033" xr:uid="{00000000-0005-0000-0000-000085240000}"/>
    <cellStyle name="SAPBEXstdItem 15 4" xfId="10034" xr:uid="{00000000-0005-0000-0000-000086240000}"/>
    <cellStyle name="SAPBEXstdItem 16" xfId="1213" xr:uid="{00000000-0005-0000-0000-000087240000}"/>
    <cellStyle name="SAPBEXstdItem 16 2" xfId="10035" xr:uid="{00000000-0005-0000-0000-000088240000}"/>
    <cellStyle name="SAPBEXstdItem 16 3" xfId="10036" xr:uid="{00000000-0005-0000-0000-000089240000}"/>
    <cellStyle name="SAPBEXstdItem 16 4" xfId="10037" xr:uid="{00000000-0005-0000-0000-00008A240000}"/>
    <cellStyle name="SAPBEXstdItem 17" xfId="1214" xr:uid="{00000000-0005-0000-0000-00008B240000}"/>
    <cellStyle name="SAPBEXstdItem 17 2" xfId="10038" xr:uid="{00000000-0005-0000-0000-00008C240000}"/>
    <cellStyle name="SAPBEXstdItem 17 3" xfId="10039" xr:uid="{00000000-0005-0000-0000-00008D240000}"/>
    <cellStyle name="SAPBEXstdItem 17 4" xfId="10040" xr:uid="{00000000-0005-0000-0000-00008E240000}"/>
    <cellStyle name="SAPBEXstdItem 18" xfId="1215" xr:uid="{00000000-0005-0000-0000-00008F240000}"/>
    <cellStyle name="SAPBEXstdItem 18 2" xfId="10041" xr:uid="{00000000-0005-0000-0000-000090240000}"/>
    <cellStyle name="SAPBEXstdItem 18 3" xfId="10042" xr:uid="{00000000-0005-0000-0000-000091240000}"/>
    <cellStyle name="SAPBEXstdItem 18 4" xfId="10043" xr:uid="{00000000-0005-0000-0000-000092240000}"/>
    <cellStyle name="SAPBEXstdItem 19" xfId="1216" xr:uid="{00000000-0005-0000-0000-000093240000}"/>
    <cellStyle name="SAPBEXstdItem 19 2" xfId="10044" xr:uid="{00000000-0005-0000-0000-000094240000}"/>
    <cellStyle name="SAPBEXstdItem 19 3" xfId="10045" xr:uid="{00000000-0005-0000-0000-000095240000}"/>
    <cellStyle name="SAPBEXstdItem 19 4" xfId="10046" xr:uid="{00000000-0005-0000-0000-000096240000}"/>
    <cellStyle name="SAPBEXstdItem 2" xfId="1217" xr:uid="{00000000-0005-0000-0000-000097240000}"/>
    <cellStyle name="SAPBEXstdItem 2 2" xfId="10047" xr:uid="{00000000-0005-0000-0000-000098240000}"/>
    <cellStyle name="SAPBEXstdItem 2 3" xfId="10048" xr:uid="{00000000-0005-0000-0000-000099240000}"/>
    <cellStyle name="SAPBEXstdItem 2 4" xfId="10049" xr:uid="{00000000-0005-0000-0000-00009A240000}"/>
    <cellStyle name="SAPBEXstdItem 20" xfId="1218" xr:uid="{00000000-0005-0000-0000-00009B240000}"/>
    <cellStyle name="SAPBEXstdItem 20 2" xfId="10050" xr:uid="{00000000-0005-0000-0000-00009C240000}"/>
    <cellStyle name="SAPBEXstdItem 20 3" xfId="10051" xr:uid="{00000000-0005-0000-0000-00009D240000}"/>
    <cellStyle name="SAPBEXstdItem 20 4" xfId="10052" xr:uid="{00000000-0005-0000-0000-00009E240000}"/>
    <cellStyle name="SAPBEXstdItem 21" xfId="10053" xr:uid="{00000000-0005-0000-0000-00009F240000}"/>
    <cellStyle name="SAPBEXstdItem 22" xfId="10054" xr:uid="{00000000-0005-0000-0000-0000A0240000}"/>
    <cellStyle name="SAPBEXstdItem 23" xfId="10055" xr:uid="{00000000-0005-0000-0000-0000A1240000}"/>
    <cellStyle name="SAPBEXstdItem 3" xfId="1219" xr:uid="{00000000-0005-0000-0000-0000A2240000}"/>
    <cellStyle name="SAPBEXstdItem 3 2" xfId="10056" xr:uid="{00000000-0005-0000-0000-0000A3240000}"/>
    <cellStyle name="SAPBEXstdItem 3 3" xfId="10057" xr:uid="{00000000-0005-0000-0000-0000A4240000}"/>
    <cellStyle name="SAPBEXstdItem 3 4" xfId="10058" xr:uid="{00000000-0005-0000-0000-0000A5240000}"/>
    <cellStyle name="SAPBEXstdItem 4" xfId="1220" xr:uid="{00000000-0005-0000-0000-0000A6240000}"/>
    <cellStyle name="SAPBEXstdItem 4 2" xfId="10059" xr:uid="{00000000-0005-0000-0000-0000A7240000}"/>
    <cellStyle name="SAPBEXstdItem 4 3" xfId="10060" xr:uid="{00000000-0005-0000-0000-0000A8240000}"/>
    <cellStyle name="SAPBEXstdItem 4 4" xfId="10061" xr:uid="{00000000-0005-0000-0000-0000A9240000}"/>
    <cellStyle name="SAPBEXstdItem 5" xfId="1221" xr:uid="{00000000-0005-0000-0000-0000AA240000}"/>
    <cellStyle name="SAPBEXstdItem 5 2" xfId="10062" xr:uid="{00000000-0005-0000-0000-0000AB240000}"/>
    <cellStyle name="SAPBEXstdItem 5 3" xfId="10063" xr:uid="{00000000-0005-0000-0000-0000AC240000}"/>
    <cellStyle name="SAPBEXstdItem 5 4" xfId="10064" xr:uid="{00000000-0005-0000-0000-0000AD240000}"/>
    <cellStyle name="SAPBEXstdItem 6" xfId="1222" xr:uid="{00000000-0005-0000-0000-0000AE240000}"/>
    <cellStyle name="SAPBEXstdItem 6 2" xfId="10065" xr:uid="{00000000-0005-0000-0000-0000AF240000}"/>
    <cellStyle name="SAPBEXstdItem 6 3" xfId="10066" xr:uid="{00000000-0005-0000-0000-0000B0240000}"/>
    <cellStyle name="SAPBEXstdItem 6 4" xfId="10067" xr:uid="{00000000-0005-0000-0000-0000B1240000}"/>
    <cellStyle name="SAPBEXstdItem 7" xfId="1223" xr:uid="{00000000-0005-0000-0000-0000B2240000}"/>
    <cellStyle name="SAPBEXstdItem 7 2" xfId="10068" xr:uid="{00000000-0005-0000-0000-0000B3240000}"/>
    <cellStyle name="SAPBEXstdItem 7 3" xfId="10069" xr:uid="{00000000-0005-0000-0000-0000B4240000}"/>
    <cellStyle name="SAPBEXstdItem 7 4" xfId="10070" xr:uid="{00000000-0005-0000-0000-0000B5240000}"/>
    <cellStyle name="SAPBEXstdItem 8" xfId="1224" xr:uid="{00000000-0005-0000-0000-0000B6240000}"/>
    <cellStyle name="SAPBEXstdItem 8 2" xfId="10071" xr:uid="{00000000-0005-0000-0000-0000B7240000}"/>
    <cellStyle name="SAPBEXstdItem 8 3" xfId="10072" xr:uid="{00000000-0005-0000-0000-0000B8240000}"/>
    <cellStyle name="SAPBEXstdItem 8 4" xfId="10073" xr:uid="{00000000-0005-0000-0000-0000B9240000}"/>
    <cellStyle name="SAPBEXstdItem 9" xfId="1225" xr:uid="{00000000-0005-0000-0000-0000BA240000}"/>
    <cellStyle name="SAPBEXstdItem 9 2" xfId="10074" xr:uid="{00000000-0005-0000-0000-0000BB240000}"/>
    <cellStyle name="SAPBEXstdItem 9 3" xfId="10075" xr:uid="{00000000-0005-0000-0000-0000BC240000}"/>
    <cellStyle name="SAPBEXstdItem 9 4" xfId="10076" xr:uid="{00000000-0005-0000-0000-0000BD240000}"/>
    <cellStyle name="SAPBEXstdItem_Sheet2" xfId="1226" xr:uid="{00000000-0005-0000-0000-0000BE240000}"/>
    <cellStyle name="SAPBEXstdItemX" xfId="1227" xr:uid="{00000000-0005-0000-0000-0000BF240000}"/>
    <cellStyle name="SAPBEXstdItemX 10" xfId="1228" xr:uid="{00000000-0005-0000-0000-0000C0240000}"/>
    <cellStyle name="SAPBEXstdItemX 10 2" xfId="10077" xr:uid="{00000000-0005-0000-0000-0000C1240000}"/>
    <cellStyle name="SAPBEXstdItemX 10 3" xfId="10078" xr:uid="{00000000-0005-0000-0000-0000C2240000}"/>
    <cellStyle name="SAPBEXstdItemX 10 4" xfId="10079" xr:uid="{00000000-0005-0000-0000-0000C3240000}"/>
    <cellStyle name="SAPBEXstdItemX 11" xfId="1229" xr:uid="{00000000-0005-0000-0000-0000C4240000}"/>
    <cellStyle name="SAPBEXstdItemX 11 2" xfId="10080" xr:uid="{00000000-0005-0000-0000-0000C5240000}"/>
    <cellStyle name="SAPBEXstdItemX 11 3" xfId="10081" xr:uid="{00000000-0005-0000-0000-0000C6240000}"/>
    <cellStyle name="SAPBEXstdItemX 11 4" xfId="10082" xr:uid="{00000000-0005-0000-0000-0000C7240000}"/>
    <cellStyle name="SAPBEXstdItemX 12" xfId="1230" xr:uid="{00000000-0005-0000-0000-0000C8240000}"/>
    <cellStyle name="SAPBEXstdItemX 12 2" xfId="10083" xr:uid="{00000000-0005-0000-0000-0000C9240000}"/>
    <cellStyle name="SAPBEXstdItemX 12 3" xfId="10084" xr:uid="{00000000-0005-0000-0000-0000CA240000}"/>
    <cellStyle name="SAPBEXstdItemX 12 4" xfId="10085" xr:uid="{00000000-0005-0000-0000-0000CB240000}"/>
    <cellStyle name="SAPBEXstdItemX 13" xfId="1231" xr:uid="{00000000-0005-0000-0000-0000CC240000}"/>
    <cellStyle name="SAPBEXstdItemX 13 2" xfId="10086" xr:uid="{00000000-0005-0000-0000-0000CD240000}"/>
    <cellStyle name="SAPBEXstdItemX 13 3" xfId="10087" xr:uid="{00000000-0005-0000-0000-0000CE240000}"/>
    <cellStyle name="SAPBEXstdItemX 13 4" xfId="10088" xr:uid="{00000000-0005-0000-0000-0000CF240000}"/>
    <cellStyle name="SAPBEXstdItemX 14" xfId="1232" xr:uid="{00000000-0005-0000-0000-0000D0240000}"/>
    <cellStyle name="SAPBEXstdItemX 14 2" xfId="10089" xr:uid="{00000000-0005-0000-0000-0000D1240000}"/>
    <cellStyle name="SAPBEXstdItemX 14 3" xfId="10090" xr:uid="{00000000-0005-0000-0000-0000D2240000}"/>
    <cellStyle name="SAPBEXstdItemX 14 4" xfId="10091" xr:uid="{00000000-0005-0000-0000-0000D3240000}"/>
    <cellStyle name="SAPBEXstdItemX 15" xfId="1233" xr:uid="{00000000-0005-0000-0000-0000D4240000}"/>
    <cellStyle name="SAPBEXstdItemX 15 2" xfId="10092" xr:uid="{00000000-0005-0000-0000-0000D5240000}"/>
    <cellStyle name="SAPBEXstdItemX 15 3" xfId="10093" xr:uid="{00000000-0005-0000-0000-0000D6240000}"/>
    <cellStyle name="SAPBEXstdItemX 15 4" xfId="10094" xr:uid="{00000000-0005-0000-0000-0000D7240000}"/>
    <cellStyle name="SAPBEXstdItemX 16" xfId="1234" xr:uid="{00000000-0005-0000-0000-0000D8240000}"/>
    <cellStyle name="SAPBEXstdItemX 16 2" xfId="10095" xr:uid="{00000000-0005-0000-0000-0000D9240000}"/>
    <cellStyle name="SAPBEXstdItemX 16 3" xfId="10096" xr:uid="{00000000-0005-0000-0000-0000DA240000}"/>
    <cellStyle name="SAPBEXstdItemX 16 4" xfId="10097" xr:uid="{00000000-0005-0000-0000-0000DB240000}"/>
    <cellStyle name="SAPBEXstdItemX 17" xfId="1235" xr:uid="{00000000-0005-0000-0000-0000DC240000}"/>
    <cellStyle name="SAPBEXstdItemX 17 2" xfId="10098" xr:uid="{00000000-0005-0000-0000-0000DD240000}"/>
    <cellStyle name="SAPBEXstdItemX 17 3" xfId="10099" xr:uid="{00000000-0005-0000-0000-0000DE240000}"/>
    <cellStyle name="SAPBEXstdItemX 17 4" xfId="10100" xr:uid="{00000000-0005-0000-0000-0000DF240000}"/>
    <cellStyle name="SAPBEXstdItemX 18" xfId="1236" xr:uid="{00000000-0005-0000-0000-0000E0240000}"/>
    <cellStyle name="SAPBEXstdItemX 18 2" xfId="10101" xr:uid="{00000000-0005-0000-0000-0000E1240000}"/>
    <cellStyle name="SAPBEXstdItemX 18 3" xfId="10102" xr:uid="{00000000-0005-0000-0000-0000E2240000}"/>
    <cellStyle name="SAPBEXstdItemX 18 4" xfId="10103" xr:uid="{00000000-0005-0000-0000-0000E3240000}"/>
    <cellStyle name="SAPBEXstdItemX 19" xfId="1237" xr:uid="{00000000-0005-0000-0000-0000E4240000}"/>
    <cellStyle name="SAPBEXstdItemX 19 2" xfId="10104" xr:uid="{00000000-0005-0000-0000-0000E5240000}"/>
    <cellStyle name="SAPBEXstdItemX 19 3" xfId="10105" xr:uid="{00000000-0005-0000-0000-0000E6240000}"/>
    <cellStyle name="SAPBEXstdItemX 19 4" xfId="10106" xr:uid="{00000000-0005-0000-0000-0000E7240000}"/>
    <cellStyle name="SAPBEXstdItemX 2" xfId="1238" xr:uid="{00000000-0005-0000-0000-0000E8240000}"/>
    <cellStyle name="SAPBEXstdItemX 2 2" xfId="10107" xr:uid="{00000000-0005-0000-0000-0000E9240000}"/>
    <cellStyle name="SAPBEXstdItemX 2 3" xfId="10108" xr:uid="{00000000-0005-0000-0000-0000EA240000}"/>
    <cellStyle name="SAPBEXstdItemX 2 4" xfId="10109" xr:uid="{00000000-0005-0000-0000-0000EB240000}"/>
    <cellStyle name="SAPBEXstdItemX 20" xfId="1239" xr:uid="{00000000-0005-0000-0000-0000EC240000}"/>
    <cellStyle name="SAPBEXstdItemX 20 2" xfId="10110" xr:uid="{00000000-0005-0000-0000-0000ED240000}"/>
    <cellStyle name="SAPBEXstdItemX 20 3" xfId="10111" xr:uid="{00000000-0005-0000-0000-0000EE240000}"/>
    <cellStyle name="SAPBEXstdItemX 20 4" xfId="10112" xr:uid="{00000000-0005-0000-0000-0000EF240000}"/>
    <cellStyle name="SAPBEXstdItemX 21" xfId="10113" xr:uid="{00000000-0005-0000-0000-0000F0240000}"/>
    <cellStyle name="SAPBEXstdItemX 22" xfId="10114" xr:uid="{00000000-0005-0000-0000-0000F1240000}"/>
    <cellStyle name="SAPBEXstdItemX 23" xfId="10115" xr:uid="{00000000-0005-0000-0000-0000F2240000}"/>
    <cellStyle name="SAPBEXstdItemX 3" xfId="1240" xr:uid="{00000000-0005-0000-0000-0000F3240000}"/>
    <cellStyle name="SAPBEXstdItemX 3 2" xfId="10116" xr:uid="{00000000-0005-0000-0000-0000F4240000}"/>
    <cellStyle name="SAPBEXstdItemX 3 3" xfId="10117" xr:uid="{00000000-0005-0000-0000-0000F5240000}"/>
    <cellStyle name="SAPBEXstdItemX 3 4" xfId="10118" xr:uid="{00000000-0005-0000-0000-0000F6240000}"/>
    <cellStyle name="SAPBEXstdItemX 4" xfId="1241" xr:uid="{00000000-0005-0000-0000-0000F7240000}"/>
    <cellStyle name="SAPBEXstdItemX 4 2" xfId="10119" xr:uid="{00000000-0005-0000-0000-0000F8240000}"/>
    <cellStyle name="SAPBEXstdItemX 4 3" xfId="10120" xr:uid="{00000000-0005-0000-0000-0000F9240000}"/>
    <cellStyle name="SAPBEXstdItemX 4 4" xfId="10121" xr:uid="{00000000-0005-0000-0000-0000FA240000}"/>
    <cellStyle name="SAPBEXstdItemX 5" xfId="1242" xr:uid="{00000000-0005-0000-0000-0000FB240000}"/>
    <cellStyle name="SAPBEXstdItemX 5 2" xfId="10122" xr:uid="{00000000-0005-0000-0000-0000FC240000}"/>
    <cellStyle name="SAPBEXstdItemX 5 3" xfId="10123" xr:uid="{00000000-0005-0000-0000-0000FD240000}"/>
    <cellStyle name="SAPBEXstdItemX 5 4" xfId="10124" xr:uid="{00000000-0005-0000-0000-0000FE240000}"/>
    <cellStyle name="SAPBEXstdItemX 6" xfId="1243" xr:uid="{00000000-0005-0000-0000-0000FF240000}"/>
    <cellStyle name="SAPBEXstdItemX 6 2" xfId="10125" xr:uid="{00000000-0005-0000-0000-000000250000}"/>
    <cellStyle name="SAPBEXstdItemX 6 3" xfId="10126" xr:uid="{00000000-0005-0000-0000-000001250000}"/>
    <cellStyle name="SAPBEXstdItemX 6 4" xfId="10127" xr:uid="{00000000-0005-0000-0000-000002250000}"/>
    <cellStyle name="SAPBEXstdItemX 7" xfId="1244" xr:uid="{00000000-0005-0000-0000-000003250000}"/>
    <cellStyle name="SAPBEXstdItemX 7 2" xfId="10128" xr:uid="{00000000-0005-0000-0000-000004250000}"/>
    <cellStyle name="SAPBEXstdItemX 7 3" xfId="10129" xr:uid="{00000000-0005-0000-0000-000005250000}"/>
    <cellStyle name="SAPBEXstdItemX 7 4" xfId="10130" xr:uid="{00000000-0005-0000-0000-000006250000}"/>
    <cellStyle name="SAPBEXstdItemX 8" xfId="1245" xr:uid="{00000000-0005-0000-0000-000007250000}"/>
    <cellStyle name="SAPBEXstdItemX 8 2" xfId="10131" xr:uid="{00000000-0005-0000-0000-000008250000}"/>
    <cellStyle name="SAPBEXstdItemX 8 3" xfId="10132" xr:uid="{00000000-0005-0000-0000-000009250000}"/>
    <cellStyle name="SAPBEXstdItemX 8 4" xfId="10133" xr:uid="{00000000-0005-0000-0000-00000A250000}"/>
    <cellStyle name="SAPBEXstdItemX 9" xfId="1246" xr:uid="{00000000-0005-0000-0000-00000B250000}"/>
    <cellStyle name="SAPBEXstdItemX 9 2" xfId="10134" xr:uid="{00000000-0005-0000-0000-00000C250000}"/>
    <cellStyle name="SAPBEXstdItemX 9 3" xfId="10135" xr:uid="{00000000-0005-0000-0000-00000D250000}"/>
    <cellStyle name="SAPBEXstdItemX 9 4" xfId="10136" xr:uid="{00000000-0005-0000-0000-00000E250000}"/>
    <cellStyle name="SAPBEXstdItemX_Sheet2" xfId="1247" xr:uid="{00000000-0005-0000-0000-00000F250000}"/>
    <cellStyle name="SAPBEXtitle" xfId="1248" xr:uid="{00000000-0005-0000-0000-000010250000}"/>
    <cellStyle name="SAPBEXtitle 10" xfId="1249" xr:uid="{00000000-0005-0000-0000-000011250000}"/>
    <cellStyle name="SAPBEXtitle 10 2" xfId="10137" xr:uid="{00000000-0005-0000-0000-000012250000}"/>
    <cellStyle name="SAPBEXtitle 10 3" xfId="10138" xr:uid="{00000000-0005-0000-0000-000013250000}"/>
    <cellStyle name="SAPBEXtitle 10 4" xfId="10139" xr:uid="{00000000-0005-0000-0000-000014250000}"/>
    <cellStyle name="SAPBEXtitle 11" xfId="1250" xr:uid="{00000000-0005-0000-0000-000015250000}"/>
    <cellStyle name="SAPBEXtitle 11 2" xfId="10140" xr:uid="{00000000-0005-0000-0000-000016250000}"/>
    <cellStyle name="SAPBEXtitle 11 3" xfId="10141" xr:uid="{00000000-0005-0000-0000-000017250000}"/>
    <cellStyle name="SAPBEXtitle 11 4" xfId="10142" xr:uid="{00000000-0005-0000-0000-000018250000}"/>
    <cellStyle name="SAPBEXtitle 12" xfId="1251" xr:uid="{00000000-0005-0000-0000-000019250000}"/>
    <cellStyle name="SAPBEXtitle 12 2" xfId="10143" xr:uid="{00000000-0005-0000-0000-00001A250000}"/>
    <cellStyle name="SAPBEXtitle 12 3" xfId="10144" xr:uid="{00000000-0005-0000-0000-00001B250000}"/>
    <cellStyle name="SAPBEXtitle 12 4" xfId="10145" xr:uid="{00000000-0005-0000-0000-00001C250000}"/>
    <cellStyle name="SAPBEXtitle 13" xfId="1252" xr:uid="{00000000-0005-0000-0000-00001D250000}"/>
    <cellStyle name="SAPBEXtitle 13 2" xfId="10146" xr:uid="{00000000-0005-0000-0000-00001E250000}"/>
    <cellStyle name="SAPBEXtitle 13 3" xfId="10147" xr:uid="{00000000-0005-0000-0000-00001F250000}"/>
    <cellStyle name="SAPBEXtitle 13 4" xfId="10148" xr:uid="{00000000-0005-0000-0000-000020250000}"/>
    <cellStyle name="SAPBEXtitle 14" xfId="1253" xr:uid="{00000000-0005-0000-0000-000021250000}"/>
    <cellStyle name="SAPBEXtitle 14 2" xfId="10149" xr:uid="{00000000-0005-0000-0000-000022250000}"/>
    <cellStyle name="SAPBEXtitle 14 3" xfId="10150" xr:uid="{00000000-0005-0000-0000-000023250000}"/>
    <cellStyle name="SAPBEXtitle 14 4" xfId="10151" xr:uid="{00000000-0005-0000-0000-000024250000}"/>
    <cellStyle name="SAPBEXtitle 15" xfId="1254" xr:uid="{00000000-0005-0000-0000-000025250000}"/>
    <cellStyle name="SAPBEXtitle 15 2" xfId="10152" xr:uid="{00000000-0005-0000-0000-000026250000}"/>
    <cellStyle name="SAPBEXtitle 15 3" xfId="10153" xr:uid="{00000000-0005-0000-0000-000027250000}"/>
    <cellStyle name="SAPBEXtitle 15 4" xfId="10154" xr:uid="{00000000-0005-0000-0000-000028250000}"/>
    <cellStyle name="SAPBEXtitle 16" xfId="1255" xr:uid="{00000000-0005-0000-0000-000029250000}"/>
    <cellStyle name="SAPBEXtitle 16 2" xfId="10155" xr:uid="{00000000-0005-0000-0000-00002A250000}"/>
    <cellStyle name="SAPBEXtitle 16 3" xfId="10156" xr:uid="{00000000-0005-0000-0000-00002B250000}"/>
    <cellStyle name="SAPBEXtitle 16 4" xfId="10157" xr:uid="{00000000-0005-0000-0000-00002C250000}"/>
    <cellStyle name="SAPBEXtitle 17" xfId="1256" xr:uid="{00000000-0005-0000-0000-00002D250000}"/>
    <cellStyle name="SAPBEXtitle 17 2" xfId="10158" xr:uid="{00000000-0005-0000-0000-00002E250000}"/>
    <cellStyle name="SAPBEXtitle 17 3" xfId="10159" xr:uid="{00000000-0005-0000-0000-00002F250000}"/>
    <cellStyle name="SAPBEXtitle 17 4" xfId="10160" xr:uid="{00000000-0005-0000-0000-000030250000}"/>
    <cellStyle name="SAPBEXtitle 18" xfId="1257" xr:uid="{00000000-0005-0000-0000-000031250000}"/>
    <cellStyle name="SAPBEXtitle 18 2" xfId="10161" xr:uid="{00000000-0005-0000-0000-000032250000}"/>
    <cellStyle name="SAPBEXtitle 18 3" xfId="10162" xr:uid="{00000000-0005-0000-0000-000033250000}"/>
    <cellStyle name="SAPBEXtitle 18 4" xfId="10163" xr:uid="{00000000-0005-0000-0000-000034250000}"/>
    <cellStyle name="SAPBEXtitle 19" xfId="1258" xr:uid="{00000000-0005-0000-0000-000035250000}"/>
    <cellStyle name="SAPBEXtitle 19 2" xfId="10164" xr:uid="{00000000-0005-0000-0000-000036250000}"/>
    <cellStyle name="SAPBEXtitle 19 3" xfId="10165" xr:uid="{00000000-0005-0000-0000-000037250000}"/>
    <cellStyle name="SAPBEXtitle 19 4" xfId="10166" xr:uid="{00000000-0005-0000-0000-000038250000}"/>
    <cellStyle name="SAPBEXtitle 2" xfId="1259" xr:uid="{00000000-0005-0000-0000-000039250000}"/>
    <cellStyle name="SAPBEXtitle 2 2" xfId="10167" xr:uid="{00000000-0005-0000-0000-00003A250000}"/>
    <cellStyle name="SAPBEXtitle 2 3" xfId="10168" xr:uid="{00000000-0005-0000-0000-00003B250000}"/>
    <cellStyle name="SAPBEXtitle 2 4" xfId="10169" xr:uid="{00000000-0005-0000-0000-00003C250000}"/>
    <cellStyle name="SAPBEXtitle 20" xfId="1260" xr:uid="{00000000-0005-0000-0000-00003D250000}"/>
    <cellStyle name="SAPBEXtitle 20 2" xfId="10170" xr:uid="{00000000-0005-0000-0000-00003E250000}"/>
    <cellStyle name="SAPBEXtitle 20 3" xfId="10171" xr:uid="{00000000-0005-0000-0000-00003F250000}"/>
    <cellStyle name="SAPBEXtitle 20 4" xfId="10172" xr:uid="{00000000-0005-0000-0000-000040250000}"/>
    <cellStyle name="SAPBEXtitle 21" xfId="10173" xr:uid="{00000000-0005-0000-0000-000041250000}"/>
    <cellStyle name="SAPBEXtitle 22" xfId="10174" xr:uid="{00000000-0005-0000-0000-000042250000}"/>
    <cellStyle name="SAPBEXtitle 23" xfId="10175" xr:uid="{00000000-0005-0000-0000-000043250000}"/>
    <cellStyle name="SAPBEXtitle 3" xfId="1261" xr:uid="{00000000-0005-0000-0000-000044250000}"/>
    <cellStyle name="SAPBEXtitle 3 2" xfId="10176" xr:uid="{00000000-0005-0000-0000-000045250000}"/>
    <cellStyle name="SAPBEXtitle 3 3" xfId="10177" xr:uid="{00000000-0005-0000-0000-000046250000}"/>
    <cellStyle name="SAPBEXtitle 3 4" xfId="10178" xr:uid="{00000000-0005-0000-0000-000047250000}"/>
    <cellStyle name="SAPBEXtitle 4" xfId="1262" xr:uid="{00000000-0005-0000-0000-000048250000}"/>
    <cellStyle name="SAPBEXtitle 4 2" xfId="10179" xr:uid="{00000000-0005-0000-0000-000049250000}"/>
    <cellStyle name="SAPBEXtitle 4 3" xfId="10180" xr:uid="{00000000-0005-0000-0000-00004A250000}"/>
    <cellStyle name="SAPBEXtitle 4 4" xfId="10181" xr:uid="{00000000-0005-0000-0000-00004B250000}"/>
    <cellStyle name="SAPBEXtitle 5" xfId="1263" xr:uid="{00000000-0005-0000-0000-00004C250000}"/>
    <cellStyle name="SAPBEXtitle 5 2" xfId="10182" xr:uid="{00000000-0005-0000-0000-00004D250000}"/>
    <cellStyle name="SAPBEXtitle 5 3" xfId="10183" xr:uid="{00000000-0005-0000-0000-00004E250000}"/>
    <cellStyle name="SAPBEXtitle 5 4" xfId="10184" xr:uid="{00000000-0005-0000-0000-00004F250000}"/>
    <cellStyle name="SAPBEXtitle 6" xfId="1264" xr:uid="{00000000-0005-0000-0000-000050250000}"/>
    <cellStyle name="SAPBEXtitle 6 2" xfId="10185" xr:uid="{00000000-0005-0000-0000-000051250000}"/>
    <cellStyle name="SAPBEXtitle 6 3" xfId="10186" xr:uid="{00000000-0005-0000-0000-000052250000}"/>
    <cellStyle name="SAPBEXtitle 6 4" xfId="10187" xr:uid="{00000000-0005-0000-0000-000053250000}"/>
    <cellStyle name="SAPBEXtitle 7" xfId="1265" xr:uid="{00000000-0005-0000-0000-000054250000}"/>
    <cellStyle name="SAPBEXtitle 7 2" xfId="10188" xr:uid="{00000000-0005-0000-0000-000055250000}"/>
    <cellStyle name="SAPBEXtitle 7 3" xfId="10189" xr:uid="{00000000-0005-0000-0000-000056250000}"/>
    <cellStyle name="SAPBEXtitle 7 4" xfId="10190" xr:uid="{00000000-0005-0000-0000-000057250000}"/>
    <cellStyle name="SAPBEXtitle 8" xfId="1266" xr:uid="{00000000-0005-0000-0000-000058250000}"/>
    <cellStyle name="SAPBEXtitle 8 2" xfId="10191" xr:uid="{00000000-0005-0000-0000-000059250000}"/>
    <cellStyle name="SAPBEXtitle 8 3" xfId="10192" xr:uid="{00000000-0005-0000-0000-00005A250000}"/>
    <cellStyle name="SAPBEXtitle 8 4" xfId="10193" xr:uid="{00000000-0005-0000-0000-00005B250000}"/>
    <cellStyle name="SAPBEXtitle 9" xfId="1267" xr:uid="{00000000-0005-0000-0000-00005C250000}"/>
    <cellStyle name="SAPBEXtitle 9 2" xfId="10194" xr:uid="{00000000-0005-0000-0000-00005D250000}"/>
    <cellStyle name="SAPBEXtitle 9 3" xfId="10195" xr:uid="{00000000-0005-0000-0000-00005E250000}"/>
    <cellStyle name="SAPBEXtitle 9 4" xfId="10196" xr:uid="{00000000-0005-0000-0000-00005F250000}"/>
    <cellStyle name="SAPBEXtitle_Sheet2" xfId="1268" xr:uid="{00000000-0005-0000-0000-000060250000}"/>
    <cellStyle name="SAPBEXunassignedItem" xfId="1269" xr:uid="{00000000-0005-0000-0000-000061250000}"/>
    <cellStyle name="SAPBEXunassignedItem 10" xfId="1270" xr:uid="{00000000-0005-0000-0000-000062250000}"/>
    <cellStyle name="SAPBEXunassignedItem 2" xfId="1271" xr:uid="{00000000-0005-0000-0000-000063250000}"/>
    <cellStyle name="SAPBEXunassignedItem 3" xfId="1272" xr:uid="{00000000-0005-0000-0000-000064250000}"/>
    <cellStyle name="SAPBEXunassignedItem 4" xfId="1273" xr:uid="{00000000-0005-0000-0000-000065250000}"/>
    <cellStyle name="SAPBEXunassignedItem 5" xfId="1274" xr:uid="{00000000-0005-0000-0000-000066250000}"/>
    <cellStyle name="SAPBEXunassignedItem 6" xfId="1275" xr:uid="{00000000-0005-0000-0000-000067250000}"/>
    <cellStyle name="SAPBEXunassignedItem 7" xfId="1276" xr:uid="{00000000-0005-0000-0000-000068250000}"/>
    <cellStyle name="SAPBEXunassignedItem 8" xfId="1277" xr:uid="{00000000-0005-0000-0000-000069250000}"/>
    <cellStyle name="SAPBEXunassignedItem 9" xfId="1278" xr:uid="{00000000-0005-0000-0000-00006A250000}"/>
    <cellStyle name="SAPBEXunassignedItem_Sheet2" xfId="1279" xr:uid="{00000000-0005-0000-0000-00006B250000}"/>
    <cellStyle name="SAPBEXundefined" xfId="1280" xr:uid="{00000000-0005-0000-0000-00006C250000}"/>
    <cellStyle name="SAPBEXundefined 10" xfId="1281" xr:uid="{00000000-0005-0000-0000-00006D250000}"/>
    <cellStyle name="SAPBEXundefined 10 2" xfId="10197" xr:uid="{00000000-0005-0000-0000-00006E250000}"/>
    <cellStyle name="SAPBEXundefined 10 3" xfId="10198" xr:uid="{00000000-0005-0000-0000-00006F250000}"/>
    <cellStyle name="SAPBEXundefined 10 4" xfId="10199" xr:uid="{00000000-0005-0000-0000-000070250000}"/>
    <cellStyle name="SAPBEXundefined 11" xfId="1282" xr:uid="{00000000-0005-0000-0000-000071250000}"/>
    <cellStyle name="SAPBEXundefined 11 2" xfId="10200" xr:uid="{00000000-0005-0000-0000-000072250000}"/>
    <cellStyle name="SAPBEXundefined 11 3" xfId="10201" xr:uid="{00000000-0005-0000-0000-000073250000}"/>
    <cellStyle name="SAPBEXundefined 11 4" xfId="10202" xr:uid="{00000000-0005-0000-0000-000074250000}"/>
    <cellStyle name="SAPBEXundefined 12" xfId="1283" xr:uid="{00000000-0005-0000-0000-000075250000}"/>
    <cellStyle name="SAPBEXundefined 12 2" xfId="10203" xr:uid="{00000000-0005-0000-0000-000076250000}"/>
    <cellStyle name="SAPBEXundefined 12 3" xfId="10204" xr:uid="{00000000-0005-0000-0000-000077250000}"/>
    <cellStyle name="SAPBEXundefined 12 4" xfId="10205" xr:uid="{00000000-0005-0000-0000-000078250000}"/>
    <cellStyle name="SAPBEXundefined 13" xfId="1284" xr:uid="{00000000-0005-0000-0000-000079250000}"/>
    <cellStyle name="SAPBEXundefined 13 2" xfId="10206" xr:uid="{00000000-0005-0000-0000-00007A250000}"/>
    <cellStyle name="SAPBEXundefined 13 3" xfId="10207" xr:uid="{00000000-0005-0000-0000-00007B250000}"/>
    <cellStyle name="SAPBEXundefined 13 4" xfId="10208" xr:uid="{00000000-0005-0000-0000-00007C250000}"/>
    <cellStyle name="SAPBEXundefined 14" xfId="1285" xr:uid="{00000000-0005-0000-0000-00007D250000}"/>
    <cellStyle name="SAPBEXundefined 14 2" xfId="10209" xr:uid="{00000000-0005-0000-0000-00007E250000}"/>
    <cellStyle name="SAPBEXundefined 14 3" xfId="10210" xr:uid="{00000000-0005-0000-0000-00007F250000}"/>
    <cellStyle name="SAPBEXundefined 14 4" xfId="10211" xr:uid="{00000000-0005-0000-0000-000080250000}"/>
    <cellStyle name="SAPBEXundefined 15" xfId="1286" xr:uid="{00000000-0005-0000-0000-000081250000}"/>
    <cellStyle name="SAPBEXundefined 15 2" xfId="10212" xr:uid="{00000000-0005-0000-0000-000082250000}"/>
    <cellStyle name="SAPBEXundefined 15 3" xfId="10213" xr:uid="{00000000-0005-0000-0000-000083250000}"/>
    <cellStyle name="SAPBEXundefined 15 4" xfId="10214" xr:uid="{00000000-0005-0000-0000-000084250000}"/>
    <cellStyle name="SAPBEXundefined 16" xfId="1287" xr:uid="{00000000-0005-0000-0000-000085250000}"/>
    <cellStyle name="SAPBEXundefined 16 2" xfId="10215" xr:uid="{00000000-0005-0000-0000-000086250000}"/>
    <cellStyle name="SAPBEXundefined 16 3" xfId="10216" xr:uid="{00000000-0005-0000-0000-000087250000}"/>
    <cellStyle name="SAPBEXundefined 16 4" xfId="10217" xr:uid="{00000000-0005-0000-0000-000088250000}"/>
    <cellStyle name="SAPBEXundefined 17" xfId="1288" xr:uid="{00000000-0005-0000-0000-000089250000}"/>
    <cellStyle name="SAPBEXundefined 17 2" xfId="10218" xr:uid="{00000000-0005-0000-0000-00008A250000}"/>
    <cellStyle name="SAPBEXundefined 17 3" xfId="10219" xr:uid="{00000000-0005-0000-0000-00008B250000}"/>
    <cellStyle name="SAPBEXundefined 17 4" xfId="10220" xr:uid="{00000000-0005-0000-0000-00008C250000}"/>
    <cellStyle name="SAPBEXundefined 18" xfId="1289" xr:uid="{00000000-0005-0000-0000-00008D250000}"/>
    <cellStyle name="SAPBEXundefined 18 2" xfId="10221" xr:uid="{00000000-0005-0000-0000-00008E250000}"/>
    <cellStyle name="SAPBEXundefined 18 3" xfId="10222" xr:uid="{00000000-0005-0000-0000-00008F250000}"/>
    <cellStyle name="SAPBEXundefined 18 4" xfId="10223" xr:uid="{00000000-0005-0000-0000-000090250000}"/>
    <cellStyle name="SAPBEXundefined 19" xfId="1290" xr:uid="{00000000-0005-0000-0000-000091250000}"/>
    <cellStyle name="SAPBEXundefined 19 2" xfId="10224" xr:uid="{00000000-0005-0000-0000-000092250000}"/>
    <cellStyle name="SAPBEXundefined 19 3" xfId="10225" xr:uid="{00000000-0005-0000-0000-000093250000}"/>
    <cellStyle name="SAPBEXundefined 19 4" xfId="10226" xr:uid="{00000000-0005-0000-0000-000094250000}"/>
    <cellStyle name="SAPBEXundefined 2" xfId="1291" xr:uid="{00000000-0005-0000-0000-000095250000}"/>
    <cellStyle name="SAPBEXundefined 2 2" xfId="10227" xr:uid="{00000000-0005-0000-0000-000096250000}"/>
    <cellStyle name="SAPBEXundefined 2 3" xfId="10228" xr:uid="{00000000-0005-0000-0000-000097250000}"/>
    <cellStyle name="SAPBEXundefined 2 4" xfId="10229" xr:uid="{00000000-0005-0000-0000-000098250000}"/>
    <cellStyle name="SAPBEXundefined 20" xfId="1292" xr:uid="{00000000-0005-0000-0000-000099250000}"/>
    <cellStyle name="SAPBEXundefined 20 2" xfId="10230" xr:uid="{00000000-0005-0000-0000-00009A250000}"/>
    <cellStyle name="SAPBEXundefined 20 3" xfId="10231" xr:uid="{00000000-0005-0000-0000-00009B250000}"/>
    <cellStyle name="SAPBEXundefined 20 4" xfId="10232" xr:uid="{00000000-0005-0000-0000-00009C250000}"/>
    <cellStyle name="SAPBEXundefined 21" xfId="10233" xr:uid="{00000000-0005-0000-0000-00009D250000}"/>
    <cellStyle name="SAPBEXundefined 22" xfId="10234" xr:uid="{00000000-0005-0000-0000-00009E250000}"/>
    <cellStyle name="SAPBEXundefined 23" xfId="10235" xr:uid="{00000000-0005-0000-0000-00009F250000}"/>
    <cellStyle name="SAPBEXundefined 3" xfId="1293" xr:uid="{00000000-0005-0000-0000-0000A0250000}"/>
    <cellStyle name="SAPBEXundefined 3 2" xfId="10236" xr:uid="{00000000-0005-0000-0000-0000A1250000}"/>
    <cellStyle name="SAPBEXundefined 3 3" xfId="10237" xr:uid="{00000000-0005-0000-0000-0000A2250000}"/>
    <cellStyle name="SAPBEXundefined 3 4" xfId="10238" xr:uid="{00000000-0005-0000-0000-0000A3250000}"/>
    <cellStyle name="SAPBEXundefined 4" xfId="1294" xr:uid="{00000000-0005-0000-0000-0000A4250000}"/>
    <cellStyle name="SAPBEXundefined 4 2" xfId="10239" xr:uid="{00000000-0005-0000-0000-0000A5250000}"/>
    <cellStyle name="SAPBEXundefined 4 3" xfId="10240" xr:uid="{00000000-0005-0000-0000-0000A6250000}"/>
    <cellStyle name="SAPBEXundefined 4 4" xfId="10241" xr:uid="{00000000-0005-0000-0000-0000A7250000}"/>
    <cellStyle name="SAPBEXundefined 5" xfId="1295" xr:uid="{00000000-0005-0000-0000-0000A8250000}"/>
    <cellStyle name="SAPBEXundefined 5 2" xfId="10242" xr:uid="{00000000-0005-0000-0000-0000A9250000}"/>
    <cellStyle name="SAPBEXundefined 5 3" xfId="10243" xr:uid="{00000000-0005-0000-0000-0000AA250000}"/>
    <cellStyle name="SAPBEXundefined 5 4" xfId="10244" xr:uid="{00000000-0005-0000-0000-0000AB250000}"/>
    <cellStyle name="SAPBEXundefined 6" xfId="1296" xr:uid="{00000000-0005-0000-0000-0000AC250000}"/>
    <cellStyle name="SAPBEXundefined 6 2" xfId="10245" xr:uid="{00000000-0005-0000-0000-0000AD250000}"/>
    <cellStyle name="SAPBEXundefined 6 3" xfId="10246" xr:uid="{00000000-0005-0000-0000-0000AE250000}"/>
    <cellStyle name="SAPBEXundefined 6 4" xfId="10247" xr:uid="{00000000-0005-0000-0000-0000AF250000}"/>
    <cellStyle name="SAPBEXundefined 7" xfId="1297" xr:uid="{00000000-0005-0000-0000-0000B0250000}"/>
    <cellStyle name="SAPBEXundefined 7 2" xfId="10248" xr:uid="{00000000-0005-0000-0000-0000B1250000}"/>
    <cellStyle name="SAPBEXundefined 7 3" xfId="10249" xr:uid="{00000000-0005-0000-0000-0000B2250000}"/>
    <cellStyle name="SAPBEXundefined 7 4" xfId="10250" xr:uid="{00000000-0005-0000-0000-0000B3250000}"/>
    <cellStyle name="SAPBEXundefined 8" xfId="1298" xr:uid="{00000000-0005-0000-0000-0000B4250000}"/>
    <cellStyle name="SAPBEXundefined 8 2" xfId="10251" xr:uid="{00000000-0005-0000-0000-0000B5250000}"/>
    <cellStyle name="SAPBEXundefined 8 3" xfId="10252" xr:uid="{00000000-0005-0000-0000-0000B6250000}"/>
    <cellStyle name="SAPBEXundefined 8 4" xfId="10253" xr:uid="{00000000-0005-0000-0000-0000B7250000}"/>
    <cellStyle name="SAPBEXundefined 9" xfId="1299" xr:uid="{00000000-0005-0000-0000-0000B8250000}"/>
    <cellStyle name="SAPBEXundefined 9 2" xfId="10254" xr:uid="{00000000-0005-0000-0000-0000B9250000}"/>
    <cellStyle name="SAPBEXundefined 9 3" xfId="10255" xr:uid="{00000000-0005-0000-0000-0000BA250000}"/>
    <cellStyle name="SAPBEXundefined 9 4" xfId="10256" xr:uid="{00000000-0005-0000-0000-0000BB250000}"/>
    <cellStyle name="SAPBEXundefined_Sheet2" xfId="1300" xr:uid="{00000000-0005-0000-0000-0000BC250000}"/>
    <cellStyle name="ScripFactor" xfId="6427" xr:uid="{00000000-0005-0000-0000-0000BD250000}"/>
    <cellStyle name="Section" xfId="10821" xr:uid="{00000000-0005-0000-0000-0000BE250000}"/>
    <cellStyle name="Shade-1" xfId="10822" xr:uid="{00000000-0005-0000-0000-0000BF250000}"/>
    <cellStyle name="Shade-2" xfId="10823" xr:uid="{00000000-0005-0000-0000-0000C0250000}"/>
    <cellStyle name="Shade-2 2" xfId="10824" xr:uid="{00000000-0005-0000-0000-0000C1250000}"/>
    <cellStyle name="ShadedCells_Database" xfId="4138" xr:uid="{00000000-0005-0000-0000-0000C2250000}"/>
    <cellStyle name="Shares" xfId="10257" xr:uid="{00000000-0005-0000-0000-0000C3250000}"/>
    <cellStyle name="Sheet Title" xfId="1301" xr:uid="{00000000-0005-0000-0000-0000C4250000}"/>
    <cellStyle name="Sheet Title 10" xfId="1302" xr:uid="{00000000-0005-0000-0000-0000C5250000}"/>
    <cellStyle name="Sheet Title 11" xfId="1303" xr:uid="{00000000-0005-0000-0000-0000C6250000}"/>
    <cellStyle name="Sheet Title 12" xfId="1304" xr:uid="{00000000-0005-0000-0000-0000C7250000}"/>
    <cellStyle name="Sheet Title 13" xfId="1305" xr:uid="{00000000-0005-0000-0000-0000C8250000}"/>
    <cellStyle name="Sheet Title 14" xfId="1306" xr:uid="{00000000-0005-0000-0000-0000C9250000}"/>
    <cellStyle name="Sheet Title 15" xfId="1307" xr:uid="{00000000-0005-0000-0000-0000CA250000}"/>
    <cellStyle name="Sheet Title 16" xfId="1308" xr:uid="{00000000-0005-0000-0000-0000CB250000}"/>
    <cellStyle name="Sheet Title 17" xfId="1309" xr:uid="{00000000-0005-0000-0000-0000CC250000}"/>
    <cellStyle name="Sheet Title 18" xfId="1310" xr:uid="{00000000-0005-0000-0000-0000CD250000}"/>
    <cellStyle name="Sheet Title 19" xfId="1311" xr:uid="{00000000-0005-0000-0000-0000CE250000}"/>
    <cellStyle name="Sheet Title 2" xfId="1312" xr:uid="{00000000-0005-0000-0000-0000CF250000}"/>
    <cellStyle name="Sheet Title 20" xfId="1313" xr:uid="{00000000-0005-0000-0000-0000D0250000}"/>
    <cellStyle name="Sheet Title 3" xfId="1314" xr:uid="{00000000-0005-0000-0000-0000D1250000}"/>
    <cellStyle name="Sheet Title 4" xfId="1315" xr:uid="{00000000-0005-0000-0000-0000D2250000}"/>
    <cellStyle name="Sheet Title 5" xfId="1316" xr:uid="{00000000-0005-0000-0000-0000D3250000}"/>
    <cellStyle name="Sheet Title 6" xfId="1317" xr:uid="{00000000-0005-0000-0000-0000D4250000}"/>
    <cellStyle name="Sheet Title 7" xfId="1318" xr:uid="{00000000-0005-0000-0000-0000D5250000}"/>
    <cellStyle name="Sheet Title 8" xfId="1319" xr:uid="{00000000-0005-0000-0000-0000D6250000}"/>
    <cellStyle name="Sheet Title 9" xfId="1320" xr:uid="{00000000-0005-0000-0000-0000D7250000}"/>
    <cellStyle name="ShOut" xfId="7588" xr:uid="{00000000-0005-0000-0000-0000D8250000}"/>
    <cellStyle name="sin nada" xfId="7320" xr:uid="{00000000-0005-0000-0000-0000D9250000}"/>
    <cellStyle name="Source" xfId="10825" xr:uid="{00000000-0005-0000-0000-0000DA250000}"/>
    <cellStyle name="SSComma0" xfId="7321" xr:uid="{00000000-0005-0000-0000-0000DB250000}"/>
    <cellStyle name="SSComma0 2" xfId="10258" xr:uid="{00000000-0005-0000-0000-0000DC250000}"/>
    <cellStyle name="SSComma0 3" xfId="10259" xr:uid="{00000000-0005-0000-0000-0000DD250000}"/>
    <cellStyle name="SSComma0 4" xfId="10260" xr:uid="{00000000-0005-0000-0000-0000DE250000}"/>
    <cellStyle name="SSComma2" xfId="7322" xr:uid="{00000000-0005-0000-0000-0000DF250000}"/>
    <cellStyle name="SSComma2 2" xfId="10261" xr:uid="{00000000-0005-0000-0000-0000E0250000}"/>
    <cellStyle name="SSComma2 3" xfId="10262" xr:uid="{00000000-0005-0000-0000-0000E1250000}"/>
    <cellStyle name="SSComma2 4" xfId="10263" xr:uid="{00000000-0005-0000-0000-0000E2250000}"/>
    <cellStyle name="SSDecs3" xfId="7323" xr:uid="{00000000-0005-0000-0000-0000E3250000}"/>
    <cellStyle name="SSDecs3 2" xfId="10264" xr:uid="{00000000-0005-0000-0000-0000E4250000}"/>
    <cellStyle name="SSDecs3 3" xfId="10265" xr:uid="{00000000-0005-0000-0000-0000E5250000}"/>
    <cellStyle name="SSDecs3 4" xfId="10266" xr:uid="{00000000-0005-0000-0000-0000E6250000}"/>
    <cellStyle name="SSDflt" xfId="7324" xr:uid="{00000000-0005-0000-0000-0000E7250000}"/>
    <cellStyle name="SSDfltPct" xfId="7325" xr:uid="{00000000-0005-0000-0000-0000E8250000}"/>
    <cellStyle name="SSDfltPct 2" xfId="10267" xr:uid="{00000000-0005-0000-0000-0000E9250000}"/>
    <cellStyle name="SSDfltPct 3" xfId="10268" xr:uid="{00000000-0005-0000-0000-0000EA250000}"/>
    <cellStyle name="SSDfltPct 4" xfId="10269" xr:uid="{00000000-0005-0000-0000-0000EB250000}"/>
    <cellStyle name="SSDfltPct0" xfId="7326" xr:uid="{00000000-0005-0000-0000-0000EC250000}"/>
    <cellStyle name="SSDfltPct0 2" xfId="10270" xr:uid="{00000000-0005-0000-0000-0000ED250000}"/>
    <cellStyle name="SSDfltPct0 3" xfId="10271" xr:uid="{00000000-0005-0000-0000-0000EE250000}"/>
    <cellStyle name="SSDfltPct0 4" xfId="10272" xr:uid="{00000000-0005-0000-0000-0000EF250000}"/>
    <cellStyle name="SSFixed2" xfId="7327" xr:uid="{00000000-0005-0000-0000-0000F0250000}"/>
    <cellStyle name="SSFixed2 2" xfId="10273" xr:uid="{00000000-0005-0000-0000-0000F1250000}"/>
    <cellStyle name="SSFixed2 3" xfId="10274" xr:uid="{00000000-0005-0000-0000-0000F2250000}"/>
    <cellStyle name="SSFixed2 4" xfId="10275" xr:uid="{00000000-0005-0000-0000-0000F3250000}"/>
    <cellStyle name="Standard" xfId="4139" xr:uid="{00000000-0005-0000-0000-0000F4250000}"/>
    <cellStyle name="Style 1" xfId="1321" xr:uid="{00000000-0005-0000-0000-0000F5250000}"/>
    <cellStyle name="Style 1 2" xfId="1322" xr:uid="{00000000-0005-0000-0000-0000F6250000}"/>
    <cellStyle name="Style 10" xfId="1323" xr:uid="{00000000-0005-0000-0000-0000F7250000}"/>
    <cellStyle name="Style 100" xfId="1324" xr:uid="{00000000-0005-0000-0000-0000F8250000}"/>
    <cellStyle name="Style 101" xfId="1325" xr:uid="{00000000-0005-0000-0000-0000F9250000}"/>
    <cellStyle name="Style 102" xfId="1326" xr:uid="{00000000-0005-0000-0000-0000FA250000}"/>
    <cellStyle name="Style 103" xfId="1327" xr:uid="{00000000-0005-0000-0000-0000FB250000}"/>
    <cellStyle name="Style 104" xfId="1328" xr:uid="{00000000-0005-0000-0000-0000FC250000}"/>
    <cellStyle name="Style 105" xfId="1329" xr:uid="{00000000-0005-0000-0000-0000FD250000}"/>
    <cellStyle name="Style 106" xfId="1330" xr:uid="{00000000-0005-0000-0000-0000FE250000}"/>
    <cellStyle name="Style 107" xfId="1331" xr:uid="{00000000-0005-0000-0000-0000FF250000}"/>
    <cellStyle name="Style 108" xfId="1332" xr:uid="{00000000-0005-0000-0000-000000260000}"/>
    <cellStyle name="Style 109" xfId="1333" xr:uid="{00000000-0005-0000-0000-000001260000}"/>
    <cellStyle name="Style 11" xfId="1334" xr:uid="{00000000-0005-0000-0000-000002260000}"/>
    <cellStyle name="Style 110" xfId="1335" xr:uid="{00000000-0005-0000-0000-000003260000}"/>
    <cellStyle name="Style 111" xfId="1336" xr:uid="{00000000-0005-0000-0000-000004260000}"/>
    <cellStyle name="Style 112" xfId="1337" xr:uid="{00000000-0005-0000-0000-000005260000}"/>
    <cellStyle name="Style 113" xfId="1338" xr:uid="{00000000-0005-0000-0000-000006260000}"/>
    <cellStyle name="Style 114" xfId="1339" xr:uid="{00000000-0005-0000-0000-000007260000}"/>
    <cellStyle name="Style 115" xfId="1340" xr:uid="{00000000-0005-0000-0000-000008260000}"/>
    <cellStyle name="Style 116" xfId="1341" xr:uid="{00000000-0005-0000-0000-000009260000}"/>
    <cellStyle name="Style 117" xfId="1342" xr:uid="{00000000-0005-0000-0000-00000A260000}"/>
    <cellStyle name="Style 118" xfId="1343" xr:uid="{00000000-0005-0000-0000-00000B260000}"/>
    <cellStyle name="Style 119" xfId="1344" xr:uid="{00000000-0005-0000-0000-00000C260000}"/>
    <cellStyle name="Style 12" xfId="1345" xr:uid="{00000000-0005-0000-0000-00000D260000}"/>
    <cellStyle name="Style 120" xfId="1346" xr:uid="{00000000-0005-0000-0000-00000E260000}"/>
    <cellStyle name="Style 121" xfId="1347" xr:uid="{00000000-0005-0000-0000-00000F260000}"/>
    <cellStyle name="Style 122" xfId="1348" xr:uid="{00000000-0005-0000-0000-000010260000}"/>
    <cellStyle name="Style 123" xfId="1349" xr:uid="{00000000-0005-0000-0000-000011260000}"/>
    <cellStyle name="Style 124" xfId="1350" xr:uid="{00000000-0005-0000-0000-000012260000}"/>
    <cellStyle name="Style 125" xfId="1351" xr:uid="{00000000-0005-0000-0000-000013260000}"/>
    <cellStyle name="Style 126" xfId="1352" xr:uid="{00000000-0005-0000-0000-000014260000}"/>
    <cellStyle name="Style 127" xfId="1353" xr:uid="{00000000-0005-0000-0000-000015260000}"/>
    <cellStyle name="Style 128" xfId="1354" xr:uid="{00000000-0005-0000-0000-000016260000}"/>
    <cellStyle name="Style 129" xfId="1355" xr:uid="{00000000-0005-0000-0000-000017260000}"/>
    <cellStyle name="Style 13" xfId="1356" xr:uid="{00000000-0005-0000-0000-000018260000}"/>
    <cellStyle name="Style 130" xfId="1357" xr:uid="{00000000-0005-0000-0000-000019260000}"/>
    <cellStyle name="Style 131" xfId="1358" xr:uid="{00000000-0005-0000-0000-00001A260000}"/>
    <cellStyle name="Style 132" xfId="1359" xr:uid="{00000000-0005-0000-0000-00001B260000}"/>
    <cellStyle name="Style 133" xfId="1360" xr:uid="{00000000-0005-0000-0000-00001C260000}"/>
    <cellStyle name="Style 134" xfId="1361" xr:uid="{00000000-0005-0000-0000-00001D260000}"/>
    <cellStyle name="Style 135" xfId="1362" xr:uid="{00000000-0005-0000-0000-00001E260000}"/>
    <cellStyle name="Style 136" xfId="1363" xr:uid="{00000000-0005-0000-0000-00001F260000}"/>
    <cellStyle name="Style 137" xfId="1364" xr:uid="{00000000-0005-0000-0000-000020260000}"/>
    <cellStyle name="Style 138" xfId="1365" xr:uid="{00000000-0005-0000-0000-000021260000}"/>
    <cellStyle name="Style 139" xfId="1366" xr:uid="{00000000-0005-0000-0000-000022260000}"/>
    <cellStyle name="Style 14" xfId="1367" xr:uid="{00000000-0005-0000-0000-000023260000}"/>
    <cellStyle name="Style 140" xfId="1368" xr:uid="{00000000-0005-0000-0000-000024260000}"/>
    <cellStyle name="Style 141" xfId="1369" xr:uid="{00000000-0005-0000-0000-000025260000}"/>
    <cellStyle name="Style 142" xfId="1370" xr:uid="{00000000-0005-0000-0000-000026260000}"/>
    <cellStyle name="Style 143" xfId="1371" xr:uid="{00000000-0005-0000-0000-000027260000}"/>
    <cellStyle name="Style 144" xfId="1372" xr:uid="{00000000-0005-0000-0000-000028260000}"/>
    <cellStyle name="Style 145" xfId="1373" xr:uid="{00000000-0005-0000-0000-000029260000}"/>
    <cellStyle name="Style 146" xfId="1374" xr:uid="{00000000-0005-0000-0000-00002A260000}"/>
    <cellStyle name="Style 147" xfId="1375" xr:uid="{00000000-0005-0000-0000-00002B260000}"/>
    <cellStyle name="Style 148" xfId="1376" xr:uid="{00000000-0005-0000-0000-00002C260000}"/>
    <cellStyle name="Style 149" xfId="1377" xr:uid="{00000000-0005-0000-0000-00002D260000}"/>
    <cellStyle name="Style 15" xfId="1378" xr:uid="{00000000-0005-0000-0000-00002E260000}"/>
    <cellStyle name="Style 150" xfId="1379" xr:uid="{00000000-0005-0000-0000-00002F260000}"/>
    <cellStyle name="Style 151" xfId="1380" xr:uid="{00000000-0005-0000-0000-000030260000}"/>
    <cellStyle name="Style 152" xfId="1381" xr:uid="{00000000-0005-0000-0000-000031260000}"/>
    <cellStyle name="Style 153" xfId="1382" xr:uid="{00000000-0005-0000-0000-000032260000}"/>
    <cellStyle name="Style 154" xfId="1383" xr:uid="{00000000-0005-0000-0000-000033260000}"/>
    <cellStyle name="Style 155" xfId="1384" xr:uid="{00000000-0005-0000-0000-000034260000}"/>
    <cellStyle name="Style 156" xfId="1385" xr:uid="{00000000-0005-0000-0000-000035260000}"/>
    <cellStyle name="Style 157" xfId="1386" xr:uid="{00000000-0005-0000-0000-000036260000}"/>
    <cellStyle name="Style 158" xfId="1387" xr:uid="{00000000-0005-0000-0000-000037260000}"/>
    <cellStyle name="Style 159" xfId="1388" xr:uid="{00000000-0005-0000-0000-000038260000}"/>
    <cellStyle name="Style 16" xfId="1389" xr:uid="{00000000-0005-0000-0000-000039260000}"/>
    <cellStyle name="Style 160" xfId="1390" xr:uid="{00000000-0005-0000-0000-00003A260000}"/>
    <cellStyle name="Style 161" xfId="1391" xr:uid="{00000000-0005-0000-0000-00003B260000}"/>
    <cellStyle name="Style 162" xfId="1392" xr:uid="{00000000-0005-0000-0000-00003C260000}"/>
    <cellStyle name="Style 163" xfId="1393" xr:uid="{00000000-0005-0000-0000-00003D260000}"/>
    <cellStyle name="Style 164" xfId="1394" xr:uid="{00000000-0005-0000-0000-00003E260000}"/>
    <cellStyle name="Style 165" xfId="1395" xr:uid="{00000000-0005-0000-0000-00003F260000}"/>
    <cellStyle name="Style 166" xfId="1396" xr:uid="{00000000-0005-0000-0000-000040260000}"/>
    <cellStyle name="Style 167" xfId="1397" xr:uid="{00000000-0005-0000-0000-000041260000}"/>
    <cellStyle name="Style 168" xfId="1398" xr:uid="{00000000-0005-0000-0000-000042260000}"/>
    <cellStyle name="Style 169" xfId="1399" xr:uid="{00000000-0005-0000-0000-000043260000}"/>
    <cellStyle name="Style 17" xfId="1400" xr:uid="{00000000-0005-0000-0000-000044260000}"/>
    <cellStyle name="Style 170" xfId="1401" xr:uid="{00000000-0005-0000-0000-000045260000}"/>
    <cellStyle name="Style 171" xfId="1402" xr:uid="{00000000-0005-0000-0000-000046260000}"/>
    <cellStyle name="Style 172" xfId="1403" xr:uid="{00000000-0005-0000-0000-000047260000}"/>
    <cellStyle name="Style 173" xfId="1404" xr:uid="{00000000-0005-0000-0000-000048260000}"/>
    <cellStyle name="Style 174" xfId="1405" xr:uid="{00000000-0005-0000-0000-000049260000}"/>
    <cellStyle name="Style 175" xfId="1406" xr:uid="{00000000-0005-0000-0000-00004A260000}"/>
    <cellStyle name="Style 176" xfId="1407" xr:uid="{00000000-0005-0000-0000-00004B260000}"/>
    <cellStyle name="Style 177" xfId="1408" xr:uid="{00000000-0005-0000-0000-00004C260000}"/>
    <cellStyle name="Style 178" xfId="1409" xr:uid="{00000000-0005-0000-0000-00004D260000}"/>
    <cellStyle name="Style 179" xfId="1410" xr:uid="{00000000-0005-0000-0000-00004E260000}"/>
    <cellStyle name="Style 18" xfId="1411" xr:uid="{00000000-0005-0000-0000-00004F260000}"/>
    <cellStyle name="Style 180" xfId="1412" xr:uid="{00000000-0005-0000-0000-000050260000}"/>
    <cellStyle name="Style 181" xfId="1413" xr:uid="{00000000-0005-0000-0000-000051260000}"/>
    <cellStyle name="Style 182" xfId="1414" xr:uid="{00000000-0005-0000-0000-000052260000}"/>
    <cellStyle name="Style 183" xfId="1415" xr:uid="{00000000-0005-0000-0000-000053260000}"/>
    <cellStyle name="Style 184" xfId="1416" xr:uid="{00000000-0005-0000-0000-000054260000}"/>
    <cellStyle name="Style 185" xfId="1417" xr:uid="{00000000-0005-0000-0000-000055260000}"/>
    <cellStyle name="Style 186" xfId="1418" xr:uid="{00000000-0005-0000-0000-000056260000}"/>
    <cellStyle name="Style 187" xfId="1419" xr:uid="{00000000-0005-0000-0000-000057260000}"/>
    <cellStyle name="Style 188" xfId="1420" xr:uid="{00000000-0005-0000-0000-000058260000}"/>
    <cellStyle name="Style 189" xfId="1421" xr:uid="{00000000-0005-0000-0000-000059260000}"/>
    <cellStyle name="Style 19" xfId="1422" xr:uid="{00000000-0005-0000-0000-00005A260000}"/>
    <cellStyle name="Style 190" xfId="1423" xr:uid="{00000000-0005-0000-0000-00005B260000}"/>
    <cellStyle name="Style 191" xfId="1424" xr:uid="{00000000-0005-0000-0000-00005C260000}"/>
    <cellStyle name="Style 192" xfId="1425" xr:uid="{00000000-0005-0000-0000-00005D260000}"/>
    <cellStyle name="Style 193" xfId="1426" xr:uid="{00000000-0005-0000-0000-00005E260000}"/>
    <cellStyle name="Style 194" xfId="1427" xr:uid="{00000000-0005-0000-0000-00005F260000}"/>
    <cellStyle name="Style 195" xfId="1428" xr:uid="{00000000-0005-0000-0000-000060260000}"/>
    <cellStyle name="Style 196" xfId="1429" xr:uid="{00000000-0005-0000-0000-000061260000}"/>
    <cellStyle name="Style 197" xfId="1430" xr:uid="{00000000-0005-0000-0000-000062260000}"/>
    <cellStyle name="Style 198" xfId="1431" xr:uid="{00000000-0005-0000-0000-000063260000}"/>
    <cellStyle name="Style 199" xfId="1432" xr:uid="{00000000-0005-0000-0000-000064260000}"/>
    <cellStyle name="Style 2" xfId="1433" xr:uid="{00000000-0005-0000-0000-000065260000}"/>
    <cellStyle name="Style 20" xfId="1434" xr:uid="{00000000-0005-0000-0000-000066260000}"/>
    <cellStyle name="Style 200" xfId="1435" xr:uid="{00000000-0005-0000-0000-000067260000}"/>
    <cellStyle name="Style 201" xfId="1436" xr:uid="{00000000-0005-0000-0000-000068260000}"/>
    <cellStyle name="Style 202" xfId="1437" xr:uid="{00000000-0005-0000-0000-000069260000}"/>
    <cellStyle name="Style 203" xfId="1438" xr:uid="{00000000-0005-0000-0000-00006A260000}"/>
    <cellStyle name="Style 204" xfId="1439" xr:uid="{00000000-0005-0000-0000-00006B260000}"/>
    <cellStyle name="Style 205" xfId="1440" xr:uid="{00000000-0005-0000-0000-00006C260000}"/>
    <cellStyle name="Style 206" xfId="1441" xr:uid="{00000000-0005-0000-0000-00006D260000}"/>
    <cellStyle name="Style 207" xfId="1442" xr:uid="{00000000-0005-0000-0000-00006E260000}"/>
    <cellStyle name="Style 208" xfId="1443" xr:uid="{00000000-0005-0000-0000-00006F260000}"/>
    <cellStyle name="Style 209" xfId="1444" xr:uid="{00000000-0005-0000-0000-000070260000}"/>
    <cellStyle name="Style 21" xfId="1445" xr:uid="{00000000-0005-0000-0000-000071260000}"/>
    <cellStyle name="Style 210" xfId="1446" xr:uid="{00000000-0005-0000-0000-000072260000}"/>
    <cellStyle name="Style 211" xfId="1447" xr:uid="{00000000-0005-0000-0000-000073260000}"/>
    <cellStyle name="Style 212" xfId="1448" xr:uid="{00000000-0005-0000-0000-000074260000}"/>
    <cellStyle name="Style 213" xfId="1449" xr:uid="{00000000-0005-0000-0000-000075260000}"/>
    <cellStyle name="Style 214" xfId="1450" xr:uid="{00000000-0005-0000-0000-000076260000}"/>
    <cellStyle name="Style 215" xfId="1451" xr:uid="{00000000-0005-0000-0000-000077260000}"/>
    <cellStyle name="Style 216" xfId="1452" xr:uid="{00000000-0005-0000-0000-000078260000}"/>
    <cellStyle name="Style 217" xfId="1453" xr:uid="{00000000-0005-0000-0000-000079260000}"/>
    <cellStyle name="Style 218" xfId="1454" xr:uid="{00000000-0005-0000-0000-00007A260000}"/>
    <cellStyle name="Style 219" xfId="1455" xr:uid="{00000000-0005-0000-0000-00007B260000}"/>
    <cellStyle name="Style 22" xfId="1456" xr:uid="{00000000-0005-0000-0000-00007C260000}"/>
    <cellStyle name="Style 220" xfId="1457" xr:uid="{00000000-0005-0000-0000-00007D260000}"/>
    <cellStyle name="Style 221" xfId="1458" xr:uid="{00000000-0005-0000-0000-00007E260000}"/>
    <cellStyle name="Style 222" xfId="1459" xr:uid="{00000000-0005-0000-0000-00007F260000}"/>
    <cellStyle name="Style 223" xfId="1460" xr:uid="{00000000-0005-0000-0000-000080260000}"/>
    <cellStyle name="Style 224" xfId="1461" xr:uid="{00000000-0005-0000-0000-000081260000}"/>
    <cellStyle name="Style 225" xfId="1462" xr:uid="{00000000-0005-0000-0000-000082260000}"/>
    <cellStyle name="Style 226" xfId="1463" xr:uid="{00000000-0005-0000-0000-000083260000}"/>
    <cellStyle name="Style 227" xfId="1464" xr:uid="{00000000-0005-0000-0000-000084260000}"/>
    <cellStyle name="Style 228" xfId="1465" xr:uid="{00000000-0005-0000-0000-000085260000}"/>
    <cellStyle name="Style 229" xfId="1466" xr:uid="{00000000-0005-0000-0000-000086260000}"/>
    <cellStyle name="Style 23" xfId="1467" xr:uid="{00000000-0005-0000-0000-000087260000}"/>
    <cellStyle name="Style 230" xfId="1468" xr:uid="{00000000-0005-0000-0000-000088260000}"/>
    <cellStyle name="Style 231" xfId="1469" xr:uid="{00000000-0005-0000-0000-000089260000}"/>
    <cellStyle name="Style 232" xfId="1470" xr:uid="{00000000-0005-0000-0000-00008A260000}"/>
    <cellStyle name="Style 233" xfId="1471" xr:uid="{00000000-0005-0000-0000-00008B260000}"/>
    <cellStyle name="Style 234" xfId="1472" xr:uid="{00000000-0005-0000-0000-00008C260000}"/>
    <cellStyle name="Style 235" xfId="1473" xr:uid="{00000000-0005-0000-0000-00008D260000}"/>
    <cellStyle name="Style 236" xfId="1474" xr:uid="{00000000-0005-0000-0000-00008E260000}"/>
    <cellStyle name="Style 237" xfId="1475" xr:uid="{00000000-0005-0000-0000-00008F260000}"/>
    <cellStyle name="Style 238" xfId="1476" xr:uid="{00000000-0005-0000-0000-000090260000}"/>
    <cellStyle name="Style 239" xfId="1477" xr:uid="{00000000-0005-0000-0000-000091260000}"/>
    <cellStyle name="Style 24" xfId="1478" xr:uid="{00000000-0005-0000-0000-000092260000}"/>
    <cellStyle name="Style 240" xfId="1479" xr:uid="{00000000-0005-0000-0000-000093260000}"/>
    <cellStyle name="Style 241" xfId="1480" xr:uid="{00000000-0005-0000-0000-000094260000}"/>
    <cellStyle name="Style 242" xfId="1481" xr:uid="{00000000-0005-0000-0000-000095260000}"/>
    <cellStyle name="Style 243" xfId="1482" xr:uid="{00000000-0005-0000-0000-000096260000}"/>
    <cellStyle name="Style 244" xfId="1483" xr:uid="{00000000-0005-0000-0000-000097260000}"/>
    <cellStyle name="Style 245" xfId="1484" xr:uid="{00000000-0005-0000-0000-000098260000}"/>
    <cellStyle name="Style 246" xfId="1485" xr:uid="{00000000-0005-0000-0000-000099260000}"/>
    <cellStyle name="Style 247" xfId="1486" xr:uid="{00000000-0005-0000-0000-00009A260000}"/>
    <cellStyle name="Style 248" xfId="1487" xr:uid="{00000000-0005-0000-0000-00009B260000}"/>
    <cellStyle name="Style 249" xfId="1488" xr:uid="{00000000-0005-0000-0000-00009C260000}"/>
    <cellStyle name="Style 25" xfId="1489" xr:uid="{00000000-0005-0000-0000-00009D260000}"/>
    <cellStyle name="Style 250" xfId="1490" xr:uid="{00000000-0005-0000-0000-00009E260000}"/>
    <cellStyle name="Style 251" xfId="1491" xr:uid="{00000000-0005-0000-0000-00009F260000}"/>
    <cellStyle name="Style 252" xfId="1492" xr:uid="{00000000-0005-0000-0000-0000A0260000}"/>
    <cellStyle name="Style 253" xfId="1493" xr:uid="{00000000-0005-0000-0000-0000A1260000}"/>
    <cellStyle name="Style 254" xfId="1494" xr:uid="{00000000-0005-0000-0000-0000A2260000}"/>
    <cellStyle name="Style 255" xfId="1495" xr:uid="{00000000-0005-0000-0000-0000A3260000}"/>
    <cellStyle name="Style 256" xfId="1496" xr:uid="{00000000-0005-0000-0000-0000A4260000}"/>
    <cellStyle name="Style 26" xfId="1497" xr:uid="{00000000-0005-0000-0000-0000A5260000}"/>
    <cellStyle name="Style 27" xfId="1498" xr:uid="{00000000-0005-0000-0000-0000A6260000}"/>
    <cellStyle name="Style 28" xfId="1499" xr:uid="{00000000-0005-0000-0000-0000A7260000}"/>
    <cellStyle name="Style 29" xfId="1500" xr:uid="{00000000-0005-0000-0000-0000A8260000}"/>
    <cellStyle name="Style 3" xfId="1501" xr:uid="{00000000-0005-0000-0000-0000A9260000}"/>
    <cellStyle name="Style 30" xfId="1502" xr:uid="{00000000-0005-0000-0000-0000AA260000}"/>
    <cellStyle name="Style 31" xfId="1503" xr:uid="{00000000-0005-0000-0000-0000AB260000}"/>
    <cellStyle name="Style 32" xfId="1504" xr:uid="{00000000-0005-0000-0000-0000AC260000}"/>
    <cellStyle name="Style 33" xfId="1505" xr:uid="{00000000-0005-0000-0000-0000AD260000}"/>
    <cellStyle name="Style 34" xfId="1506" xr:uid="{00000000-0005-0000-0000-0000AE260000}"/>
    <cellStyle name="Style 35" xfId="1507" xr:uid="{00000000-0005-0000-0000-0000AF260000}"/>
    <cellStyle name="Style 36" xfId="1508" xr:uid="{00000000-0005-0000-0000-0000B0260000}"/>
    <cellStyle name="Style 37" xfId="1509" xr:uid="{00000000-0005-0000-0000-0000B1260000}"/>
    <cellStyle name="Style 38" xfId="1510" xr:uid="{00000000-0005-0000-0000-0000B2260000}"/>
    <cellStyle name="Style 39" xfId="1511" xr:uid="{00000000-0005-0000-0000-0000B3260000}"/>
    <cellStyle name="Style 4" xfId="1512" xr:uid="{00000000-0005-0000-0000-0000B4260000}"/>
    <cellStyle name="Style 40" xfId="1513" xr:uid="{00000000-0005-0000-0000-0000B5260000}"/>
    <cellStyle name="Style 41" xfId="1514" xr:uid="{00000000-0005-0000-0000-0000B6260000}"/>
    <cellStyle name="Style 42" xfId="1515" xr:uid="{00000000-0005-0000-0000-0000B7260000}"/>
    <cellStyle name="Style 43" xfId="1516" xr:uid="{00000000-0005-0000-0000-0000B8260000}"/>
    <cellStyle name="Style 44" xfId="1517" xr:uid="{00000000-0005-0000-0000-0000B9260000}"/>
    <cellStyle name="Style 45" xfId="1518" xr:uid="{00000000-0005-0000-0000-0000BA260000}"/>
    <cellStyle name="Style 46" xfId="1519" xr:uid="{00000000-0005-0000-0000-0000BB260000}"/>
    <cellStyle name="Style 47" xfId="1520" xr:uid="{00000000-0005-0000-0000-0000BC260000}"/>
    <cellStyle name="Style 48" xfId="1521" xr:uid="{00000000-0005-0000-0000-0000BD260000}"/>
    <cellStyle name="Style 49" xfId="1522" xr:uid="{00000000-0005-0000-0000-0000BE260000}"/>
    <cellStyle name="Style 5" xfId="1523" xr:uid="{00000000-0005-0000-0000-0000BF260000}"/>
    <cellStyle name="Style 50" xfId="1524" xr:uid="{00000000-0005-0000-0000-0000C0260000}"/>
    <cellStyle name="Style 51" xfId="1525" xr:uid="{00000000-0005-0000-0000-0000C1260000}"/>
    <cellStyle name="Style 52" xfId="1526" xr:uid="{00000000-0005-0000-0000-0000C2260000}"/>
    <cellStyle name="Style 53" xfId="1527" xr:uid="{00000000-0005-0000-0000-0000C3260000}"/>
    <cellStyle name="Style 54" xfId="1528" xr:uid="{00000000-0005-0000-0000-0000C4260000}"/>
    <cellStyle name="Style 55" xfId="1529" xr:uid="{00000000-0005-0000-0000-0000C5260000}"/>
    <cellStyle name="Style 56" xfId="1530" xr:uid="{00000000-0005-0000-0000-0000C6260000}"/>
    <cellStyle name="Style 57" xfId="1531" xr:uid="{00000000-0005-0000-0000-0000C7260000}"/>
    <cellStyle name="Style 58" xfId="1532" xr:uid="{00000000-0005-0000-0000-0000C8260000}"/>
    <cellStyle name="Style 59" xfId="1533" xr:uid="{00000000-0005-0000-0000-0000C9260000}"/>
    <cellStyle name="Style 6" xfId="1534" xr:uid="{00000000-0005-0000-0000-0000CA260000}"/>
    <cellStyle name="Style 60" xfId="1535" xr:uid="{00000000-0005-0000-0000-0000CB260000}"/>
    <cellStyle name="Style 61" xfId="1536" xr:uid="{00000000-0005-0000-0000-0000CC260000}"/>
    <cellStyle name="Style 62" xfId="1537" xr:uid="{00000000-0005-0000-0000-0000CD260000}"/>
    <cellStyle name="Style 63" xfId="1538" xr:uid="{00000000-0005-0000-0000-0000CE260000}"/>
    <cellStyle name="Style 64" xfId="1539" xr:uid="{00000000-0005-0000-0000-0000CF260000}"/>
    <cellStyle name="Style 65" xfId="1540" xr:uid="{00000000-0005-0000-0000-0000D0260000}"/>
    <cellStyle name="Style 66" xfId="1541" xr:uid="{00000000-0005-0000-0000-0000D1260000}"/>
    <cellStyle name="Style 67" xfId="1542" xr:uid="{00000000-0005-0000-0000-0000D2260000}"/>
    <cellStyle name="Style 68" xfId="1543" xr:uid="{00000000-0005-0000-0000-0000D3260000}"/>
    <cellStyle name="Style 69" xfId="1544" xr:uid="{00000000-0005-0000-0000-0000D4260000}"/>
    <cellStyle name="Style 7" xfId="1545" xr:uid="{00000000-0005-0000-0000-0000D5260000}"/>
    <cellStyle name="Style 70" xfId="1546" xr:uid="{00000000-0005-0000-0000-0000D6260000}"/>
    <cellStyle name="Style 71" xfId="1547" xr:uid="{00000000-0005-0000-0000-0000D7260000}"/>
    <cellStyle name="Style 72" xfId="1548" xr:uid="{00000000-0005-0000-0000-0000D8260000}"/>
    <cellStyle name="Style 73" xfId="1549" xr:uid="{00000000-0005-0000-0000-0000D9260000}"/>
    <cellStyle name="Style 74" xfId="1550" xr:uid="{00000000-0005-0000-0000-0000DA260000}"/>
    <cellStyle name="Style 75" xfId="1551" xr:uid="{00000000-0005-0000-0000-0000DB260000}"/>
    <cellStyle name="Style 76" xfId="1552" xr:uid="{00000000-0005-0000-0000-0000DC260000}"/>
    <cellStyle name="Style 77" xfId="1553" xr:uid="{00000000-0005-0000-0000-0000DD260000}"/>
    <cellStyle name="Style 78" xfId="1554" xr:uid="{00000000-0005-0000-0000-0000DE260000}"/>
    <cellStyle name="Style 79" xfId="1555" xr:uid="{00000000-0005-0000-0000-0000DF260000}"/>
    <cellStyle name="Style 8" xfId="1556" xr:uid="{00000000-0005-0000-0000-0000E0260000}"/>
    <cellStyle name="Style 80" xfId="1557" xr:uid="{00000000-0005-0000-0000-0000E1260000}"/>
    <cellStyle name="Style 81" xfId="1558" xr:uid="{00000000-0005-0000-0000-0000E2260000}"/>
    <cellStyle name="Style 82" xfId="1559" xr:uid="{00000000-0005-0000-0000-0000E3260000}"/>
    <cellStyle name="Style 83" xfId="1560" xr:uid="{00000000-0005-0000-0000-0000E4260000}"/>
    <cellStyle name="Style 84" xfId="1561" xr:uid="{00000000-0005-0000-0000-0000E5260000}"/>
    <cellStyle name="Style 85" xfId="1562" xr:uid="{00000000-0005-0000-0000-0000E6260000}"/>
    <cellStyle name="Style 86" xfId="1563" xr:uid="{00000000-0005-0000-0000-0000E7260000}"/>
    <cellStyle name="Style 87" xfId="1564" xr:uid="{00000000-0005-0000-0000-0000E8260000}"/>
    <cellStyle name="Style 88" xfId="1565" xr:uid="{00000000-0005-0000-0000-0000E9260000}"/>
    <cellStyle name="Style 89" xfId="1566" xr:uid="{00000000-0005-0000-0000-0000EA260000}"/>
    <cellStyle name="Style 9" xfId="1567" xr:uid="{00000000-0005-0000-0000-0000EB260000}"/>
    <cellStyle name="Style 90" xfId="1568" xr:uid="{00000000-0005-0000-0000-0000EC260000}"/>
    <cellStyle name="Style 91" xfId="1569" xr:uid="{00000000-0005-0000-0000-0000ED260000}"/>
    <cellStyle name="Style 92" xfId="1570" xr:uid="{00000000-0005-0000-0000-0000EE260000}"/>
    <cellStyle name="Style 93" xfId="1571" xr:uid="{00000000-0005-0000-0000-0000EF260000}"/>
    <cellStyle name="Style 94" xfId="1572" xr:uid="{00000000-0005-0000-0000-0000F0260000}"/>
    <cellStyle name="Style 95" xfId="1573" xr:uid="{00000000-0005-0000-0000-0000F1260000}"/>
    <cellStyle name="Style 96" xfId="1574" xr:uid="{00000000-0005-0000-0000-0000F2260000}"/>
    <cellStyle name="Style 97" xfId="1575" xr:uid="{00000000-0005-0000-0000-0000F3260000}"/>
    <cellStyle name="Style 98" xfId="1576" xr:uid="{00000000-0005-0000-0000-0000F4260000}"/>
    <cellStyle name="Style 99" xfId="1577" xr:uid="{00000000-0005-0000-0000-0000F5260000}"/>
    <cellStyle name="Style D green" xfId="4140" xr:uid="{00000000-0005-0000-0000-0000F6260000}"/>
    <cellStyle name="Style D green 2" xfId="6428" xr:uid="{00000000-0005-0000-0000-0000F7260000}"/>
    <cellStyle name="Style D green 3" xfId="7328" xr:uid="{00000000-0005-0000-0000-0000F8260000}"/>
    <cellStyle name="Style E" xfId="4141" xr:uid="{00000000-0005-0000-0000-0000F9260000}"/>
    <cellStyle name="Style H" xfId="4142" xr:uid="{00000000-0005-0000-0000-0000FA260000}"/>
    <cellStyle name="Sub total" xfId="4143" xr:uid="{00000000-0005-0000-0000-0000FB260000}"/>
    <cellStyle name="subhead" xfId="6430" xr:uid="{00000000-0005-0000-0000-0000FC260000}"/>
    <cellStyle name="SubTotal" xfId="10826" xr:uid="{00000000-0005-0000-0000-0000FD260000}"/>
    <cellStyle name="Sum" xfId="7589" xr:uid="{00000000-0005-0000-0000-0000FE260000}"/>
    <cellStyle name="Swiss" xfId="7590" xr:uid="{00000000-0005-0000-0000-0000FF260000}"/>
    <cellStyle name="swisses" xfId="7329" xr:uid="{00000000-0005-0000-0000-000000270000}"/>
    <cellStyle name="t" xfId="7591" xr:uid="{00000000-0005-0000-0000-000001270000}"/>
    <cellStyle name="Table end" xfId="4144" xr:uid="{00000000-0005-0000-0000-000002270000}"/>
    <cellStyle name="Table head" xfId="4145" xr:uid="{00000000-0005-0000-0000-000003270000}"/>
    <cellStyle name="Table head 2" xfId="7772" xr:uid="{00000000-0005-0000-0000-000004270000}"/>
    <cellStyle name="Table Head Aligned" xfId="7330" xr:uid="{00000000-0005-0000-0000-000005270000}"/>
    <cellStyle name="Table Head Aligned 2" xfId="7791" xr:uid="{00000000-0005-0000-0000-000006270000}"/>
    <cellStyle name="Table Head Blue" xfId="7331" xr:uid="{00000000-0005-0000-0000-000007270000}"/>
    <cellStyle name="Table Head Green" xfId="7332" xr:uid="{00000000-0005-0000-0000-000008270000}"/>
    <cellStyle name="Table Head Green 2" xfId="7792" xr:uid="{00000000-0005-0000-0000-000009270000}"/>
    <cellStyle name="Table head_DCF" xfId="7333" xr:uid="{00000000-0005-0000-0000-00000A270000}"/>
    <cellStyle name="Table Heading" xfId="4146" xr:uid="{00000000-0005-0000-0000-00000B270000}"/>
    <cellStyle name="table text bold" xfId="4147" xr:uid="{00000000-0005-0000-0000-00000C270000}"/>
    <cellStyle name="table text bold green" xfId="4148" xr:uid="{00000000-0005-0000-0000-00000D270000}"/>
    <cellStyle name="table text bold_Beta" xfId="6431" xr:uid="{00000000-0005-0000-0000-00000E270000}"/>
    <cellStyle name="table text light" xfId="4149" xr:uid="{00000000-0005-0000-0000-00000F270000}"/>
    <cellStyle name="Table Title" xfId="7334" xr:uid="{00000000-0005-0000-0000-000010270000}"/>
    <cellStyle name="Table Units" xfId="7335" xr:uid="{00000000-0005-0000-0000-000011270000}"/>
    <cellStyle name="TableTitle" xfId="7336" xr:uid="{00000000-0005-0000-0000-000012270000}"/>
    <cellStyle name="Time" xfId="7592" xr:uid="{00000000-0005-0000-0000-000013270000}"/>
    <cellStyle name="times" xfId="7337" xr:uid="{00000000-0005-0000-0000-000014270000}"/>
    <cellStyle name="Title" xfId="11274" builtinId="15" customBuiltin="1"/>
    <cellStyle name="Title - PROJECT" xfId="7593" xr:uid="{00000000-0005-0000-0000-000016270000}"/>
    <cellStyle name="Title - Underline" xfId="7594" xr:uid="{00000000-0005-0000-0000-000017270000}"/>
    <cellStyle name="Title 2" xfId="1578" xr:uid="{00000000-0005-0000-0000-000018270000}"/>
    <cellStyle name="Title 3" xfId="6432" xr:uid="{00000000-0005-0000-0000-000019270000}"/>
    <cellStyle name="Title1" xfId="7595" xr:uid="{00000000-0005-0000-0000-00001A270000}"/>
    <cellStyle name="Title2" xfId="7596" xr:uid="{00000000-0005-0000-0000-00001B270000}"/>
    <cellStyle name="Titles" xfId="4150" xr:uid="{00000000-0005-0000-0000-00001C270000}"/>
    <cellStyle name="Titles - Col. Headings" xfId="7597" xr:uid="{00000000-0005-0000-0000-00001D270000}"/>
    <cellStyle name="Titles - Other" xfId="7598" xr:uid="{00000000-0005-0000-0000-00001E270000}"/>
    <cellStyle name="Titulo fecha 2" xfId="7338" xr:uid="{00000000-0005-0000-0000-00001F270000}"/>
    <cellStyle name="Titulos Fecha" xfId="7339" xr:uid="{00000000-0005-0000-0000-000020270000}"/>
    <cellStyle name="Titulos Fecha 2" xfId="7793" xr:uid="{00000000-0005-0000-0000-000021270000}"/>
    <cellStyle name="Topline" xfId="7340" xr:uid="{00000000-0005-0000-0000-000022270000}"/>
    <cellStyle name="Total" xfId="11289" builtinId="25" customBuiltin="1"/>
    <cellStyle name="Total 2" xfId="1579" xr:uid="{00000000-0005-0000-0000-000024270000}"/>
    <cellStyle name="Total 2 2" xfId="6915" xr:uid="{00000000-0005-0000-0000-000025270000}"/>
    <cellStyle name="Total 2 3" xfId="6895" xr:uid="{00000000-0005-0000-0000-000026270000}"/>
    <cellStyle name="Total 3" xfId="4151" xr:uid="{00000000-0005-0000-0000-000027270000}"/>
    <cellStyle name="Total 4" xfId="6433" xr:uid="{00000000-0005-0000-0000-000028270000}"/>
    <cellStyle name="Total 5" xfId="10827" xr:uid="{00000000-0005-0000-0000-000029270000}"/>
    <cellStyle name="Tusental (0)_laroux" xfId="7341" xr:uid="{00000000-0005-0000-0000-00002A270000}"/>
    <cellStyle name="Tusental_laroux" xfId="7342" xr:uid="{00000000-0005-0000-0000-00002B270000}"/>
    <cellStyle name="u" xfId="4152" xr:uid="{00000000-0005-0000-0000-00002C270000}"/>
    <cellStyle name="u_Beta" xfId="6435" xr:uid="{00000000-0005-0000-0000-00002D270000}"/>
    <cellStyle name="u_Cashflow" xfId="6436" xr:uid="{00000000-0005-0000-0000-00002E270000}"/>
    <cellStyle name="u_Cashflow_Honghua MSTR" xfId="6437" xr:uid="{00000000-0005-0000-0000-00002F270000}"/>
    <cellStyle name="u_new-Sub" xfId="4153" xr:uid="{00000000-0005-0000-0000-000030270000}"/>
    <cellStyle name="u_P&amp;L" xfId="6438" xr:uid="{00000000-0005-0000-0000-000031270000}"/>
    <cellStyle name="u_P&amp;L_Honghua MSTR" xfId="6439" xr:uid="{00000000-0005-0000-0000-000032270000}"/>
    <cellStyle name="u_PetroChina Master" xfId="6440" xr:uid="{00000000-0005-0000-0000-000033270000}"/>
    <cellStyle name="u_PetroChina Master_WIP(20-F update)" xfId="6441" xr:uid="{00000000-0005-0000-0000-000034270000}"/>
    <cellStyle name="u_PetroChina Master_WIP(20-F update)_Cashflow" xfId="6442" xr:uid="{00000000-0005-0000-0000-000035270000}"/>
    <cellStyle name="u_PetroChina Master_WIP(20-F update)_Cashflow_Honghua MSTR" xfId="6443" xr:uid="{00000000-0005-0000-0000-000036270000}"/>
    <cellStyle name="u_PetroChina Master_WIP(20-F update)_P&amp;L" xfId="6444" xr:uid="{00000000-0005-0000-0000-000037270000}"/>
    <cellStyle name="u_PetroChina Master_WIP(20-F update)_P&amp;L_Honghua MSTR" xfId="6445" xr:uid="{00000000-0005-0000-0000-000038270000}"/>
    <cellStyle name="u_PetroChina Master_WIP(20-F update)_Sinopec MSTR" xfId="6446" xr:uid="{00000000-0005-0000-0000-000039270000}"/>
    <cellStyle name="u_PetroChina Master_WIP(20-F update)_Sinopec MSTR Wip" xfId="6447" xr:uid="{00000000-0005-0000-0000-00003A270000}"/>
    <cellStyle name="u_PetroChina Master_WIP(20-F update)_Sinopec MSTR_WIP_KK" xfId="6448" xr:uid="{00000000-0005-0000-0000-00003B270000}"/>
    <cellStyle name="u_Sinopec MSTR" xfId="6449" xr:uid="{00000000-0005-0000-0000-00003C270000}"/>
    <cellStyle name="u_Sinopec MSTR Wip" xfId="6450" xr:uid="{00000000-0005-0000-0000-00003D270000}"/>
    <cellStyle name="u_Sinopec MSTR_WIP_KK" xfId="6451" xr:uid="{00000000-0005-0000-0000-00003E270000}"/>
    <cellStyle name="u_Sinopec MSTR-WIP_20F update" xfId="6452" xr:uid="{00000000-0005-0000-0000-00003F270000}"/>
    <cellStyle name="underline" xfId="6453" xr:uid="{00000000-0005-0000-0000-000040270000}"/>
    <cellStyle name="UnderLine 2" xfId="7343" xr:uid="{00000000-0005-0000-0000-000041270000}"/>
    <cellStyle name="UnderLine 2 2" xfId="7794" xr:uid="{00000000-0005-0000-0000-000042270000}"/>
    <cellStyle name="underline 3" xfId="7789" xr:uid="{00000000-0005-0000-0000-000043270000}"/>
    <cellStyle name="underline 4" xfId="7785" xr:uid="{00000000-0005-0000-0000-000044270000}"/>
    <cellStyle name="underline 5" xfId="7778" xr:uid="{00000000-0005-0000-0000-000045270000}"/>
    <cellStyle name="underline 6" xfId="7784" xr:uid="{00000000-0005-0000-0000-000046270000}"/>
    <cellStyle name="underline 7" xfId="10833" xr:uid="{00000000-0005-0000-0000-000047270000}"/>
    <cellStyle name="underline 8" xfId="10832" xr:uid="{00000000-0005-0000-0000-000048270000}"/>
    <cellStyle name="unm" xfId="7599" xr:uid="{00000000-0005-0000-0000-000049270000}"/>
    <cellStyle name="Valuta (0)_laroux" xfId="7344" xr:uid="{00000000-0005-0000-0000-00004A270000}"/>
    <cellStyle name="Valuta_laroux" xfId="7345" xr:uid="{00000000-0005-0000-0000-00004B270000}"/>
    <cellStyle name="Warning Text" xfId="11287" builtinId="11" customBuiltin="1"/>
    <cellStyle name="Warning Text 2" xfId="1580" xr:uid="{00000000-0005-0000-0000-00004D270000}"/>
    <cellStyle name="Warning Text 3" xfId="6454" xr:uid="{00000000-0005-0000-0000-00004E270000}"/>
    <cellStyle name="wrap" xfId="6455" xr:uid="{00000000-0005-0000-0000-00004F270000}"/>
    <cellStyle name="Year" xfId="4154" xr:uid="{00000000-0005-0000-0000-000050270000}"/>
    <cellStyle name="Years" xfId="7600" xr:uid="{00000000-0005-0000-0000-000051270000}"/>
    <cellStyle name="_CCT Notes to BS 98(EY)" xfId="6741" xr:uid="{00000000-0005-0000-0000-000052270000}"/>
    <cellStyle name="だ[0]_CCT Notes to BS 98(EY)" xfId="6742" xr:uid="{00000000-0005-0000-0000-000053270000}"/>
    <cellStyle name="だ_CCT Consol BS PL 0999-draft" xfId="6743" xr:uid="{00000000-0005-0000-0000-000054270000}"/>
    <cellStyle name="쬞\?1@" xfId="7346" xr:uid="{00000000-0005-0000-0000-000055270000}"/>
    <cellStyle name="콤마 [0]_BOILER-CO1" xfId="6467" xr:uid="{00000000-0005-0000-0000-000056270000}"/>
    <cellStyle name="콤마_BOILER-CO1" xfId="6468" xr:uid="{00000000-0005-0000-0000-000057270000}"/>
    <cellStyle name="통화 [0]_BOILER-CO1" xfId="6469" xr:uid="{00000000-0005-0000-0000-000058270000}"/>
    <cellStyle name="통화_BOILER-CO1" xfId="6470" xr:uid="{00000000-0005-0000-0000-000059270000}"/>
    <cellStyle name="표준_030107" xfId="1581" xr:uid="{00000000-0005-0000-0000-00005A270000}"/>
    <cellStyle name="一般_CCT Notes to BS 98(EY)" xfId="6740" xr:uid="{00000000-0005-0000-0000-00005B270000}"/>
    <cellStyle name="中文表头" xfId="4155" xr:uid="{00000000-0005-0000-0000-00005C270000}"/>
    <cellStyle name="分级显示行_1_4附件二凯旋评估表" xfId="4156" xr:uid="{00000000-0005-0000-0000-00005D270000}"/>
    <cellStyle name="千位[0]_ 方正PC" xfId="6474" xr:uid="{00000000-0005-0000-0000-00005E270000}"/>
    <cellStyle name="千位_ 方正PC" xfId="6475" xr:uid="{00000000-0005-0000-0000-00005F270000}"/>
    <cellStyle name="千位分隔 2" xfId="1582" xr:uid="{00000000-0005-0000-0000-000060270000}"/>
    <cellStyle name="千位分隔 2 2" xfId="6477" xr:uid="{00000000-0005-0000-0000-000061270000}"/>
    <cellStyle name="千位分隔 2 2 2" xfId="6945" xr:uid="{00000000-0005-0000-0000-000062270000}"/>
    <cellStyle name="千位分隔 2 2 2 2" xfId="7639" xr:uid="{00000000-0005-0000-0000-000063270000}"/>
    <cellStyle name="千位分隔 2 2 3" xfId="7627" xr:uid="{00000000-0005-0000-0000-000064270000}"/>
    <cellStyle name="千位分隔 2 3" xfId="7612" xr:uid="{00000000-0005-0000-0000-000065270000}"/>
    <cellStyle name="千位分隔 2 4" xfId="7773" xr:uid="{00000000-0005-0000-0000-000066270000}"/>
    <cellStyle name="千位分隔 3" xfId="6478" xr:uid="{00000000-0005-0000-0000-000067270000}"/>
    <cellStyle name="千位分隔[0]_10" xfId="4157" xr:uid="{00000000-0005-0000-0000-000068270000}"/>
    <cellStyle name="千位分隔_10" xfId="4158" xr:uid="{00000000-0005-0000-0000-000069270000}"/>
    <cellStyle name="千分位[0]_ 白土" xfId="4159" xr:uid="{00000000-0005-0000-0000-00006A270000}"/>
    <cellStyle name="千分位_ 白土" xfId="4160" xr:uid="{00000000-0005-0000-0000-00006B270000}"/>
    <cellStyle name="后继超级链接_9 Provinces Model 031104" xfId="4161" xr:uid="{00000000-0005-0000-0000-00006C270000}"/>
    <cellStyle name="好" xfId="1583" xr:uid="{00000000-0005-0000-0000-00006D270000}"/>
    <cellStyle name="好 10" xfId="1584" xr:uid="{00000000-0005-0000-0000-00006E270000}"/>
    <cellStyle name="好 11" xfId="1585" xr:uid="{00000000-0005-0000-0000-00006F270000}"/>
    <cellStyle name="好 12" xfId="1586" xr:uid="{00000000-0005-0000-0000-000070270000}"/>
    <cellStyle name="好 13" xfId="1587" xr:uid="{00000000-0005-0000-0000-000071270000}"/>
    <cellStyle name="好 14" xfId="1588" xr:uid="{00000000-0005-0000-0000-000072270000}"/>
    <cellStyle name="好 15" xfId="1589" xr:uid="{00000000-0005-0000-0000-000073270000}"/>
    <cellStyle name="好 16" xfId="1590" xr:uid="{00000000-0005-0000-0000-000074270000}"/>
    <cellStyle name="好 17" xfId="1591" xr:uid="{00000000-0005-0000-0000-000075270000}"/>
    <cellStyle name="好 18" xfId="1592" xr:uid="{00000000-0005-0000-0000-000076270000}"/>
    <cellStyle name="好 19" xfId="1593" xr:uid="{00000000-0005-0000-0000-000077270000}"/>
    <cellStyle name="好 2" xfId="1594" xr:uid="{00000000-0005-0000-0000-000078270000}"/>
    <cellStyle name="好 20" xfId="1595" xr:uid="{00000000-0005-0000-0000-000079270000}"/>
    <cellStyle name="好 3" xfId="1596" xr:uid="{00000000-0005-0000-0000-00007A270000}"/>
    <cellStyle name="好 4" xfId="1597" xr:uid="{00000000-0005-0000-0000-00007B270000}"/>
    <cellStyle name="好 5" xfId="1598" xr:uid="{00000000-0005-0000-0000-00007C270000}"/>
    <cellStyle name="好 6" xfId="1599" xr:uid="{00000000-0005-0000-0000-00007D270000}"/>
    <cellStyle name="好 7" xfId="1600" xr:uid="{00000000-0005-0000-0000-00007E270000}"/>
    <cellStyle name="好 8" xfId="1601" xr:uid="{00000000-0005-0000-0000-00007F270000}"/>
    <cellStyle name="好 9" xfId="1602" xr:uid="{00000000-0005-0000-0000-000080270000}"/>
    <cellStyle name="好_Sheet2" xfId="1603" xr:uid="{00000000-0005-0000-0000-000081270000}"/>
    <cellStyle name="好_Sheet3" xfId="1604" xr:uid="{00000000-0005-0000-0000-000082270000}"/>
    <cellStyle name="好_全国乘用车市场信息联席会月报表（1001）（批发表）" xfId="1605" xr:uid="{00000000-0005-0000-0000-000083270000}"/>
    <cellStyle name="好_库存" xfId="1606" xr:uid="{00000000-0005-0000-0000-000084270000}"/>
    <cellStyle name="好_简版" xfId="1607" xr:uid="{00000000-0005-0000-0000-000085270000}"/>
    <cellStyle name="差" xfId="1608" xr:uid="{00000000-0005-0000-0000-000086270000}"/>
    <cellStyle name="差_Sheet3" xfId="1609" xr:uid="{00000000-0005-0000-0000-000087270000}"/>
    <cellStyle name="差_全国乘用车市场信息联席会月报表（1001）（批发表）" xfId="1610" xr:uid="{00000000-0005-0000-0000-000088270000}"/>
    <cellStyle name="常规 11" xfId="1611" xr:uid="{00000000-0005-0000-0000-000089270000}"/>
    <cellStyle name="常规 12" xfId="1612" xr:uid="{00000000-0005-0000-0000-00008A270000}"/>
    <cellStyle name="常规 13" xfId="1613" xr:uid="{00000000-0005-0000-0000-00008B270000}"/>
    <cellStyle name="常规 14" xfId="1614" xr:uid="{00000000-0005-0000-0000-00008C270000}"/>
    <cellStyle name="常规 15" xfId="1615" xr:uid="{00000000-0005-0000-0000-00008D270000}"/>
    <cellStyle name="常规 16" xfId="1616" xr:uid="{00000000-0005-0000-0000-00008E270000}"/>
    <cellStyle name="常规 17" xfId="1617" xr:uid="{00000000-0005-0000-0000-00008F270000}"/>
    <cellStyle name="常规 18" xfId="1618" xr:uid="{00000000-0005-0000-0000-000090270000}"/>
    <cellStyle name="常规 19" xfId="1619" xr:uid="{00000000-0005-0000-0000-000091270000}"/>
    <cellStyle name="常规 2" xfId="1620" xr:uid="{00000000-0005-0000-0000-000092270000}"/>
    <cellStyle name="常规 2 10" xfId="1621" xr:uid="{00000000-0005-0000-0000-000093270000}"/>
    <cellStyle name="常规 2 10 2" xfId="1622" xr:uid="{00000000-0005-0000-0000-000094270000}"/>
    <cellStyle name="常规 2 11" xfId="1623" xr:uid="{00000000-0005-0000-0000-000095270000}"/>
    <cellStyle name="常规 2 11 2" xfId="1624" xr:uid="{00000000-0005-0000-0000-000096270000}"/>
    <cellStyle name="常规 2 12" xfId="4208" xr:uid="{00000000-0005-0000-0000-000097270000}"/>
    <cellStyle name="常规 2 13" xfId="6460" xr:uid="{00000000-0005-0000-0000-000098270000}"/>
    <cellStyle name="常规 2 2" xfId="1625" xr:uid="{00000000-0005-0000-0000-000099270000}"/>
    <cellStyle name="常规 2 2 2" xfId="1626" xr:uid="{00000000-0005-0000-0000-00009A270000}"/>
    <cellStyle name="常规 2 2 2 2" xfId="1627" xr:uid="{00000000-0005-0000-0000-00009B270000}"/>
    <cellStyle name="常规 2 2 3" xfId="1628" xr:uid="{00000000-0005-0000-0000-00009C270000}"/>
    <cellStyle name="常规 2 2 3 2" xfId="1629" xr:uid="{00000000-0005-0000-0000-00009D270000}"/>
    <cellStyle name="常规 2 2 4" xfId="1630" xr:uid="{00000000-0005-0000-0000-00009E270000}"/>
    <cellStyle name="常规 2 2 4 2" xfId="1631" xr:uid="{00000000-0005-0000-0000-00009F270000}"/>
    <cellStyle name="常规 2 2 5" xfId="1632" xr:uid="{00000000-0005-0000-0000-0000A0270000}"/>
    <cellStyle name="常规 2 2 5 2" xfId="1633" xr:uid="{00000000-0005-0000-0000-0000A1270000}"/>
    <cellStyle name="常规 2 2 6" xfId="1634" xr:uid="{00000000-0005-0000-0000-0000A2270000}"/>
    <cellStyle name="常规 2 2 6 2" xfId="1635" xr:uid="{00000000-0005-0000-0000-0000A3270000}"/>
    <cellStyle name="常规 2 2 7" xfId="1636" xr:uid="{00000000-0005-0000-0000-0000A4270000}"/>
    <cellStyle name="常规 2 2 7 2" xfId="1637" xr:uid="{00000000-0005-0000-0000-0000A5270000}"/>
    <cellStyle name="常规 2 2 8" xfId="1638" xr:uid="{00000000-0005-0000-0000-0000A6270000}"/>
    <cellStyle name="常规 2 2_北京现代2009年4月报表" xfId="1639" xr:uid="{00000000-0005-0000-0000-0000A7270000}"/>
    <cellStyle name="常规 2 3" xfId="1640" xr:uid="{00000000-0005-0000-0000-0000A8270000}"/>
    <cellStyle name="常规 2 3 2" xfId="1641" xr:uid="{00000000-0005-0000-0000-0000A9270000}"/>
    <cellStyle name="常规 2 3 2 2" xfId="1642" xr:uid="{00000000-0005-0000-0000-0000AA270000}"/>
    <cellStyle name="常规 2 3 3" xfId="1643" xr:uid="{00000000-0005-0000-0000-0000AB270000}"/>
    <cellStyle name="常规 2 3 3 2" xfId="1644" xr:uid="{00000000-0005-0000-0000-0000AC270000}"/>
    <cellStyle name="常规 2 3 4" xfId="1645" xr:uid="{00000000-0005-0000-0000-0000AD270000}"/>
    <cellStyle name="常规 2 3 4 2" xfId="1646" xr:uid="{00000000-0005-0000-0000-0000AE270000}"/>
    <cellStyle name="常规 2 3 5" xfId="1647" xr:uid="{00000000-0005-0000-0000-0000AF270000}"/>
    <cellStyle name="常规 2 3 5 2" xfId="1648" xr:uid="{00000000-0005-0000-0000-0000B0270000}"/>
    <cellStyle name="常规 2 3 6" xfId="1649" xr:uid="{00000000-0005-0000-0000-0000B1270000}"/>
    <cellStyle name="常规 2 3 6 2" xfId="1650" xr:uid="{00000000-0005-0000-0000-0000B2270000}"/>
    <cellStyle name="常规 2 3 7" xfId="1651" xr:uid="{00000000-0005-0000-0000-0000B3270000}"/>
    <cellStyle name="常规 2 3 7 2" xfId="1652" xr:uid="{00000000-0005-0000-0000-0000B4270000}"/>
    <cellStyle name="常规 2 3 8" xfId="1653" xr:uid="{00000000-0005-0000-0000-0000B5270000}"/>
    <cellStyle name="常规 2 3_北京现代2009年4月报表" xfId="1654" xr:uid="{00000000-0005-0000-0000-0000B6270000}"/>
    <cellStyle name="常规 2 4" xfId="1655" xr:uid="{00000000-0005-0000-0000-0000B7270000}"/>
    <cellStyle name="常规 2 4 2" xfId="1656" xr:uid="{00000000-0005-0000-0000-0000B8270000}"/>
    <cellStyle name="常规 2 4 2 2" xfId="1657" xr:uid="{00000000-0005-0000-0000-0000B9270000}"/>
    <cellStyle name="常规 2 4 3" xfId="1658" xr:uid="{00000000-0005-0000-0000-0000BA270000}"/>
    <cellStyle name="常规 2 4 3 2" xfId="1659" xr:uid="{00000000-0005-0000-0000-0000BB270000}"/>
    <cellStyle name="常规 2 4 4" xfId="1660" xr:uid="{00000000-0005-0000-0000-0000BC270000}"/>
    <cellStyle name="常规 2 4 4 2" xfId="1661" xr:uid="{00000000-0005-0000-0000-0000BD270000}"/>
    <cellStyle name="常规 2 4 5" xfId="1662" xr:uid="{00000000-0005-0000-0000-0000BE270000}"/>
    <cellStyle name="常规 2 4 5 2" xfId="1663" xr:uid="{00000000-0005-0000-0000-0000BF270000}"/>
    <cellStyle name="常规 2 4 6" xfId="1664" xr:uid="{00000000-0005-0000-0000-0000C0270000}"/>
    <cellStyle name="常规 2 4 6 2" xfId="1665" xr:uid="{00000000-0005-0000-0000-0000C1270000}"/>
    <cellStyle name="常规 2 4 7" xfId="1666" xr:uid="{00000000-0005-0000-0000-0000C2270000}"/>
    <cellStyle name="常规 2 4 7 2" xfId="1667" xr:uid="{00000000-0005-0000-0000-0000C3270000}"/>
    <cellStyle name="常规 2 4 8" xfId="1668" xr:uid="{00000000-0005-0000-0000-0000C4270000}"/>
    <cellStyle name="常规 2 4_北京现代2009年4月报表" xfId="1669" xr:uid="{00000000-0005-0000-0000-0000C5270000}"/>
    <cellStyle name="常规 2 5" xfId="1670" xr:uid="{00000000-0005-0000-0000-0000C6270000}"/>
    <cellStyle name="常规 2 5 2" xfId="1671" xr:uid="{00000000-0005-0000-0000-0000C7270000}"/>
    <cellStyle name="常规 2 5 2 2" xfId="1672" xr:uid="{00000000-0005-0000-0000-0000C8270000}"/>
    <cellStyle name="常规 2 5 3" xfId="1673" xr:uid="{00000000-0005-0000-0000-0000C9270000}"/>
    <cellStyle name="常规 2 5 3 2" xfId="1674" xr:uid="{00000000-0005-0000-0000-0000CA270000}"/>
    <cellStyle name="常规 2 5 4" xfId="1675" xr:uid="{00000000-0005-0000-0000-0000CB270000}"/>
    <cellStyle name="常规 2 5 4 2" xfId="1676" xr:uid="{00000000-0005-0000-0000-0000CC270000}"/>
    <cellStyle name="常规 2 5 5" xfId="1677" xr:uid="{00000000-0005-0000-0000-0000CD270000}"/>
    <cellStyle name="常规 2 5 5 2" xfId="1678" xr:uid="{00000000-0005-0000-0000-0000CE270000}"/>
    <cellStyle name="常规 2 5 6" xfId="1679" xr:uid="{00000000-0005-0000-0000-0000CF270000}"/>
    <cellStyle name="常规 2 5 6 2" xfId="1680" xr:uid="{00000000-0005-0000-0000-0000D0270000}"/>
    <cellStyle name="常规 2 5 7" xfId="1681" xr:uid="{00000000-0005-0000-0000-0000D1270000}"/>
    <cellStyle name="常规 2 5 7 2" xfId="1682" xr:uid="{00000000-0005-0000-0000-0000D2270000}"/>
    <cellStyle name="常规 2 5 8" xfId="1683" xr:uid="{00000000-0005-0000-0000-0000D3270000}"/>
    <cellStyle name="常规 2 5_北京现代2009年4月报表" xfId="1684" xr:uid="{00000000-0005-0000-0000-0000D4270000}"/>
    <cellStyle name="常规 2 6" xfId="1685" xr:uid="{00000000-0005-0000-0000-0000D5270000}"/>
    <cellStyle name="常规 2 6 2" xfId="1686" xr:uid="{00000000-0005-0000-0000-0000D6270000}"/>
    <cellStyle name="常规 2 7" xfId="1687" xr:uid="{00000000-0005-0000-0000-0000D7270000}"/>
    <cellStyle name="常规 2 7 2" xfId="1688" xr:uid="{00000000-0005-0000-0000-0000D8270000}"/>
    <cellStyle name="常规 2 8" xfId="1689" xr:uid="{00000000-0005-0000-0000-0000D9270000}"/>
    <cellStyle name="常规 2 8 2" xfId="1690" xr:uid="{00000000-0005-0000-0000-0000DA270000}"/>
    <cellStyle name="常规 2 9" xfId="1691" xr:uid="{00000000-0005-0000-0000-0000DB270000}"/>
    <cellStyle name="常规 2 9 2" xfId="1692" xr:uid="{00000000-0005-0000-0000-0000DC270000}"/>
    <cellStyle name="常规 2_狭义乘用车" xfId="1693" xr:uid="{00000000-0005-0000-0000-0000DD270000}"/>
    <cellStyle name="常规 20" xfId="1694" xr:uid="{00000000-0005-0000-0000-0000DE270000}"/>
    <cellStyle name="常规 21" xfId="1695" xr:uid="{00000000-0005-0000-0000-0000DF270000}"/>
    <cellStyle name="常规 3" xfId="1696" xr:uid="{00000000-0005-0000-0000-0000E0270000}"/>
    <cellStyle name="常规 3 10" xfId="1697" xr:uid="{00000000-0005-0000-0000-0000E1270000}"/>
    <cellStyle name="常规 3 10 2" xfId="1698" xr:uid="{00000000-0005-0000-0000-0000E2270000}"/>
    <cellStyle name="常规 3 10 2 2" xfId="1699" xr:uid="{00000000-0005-0000-0000-0000E3270000}"/>
    <cellStyle name="常规 3 10 3" xfId="1700" xr:uid="{00000000-0005-0000-0000-0000E4270000}"/>
    <cellStyle name="常规 3 10 3 2" xfId="1701" xr:uid="{00000000-0005-0000-0000-0000E5270000}"/>
    <cellStyle name="常规 3 10 4" xfId="1702" xr:uid="{00000000-0005-0000-0000-0000E6270000}"/>
    <cellStyle name="常规 3 10 4 2" xfId="1703" xr:uid="{00000000-0005-0000-0000-0000E7270000}"/>
    <cellStyle name="常规 3 10 5" xfId="1704" xr:uid="{00000000-0005-0000-0000-0000E8270000}"/>
    <cellStyle name="常规 3 10 5 2" xfId="1705" xr:uid="{00000000-0005-0000-0000-0000E9270000}"/>
    <cellStyle name="常规 3 10 6" xfId="1706" xr:uid="{00000000-0005-0000-0000-0000EA270000}"/>
    <cellStyle name="常规 3 10 6 2" xfId="1707" xr:uid="{00000000-0005-0000-0000-0000EB270000}"/>
    <cellStyle name="常规 3 10 7" xfId="1708" xr:uid="{00000000-0005-0000-0000-0000EC270000}"/>
    <cellStyle name="常规 3 10 7 2" xfId="1709" xr:uid="{00000000-0005-0000-0000-0000ED270000}"/>
    <cellStyle name="常规 3 10 8" xfId="1710" xr:uid="{00000000-0005-0000-0000-0000EE270000}"/>
    <cellStyle name="常规 3 10_北京现代2009年4月报表" xfId="1711" xr:uid="{00000000-0005-0000-0000-0000EF270000}"/>
    <cellStyle name="常规 3 11" xfId="1712" xr:uid="{00000000-0005-0000-0000-0000F0270000}"/>
    <cellStyle name="常规 3 11 2" xfId="1713" xr:uid="{00000000-0005-0000-0000-0000F1270000}"/>
    <cellStyle name="常规 3 12" xfId="1714" xr:uid="{00000000-0005-0000-0000-0000F2270000}"/>
    <cellStyle name="常规 3 12 2" xfId="1715" xr:uid="{00000000-0005-0000-0000-0000F3270000}"/>
    <cellStyle name="常规 3 13" xfId="1716" xr:uid="{00000000-0005-0000-0000-0000F4270000}"/>
    <cellStyle name="常规 3 13 2" xfId="1717" xr:uid="{00000000-0005-0000-0000-0000F5270000}"/>
    <cellStyle name="常规 3 14" xfId="1718" xr:uid="{00000000-0005-0000-0000-0000F6270000}"/>
    <cellStyle name="常规 3 14 2" xfId="1719" xr:uid="{00000000-0005-0000-0000-0000F7270000}"/>
    <cellStyle name="常规 3 15" xfId="1720" xr:uid="{00000000-0005-0000-0000-0000F8270000}"/>
    <cellStyle name="常规 3 15 2" xfId="1721" xr:uid="{00000000-0005-0000-0000-0000F9270000}"/>
    <cellStyle name="常规 3 16" xfId="1722" xr:uid="{00000000-0005-0000-0000-0000FA270000}"/>
    <cellStyle name="常规 3 16 2" xfId="1723" xr:uid="{00000000-0005-0000-0000-0000FB270000}"/>
    <cellStyle name="常规 3 17" xfId="1724" xr:uid="{00000000-0005-0000-0000-0000FC270000}"/>
    <cellStyle name="常规 3 17 2" xfId="1725" xr:uid="{00000000-0005-0000-0000-0000FD270000}"/>
    <cellStyle name="常规 3 18" xfId="1726" xr:uid="{00000000-0005-0000-0000-0000FE270000}"/>
    <cellStyle name="常规 3 18 2" xfId="1727" xr:uid="{00000000-0005-0000-0000-0000FF270000}"/>
    <cellStyle name="常规 3 19" xfId="1728" xr:uid="{00000000-0005-0000-0000-000000280000}"/>
    <cellStyle name="常规 3 19 2" xfId="1729" xr:uid="{00000000-0005-0000-0000-000001280000}"/>
    <cellStyle name="常规 3 2" xfId="1730" xr:uid="{00000000-0005-0000-0000-000002280000}"/>
    <cellStyle name="常规 3 2 10" xfId="1731" xr:uid="{00000000-0005-0000-0000-000003280000}"/>
    <cellStyle name="常规 3 2 10 2" xfId="1732" xr:uid="{00000000-0005-0000-0000-000004280000}"/>
    <cellStyle name="常规 3 2 11" xfId="1733" xr:uid="{00000000-0005-0000-0000-000005280000}"/>
    <cellStyle name="常规 3 2 11 2" xfId="1734" xr:uid="{00000000-0005-0000-0000-000006280000}"/>
    <cellStyle name="常规 3 2 12" xfId="1735" xr:uid="{00000000-0005-0000-0000-000007280000}"/>
    <cellStyle name="常规 3 2 2" xfId="1736" xr:uid="{00000000-0005-0000-0000-000008280000}"/>
    <cellStyle name="常规 3 2 2 2" xfId="1737" xr:uid="{00000000-0005-0000-0000-000009280000}"/>
    <cellStyle name="常规 3 2 2 2 2" xfId="1738" xr:uid="{00000000-0005-0000-0000-00000A280000}"/>
    <cellStyle name="常规 3 2 2 3" xfId="1739" xr:uid="{00000000-0005-0000-0000-00000B280000}"/>
    <cellStyle name="常规 3 2 2 3 2" xfId="1740" xr:uid="{00000000-0005-0000-0000-00000C280000}"/>
    <cellStyle name="常规 3 2 2 4" xfId="1741" xr:uid="{00000000-0005-0000-0000-00000D280000}"/>
    <cellStyle name="常规 3 2 2 4 2" xfId="1742" xr:uid="{00000000-0005-0000-0000-00000E280000}"/>
    <cellStyle name="常规 3 2 2 5" xfId="1743" xr:uid="{00000000-0005-0000-0000-00000F280000}"/>
    <cellStyle name="常规 3 2 2 5 2" xfId="1744" xr:uid="{00000000-0005-0000-0000-000010280000}"/>
    <cellStyle name="常规 3 2 2 6" xfId="1745" xr:uid="{00000000-0005-0000-0000-000011280000}"/>
    <cellStyle name="常规 3 2 2 6 2" xfId="1746" xr:uid="{00000000-0005-0000-0000-000012280000}"/>
    <cellStyle name="常规 3 2 2 7" xfId="1747" xr:uid="{00000000-0005-0000-0000-000013280000}"/>
    <cellStyle name="常规 3 2 2 7 2" xfId="1748" xr:uid="{00000000-0005-0000-0000-000014280000}"/>
    <cellStyle name="常规 3 2 2 8" xfId="1749" xr:uid="{00000000-0005-0000-0000-000015280000}"/>
    <cellStyle name="常规 3 2 2_北京现代2009年4月报表" xfId="1750" xr:uid="{00000000-0005-0000-0000-000016280000}"/>
    <cellStyle name="常规 3 2 3" xfId="1751" xr:uid="{00000000-0005-0000-0000-000017280000}"/>
    <cellStyle name="常规 3 2 3 2" xfId="1752" xr:uid="{00000000-0005-0000-0000-000018280000}"/>
    <cellStyle name="常规 3 2 3 2 2" xfId="1753" xr:uid="{00000000-0005-0000-0000-000019280000}"/>
    <cellStyle name="常规 3 2 3 3" xfId="1754" xr:uid="{00000000-0005-0000-0000-00001A280000}"/>
    <cellStyle name="常规 3 2 3 3 2" xfId="1755" xr:uid="{00000000-0005-0000-0000-00001B280000}"/>
    <cellStyle name="常规 3 2 3 4" xfId="1756" xr:uid="{00000000-0005-0000-0000-00001C280000}"/>
    <cellStyle name="常规 3 2 3 4 2" xfId="1757" xr:uid="{00000000-0005-0000-0000-00001D280000}"/>
    <cellStyle name="常规 3 2 3 5" xfId="1758" xr:uid="{00000000-0005-0000-0000-00001E280000}"/>
    <cellStyle name="常规 3 2 3 5 2" xfId="1759" xr:uid="{00000000-0005-0000-0000-00001F280000}"/>
    <cellStyle name="常规 3 2 3 6" xfId="1760" xr:uid="{00000000-0005-0000-0000-000020280000}"/>
    <cellStyle name="常规 3 2 3 6 2" xfId="1761" xr:uid="{00000000-0005-0000-0000-000021280000}"/>
    <cellStyle name="常规 3 2 3 7" xfId="1762" xr:uid="{00000000-0005-0000-0000-000022280000}"/>
    <cellStyle name="常规 3 2 3 7 2" xfId="1763" xr:uid="{00000000-0005-0000-0000-000023280000}"/>
    <cellStyle name="常规 3 2 3 8" xfId="1764" xr:uid="{00000000-0005-0000-0000-000024280000}"/>
    <cellStyle name="常规 3 2 3_北京现代2009年4月报表" xfId="1765" xr:uid="{00000000-0005-0000-0000-000025280000}"/>
    <cellStyle name="常规 3 2 4" xfId="1766" xr:uid="{00000000-0005-0000-0000-000026280000}"/>
    <cellStyle name="常规 3 2 4 2" xfId="1767" xr:uid="{00000000-0005-0000-0000-000027280000}"/>
    <cellStyle name="常规 3 2 4 2 2" xfId="1768" xr:uid="{00000000-0005-0000-0000-000028280000}"/>
    <cellStyle name="常规 3 2 4 3" xfId="1769" xr:uid="{00000000-0005-0000-0000-000029280000}"/>
    <cellStyle name="常规 3 2 4 3 2" xfId="1770" xr:uid="{00000000-0005-0000-0000-00002A280000}"/>
    <cellStyle name="常规 3 2 4 4" xfId="1771" xr:uid="{00000000-0005-0000-0000-00002B280000}"/>
    <cellStyle name="常规 3 2 4 4 2" xfId="1772" xr:uid="{00000000-0005-0000-0000-00002C280000}"/>
    <cellStyle name="常规 3 2 4 5" xfId="1773" xr:uid="{00000000-0005-0000-0000-00002D280000}"/>
    <cellStyle name="常规 3 2 4 5 2" xfId="1774" xr:uid="{00000000-0005-0000-0000-00002E280000}"/>
    <cellStyle name="常规 3 2 4 6" xfId="1775" xr:uid="{00000000-0005-0000-0000-00002F280000}"/>
    <cellStyle name="常规 3 2 4 6 2" xfId="1776" xr:uid="{00000000-0005-0000-0000-000030280000}"/>
    <cellStyle name="常规 3 2 4 7" xfId="1777" xr:uid="{00000000-0005-0000-0000-000031280000}"/>
    <cellStyle name="常规 3 2 4 7 2" xfId="1778" xr:uid="{00000000-0005-0000-0000-000032280000}"/>
    <cellStyle name="常规 3 2 4 8" xfId="1779" xr:uid="{00000000-0005-0000-0000-000033280000}"/>
    <cellStyle name="常规 3 2 4_北京现代2009年4月报表" xfId="1780" xr:uid="{00000000-0005-0000-0000-000034280000}"/>
    <cellStyle name="常规 3 2 5" xfId="1781" xr:uid="{00000000-0005-0000-0000-000035280000}"/>
    <cellStyle name="常规 3 2 5 2" xfId="1782" xr:uid="{00000000-0005-0000-0000-000036280000}"/>
    <cellStyle name="常规 3 2 5 2 2" xfId="1783" xr:uid="{00000000-0005-0000-0000-000037280000}"/>
    <cellStyle name="常规 3 2 5 3" xfId="1784" xr:uid="{00000000-0005-0000-0000-000038280000}"/>
    <cellStyle name="常规 3 2 5 3 2" xfId="1785" xr:uid="{00000000-0005-0000-0000-000039280000}"/>
    <cellStyle name="常规 3 2 5 4" xfId="1786" xr:uid="{00000000-0005-0000-0000-00003A280000}"/>
    <cellStyle name="常规 3 2 5 4 2" xfId="1787" xr:uid="{00000000-0005-0000-0000-00003B280000}"/>
    <cellStyle name="常规 3 2 5 5" xfId="1788" xr:uid="{00000000-0005-0000-0000-00003C280000}"/>
    <cellStyle name="常规 3 2 5 5 2" xfId="1789" xr:uid="{00000000-0005-0000-0000-00003D280000}"/>
    <cellStyle name="常规 3 2 5 6" xfId="1790" xr:uid="{00000000-0005-0000-0000-00003E280000}"/>
    <cellStyle name="常规 3 2 5 6 2" xfId="1791" xr:uid="{00000000-0005-0000-0000-00003F280000}"/>
    <cellStyle name="常规 3 2 5 7" xfId="1792" xr:uid="{00000000-0005-0000-0000-000040280000}"/>
    <cellStyle name="常规 3 2 5 7 2" xfId="1793" xr:uid="{00000000-0005-0000-0000-000041280000}"/>
    <cellStyle name="常规 3 2 5 8" xfId="1794" xr:uid="{00000000-0005-0000-0000-000042280000}"/>
    <cellStyle name="常规 3 2 5_北京现代2009年4月报表" xfId="1795" xr:uid="{00000000-0005-0000-0000-000043280000}"/>
    <cellStyle name="常规 3 2 6" xfId="1796" xr:uid="{00000000-0005-0000-0000-000044280000}"/>
    <cellStyle name="常规 3 2 6 2" xfId="1797" xr:uid="{00000000-0005-0000-0000-000045280000}"/>
    <cellStyle name="常规 3 2 7" xfId="1798" xr:uid="{00000000-0005-0000-0000-000046280000}"/>
    <cellStyle name="常规 3 2 7 2" xfId="1799" xr:uid="{00000000-0005-0000-0000-000047280000}"/>
    <cellStyle name="常规 3 2 8" xfId="1800" xr:uid="{00000000-0005-0000-0000-000048280000}"/>
    <cellStyle name="常规 3 2 8 2" xfId="1801" xr:uid="{00000000-0005-0000-0000-000049280000}"/>
    <cellStyle name="常规 3 2 9" xfId="1802" xr:uid="{00000000-0005-0000-0000-00004A280000}"/>
    <cellStyle name="常规 3 2 9 2" xfId="1803" xr:uid="{00000000-0005-0000-0000-00004B280000}"/>
    <cellStyle name="常规 3 2_北京现代2009年4月报表" xfId="1804" xr:uid="{00000000-0005-0000-0000-00004C280000}"/>
    <cellStyle name="常规 3 20" xfId="1805" xr:uid="{00000000-0005-0000-0000-00004D280000}"/>
    <cellStyle name="常规 3 20 2" xfId="1806" xr:uid="{00000000-0005-0000-0000-00004E280000}"/>
    <cellStyle name="常规 3 21" xfId="1807" xr:uid="{00000000-0005-0000-0000-00004F280000}"/>
    <cellStyle name="常规 3 21 2" xfId="1808" xr:uid="{00000000-0005-0000-0000-000050280000}"/>
    <cellStyle name="常规 3 22" xfId="1809" xr:uid="{00000000-0005-0000-0000-000051280000}"/>
    <cellStyle name="常规 3 22 2" xfId="1810" xr:uid="{00000000-0005-0000-0000-000052280000}"/>
    <cellStyle name="常规 3 23" xfId="1811" xr:uid="{00000000-0005-0000-0000-000053280000}"/>
    <cellStyle name="常规 3 24" xfId="6461" xr:uid="{00000000-0005-0000-0000-000054280000}"/>
    <cellStyle name="常规 3 25" xfId="6856" xr:uid="{00000000-0005-0000-0000-000055280000}"/>
    <cellStyle name="常规 3 26" xfId="6774" xr:uid="{00000000-0005-0000-0000-000056280000}"/>
    <cellStyle name="常规 3 27" xfId="6851" xr:uid="{00000000-0005-0000-0000-000057280000}"/>
    <cellStyle name="常规 3 28" xfId="6772" xr:uid="{00000000-0005-0000-0000-000058280000}"/>
    <cellStyle name="常规 3 29" xfId="6853" xr:uid="{00000000-0005-0000-0000-000059280000}"/>
    <cellStyle name="常规 3 3" xfId="1812" xr:uid="{00000000-0005-0000-0000-00005A280000}"/>
    <cellStyle name="常规 3 3 10" xfId="1813" xr:uid="{00000000-0005-0000-0000-00005B280000}"/>
    <cellStyle name="常规 3 3 10 2" xfId="1814" xr:uid="{00000000-0005-0000-0000-00005C280000}"/>
    <cellStyle name="常规 3 3 11" xfId="1815" xr:uid="{00000000-0005-0000-0000-00005D280000}"/>
    <cellStyle name="常规 3 3 11 2" xfId="1816" xr:uid="{00000000-0005-0000-0000-00005E280000}"/>
    <cellStyle name="常规 3 3 12" xfId="1817" xr:uid="{00000000-0005-0000-0000-00005F280000}"/>
    <cellStyle name="常规 3 3 2" xfId="1818" xr:uid="{00000000-0005-0000-0000-000060280000}"/>
    <cellStyle name="常规 3 3 2 2" xfId="1819" xr:uid="{00000000-0005-0000-0000-000061280000}"/>
    <cellStyle name="常规 3 3 2 2 2" xfId="1820" xr:uid="{00000000-0005-0000-0000-000062280000}"/>
    <cellStyle name="常规 3 3 2 3" xfId="1821" xr:uid="{00000000-0005-0000-0000-000063280000}"/>
    <cellStyle name="常规 3 3 2 3 2" xfId="1822" xr:uid="{00000000-0005-0000-0000-000064280000}"/>
    <cellStyle name="常规 3 3 2 4" xfId="1823" xr:uid="{00000000-0005-0000-0000-000065280000}"/>
    <cellStyle name="常规 3 3 2 4 2" xfId="1824" xr:uid="{00000000-0005-0000-0000-000066280000}"/>
    <cellStyle name="常规 3 3 2 5" xfId="1825" xr:uid="{00000000-0005-0000-0000-000067280000}"/>
    <cellStyle name="常规 3 3 2 5 2" xfId="1826" xr:uid="{00000000-0005-0000-0000-000068280000}"/>
    <cellStyle name="常规 3 3 2 6" xfId="1827" xr:uid="{00000000-0005-0000-0000-000069280000}"/>
    <cellStyle name="常规 3 3 2 6 2" xfId="1828" xr:uid="{00000000-0005-0000-0000-00006A280000}"/>
    <cellStyle name="常规 3 3 2 7" xfId="1829" xr:uid="{00000000-0005-0000-0000-00006B280000}"/>
    <cellStyle name="常规 3 3 2 7 2" xfId="1830" xr:uid="{00000000-0005-0000-0000-00006C280000}"/>
    <cellStyle name="常规 3 3 2 8" xfId="1831" xr:uid="{00000000-0005-0000-0000-00006D280000}"/>
    <cellStyle name="常规 3 3 2_北京现代2009年4月报表" xfId="1832" xr:uid="{00000000-0005-0000-0000-00006E280000}"/>
    <cellStyle name="常规 3 3 3" xfId="1833" xr:uid="{00000000-0005-0000-0000-00006F280000}"/>
    <cellStyle name="常规 3 3 3 2" xfId="1834" xr:uid="{00000000-0005-0000-0000-000070280000}"/>
    <cellStyle name="常规 3 3 3 2 2" xfId="1835" xr:uid="{00000000-0005-0000-0000-000071280000}"/>
    <cellStyle name="常规 3 3 3 3" xfId="1836" xr:uid="{00000000-0005-0000-0000-000072280000}"/>
    <cellStyle name="常规 3 3 3 3 2" xfId="1837" xr:uid="{00000000-0005-0000-0000-000073280000}"/>
    <cellStyle name="常规 3 3 3 4" xfId="1838" xr:uid="{00000000-0005-0000-0000-000074280000}"/>
    <cellStyle name="常规 3 3 3 4 2" xfId="1839" xr:uid="{00000000-0005-0000-0000-000075280000}"/>
    <cellStyle name="常规 3 3 3 5" xfId="1840" xr:uid="{00000000-0005-0000-0000-000076280000}"/>
    <cellStyle name="常规 3 3 3 5 2" xfId="1841" xr:uid="{00000000-0005-0000-0000-000077280000}"/>
    <cellStyle name="常规 3 3 3 6" xfId="1842" xr:uid="{00000000-0005-0000-0000-000078280000}"/>
    <cellStyle name="常规 3 3 3 6 2" xfId="1843" xr:uid="{00000000-0005-0000-0000-000079280000}"/>
    <cellStyle name="常规 3 3 3 7" xfId="1844" xr:uid="{00000000-0005-0000-0000-00007A280000}"/>
    <cellStyle name="常规 3 3 3 7 2" xfId="1845" xr:uid="{00000000-0005-0000-0000-00007B280000}"/>
    <cellStyle name="常规 3 3 3 8" xfId="1846" xr:uid="{00000000-0005-0000-0000-00007C280000}"/>
    <cellStyle name="常规 3 3 3_北京现代2009年4月报表" xfId="1847" xr:uid="{00000000-0005-0000-0000-00007D280000}"/>
    <cellStyle name="常规 3 3 4" xfId="1848" xr:uid="{00000000-0005-0000-0000-00007E280000}"/>
    <cellStyle name="常规 3 3 4 2" xfId="1849" xr:uid="{00000000-0005-0000-0000-00007F280000}"/>
    <cellStyle name="常规 3 3 4 2 2" xfId="1850" xr:uid="{00000000-0005-0000-0000-000080280000}"/>
    <cellStyle name="常规 3 3 4 3" xfId="1851" xr:uid="{00000000-0005-0000-0000-000081280000}"/>
    <cellStyle name="常规 3 3 4 3 2" xfId="1852" xr:uid="{00000000-0005-0000-0000-000082280000}"/>
    <cellStyle name="常规 3 3 4 4" xfId="1853" xr:uid="{00000000-0005-0000-0000-000083280000}"/>
    <cellStyle name="常规 3 3 4 4 2" xfId="1854" xr:uid="{00000000-0005-0000-0000-000084280000}"/>
    <cellStyle name="常规 3 3 4 5" xfId="1855" xr:uid="{00000000-0005-0000-0000-000085280000}"/>
    <cellStyle name="常规 3 3 4 5 2" xfId="1856" xr:uid="{00000000-0005-0000-0000-000086280000}"/>
    <cellStyle name="常规 3 3 4 6" xfId="1857" xr:uid="{00000000-0005-0000-0000-000087280000}"/>
    <cellStyle name="常规 3 3 4 6 2" xfId="1858" xr:uid="{00000000-0005-0000-0000-000088280000}"/>
    <cellStyle name="常规 3 3 4 7" xfId="1859" xr:uid="{00000000-0005-0000-0000-000089280000}"/>
    <cellStyle name="常规 3 3 4 7 2" xfId="1860" xr:uid="{00000000-0005-0000-0000-00008A280000}"/>
    <cellStyle name="常规 3 3 4 8" xfId="1861" xr:uid="{00000000-0005-0000-0000-00008B280000}"/>
    <cellStyle name="常规 3 3 4_北京现代2009年4月报表" xfId="1862" xr:uid="{00000000-0005-0000-0000-00008C280000}"/>
    <cellStyle name="常规 3 3 5" xfId="1863" xr:uid="{00000000-0005-0000-0000-00008D280000}"/>
    <cellStyle name="常规 3 3 5 2" xfId="1864" xr:uid="{00000000-0005-0000-0000-00008E280000}"/>
    <cellStyle name="常规 3 3 5 2 2" xfId="1865" xr:uid="{00000000-0005-0000-0000-00008F280000}"/>
    <cellStyle name="常规 3 3 5 3" xfId="1866" xr:uid="{00000000-0005-0000-0000-000090280000}"/>
    <cellStyle name="常规 3 3 5 3 2" xfId="1867" xr:uid="{00000000-0005-0000-0000-000091280000}"/>
    <cellStyle name="常规 3 3 5 4" xfId="1868" xr:uid="{00000000-0005-0000-0000-000092280000}"/>
    <cellStyle name="常规 3 3 5 4 2" xfId="1869" xr:uid="{00000000-0005-0000-0000-000093280000}"/>
    <cellStyle name="常规 3 3 5 5" xfId="1870" xr:uid="{00000000-0005-0000-0000-000094280000}"/>
    <cellStyle name="常规 3 3 5 5 2" xfId="1871" xr:uid="{00000000-0005-0000-0000-000095280000}"/>
    <cellStyle name="常规 3 3 5 6" xfId="1872" xr:uid="{00000000-0005-0000-0000-000096280000}"/>
    <cellStyle name="常规 3 3 5 6 2" xfId="1873" xr:uid="{00000000-0005-0000-0000-000097280000}"/>
    <cellStyle name="常规 3 3 5 7" xfId="1874" xr:uid="{00000000-0005-0000-0000-000098280000}"/>
    <cellStyle name="常规 3 3 5 7 2" xfId="1875" xr:uid="{00000000-0005-0000-0000-000099280000}"/>
    <cellStyle name="常规 3 3 5 8" xfId="1876" xr:uid="{00000000-0005-0000-0000-00009A280000}"/>
    <cellStyle name="常规 3 3 5_北京现代2009年4月报表" xfId="1877" xr:uid="{00000000-0005-0000-0000-00009B280000}"/>
    <cellStyle name="常规 3 3 6" xfId="1878" xr:uid="{00000000-0005-0000-0000-00009C280000}"/>
    <cellStyle name="常规 3 3 6 2" xfId="1879" xr:uid="{00000000-0005-0000-0000-00009D280000}"/>
    <cellStyle name="常规 3 3 7" xfId="1880" xr:uid="{00000000-0005-0000-0000-00009E280000}"/>
    <cellStyle name="常规 3 3 7 2" xfId="1881" xr:uid="{00000000-0005-0000-0000-00009F280000}"/>
    <cellStyle name="常规 3 3 8" xfId="1882" xr:uid="{00000000-0005-0000-0000-0000A0280000}"/>
    <cellStyle name="常规 3 3 8 2" xfId="1883" xr:uid="{00000000-0005-0000-0000-0000A1280000}"/>
    <cellStyle name="常规 3 3 9" xfId="1884" xr:uid="{00000000-0005-0000-0000-0000A2280000}"/>
    <cellStyle name="常规 3 3 9 2" xfId="1885" xr:uid="{00000000-0005-0000-0000-0000A3280000}"/>
    <cellStyle name="常规 3 3_北京现代2009年4月报表" xfId="1886" xr:uid="{00000000-0005-0000-0000-0000A4280000}"/>
    <cellStyle name="常规 3 30" xfId="6769" xr:uid="{00000000-0005-0000-0000-0000A5280000}"/>
    <cellStyle name="常规 3 31" xfId="6857" xr:uid="{00000000-0005-0000-0000-0000A6280000}"/>
    <cellStyle name="常规 3 32" xfId="6299" xr:uid="{00000000-0005-0000-0000-0000A7280000}"/>
    <cellStyle name="常规 3 33" xfId="6834" xr:uid="{00000000-0005-0000-0000-0000A8280000}"/>
    <cellStyle name="常规 3 34" xfId="6300" xr:uid="{00000000-0005-0000-0000-0000A9280000}"/>
    <cellStyle name="常规 3 4" xfId="1887" xr:uid="{00000000-0005-0000-0000-0000AA280000}"/>
    <cellStyle name="常规 3 4 10" xfId="1888" xr:uid="{00000000-0005-0000-0000-0000AB280000}"/>
    <cellStyle name="常规 3 4 10 2" xfId="1889" xr:uid="{00000000-0005-0000-0000-0000AC280000}"/>
    <cellStyle name="常规 3 4 11" xfId="1890" xr:uid="{00000000-0005-0000-0000-0000AD280000}"/>
    <cellStyle name="常规 3 4 11 2" xfId="1891" xr:uid="{00000000-0005-0000-0000-0000AE280000}"/>
    <cellStyle name="常规 3 4 12" xfId="1892" xr:uid="{00000000-0005-0000-0000-0000AF280000}"/>
    <cellStyle name="常规 3 4 2" xfId="1893" xr:uid="{00000000-0005-0000-0000-0000B0280000}"/>
    <cellStyle name="常规 3 4 2 2" xfId="1894" xr:uid="{00000000-0005-0000-0000-0000B1280000}"/>
    <cellStyle name="常规 3 4 2 2 2" xfId="1895" xr:uid="{00000000-0005-0000-0000-0000B2280000}"/>
    <cellStyle name="常规 3 4 2 3" xfId="1896" xr:uid="{00000000-0005-0000-0000-0000B3280000}"/>
    <cellStyle name="常规 3 4 2 3 2" xfId="1897" xr:uid="{00000000-0005-0000-0000-0000B4280000}"/>
    <cellStyle name="常规 3 4 2 4" xfId="1898" xr:uid="{00000000-0005-0000-0000-0000B5280000}"/>
    <cellStyle name="常规 3 4 2 4 2" xfId="1899" xr:uid="{00000000-0005-0000-0000-0000B6280000}"/>
    <cellStyle name="常规 3 4 2 5" xfId="1900" xr:uid="{00000000-0005-0000-0000-0000B7280000}"/>
    <cellStyle name="常规 3 4 2 5 2" xfId="1901" xr:uid="{00000000-0005-0000-0000-0000B8280000}"/>
    <cellStyle name="常规 3 4 2 6" xfId="1902" xr:uid="{00000000-0005-0000-0000-0000B9280000}"/>
    <cellStyle name="常规 3 4 2 6 2" xfId="1903" xr:uid="{00000000-0005-0000-0000-0000BA280000}"/>
    <cellStyle name="常规 3 4 2 7" xfId="1904" xr:uid="{00000000-0005-0000-0000-0000BB280000}"/>
    <cellStyle name="常规 3 4 2 7 2" xfId="1905" xr:uid="{00000000-0005-0000-0000-0000BC280000}"/>
    <cellStyle name="常规 3 4 2 8" xfId="1906" xr:uid="{00000000-0005-0000-0000-0000BD280000}"/>
    <cellStyle name="常规 3 4 2_北京现代2009年4月报表" xfId="1907" xr:uid="{00000000-0005-0000-0000-0000BE280000}"/>
    <cellStyle name="常规 3 4 3" xfId="1908" xr:uid="{00000000-0005-0000-0000-0000BF280000}"/>
    <cellStyle name="常规 3 4 3 2" xfId="1909" xr:uid="{00000000-0005-0000-0000-0000C0280000}"/>
    <cellStyle name="常规 3 4 3 2 2" xfId="1910" xr:uid="{00000000-0005-0000-0000-0000C1280000}"/>
    <cellStyle name="常规 3 4 3 3" xfId="1911" xr:uid="{00000000-0005-0000-0000-0000C2280000}"/>
    <cellStyle name="常规 3 4 3 3 2" xfId="1912" xr:uid="{00000000-0005-0000-0000-0000C3280000}"/>
    <cellStyle name="常规 3 4 3 4" xfId="1913" xr:uid="{00000000-0005-0000-0000-0000C4280000}"/>
    <cellStyle name="常规 3 4 3 4 2" xfId="1914" xr:uid="{00000000-0005-0000-0000-0000C5280000}"/>
    <cellStyle name="常规 3 4 3 5" xfId="1915" xr:uid="{00000000-0005-0000-0000-0000C6280000}"/>
    <cellStyle name="常规 3 4 3 5 2" xfId="1916" xr:uid="{00000000-0005-0000-0000-0000C7280000}"/>
    <cellStyle name="常规 3 4 3 6" xfId="1917" xr:uid="{00000000-0005-0000-0000-0000C8280000}"/>
    <cellStyle name="常规 3 4 3 6 2" xfId="1918" xr:uid="{00000000-0005-0000-0000-0000C9280000}"/>
    <cellStyle name="常规 3 4 3 7" xfId="1919" xr:uid="{00000000-0005-0000-0000-0000CA280000}"/>
    <cellStyle name="常规 3 4 3 7 2" xfId="1920" xr:uid="{00000000-0005-0000-0000-0000CB280000}"/>
    <cellStyle name="常规 3 4 3 8" xfId="1921" xr:uid="{00000000-0005-0000-0000-0000CC280000}"/>
    <cellStyle name="常规 3 4 3_北京现代2009年4月报表" xfId="1922" xr:uid="{00000000-0005-0000-0000-0000CD280000}"/>
    <cellStyle name="常规 3 4 4" xfId="1923" xr:uid="{00000000-0005-0000-0000-0000CE280000}"/>
    <cellStyle name="常规 3 4 4 2" xfId="1924" xr:uid="{00000000-0005-0000-0000-0000CF280000}"/>
    <cellStyle name="常规 3 4 4 2 2" xfId="1925" xr:uid="{00000000-0005-0000-0000-0000D0280000}"/>
    <cellStyle name="常规 3 4 4 3" xfId="1926" xr:uid="{00000000-0005-0000-0000-0000D1280000}"/>
    <cellStyle name="常规 3 4 4 3 2" xfId="1927" xr:uid="{00000000-0005-0000-0000-0000D2280000}"/>
    <cellStyle name="常规 3 4 4 4" xfId="1928" xr:uid="{00000000-0005-0000-0000-0000D3280000}"/>
    <cellStyle name="常规 3 4 4 4 2" xfId="1929" xr:uid="{00000000-0005-0000-0000-0000D4280000}"/>
    <cellStyle name="常规 3 4 4 5" xfId="1930" xr:uid="{00000000-0005-0000-0000-0000D5280000}"/>
    <cellStyle name="常规 3 4 4 5 2" xfId="1931" xr:uid="{00000000-0005-0000-0000-0000D6280000}"/>
    <cellStyle name="常规 3 4 4 6" xfId="1932" xr:uid="{00000000-0005-0000-0000-0000D7280000}"/>
    <cellStyle name="常规 3 4 4 6 2" xfId="1933" xr:uid="{00000000-0005-0000-0000-0000D8280000}"/>
    <cellStyle name="常规 3 4 4 7" xfId="1934" xr:uid="{00000000-0005-0000-0000-0000D9280000}"/>
    <cellStyle name="常规 3 4 4 7 2" xfId="1935" xr:uid="{00000000-0005-0000-0000-0000DA280000}"/>
    <cellStyle name="常规 3 4 4 8" xfId="1936" xr:uid="{00000000-0005-0000-0000-0000DB280000}"/>
    <cellStyle name="常规 3 4 4_北京现代2009年4月报表" xfId="1937" xr:uid="{00000000-0005-0000-0000-0000DC280000}"/>
    <cellStyle name="常规 3 4 5" xfId="1938" xr:uid="{00000000-0005-0000-0000-0000DD280000}"/>
    <cellStyle name="常规 3 4 5 2" xfId="1939" xr:uid="{00000000-0005-0000-0000-0000DE280000}"/>
    <cellStyle name="常规 3 4 5 2 2" xfId="1940" xr:uid="{00000000-0005-0000-0000-0000DF280000}"/>
    <cellStyle name="常规 3 4 5 3" xfId="1941" xr:uid="{00000000-0005-0000-0000-0000E0280000}"/>
    <cellStyle name="常规 3 4 5 3 2" xfId="1942" xr:uid="{00000000-0005-0000-0000-0000E1280000}"/>
    <cellStyle name="常规 3 4 5 4" xfId="1943" xr:uid="{00000000-0005-0000-0000-0000E2280000}"/>
    <cellStyle name="常规 3 4 5 4 2" xfId="1944" xr:uid="{00000000-0005-0000-0000-0000E3280000}"/>
    <cellStyle name="常规 3 4 5 5" xfId="1945" xr:uid="{00000000-0005-0000-0000-0000E4280000}"/>
    <cellStyle name="常规 3 4 5 5 2" xfId="1946" xr:uid="{00000000-0005-0000-0000-0000E5280000}"/>
    <cellStyle name="常规 3 4 5 6" xfId="1947" xr:uid="{00000000-0005-0000-0000-0000E6280000}"/>
    <cellStyle name="常规 3 4 5 6 2" xfId="1948" xr:uid="{00000000-0005-0000-0000-0000E7280000}"/>
    <cellStyle name="常规 3 4 5 7" xfId="1949" xr:uid="{00000000-0005-0000-0000-0000E8280000}"/>
    <cellStyle name="常规 3 4 5 7 2" xfId="1950" xr:uid="{00000000-0005-0000-0000-0000E9280000}"/>
    <cellStyle name="常规 3 4 5 8" xfId="1951" xr:uid="{00000000-0005-0000-0000-0000EA280000}"/>
    <cellStyle name="常规 3 4 5_北京现代2009年4月报表" xfId="1952" xr:uid="{00000000-0005-0000-0000-0000EB280000}"/>
    <cellStyle name="常规 3 4 6" xfId="1953" xr:uid="{00000000-0005-0000-0000-0000EC280000}"/>
    <cellStyle name="常规 3 4 6 2" xfId="1954" xr:uid="{00000000-0005-0000-0000-0000ED280000}"/>
    <cellStyle name="常规 3 4 7" xfId="1955" xr:uid="{00000000-0005-0000-0000-0000EE280000}"/>
    <cellStyle name="常规 3 4 7 2" xfId="1956" xr:uid="{00000000-0005-0000-0000-0000EF280000}"/>
    <cellStyle name="常规 3 4 8" xfId="1957" xr:uid="{00000000-0005-0000-0000-0000F0280000}"/>
    <cellStyle name="常规 3 4 8 2" xfId="1958" xr:uid="{00000000-0005-0000-0000-0000F1280000}"/>
    <cellStyle name="常规 3 4 9" xfId="1959" xr:uid="{00000000-0005-0000-0000-0000F2280000}"/>
    <cellStyle name="常规 3 4 9 2" xfId="1960" xr:uid="{00000000-0005-0000-0000-0000F3280000}"/>
    <cellStyle name="常规 3 4_北京现代2009年4月报表" xfId="1961" xr:uid="{00000000-0005-0000-0000-0000F4280000}"/>
    <cellStyle name="常规 3 5" xfId="1962" xr:uid="{00000000-0005-0000-0000-0000F5280000}"/>
    <cellStyle name="常规 3 5 10" xfId="1963" xr:uid="{00000000-0005-0000-0000-0000F6280000}"/>
    <cellStyle name="常规 3 5 10 2" xfId="1964" xr:uid="{00000000-0005-0000-0000-0000F7280000}"/>
    <cellStyle name="常规 3 5 11" xfId="1965" xr:uid="{00000000-0005-0000-0000-0000F8280000}"/>
    <cellStyle name="常规 3 5 11 2" xfId="1966" xr:uid="{00000000-0005-0000-0000-0000F9280000}"/>
    <cellStyle name="常规 3 5 12" xfId="1967" xr:uid="{00000000-0005-0000-0000-0000FA280000}"/>
    <cellStyle name="常规 3 5 2" xfId="1968" xr:uid="{00000000-0005-0000-0000-0000FB280000}"/>
    <cellStyle name="常规 3 5 2 2" xfId="1969" xr:uid="{00000000-0005-0000-0000-0000FC280000}"/>
    <cellStyle name="常规 3 5 2 2 2" xfId="1970" xr:uid="{00000000-0005-0000-0000-0000FD280000}"/>
    <cellStyle name="常规 3 5 2 3" xfId="1971" xr:uid="{00000000-0005-0000-0000-0000FE280000}"/>
    <cellStyle name="常规 3 5 2 3 2" xfId="1972" xr:uid="{00000000-0005-0000-0000-0000FF280000}"/>
    <cellStyle name="常规 3 5 2 4" xfId="1973" xr:uid="{00000000-0005-0000-0000-000000290000}"/>
    <cellStyle name="常规 3 5 2 4 2" xfId="1974" xr:uid="{00000000-0005-0000-0000-000001290000}"/>
    <cellStyle name="常规 3 5 2 5" xfId="1975" xr:uid="{00000000-0005-0000-0000-000002290000}"/>
    <cellStyle name="常规 3 5 2 5 2" xfId="1976" xr:uid="{00000000-0005-0000-0000-000003290000}"/>
    <cellStyle name="常规 3 5 2 6" xfId="1977" xr:uid="{00000000-0005-0000-0000-000004290000}"/>
    <cellStyle name="常规 3 5 2 6 2" xfId="1978" xr:uid="{00000000-0005-0000-0000-000005290000}"/>
    <cellStyle name="常规 3 5 2 7" xfId="1979" xr:uid="{00000000-0005-0000-0000-000006290000}"/>
    <cellStyle name="常规 3 5 2 7 2" xfId="1980" xr:uid="{00000000-0005-0000-0000-000007290000}"/>
    <cellStyle name="常规 3 5 2 8" xfId="1981" xr:uid="{00000000-0005-0000-0000-000008290000}"/>
    <cellStyle name="常规 3 5 2_北京现代2009年4月报表" xfId="1982" xr:uid="{00000000-0005-0000-0000-000009290000}"/>
    <cellStyle name="常规 3 5 3" xfId="1983" xr:uid="{00000000-0005-0000-0000-00000A290000}"/>
    <cellStyle name="常规 3 5 3 2" xfId="1984" xr:uid="{00000000-0005-0000-0000-00000B290000}"/>
    <cellStyle name="常规 3 5 3 2 2" xfId="1985" xr:uid="{00000000-0005-0000-0000-00000C290000}"/>
    <cellStyle name="常规 3 5 3 3" xfId="1986" xr:uid="{00000000-0005-0000-0000-00000D290000}"/>
    <cellStyle name="常规 3 5 3 3 2" xfId="1987" xr:uid="{00000000-0005-0000-0000-00000E290000}"/>
    <cellStyle name="常规 3 5 3 4" xfId="1988" xr:uid="{00000000-0005-0000-0000-00000F290000}"/>
    <cellStyle name="常规 3 5 3 4 2" xfId="1989" xr:uid="{00000000-0005-0000-0000-000010290000}"/>
    <cellStyle name="常规 3 5 3 5" xfId="1990" xr:uid="{00000000-0005-0000-0000-000011290000}"/>
    <cellStyle name="常规 3 5 3 5 2" xfId="1991" xr:uid="{00000000-0005-0000-0000-000012290000}"/>
    <cellStyle name="常规 3 5 3 6" xfId="1992" xr:uid="{00000000-0005-0000-0000-000013290000}"/>
    <cellStyle name="常规 3 5 3 6 2" xfId="1993" xr:uid="{00000000-0005-0000-0000-000014290000}"/>
    <cellStyle name="常规 3 5 3 7" xfId="1994" xr:uid="{00000000-0005-0000-0000-000015290000}"/>
    <cellStyle name="常规 3 5 3 7 2" xfId="1995" xr:uid="{00000000-0005-0000-0000-000016290000}"/>
    <cellStyle name="常规 3 5 3 8" xfId="1996" xr:uid="{00000000-0005-0000-0000-000017290000}"/>
    <cellStyle name="常规 3 5 3_北京现代2009年4月报表" xfId="1997" xr:uid="{00000000-0005-0000-0000-000018290000}"/>
    <cellStyle name="常规 3 5 4" xfId="1998" xr:uid="{00000000-0005-0000-0000-000019290000}"/>
    <cellStyle name="常规 3 5 4 2" xfId="1999" xr:uid="{00000000-0005-0000-0000-00001A290000}"/>
    <cellStyle name="常规 3 5 4 2 2" xfId="2000" xr:uid="{00000000-0005-0000-0000-00001B290000}"/>
    <cellStyle name="常规 3 5 4 3" xfId="2001" xr:uid="{00000000-0005-0000-0000-00001C290000}"/>
    <cellStyle name="常规 3 5 4 3 2" xfId="2002" xr:uid="{00000000-0005-0000-0000-00001D290000}"/>
    <cellStyle name="常规 3 5 4 4" xfId="2003" xr:uid="{00000000-0005-0000-0000-00001E290000}"/>
    <cellStyle name="常规 3 5 4 4 2" xfId="2004" xr:uid="{00000000-0005-0000-0000-00001F290000}"/>
    <cellStyle name="常规 3 5 4 5" xfId="2005" xr:uid="{00000000-0005-0000-0000-000020290000}"/>
    <cellStyle name="常规 3 5 4 5 2" xfId="2006" xr:uid="{00000000-0005-0000-0000-000021290000}"/>
    <cellStyle name="常规 3 5 4 6" xfId="2007" xr:uid="{00000000-0005-0000-0000-000022290000}"/>
    <cellStyle name="常规 3 5 4 6 2" xfId="2008" xr:uid="{00000000-0005-0000-0000-000023290000}"/>
    <cellStyle name="常规 3 5 4 7" xfId="2009" xr:uid="{00000000-0005-0000-0000-000024290000}"/>
    <cellStyle name="常规 3 5 4 7 2" xfId="2010" xr:uid="{00000000-0005-0000-0000-000025290000}"/>
    <cellStyle name="常规 3 5 4 8" xfId="2011" xr:uid="{00000000-0005-0000-0000-000026290000}"/>
    <cellStyle name="常规 3 5 4_北京现代2009年4月报表" xfId="2012" xr:uid="{00000000-0005-0000-0000-000027290000}"/>
    <cellStyle name="常规 3 5 5" xfId="2013" xr:uid="{00000000-0005-0000-0000-000028290000}"/>
    <cellStyle name="常规 3 5 5 2" xfId="2014" xr:uid="{00000000-0005-0000-0000-000029290000}"/>
    <cellStyle name="常规 3 5 5 2 2" xfId="2015" xr:uid="{00000000-0005-0000-0000-00002A290000}"/>
    <cellStyle name="常规 3 5 5 3" xfId="2016" xr:uid="{00000000-0005-0000-0000-00002B290000}"/>
    <cellStyle name="常规 3 5 5 3 2" xfId="2017" xr:uid="{00000000-0005-0000-0000-00002C290000}"/>
    <cellStyle name="常规 3 5 5 4" xfId="2018" xr:uid="{00000000-0005-0000-0000-00002D290000}"/>
    <cellStyle name="常规 3 5 5 4 2" xfId="2019" xr:uid="{00000000-0005-0000-0000-00002E290000}"/>
    <cellStyle name="常规 3 5 5 5" xfId="2020" xr:uid="{00000000-0005-0000-0000-00002F290000}"/>
    <cellStyle name="常规 3 5 5 5 2" xfId="2021" xr:uid="{00000000-0005-0000-0000-000030290000}"/>
    <cellStyle name="常规 3 5 5 6" xfId="2022" xr:uid="{00000000-0005-0000-0000-000031290000}"/>
    <cellStyle name="常规 3 5 5 6 2" xfId="2023" xr:uid="{00000000-0005-0000-0000-000032290000}"/>
    <cellStyle name="常规 3 5 5 7" xfId="2024" xr:uid="{00000000-0005-0000-0000-000033290000}"/>
    <cellStyle name="常规 3 5 5 7 2" xfId="2025" xr:uid="{00000000-0005-0000-0000-000034290000}"/>
    <cellStyle name="常规 3 5 5 8" xfId="2026" xr:uid="{00000000-0005-0000-0000-000035290000}"/>
    <cellStyle name="常规 3 5 5_北京现代2009年4月报表" xfId="2027" xr:uid="{00000000-0005-0000-0000-000036290000}"/>
    <cellStyle name="常规 3 5 6" xfId="2028" xr:uid="{00000000-0005-0000-0000-000037290000}"/>
    <cellStyle name="常规 3 5 6 2" xfId="2029" xr:uid="{00000000-0005-0000-0000-000038290000}"/>
    <cellStyle name="常规 3 5 7" xfId="2030" xr:uid="{00000000-0005-0000-0000-000039290000}"/>
    <cellStyle name="常规 3 5 7 2" xfId="2031" xr:uid="{00000000-0005-0000-0000-00003A290000}"/>
    <cellStyle name="常规 3 5 8" xfId="2032" xr:uid="{00000000-0005-0000-0000-00003B290000}"/>
    <cellStyle name="常规 3 5 8 2" xfId="2033" xr:uid="{00000000-0005-0000-0000-00003C290000}"/>
    <cellStyle name="常规 3 5 9" xfId="2034" xr:uid="{00000000-0005-0000-0000-00003D290000}"/>
    <cellStyle name="常规 3 5 9 2" xfId="2035" xr:uid="{00000000-0005-0000-0000-00003E290000}"/>
    <cellStyle name="常规 3 5_北京现代2009年4月报表" xfId="2036" xr:uid="{00000000-0005-0000-0000-00003F290000}"/>
    <cellStyle name="常规 3 6" xfId="2037" xr:uid="{00000000-0005-0000-0000-000040290000}"/>
    <cellStyle name="常规 3 6 10" xfId="2038" xr:uid="{00000000-0005-0000-0000-000041290000}"/>
    <cellStyle name="常规 3 6 10 2" xfId="2039" xr:uid="{00000000-0005-0000-0000-000042290000}"/>
    <cellStyle name="常规 3 6 11" xfId="2040" xr:uid="{00000000-0005-0000-0000-000043290000}"/>
    <cellStyle name="常规 3 6 11 2" xfId="2041" xr:uid="{00000000-0005-0000-0000-000044290000}"/>
    <cellStyle name="常规 3 6 12" xfId="2042" xr:uid="{00000000-0005-0000-0000-000045290000}"/>
    <cellStyle name="常规 3 6 2" xfId="2043" xr:uid="{00000000-0005-0000-0000-000046290000}"/>
    <cellStyle name="常规 3 6 2 2" xfId="2044" xr:uid="{00000000-0005-0000-0000-000047290000}"/>
    <cellStyle name="常规 3 6 2 2 2" xfId="2045" xr:uid="{00000000-0005-0000-0000-000048290000}"/>
    <cellStyle name="常规 3 6 2 3" xfId="2046" xr:uid="{00000000-0005-0000-0000-000049290000}"/>
    <cellStyle name="常规 3 6 2 3 2" xfId="2047" xr:uid="{00000000-0005-0000-0000-00004A290000}"/>
    <cellStyle name="常规 3 6 2 4" xfId="2048" xr:uid="{00000000-0005-0000-0000-00004B290000}"/>
    <cellStyle name="常规 3 6 2 4 2" xfId="2049" xr:uid="{00000000-0005-0000-0000-00004C290000}"/>
    <cellStyle name="常规 3 6 2 5" xfId="2050" xr:uid="{00000000-0005-0000-0000-00004D290000}"/>
    <cellStyle name="常规 3 6 2 5 2" xfId="2051" xr:uid="{00000000-0005-0000-0000-00004E290000}"/>
    <cellStyle name="常规 3 6 2 6" xfId="2052" xr:uid="{00000000-0005-0000-0000-00004F290000}"/>
    <cellStyle name="常规 3 6 2 6 2" xfId="2053" xr:uid="{00000000-0005-0000-0000-000050290000}"/>
    <cellStyle name="常规 3 6 2 7" xfId="2054" xr:uid="{00000000-0005-0000-0000-000051290000}"/>
    <cellStyle name="常规 3 6 2 7 2" xfId="2055" xr:uid="{00000000-0005-0000-0000-000052290000}"/>
    <cellStyle name="常规 3 6 2 8" xfId="2056" xr:uid="{00000000-0005-0000-0000-000053290000}"/>
    <cellStyle name="常规 3 6 2_北京现代2009年4月报表" xfId="2057" xr:uid="{00000000-0005-0000-0000-000054290000}"/>
    <cellStyle name="常规 3 6 3" xfId="2058" xr:uid="{00000000-0005-0000-0000-000055290000}"/>
    <cellStyle name="常规 3 6 3 2" xfId="2059" xr:uid="{00000000-0005-0000-0000-000056290000}"/>
    <cellStyle name="常规 3 6 3 2 2" xfId="2060" xr:uid="{00000000-0005-0000-0000-000057290000}"/>
    <cellStyle name="常规 3 6 3 3" xfId="2061" xr:uid="{00000000-0005-0000-0000-000058290000}"/>
    <cellStyle name="常规 3 6 3 3 2" xfId="2062" xr:uid="{00000000-0005-0000-0000-000059290000}"/>
    <cellStyle name="常规 3 6 3 4" xfId="2063" xr:uid="{00000000-0005-0000-0000-00005A290000}"/>
    <cellStyle name="常规 3 6 3 4 2" xfId="2064" xr:uid="{00000000-0005-0000-0000-00005B290000}"/>
    <cellStyle name="常规 3 6 3 5" xfId="2065" xr:uid="{00000000-0005-0000-0000-00005C290000}"/>
    <cellStyle name="常规 3 6 3 5 2" xfId="2066" xr:uid="{00000000-0005-0000-0000-00005D290000}"/>
    <cellStyle name="常规 3 6 3 6" xfId="2067" xr:uid="{00000000-0005-0000-0000-00005E290000}"/>
    <cellStyle name="常规 3 6 3 6 2" xfId="2068" xr:uid="{00000000-0005-0000-0000-00005F290000}"/>
    <cellStyle name="常规 3 6 3 7" xfId="2069" xr:uid="{00000000-0005-0000-0000-000060290000}"/>
    <cellStyle name="常规 3 6 3 7 2" xfId="2070" xr:uid="{00000000-0005-0000-0000-000061290000}"/>
    <cellStyle name="常规 3 6 3 8" xfId="2071" xr:uid="{00000000-0005-0000-0000-000062290000}"/>
    <cellStyle name="常规 3 6 3_北京现代2009年4月报表" xfId="2072" xr:uid="{00000000-0005-0000-0000-000063290000}"/>
    <cellStyle name="常规 3 6 4" xfId="2073" xr:uid="{00000000-0005-0000-0000-000064290000}"/>
    <cellStyle name="常规 3 6 4 2" xfId="2074" xr:uid="{00000000-0005-0000-0000-000065290000}"/>
    <cellStyle name="常规 3 6 4 2 2" xfId="2075" xr:uid="{00000000-0005-0000-0000-000066290000}"/>
    <cellStyle name="常规 3 6 4 3" xfId="2076" xr:uid="{00000000-0005-0000-0000-000067290000}"/>
    <cellStyle name="常规 3 6 4 3 2" xfId="2077" xr:uid="{00000000-0005-0000-0000-000068290000}"/>
    <cellStyle name="常规 3 6 4 4" xfId="2078" xr:uid="{00000000-0005-0000-0000-000069290000}"/>
    <cellStyle name="常规 3 6 4 4 2" xfId="2079" xr:uid="{00000000-0005-0000-0000-00006A290000}"/>
    <cellStyle name="常规 3 6 4 5" xfId="2080" xr:uid="{00000000-0005-0000-0000-00006B290000}"/>
    <cellStyle name="常规 3 6 4 5 2" xfId="2081" xr:uid="{00000000-0005-0000-0000-00006C290000}"/>
    <cellStyle name="常规 3 6 4 6" xfId="2082" xr:uid="{00000000-0005-0000-0000-00006D290000}"/>
    <cellStyle name="常规 3 6 4 6 2" xfId="2083" xr:uid="{00000000-0005-0000-0000-00006E290000}"/>
    <cellStyle name="常规 3 6 4 7" xfId="2084" xr:uid="{00000000-0005-0000-0000-00006F290000}"/>
    <cellStyle name="常规 3 6 4 7 2" xfId="2085" xr:uid="{00000000-0005-0000-0000-000070290000}"/>
    <cellStyle name="常规 3 6 4 8" xfId="2086" xr:uid="{00000000-0005-0000-0000-000071290000}"/>
    <cellStyle name="常规 3 6 4_北京现代2009年4月报表" xfId="2087" xr:uid="{00000000-0005-0000-0000-000072290000}"/>
    <cellStyle name="常规 3 6 5" xfId="2088" xr:uid="{00000000-0005-0000-0000-000073290000}"/>
    <cellStyle name="常规 3 6 5 2" xfId="2089" xr:uid="{00000000-0005-0000-0000-000074290000}"/>
    <cellStyle name="常规 3 6 5 2 2" xfId="2090" xr:uid="{00000000-0005-0000-0000-000075290000}"/>
    <cellStyle name="常规 3 6 5 3" xfId="2091" xr:uid="{00000000-0005-0000-0000-000076290000}"/>
    <cellStyle name="常规 3 6 5 3 2" xfId="2092" xr:uid="{00000000-0005-0000-0000-000077290000}"/>
    <cellStyle name="常规 3 6 5 4" xfId="2093" xr:uid="{00000000-0005-0000-0000-000078290000}"/>
    <cellStyle name="常规 3 6 5 4 2" xfId="2094" xr:uid="{00000000-0005-0000-0000-000079290000}"/>
    <cellStyle name="常规 3 6 5 5" xfId="2095" xr:uid="{00000000-0005-0000-0000-00007A290000}"/>
    <cellStyle name="常规 3 6 5 5 2" xfId="2096" xr:uid="{00000000-0005-0000-0000-00007B290000}"/>
    <cellStyle name="常规 3 6 5 6" xfId="2097" xr:uid="{00000000-0005-0000-0000-00007C290000}"/>
    <cellStyle name="常规 3 6 5 6 2" xfId="2098" xr:uid="{00000000-0005-0000-0000-00007D290000}"/>
    <cellStyle name="常规 3 6 5 7" xfId="2099" xr:uid="{00000000-0005-0000-0000-00007E290000}"/>
    <cellStyle name="常规 3 6 5 7 2" xfId="2100" xr:uid="{00000000-0005-0000-0000-00007F290000}"/>
    <cellStyle name="常规 3 6 5 8" xfId="2101" xr:uid="{00000000-0005-0000-0000-000080290000}"/>
    <cellStyle name="常规 3 6 5_北京现代2009年4月报表" xfId="2102" xr:uid="{00000000-0005-0000-0000-000081290000}"/>
    <cellStyle name="常规 3 6 6" xfId="2103" xr:uid="{00000000-0005-0000-0000-000082290000}"/>
    <cellStyle name="常规 3 6 6 2" xfId="2104" xr:uid="{00000000-0005-0000-0000-000083290000}"/>
    <cellStyle name="常规 3 6 7" xfId="2105" xr:uid="{00000000-0005-0000-0000-000084290000}"/>
    <cellStyle name="常规 3 6 7 2" xfId="2106" xr:uid="{00000000-0005-0000-0000-000085290000}"/>
    <cellStyle name="常规 3 6 8" xfId="2107" xr:uid="{00000000-0005-0000-0000-000086290000}"/>
    <cellStyle name="常规 3 6 8 2" xfId="2108" xr:uid="{00000000-0005-0000-0000-000087290000}"/>
    <cellStyle name="常规 3 6 9" xfId="2109" xr:uid="{00000000-0005-0000-0000-000088290000}"/>
    <cellStyle name="常规 3 6 9 2" xfId="2110" xr:uid="{00000000-0005-0000-0000-000089290000}"/>
    <cellStyle name="常规 3 6_北京现代2009年4月报表" xfId="2111" xr:uid="{00000000-0005-0000-0000-00008A290000}"/>
    <cellStyle name="常规 3 7" xfId="2112" xr:uid="{00000000-0005-0000-0000-00008B290000}"/>
    <cellStyle name="常规 3 7 2" xfId="2113" xr:uid="{00000000-0005-0000-0000-00008C290000}"/>
    <cellStyle name="常规 3 7 2 2" xfId="2114" xr:uid="{00000000-0005-0000-0000-00008D290000}"/>
    <cellStyle name="常规 3 7 3" xfId="2115" xr:uid="{00000000-0005-0000-0000-00008E290000}"/>
    <cellStyle name="常规 3 7 3 2" xfId="2116" xr:uid="{00000000-0005-0000-0000-00008F290000}"/>
    <cellStyle name="常规 3 7 4" xfId="2117" xr:uid="{00000000-0005-0000-0000-000090290000}"/>
    <cellStyle name="常规 3 7 4 2" xfId="2118" xr:uid="{00000000-0005-0000-0000-000091290000}"/>
    <cellStyle name="常规 3 7 5" xfId="2119" xr:uid="{00000000-0005-0000-0000-000092290000}"/>
    <cellStyle name="常规 3 7 5 2" xfId="2120" xr:uid="{00000000-0005-0000-0000-000093290000}"/>
    <cellStyle name="常规 3 7 6" xfId="2121" xr:uid="{00000000-0005-0000-0000-000094290000}"/>
    <cellStyle name="常规 3 7 6 2" xfId="2122" xr:uid="{00000000-0005-0000-0000-000095290000}"/>
    <cellStyle name="常规 3 7 7" xfId="2123" xr:uid="{00000000-0005-0000-0000-000096290000}"/>
    <cellStyle name="常规 3 7 7 2" xfId="2124" xr:uid="{00000000-0005-0000-0000-000097290000}"/>
    <cellStyle name="常规 3 7 8" xfId="2125" xr:uid="{00000000-0005-0000-0000-000098290000}"/>
    <cellStyle name="常规 3 7_北京现代2009年4月报表" xfId="2126" xr:uid="{00000000-0005-0000-0000-000099290000}"/>
    <cellStyle name="常规 3 8" xfId="2127" xr:uid="{00000000-0005-0000-0000-00009A290000}"/>
    <cellStyle name="常规 3 8 2" xfId="2128" xr:uid="{00000000-0005-0000-0000-00009B290000}"/>
    <cellStyle name="常规 3 8 2 2" xfId="2129" xr:uid="{00000000-0005-0000-0000-00009C290000}"/>
    <cellStyle name="常规 3 8 3" xfId="2130" xr:uid="{00000000-0005-0000-0000-00009D290000}"/>
    <cellStyle name="常规 3 8 3 2" xfId="2131" xr:uid="{00000000-0005-0000-0000-00009E290000}"/>
    <cellStyle name="常规 3 8 4" xfId="2132" xr:uid="{00000000-0005-0000-0000-00009F290000}"/>
    <cellStyle name="常规 3 8 4 2" xfId="2133" xr:uid="{00000000-0005-0000-0000-0000A0290000}"/>
    <cellStyle name="常规 3 8 5" xfId="2134" xr:uid="{00000000-0005-0000-0000-0000A1290000}"/>
    <cellStyle name="常规 3 8 5 2" xfId="2135" xr:uid="{00000000-0005-0000-0000-0000A2290000}"/>
    <cellStyle name="常规 3 8 6" xfId="2136" xr:uid="{00000000-0005-0000-0000-0000A3290000}"/>
    <cellStyle name="常规 3 8 6 2" xfId="2137" xr:uid="{00000000-0005-0000-0000-0000A4290000}"/>
    <cellStyle name="常规 3 8 7" xfId="2138" xr:uid="{00000000-0005-0000-0000-0000A5290000}"/>
    <cellStyle name="常规 3 8 7 2" xfId="2139" xr:uid="{00000000-0005-0000-0000-0000A6290000}"/>
    <cellStyle name="常规 3 8 8" xfId="2140" xr:uid="{00000000-0005-0000-0000-0000A7290000}"/>
    <cellStyle name="常规 3 8_北京现代2009年4月报表" xfId="2141" xr:uid="{00000000-0005-0000-0000-0000A8290000}"/>
    <cellStyle name="常规 3 9" xfId="2142" xr:uid="{00000000-0005-0000-0000-0000A9290000}"/>
    <cellStyle name="常规 3 9 2" xfId="2143" xr:uid="{00000000-0005-0000-0000-0000AA290000}"/>
    <cellStyle name="常规 3 9 2 2" xfId="2144" xr:uid="{00000000-0005-0000-0000-0000AB290000}"/>
    <cellStyle name="常规 3 9 3" xfId="2145" xr:uid="{00000000-0005-0000-0000-0000AC290000}"/>
    <cellStyle name="常规 3 9 3 2" xfId="2146" xr:uid="{00000000-0005-0000-0000-0000AD290000}"/>
    <cellStyle name="常规 3 9 4" xfId="2147" xr:uid="{00000000-0005-0000-0000-0000AE290000}"/>
    <cellStyle name="常规 3 9 4 2" xfId="2148" xr:uid="{00000000-0005-0000-0000-0000AF290000}"/>
    <cellStyle name="常规 3 9 5" xfId="2149" xr:uid="{00000000-0005-0000-0000-0000B0290000}"/>
    <cellStyle name="常规 3 9 5 2" xfId="2150" xr:uid="{00000000-0005-0000-0000-0000B1290000}"/>
    <cellStyle name="常规 3 9 6" xfId="2151" xr:uid="{00000000-0005-0000-0000-0000B2290000}"/>
    <cellStyle name="常规 3 9 6 2" xfId="2152" xr:uid="{00000000-0005-0000-0000-0000B3290000}"/>
    <cellStyle name="常规 3 9 7" xfId="2153" xr:uid="{00000000-0005-0000-0000-0000B4290000}"/>
    <cellStyle name="常规 3 9 7 2" xfId="2154" xr:uid="{00000000-0005-0000-0000-0000B5290000}"/>
    <cellStyle name="常规 3 9 8" xfId="2155" xr:uid="{00000000-0005-0000-0000-0000B6290000}"/>
    <cellStyle name="常规 3 9_北京现代2009年4月报表" xfId="2156" xr:uid="{00000000-0005-0000-0000-0000B7290000}"/>
    <cellStyle name="常规 3_狭义乘用车" xfId="2157" xr:uid="{00000000-0005-0000-0000-0000B8290000}"/>
    <cellStyle name="常规 4" xfId="2158" xr:uid="{00000000-0005-0000-0000-0000B9290000}"/>
    <cellStyle name="常规 5" xfId="2159" xr:uid="{00000000-0005-0000-0000-0000BA290000}"/>
    <cellStyle name="常规 6" xfId="2160" xr:uid="{00000000-0005-0000-0000-0000BB290000}"/>
    <cellStyle name="常规 7" xfId="2161" xr:uid="{00000000-0005-0000-0000-0000BC290000}"/>
    <cellStyle name="常规 8" xfId="2162" xr:uid="{00000000-0005-0000-0000-0000BD290000}"/>
    <cellStyle name="常规 9" xfId="2163" xr:uid="{00000000-0005-0000-0000-0000BE290000}"/>
    <cellStyle name="常规（缩格）" xfId="6462" xr:uid="{00000000-0005-0000-0000-0000BF290000}"/>
    <cellStyle name="常规_2002 forecast" xfId="4162" xr:uid="{00000000-0005-0000-0000-0000C0290000}"/>
    <cellStyle name="强调文字颜色 1" xfId="2164" xr:uid="{00000000-0005-0000-0000-0000C1290000}"/>
    <cellStyle name="强调文字颜色 1 10" xfId="2165" xr:uid="{00000000-0005-0000-0000-0000C2290000}"/>
    <cellStyle name="强调文字颜色 1 11" xfId="2166" xr:uid="{00000000-0005-0000-0000-0000C3290000}"/>
    <cellStyle name="强调文字颜色 1 12" xfId="2167" xr:uid="{00000000-0005-0000-0000-0000C4290000}"/>
    <cellStyle name="强调文字颜色 1 13" xfId="2168" xr:uid="{00000000-0005-0000-0000-0000C5290000}"/>
    <cellStyle name="强调文字颜色 1 14" xfId="2169" xr:uid="{00000000-0005-0000-0000-0000C6290000}"/>
    <cellStyle name="强调文字颜色 1 15" xfId="2170" xr:uid="{00000000-0005-0000-0000-0000C7290000}"/>
    <cellStyle name="强调文字颜色 1 16" xfId="2171" xr:uid="{00000000-0005-0000-0000-0000C8290000}"/>
    <cellStyle name="强调文字颜色 1 17" xfId="2172" xr:uid="{00000000-0005-0000-0000-0000C9290000}"/>
    <cellStyle name="强调文字颜色 1 18" xfId="2173" xr:uid="{00000000-0005-0000-0000-0000CA290000}"/>
    <cellStyle name="强调文字颜色 1 19" xfId="2174" xr:uid="{00000000-0005-0000-0000-0000CB290000}"/>
    <cellStyle name="强调文字颜色 1 2" xfId="2175" xr:uid="{00000000-0005-0000-0000-0000CC290000}"/>
    <cellStyle name="强调文字颜色 1 20" xfId="2176" xr:uid="{00000000-0005-0000-0000-0000CD290000}"/>
    <cellStyle name="强调文字颜色 1 3" xfId="2177" xr:uid="{00000000-0005-0000-0000-0000CE290000}"/>
    <cellStyle name="强调文字颜色 1 4" xfId="2178" xr:uid="{00000000-0005-0000-0000-0000CF290000}"/>
    <cellStyle name="强调文字颜色 1 5" xfId="2179" xr:uid="{00000000-0005-0000-0000-0000D0290000}"/>
    <cellStyle name="强调文字颜色 1 6" xfId="2180" xr:uid="{00000000-0005-0000-0000-0000D1290000}"/>
    <cellStyle name="强调文字颜色 1 7" xfId="2181" xr:uid="{00000000-0005-0000-0000-0000D2290000}"/>
    <cellStyle name="强调文字颜色 1 8" xfId="2182" xr:uid="{00000000-0005-0000-0000-0000D3290000}"/>
    <cellStyle name="强调文字颜色 1 9" xfId="2183" xr:uid="{00000000-0005-0000-0000-0000D4290000}"/>
    <cellStyle name="强调文字颜色 2" xfId="2184" xr:uid="{00000000-0005-0000-0000-0000D5290000}"/>
    <cellStyle name="强调文字颜色 2 10" xfId="2185" xr:uid="{00000000-0005-0000-0000-0000D6290000}"/>
    <cellStyle name="强调文字颜色 2 11" xfId="2186" xr:uid="{00000000-0005-0000-0000-0000D7290000}"/>
    <cellStyle name="强调文字颜色 2 12" xfId="2187" xr:uid="{00000000-0005-0000-0000-0000D8290000}"/>
    <cellStyle name="强调文字颜色 2 13" xfId="2188" xr:uid="{00000000-0005-0000-0000-0000D9290000}"/>
    <cellStyle name="强调文字颜色 2 14" xfId="2189" xr:uid="{00000000-0005-0000-0000-0000DA290000}"/>
    <cellStyle name="强调文字颜色 2 15" xfId="2190" xr:uid="{00000000-0005-0000-0000-0000DB290000}"/>
    <cellStyle name="强调文字颜色 2 16" xfId="2191" xr:uid="{00000000-0005-0000-0000-0000DC290000}"/>
    <cellStyle name="强调文字颜色 2 17" xfId="2192" xr:uid="{00000000-0005-0000-0000-0000DD290000}"/>
    <cellStyle name="强调文字颜色 2 18" xfId="2193" xr:uid="{00000000-0005-0000-0000-0000DE290000}"/>
    <cellStyle name="强调文字颜色 2 19" xfId="2194" xr:uid="{00000000-0005-0000-0000-0000DF290000}"/>
    <cellStyle name="强调文字颜色 2 2" xfId="2195" xr:uid="{00000000-0005-0000-0000-0000E0290000}"/>
    <cellStyle name="强调文字颜色 2 20" xfId="2196" xr:uid="{00000000-0005-0000-0000-0000E1290000}"/>
    <cellStyle name="强调文字颜色 2 3" xfId="2197" xr:uid="{00000000-0005-0000-0000-0000E2290000}"/>
    <cellStyle name="强调文字颜色 2 4" xfId="2198" xr:uid="{00000000-0005-0000-0000-0000E3290000}"/>
    <cellStyle name="强调文字颜色 2 5" xfId="2199" xr:uid="{00000000-0005-0000-0000-0000E4290000}"/>
    <cellStyle name="强调文字颜色 2 6" xfId="2200" xr:uid="{00000000-0005-0000-0000-0000E5290000}"/>
    <cellStyle name="强调文字颜色 2 7" xfId="2201" xr:uid="{00000000-0005-0000-0000-0000E6290000}"/>
    <cellStyle name="强调文字颜色 2 8" xfId="2202" xr:uid="{00000000-0005-0000-0000-0000E7290000}"/>
    <cellStyle name="强调文字颜色 2 9" xfId="2203" xr:uid="{00000000-0005-0000-0000-0000E8290000}"/>
    <cellStyle name="强调文字颜色 3" xfId="2204" xr:uid="{00000000-0005-0000-0000-0000E9290000}"/>
    <cellStyle name="强调文字颜色 3 10" xfId="2205" xr:uid="{00000000-0005-0000-0000-0000EA290000}"/>
    <cellStyle name="强调文字颜色 3 11" xfId="2206" xr:uid="{00000000-0005-0000-0000-0000EB290000}"/>
    <cellStyle name="强调文字颜色 3 12" xfId="2207" xr:uid="{00000000-0005-0000-0000-0000EC290000}"/>
    <cellStyle name="强调文字颜色 3 13" xfId="2208" xr:uid="{00000000-0005-0000-0000-0000ED290000}"/>
    <cellStyle name="强调文字颜色 3 14" xfId="2209" xr:uid="{00000000-0005-0000-0000-0000EE290000}"/>
    <cellStyle name="强调文字颜色 3 15" xfId="2210" xr:uid="{00000000-0005-0000-0000-0000EF290000}"/>
    <cellStyle name="强调文字颜色 3 16" xfId="2211" xr:uid="{00000000-0005-0000-0000-0000F0290000}"/>
    <cellStyle name="强调文字颜色 3 17" xfId="2212" xr:uid="{00000000-0005-0000-0000-0000F1290000}"/>
    <cellStyle name="强调文字颜色 3 18" xfId="2213" xr:uid="{00000000-0005-0000-0000-0000F2290000}"/>
    <cellStyle name="强调文字颜色 3 19" xfId="2214" xr:uid="{00000000-0005-0000-0000-0000F3290000}"/>
    <cellStyle name="强调文字颜色 3 2" xfId="2215" xr:uid="{00000000-0005-0000-0000-0000F4290000}"/>
    <cellStyle name="强调文字颜色 3 20" xfId="2216" xr:uid="{00000000-0005-0000-0000-0000F5290000}"/>
    <cellStyle name="强调文字颜色 3 3" xfId="2217" xr:uid="{00000000-0005-0000-0000-0000F6290000}"/>
    <cellStyle name="强调文字颜色 3 4" xfId="2218" xr:uid="{00000000-0005-0000-0000-0000F7290000}"/>
    <cellStyle name="强调文字颜色 3 5" xfId="2219" xr:uid="{00000000-0005-0000-0000-0000F8290000}"/>
    <cellStyle name="强调文字颜色 3 6" xfId="2220" xr:uid="{00000000-0005-0000-0000-0000F9290000}"/>
    <cellStyle name="强调文字颜色 3 7" xfId="2221" xr:uid="{00000000-0005-0000-0000-0000FA290000}"/>
    <cellStyle name="强调文字颜色 3 8" xfId="2222" xr:uid="{00000000-0005-0000-0000-0000FB290000}"/>
    <cellStyle name="强调文字颜色 3 9" xfId="2223" xr:uid="{00000000-0005-0000-0000-0000FC290000}"/>
    <cellStyle name="强调文字颜色 4" xfId="2224" xr:uid="{00000000-0005-0000-0000-0000FD290000}"/>
    <cellStyle name="强调文字颜色 4 10" xfId="2225" xr:uid="{00000000-0005-0000-0000-0000FE290000}"/>
    <cellStyle name="强调文字颜色 4 11" xfId="2226" xr:uid="{00000000-0005-0000-0000-0000FF290000}"/>
    <cellStyle name="强调文字颜色 4 12" xfId="2227" xr:uid="{00000000-0005-0000-0000-0000002A0000}"/>
    <cellStyle name="强调文字颜色 4 13" xfId="2228" xr:uid="{00000000-0005-0000-0000-0000012A0000}"/>
    <cellStyle name="强调文字颜色 4 14" xfId="2229" xr:uid="{00000000-0005-0000-0000-0000022A0000}"/>
    <cellStyle name="强调文字颜色 4 15" xfId="2230" xr:uid="{00000000-0005-0000-0000-0000032A0000}"/>
    <cellStyle name="强调文字颜色 4 16" xfId="2231" xr:uid="{00000000-0005-0000-0000-0000042A0000}"/>
    <cellStyle name="强调文字颜色 4 17" xfId="2232" xr:uid="{00000000-0005-0000-0000-0000052A0000}"/>
    <cellStyle name="强调文字颜色 4 18" xfId="2233" xr:uid="{00000000-0005-0000-0000-0000062A0000}"/>
    <cellStyle name="强调文字颜色 4 19" xfId="2234" xr:uid="{00000000-0005-0000-0000-0000072A0000}"/>
    <cellStyle name="强调文字颜色 4 2" xfId="2235" xr:uid="{00000000-0005-0000-0000-0000082A0000}"/>
    <cellStyle name="强调文字颜色 4 20" xfId="2236" xr:uid="{00000000-0005-0000-0000-0000092A0000}"/>
    <cellStyle name="强调文字颜色 4 3" xfId="2237" xr:uid="{00000000-0005-0000-0000-00000A2A0000}"/>
    <cellStyle name="强调文字颜色 4 4" xfId="2238" xr:uid="{00000000-0005-0000-0000-00000B2A0000}"/>
    <cellStyle name="强调文字颜色 4 5" xfId="2239" xr:uid="{00000000-0005-0000-0000-00000C2A0000}"/>
    <cellStyle name="强调文字颜色 4 6" xfId="2240" xr:uid="{00000000-0005-0000-0000-00000D2A0000}"/>
    <cellStyle name="强调文字颜色 4 7" xfId="2241" xr:uid="{00000000-0005-0000-0000-00000E2A0000}"/>
    <cellStyle name="强调文字颜色 4 8" xfId="2242" xr:uid="{00000000-0005-0000-0000-00000F2A0000}"/>
    <cellStyle name="强调文字颜色 4 9" xfId="2243" xr:uid="{00000000-0005-0000-0000-0000102A0000}"/>
    <cellStyle name="强调文字颜色 5" xfId="2244" xr:uid="{00000000-0005-0000-0000-0000112A0000}"/>
    <cellStyle name="强调文字颜色 5 10" xfId="2245" xr:uid="{00000000-0005-0000-0000-0000122A0000}"/>
    <cellStyle name="强调文字颜色 5 11" xfId="2246" xr:uid="{00000000-0005-0000-0000-0000132A0000}"/>
    <cellStyle name="强调文字颜色 5 12" xfId="2247" xr:uid="{00000000-0005-0000-0000-0000142A0000}"/>
    <cellStyle name="强调文字颜色 5 13" xfId="2248" xr:uid="{00000000-0005-0000-0000-0000152A0000}"/>
    <cellStyle name="强调文字颜色 5 14" xfId="2249" xr:uid="{00000000-0005-0000-0000-0000162A0000}"/>
    <cellStyle name="强调文字颜色 5 15" xfId="2250" xr:uid="{00000000-0005-0000-0000-0000172A0000}"/>
    <cellStyle name="强调文字颜色 5 16" xfId="2251" xr:uid="{00000000-0005-0000-0000-0000182A0000}"/>
    <cellStyle name="强调文字颜色 5 17" xfId="2252" xr:uid="{00000000-0005-0000-0000-0000192A0000}"/>
    <cellStyle name="强调文字颜色 5 18" xfId="2253" xr:uid="{00000000-0005-0000-0000-00001A2A0000}"/>
    <cellStyle name="强调文字颜色 5 19" xfId="2254" xr:uid="{00000000-0005-0000-0000-00001B2A0000}"/>
    <cellStyle name="强调文字颜色 5 2" xfId="2255" xr:uid="{00000000-0005-0000-0000-00001C2A0000}"/>
    <cellStyle name="强调文字颜色 5 20" xfId="2256" xr:uid="{00000000-0005-0000-0000-00001D2A0000}"/>
    <cellStyle name="强调文字颜色 5 3" xfId="2257" xr:uid="{00000000-0005-0000-0000-00001E2A0000}"/>
    <cellStyle name="强调文字颜色 5 4" xfId="2258" xr:uid="{00000000-0005-0000-0000-00001F2A0000}"/>
    <cellStyle name="强调文字颜色 5 5" xfId="2259" xr:uid="{00000000-0005-0000-0000-0000202A0000}"/>
    <cellStyle name="强调文字颜色 5 6" xfId="2260" xr:uid="{00000000-0005-0000-0000-0000212A0000}"/>
    <cellStyle name="强调文字颜色 5 7" xfId="2261" xr:uid="{00000000-0005-0000-0000-0000222A0000}"/>
    <cellStyle name="强调文字颜色 5 8" xfId="2262" xr:uid="{00000000-0005-0000-0000-0000232A0000}"/>
    <cellStyle name="强调文字颜色 5 9" xfId="2263" xr:uid="{00000000-0005-0000-0000-0000242A0000}"/>
    <cellStyle name="强调文字颜色 6" xfId="2264" xr:uid="{00000000-0005-0000-0000-0000252A0000}"/>
    <cellStyle name="强调文字颜色 6 10" xfId="2265" xr:uid="{00000000-0005-0000-0000-0000262A0000}"/>
    <cellStyle name="强调文字颜色 6 11" xfId="2266" xr:uid="{00000000-0005-0000-0000-0000272A0000}"/>
    <cellStyle name="强调文字颜色 6 12" xfId="2267" xr:uid="{00000000-0005-0000-0000-0000282A0000}"/>
    <cellStyle name="强调文字颜色 6 13" xfId="2268" xr:uid="{00000000-0005-0000-0000-0000292A0000}"/>
    <cellStyle name="强调文字颜色 6 14" xfId="2269" xr:uid="{00000000-0005-0000-0000-00002A2A0000}"/>
    <cellStyle name="强调文字颜色 6 15" xfId="2270" xr:uid="{00000000-0005-0000-0000-00002B2A0000}"/>
    <cellStyle name="强调文字颜色 6 16" xfId="2271" xr:uid="{00000000-0005-0000-0000-00002C2A0000}"/>
    <cellStyle name="强调文字颜色 6 17" xfId="2272" xr:uid="{00000000-0005-0000-0000-00002D2A0000}"/>
    <cellStyle name="强调文字颜色 6 18" xfId="2273" xr:uid="{00000000-0005-0000-0000-00002E2A0000}"/>
    <cellStyle name="强调文字颜色 6 19" xfId="2274" xr:uid="{00000000-0005-0000-0000-00002F2A0000}"/>
    <cellStyle name="强调文字颜色 6 2" xfId="2275" xr:uid="{00000000-0005-0000-0000-0000302A0000}"/>
    <cellStyle name="强调文字颜色 6 20" xfId="2276" xr:uid="{00000000-0005-0000-0000-0000312A0000}"/>
    <cellStyle name="强调文字颜色 6 3" xfId="2277" xr:uid="{00000000-0005-0000-0000-0000322A0000}"/>
    <cellStyle name="强调文字颜色 6 4" xfId="2278" xr:uid="{00000000-0005-0000-0000-0000332A0000}"/>
    <cellStyle name="强调文字颜色 6 5" xfId="2279" xr:uid="{00000000-0005-0000-0000-0000342A0000}"/>
    <cellStyle name="强调文字颜色 6 6" xfId="2280" xr:uid="{00000000-0005-0000-0000-0000352A0000}"/>
    <cellStyle name="强调文字颜色 6 7" xfId="2281" xr:uid="{00000000-0005-0000-0000-0000362A0000}"/>
    <cellStyle name="强调文字颜色 6 8" xfId="2282" xr:uid="{00000000-0005-0000-0000-0000372A0000}"/>
    <cellStyle name="强调文字颜色 6 9" xfId="2283" xr:uid="{00000000-0005-0000-0000-0000382A0000}"/>
    <cellStyle name="数目" xfId="6483" xr:uid="{00000000-0005-0000-0000-0000392A0000}"/>
    <cellStyle name="整数" xfId="4163" xr:uid="{00000000-0005-0000-0000-00003A2A0000}"/>
    <cellStyle name="整数-0.0" xfId="4164" xr:uid="{00000000-0005-0000-0000-00003B2A0000}"/>
    <cellStyle name="整数-0.00" xfId="4165" xr:uid="{00000000-0005-0000-0000-00003C2A0000}"/>
    <cellStyle name="整数百分比" xfId="4166" xr:uid="{00000000-0005-0000-0000-00003D2A0000}"/>
    <cellStyle name="整数百分比-0.0" xfId="4167" xr:uid="{00000000-0005-0000-0000-00003E2A0000}"/>
    <cellStyle name="整数百分比-0.00" xfId="4168" xr:uid="{00000000-0005-0000-0000-00003F2A0000}"/>
    <cellStyle name="日期[英文]" xfId="6480" xr:uid="{00000000-0005-0000-0000-0000402A0000}"/>
    <cellStyle name="普通_ 白土" xfId="4169" xr:uid="{00000000-0005-0000-0000-0000412A0000}"/>
    <cellStyle name="标题" xfId="2284" xr:uid="{00000000-0005-0000-0000-0000422A0000}"/>
    <cellStyle name="标题 1" xfId="2285" xr:uid="{00000000-0005-0000-0000-0000432A0000}"/>
    <cellStyle name="标题 1 10" xfId="2286" xr:uid="{00000000-0005-0000-0000-0000442A0000}"/>
    <cellStyle name="标题 1 11" xfId="2287" xr:uid="{00000000-0005-0000-0000-0000452A0000}"/>
    <cellStyle name="标题 1 12" xfId="2288" xr:uid="{00000000-0005-0000-0000-0000462A0000}"/>
    <cellStyle name="标题 1 13" xfId="2289" xr:uid="{00000000-0005-0000-0000-0000472A0000}"/>
    <cellStyle name="标题 1 14" xfId="2290" xr:uid="{00000000-0005-0000-0000-0000482A0000}"/>
    <cellStyle name="标题 1 15" xfId="2291" xr:uid="{00000000-0005-0000-0000-0000492A0000}"/>
    <cellStyle name="标题 1 16" xfId="2292" xr:uid="{00000000-0005-0000-0000-00004A2A0000}"/>
    <cellStyle name="标题 1 17" xfId="2293" xr:uid="{00000000-0005-0000-0000-00004B2A0000}"/>
    <cellStyle name="标题 1 18" xfId="2294" xr:uid="{00000000-0005-0000-0000-00004C2A0000}"/>
    <cellStyle name="标题 1 19" xfId="2295" xr:uid="{00000000-0005-0000-0000-00004D2A0000}"/>
    <cellStyle name="标题 1 2" xfId="2296" xr:uid="{00000000-0005-0000-0000-00004E2A0000}"/>
    <cellStyle name="标题 1 20" xfId="2297" xr:uid="{00000000-0005-0000-0000-00004F2A0000}"/>
    <cellStyle name="标题 1 3" xfId="2298" xr:uid="{00000000-0005-0000-0000-0000502A0000}"/>
    <cellStyle name="标题 1 4" xfId="2299" xr:uid="{00000000-0005-0000-0000-0000512A0000}"/>
    <cellStyle name="标题 1 5" xfId="2300" xr:uid="{00000000-0005-0000-0000-0000522A0000}"/>
    <cellStyle name="标题 1 6" xfId="2301" xr:uid="{00000000-0005-0000-0000-0000532A0000}"/>
    <cellStyle name="标题 1 7" xfId="2302" xr:uid="{00000000-0005-0000-0000-0000542A0000}"/>
    <cellStyle name="标题 1 8" xfId="2303" xr:uid="{00000000-0005-0000-0000-0000552A0000}"/>
    <cellStyle name="标题 1 9" xfId="2304" xr:uid="{00000000-0005-0000-0000-0000562A0000}"/>
    <cellStyle name="标题 2" xfId="2305" xr:uid="{00000000-0005-0000-0000-0000572A0000}"/>
    <cellStyle name="标题 2 10" xfId="2306" xr:uid="{00000000-0005-0000-0000-0000582A0000}"/>
    <cellStyle name="标题 2 11" xfId="2307" xr:uid="{00000000-0005-0000-0000-0000592A0000}"/>
    <cellStyle name="标题 2 12" xfId="2308" xr:uid="{00000000-0005-0000-0000-00005A2A0000}"/>
    <cellStyle name="标题 2 13" xfId="2309" xr:uid="{00000000-0005-0000-0000-00005B2A0000}"/>
    <cellStyle name="标题 2 14" xfId="2310" xr:uid="{00000000-0005-0000-0000-00005C2A0000}"/>
    <cellStyle name="标题 2 15" xfId="2311" xr:uid="{00000000-0005-0000-0000-00005D2A0000}"/>
    <cellStyle name="标题 2 16" xfId="2312" xr:uid="{00000000-0005-0000-0000-00005E2A0000}"/>
    <cellStyle name="标题 2 17" xfId="2313" xr:uid="{00000000-0005-0000-0000-00005F2A0000}"/>
    <cellStyle name="标题 2 18" xfId="2314" xr:uid="{00000000-0005-0000-0000-0000602A0000}"/>
    <cellStyle name="标题 2 19" xfId="2315" xr:uid="{00000000-0005-0000-0000-0000612A0000}"/>
    <cellStyle name="标题 2 2" xfId="2316" xr:uid="{00000000-0005-0000-0000-0000622A0000}"/>
    <cellStyle name="标题 2 20" xfId="2317" xr:uid="{00000000-0005-0000-0000-0000632A0000}"/>
    <cellStyle name="标题 2 3" xfId="2318" xr:uid="{00000000-0005-0000-0000-0000642A0000}"/>
    <cellStyle name="标题 2 4" xfId="2319" xr:uid="{00000000-0005-0000-0000-0000652A0000}"/>
    <cellStyle name="标题 2 5" xfId="2320" xr:uid="{00000000-0005-0000-0000-0000662A0000}"/>
    <cellStyle name="标题 2 6" xfId="2321" xr:uid="{00000000-0005-0000-0000-0000672A0000}"/>
    <cellStyle name="标题 2 7" xfId="2322" xr:uid="{00000000-0005-0000-0000-0000682A0000}"/>
    <cellStyle name="标题 2 8" xfId="2323" xr:uid="{00000000-0005-0000-0000-0000692A0000}"/>
    <cellStyle name="标题 2 9" xfId="2324" xr:uid="{00000000-0005-0000-0000-00006A2A0000}"/>
    <cellStyle name="标题 3" xfId="2325" xr:uid="{00000000-0005-0000-0000-00006B2A0000}"/>
    <cellStyle name="标题 3 10" xfId="2326" xr:uid="{00000000-0005-0000-0000-00006C2A0000}"/>
    <cellStyle name="标题 3 11" xfId="2327" xr:uid="{00000000-0005-0000-0000-00006D2A0000}"/>
    <cellStyle name="标题 3 12" xfId="2328" xr:uid="{00000000-0005-0000-0000-00006E2A0000}"/>
    <cellStyle name="标题 3 13" xfId="2329" xr:uid="{00000000-0005-0000-0000-00006F2A0000}"/>
    <cellStyle name="标题 3 14" xfId="2330" xr:uid="{00000000-0005-0000-0000-0000702A0000}"/>
    <cellStyle name="标题 3 15" xfId="2331" xr:uid="{00000000-0005-0000-0000-0000712A0000}"/>
    <cellStyle name="标题 3 16" xfId="2332" xr:uid="{00000000-0005-0000-0000-0000722A0000}"/>
    <cellStyle name="标题 3 17" xfId="2333" xr:uid="{00000000-0005-0000-0000-0000732A0000}"/>
    <cellStyle name="标题 3 18" xfId="2334" xr:uid="{00000000-0005-0000-0000-0000742A0000}"/>
    <cellStyle name="标题 3 19" xfId="2335" xr:uid="{00000000-0005-0000-0000-0000752A0000}"/>
    <cellStyle name="标题 3 2" xfId="2336" xr:uid="{00000000-0005-0000-0000-0000762A0000}"/>
    <cellStyle name="标题 3 20" xfId="2337" xr:uid="{00000000-0005-0000-0000-0000772A0000}"/>
    <cellStyle name="标题 3 3" xfId="2338" xr:uid="{00000000-0005-0000-0000-0000782A0000}"/>
    <cellStyle name="标题 3 4" xfId="2339" xr:uid="{00000000-0005-0000-0000-0000792A0000}"/>
    <cellStyle name="标题 3 5" xfId="2340" xr:uid="{00000000-0005-0000-0000-00007A2A0000}"/>
    <cellStyle name="标题 3 6" xfId="2341" xr:uid="{00000000-0005-0000-0000-00007B2A0000}"/>
    <cellStyle name="标题 3 7" xfId="2342" xr:uid="{00000000-0005-0000-0000-00007C2A0000}"/>
    <cellStyle name="标题 3 8" xfId="2343" xr:uid="{00000000-0005-0000-0000-00007D2A0000}"/>
    <cellStyle name="标题 3 9" xfId="2344" xr:uid="{00000000-0005-0000-0000-00007E2A0000}"/>
    <cellStyle name="标题 4" xfId="2345" xr:uid="{00000000-0005-0000-0000-00007F2A0000}"/>
    <cellStyle name="标题 4 10" xfId="2346" xr:uid="{00000000-0005-0000-0000-0000802A0000}"/>
    <cellStyle name="标题 4 11" xfId="2347" xr:uid="{00000000-0005-0000-0000-0000812A0000}"/>
    <cellStyle name="标题 4 12" xfId="2348" xr:uid="{00000000-0005-0000-0000-0000822A0000}"/>
    <cellStyle name="标题 4 13" xfId="2349" xr:uid="{00000000-0005-0000-0000-0000832A0000}"/>
    <cellStyle name="标题 4 14" xfId="2350" xr:uid="{00000000-0005-0000-0000-0000842A0000}"/>
    <cellStyle name="标题 4 15" xfId="2351" xr:uid="{00000000-0005-0000-0000-0000852A0000}"/>
    <cellStyle name="标题 4 16" xfId="2352" xr:uid="{00000000-0005-0000-0000-0000862A0000}"/>
    <cellStyle name="标题 4 18" xfId="2353" xr:uid="{00000000-0005-0000-0000-0000872A0000}"/>
    <cellStyle name="标题 4 2" xfId="2354" xr:uid="{00000000-0005-0000-0000-0000882A0000}"/>
    <cellStyle name="标题 4 20" xfId="2355" xr:uid="{00000000-0005-0000-0000-0000892A0000}"/>
    <cellStyle name="标题 4 4" xfId="2356" xr:uid="{00000000-0005-0000-0000-00008A2A0000}"/>
    <cellStyle name="标题 4 5" xfId="2357" xr:uid="{00000000-0005-0000-0000-00008B2A0000}"/>
    <cellStyle name="标题 4 7" xfId="2358" xr:uid="{00000000-0005-0000-0000-00008C2A0000}"/>
    <cellStyle name="样式 1" xfId="6484" xr:uid="{00000000-0005-0000-0000-00008D2A0000}"/>
    <cellStyle name="样式 10" xfId="6485" xr:uid="{00000000-0005-0000-0000-00008E2A0000}"/>
    <cellStyle name="样式 100" xfId="6486" xr:uid="{00000000-0005-0000-0000-00008F2A0000}"/>
    <cellStyle name="样式 101" xfId="6487" xr:uid="{00000000-0005-0000-0000-0000902A0000}"/>
    <cellStyle name="样式 102" xfId="6488" xr:uid="{00000000-0005-0000-0000-0000912A0000}"/>
    <cellStyle name="样式 103" xfId="6489" xr:uid="{00000000-0005-0000-0000-0000922A0000}"/>
    <cellStyle name="样式 104" xfId="6490" xr:uid="{00000000-0005-0000-0000-0000932A0000}"/>
    <cellStyle name="样式 105" xfId="6491" xr:uid="{00000000-0005-0000-0000-0000942A0000}"/>
    <cellStyle name="样式 106" xfId="6492" xr:uid="{00000000-0005-0000-0000-0000952A0000}"/>
    <cellStyle name="样式 107" xfId="6493" xr:uid="{00000000-0005-0000-0000-0000962A0000}"/>
    <cellStyle name="样式 108" xfId="6494" xr:uid="{00000000-0005-0000-0000-0000972A0000}"/>
    <cellStyle name="样式 109" xfId="6495" xr:uid="{00000000-0005-0000-0000-0000982A0000}"/>
    <cellStyle name="样式 11" xfId="6496" xr:uid="{00000000-0005-0000-0000-0000992A0000}"/>
    <cellStyle name="样式 110" xfId="6497" xr:uid="{00000000-0005-0000-0000-00009A2A0000}"/>
    <cellStyle name="样式 111" xfId="6498" xr:uid="{00000000-0005-0000-0000-00009B2A0000}"/>
    <cellStyle name="样式 112" xfId="6499" xr:uid="{00000000-0005-0000-0000-00009C2A0000}"/>
    <cellStyle name="样式 113" xfId="6500" xr:uid="{00000000-0005-0000-0000-00009D2A0000}"/>
    <cellStyle name="样式 114" xfId="6501" xr:uid="{00000000-0005-0000-0000-00009E2A0000}"/>
    <cellStyle name="样式 115" xfId="6502" xr:uid="{00000000-0005-0000-0000-00009F2A0000}"/>
    <cellStyle name="样式 116" xfId="6503" xr:uid="{00000000-0005-0000-0000-0000A02A0000}"/>
    <cellStyle name="样式 117" xfId="6504" xr:uid="{00000000-0005-0000-0000-0000A12A0000}"/>
    <cellStyle name="样式 118" xfId="6505" xr:uid="{00000000-0005-0000-0000-0000A22A0000}"/>
    <cellStyle name="样式 119" xfId="6506" xr:uid="{00000000-0005-0000-0000-0000A32A0000}"/>
    <cellStyle name="样式 12" xfId="6507" xr:uid="{00000000-0005-0000-0000-0000A42A0000}"/>
    <cellStyle name="样式 120" xfId="6508" xr:uid="{00000000-0005-0000-0000-0000A52A0000}"/>
    <cellStyle name="样式 121" xfId="6509" xr:uid="{00000000-0005-0000-0000-0000A62A0000}"/>
    <cellStyle name="样式 122" xfId="6510" xr:uid="{00000000-0005-0000-0000-0000A72A0000}"/>
    <cellStyle name="样式 123" xfId="6511" xr:uid="{00000000-0005-0000-0000-0000A82A0000}"/>
    <cellStyle name="样式 124" xfId="6512" xr:uid="{00000000-0005-0000-0000-0000A92A0000}"/>
    <cellStyle name="样式 125" xfId="6513" xr:uid="{00000000-0005-0000-0000-0000AA2A0000}"/>
    <cellStyle name="样式 126" xfId="6514" xr:uid="{00000000-0005-0000-0000-0000AB2A0000}"/>
    <cellStyle name="样式 127" xfId="6515" xr:uid="{00000000-0005-0000-0000-0000AC2A0000}"/>
    <cellStyle name="样式 128" xfId="6516" xr:uid="{00000000-0005-0000-0000-0000AD2A0000}"/>
    <cellStyle name="样式 129" xfId="6517" xr:uid="{00000000-0005-0000-0000-0000AE2A0000}"/>
    <cellStyle name="样式 13" xfId="6518" xr:uid="{00000000-0005-0000-0000-0000AF2A0000}"/>
    <cellStyle name="样式 130" xfId="6519" xr:uid="{00000000-0005-0000-0000-0000B02A0000}"/>
    <cellStyle name="样式 131" xfId="6520" xr:uid="{00000000-0005-0000-0000-0000B12A0000}"/>
    <cellStyle name="样式 132" xfId="6521" xr:uid="{00000000-0005-0000-0000-0000B22A0000}"/>
    <cellStyle name="样式 133" xfId="6522" xr:uid="{00000000-0005-0000-0000-0000B32A0000}"/>
    <cellStyle name="样式 134" xfId="6523" xr:uid="{00000000-0005-0000-0000-0000B42A0000}"/>
    <cellStyle name="样式 135" xfId="6524" xr:uid="{00000000-0005-0000-0000-0000B52A0000}"/>
    <cellStyle name="样式 136" xfId="6525" xr:uid="{00000000-0005-0000-0000-0000B62A0000}"/>
    <cellStyle name="样式 137" xfId="6526" xr:uid="{00000000-0005-0000-0000-0000B72A0000}"/>
    <cellStyle name="样式 138" xfId="6527" xr:uid="{00000000-0005-0000-0000-0000B82A0000}"/>
    <cellStyle name="样式 139" xfId="6528" xr:uid="{00000000-0005-0000-0000-0000B92A0000}"/>
    <cellStyle name="样式 14" xfId="6529" xr:uid="{00000000-0005-0000-0000-0000BA2A0000}"/>
    <cellStyle name="样式 140" xfId="6530" xr:uid="{00000000-0005-0000-0000-0000BB2A0000}"/>
    <cellStyle name="样式 141" xfId="6531" xr:uid="{00000000-0005-0000-0000-0000BC2A0000}"/>
    <cellStyle name="样式 142" xfId="6532" xr:uid="{00000000-0005-0000-0000-0000BD2A0000}"/>
    <cellStyle name="样式 143" xfId="6533" xr:uid="{00000000-0005-0000-0000-0000BE2A0000}"/>
    <cellStyle name="样式 144" xfId="6534" xr:uid="{00000000-0005-0000-0000-0000BF2A0000}"/>
    <cellStyle name="样式 145" xfId="6535" xr:uid="{00000000-0005-0000-0000-0000C02A0000}"/>
    <cellStyle name="样式 146" xfId="6536" xr:uid="{00000000-0005-0000-0000-0000C12A0000}"/>
    <cellStyle name="样式 147" xfId="6537" xr:uid="{00000000-0005-0000-0000-0000C22A0000}"/>
    <cellStyle name="样式 148" xfId="6538" xr:uid="{00000000-0005-0000-0000-0000C32A0000}"/>
    <cellStyle name="样式 149" xfId="6539" xr:uid="{00000000-0005-0000-0000-0000C42A0000}"/>
    <cellStyle name="样式 15" xfId="6540" xr:uid="{00000000-0005-0000-0000-0000C52A0000}"/>
    <cellStyle name="样式 150" xfId="6541" xr:uid="{00000000-0005-0000-0000-0000C62A0000}"/>
    <cellStyle name="样式 151" xfId="6542" xr:uid="{00000000-0005-0000-0000-0000C72A0000}"/>
    <cellStyle name="样式 152" xfId="6543" xr:uid="{00000000-0005-0000-0000-0000C82A0000}"/>
    <cellStyle name="样式 153" xfId="6544" xr:uid="{00000000-0005-0000-0000-0000C92A0000}"/>
    <cellStyle name="样式 154" xfId="6545" xr:uid="{00000000-0005-0000-0000-0000CA2A0000}"/>
    <cellStyle name="样式 155" xfId="6546" xr:uid="{00000000-0005-0000-0000-0000CB2A0000}"/>
    <cellStyle name="样式 156" xfId="6547" xr:uid="{00000000-0005-0000-0000-0000CC2A0000}"/>
    <cellStyle name="样式 157" xfId="6548" xr:uid="{00000000-0005-0000-0000-0000CD2A0000}"/>
    <cellStyle name="样式 158" xfId="6549" xr:uid="{00000000-0005-0000-0000-0000CE2A0000}"/>
    <cellStyle name="样式 159" xfId="6550" xr:uid="{00000000-0005-0000-0000-0000CF2A0000}"/>
    <cellStyle name="样式 16" xfId="6551" xr:uid="{00000000-0005-0000-0000-0000D02A0000}"/>
    <cellStyle name="样式 160" xfId="6552" xr:uid="{00000000-0005-0000-0000-0000D12A0000}"/>
    <cellStyle name="样式 161" xfId="6553" xr:uid="{00000000-0005-0000-0000-0000D22A0000}"/>
    <cellStyle name="样式 162" xfId="6554" xr:uid="{00000000-0005-0000-0000-0000D32A0000}"/>
    <cellStyle name="样式 163" xfId="6555" xr:uid="{00000000-0005-0000-0000-0000D42A0000}"/>
    <cellStyle name="样式 164" xfId="6556" xr:uid="{00000000-0005-0000-0000-0000D52A0000}"/>
    <cellStyle name="样式 165" xfId="6557" xr:uid="{00000000-0005-0000-0000-0000D62A0000}"/>
    <cellStyle name="样式 166" xfId="6558" xr:uid="{00000000-0005-0000-0000-0000D72A0000}"/>
    <cellStyle name="样式 167" xfId="6559" xr:uid="{00000000-0005-0000-0000-0000D82A0000}"/>
    <cellStyle name="样式 168" xfId="6560" xr:uid="{00000000-0005-0000-0000-0000D92A0000}"/>
    <cellStyle name="样式 169" xfId="6561" xr:uid="{00000000-0005-0000-0000-0000DA2A0000}"/>
    <cellStyle name="样式 17" xfId="6562" xr:uid="{00000000-0005-0000-0000-0000DB2A0000}"/>
    <cellStyle name="样式 170" xfId="6563" xr:uid="{00000000-0005-0000-0000-0000DC2A0000}"/>
    <cellStyle name="样式 171" xfId="6564" xr:uid="{00000000-0005-0000-0000-0000DD2A0000}"/>
    <cellStyle name="样式 172" xfId="6565" xr:uid="{00000000-0005-0000-0000-0000DE2A0000}"/>
    <cellStyle name="样式 173" xfId="6566" xr:uid="{00000000-0005-0000-0000-0000DF2A0000}"/>
    <cellStyle name="样式 174" xfId="6567" xr:uid="{00000000-0005-0000-0000-0000E02A0000}"/>
    <cellStyle name="样式 175" xfId="6568" xr:uid="{00000000-0005-0000-0000-0000E12A0000}"/>
    <cellStyle name="样式 176" xfId="6569" xr:uid="{00000000-0005-0000-0000-0000E22A0000}"/>
    <cellStyle name="样式 177" xfId="6570" xr:uid="{00000000-0005-0000-0000-0000E32A0000}"/>
    <cellStyle name="样式 178" xfId="6571" xr:uid="{00000000-0005-0000-0000-0000E42A0000}"/>
    <cellStyle name="样式 179" xfId="6572" xr:uid="{00000000-0005-0000-0000-0000E52A0000}"/>
    <cellStyle name="样式 18" xfId="6573" xr:uid="{00000000-0005-0000-0000-0000E62A0000}"/>
    <cellStyle name="样式 180" xfId="6574" xr:uid="{00000000-0005-0000-0000-0000E72A0000}"/>
    <cellStyle name="样式 181" xfId="6575" xr:uid="{00000000-0005-0000-0000-0000E82A0000}"/>
    <cellStyle name="样式 182" xfId="6576" xr:uid="{00000000-0005-0000-0000-0000E92A0000}"/>
    <cellStyle name="样式 183" xfId="6577" xr:uid="{00000000-0005-0000-0000-0000EA2A0000}"/>
    <cellStyle name="样式 184" xfId="6578" xr:uid="{00000000-0005-0000-0000-0000EB2A0000}"/>
    <cellStyle name="样式 185" xfId="6579" xr:uid="{00000000-0005-0000-0000-0000EC2A0000}"/>
    <cellStyle name="样式 186" xfId="6580" xr:uid="{00000000-0005-0000-0000-0000ED2A0000}"/>
    <cellStyle name="样式 187" xfId="6581" xr:uid="{00000000-0005-0000-0000-0000EE2A0000}"/>
    <cellStyle name="样式 188" xfId="6582" xr:uid="{00000000-0005-0000-0000-0000EF2A0000}"/>
    <cellStyle name="样式 189" xfId="6583" xr:uid="{00000000-0005-0000-0000-0000F02A0000}"/>
    <cellStyle name="样式 19" xfId="6584" xr:uid="{00000000-0005-0000-0000-0000F12A0000}"/>
    <cellStyle name="样式 190" xfId="6585" xr:uid="{00000000-0005-0000-0000-0000F22A0000}"/>
    <cellStyle name="样式 191" xfId="6586" xr:uid="{00000000-0005-0000-0000-0000F32A0000}"/>
    <cellStyle name="样式 192" xfId="6587" xr:uid="{00000000-0005-0000-0000-0000F42A0000}"/>
    <cellStyle name="样式 193" xfId="6588" xr:uid="{00000000-0005-0000-0000-0000F52A0000}"/>
    <cellStyle name="样式 194" xfId="6589" xr:uid="{00000000-0005-0000-0000-0000F62A0000}"/>
    <cellStyle name="样式 195" xfId="6590" xr:uid="{00000000-0005-0000-0000-0000F72A0000}"/>
    <cellStyle name="样式 196" xfId="6591" xr:uid="{00000000-0005-0000-0000-0000F82A0000}"/>
    <cellStyle name="样式 197" xfId="6592" xr:uid="{00000000-0005-0000-0000-0000F92A0000}"/>
    <cellStyle name="样式 198" xfId="6593" xr:uid="{00000000-0005-0000-0000-0000FA2A0000}"/>
    <cellStyle name="样式 199" xfId="6594" xr:uid="{00000000-0005-0000-0000-0000FB2A0000}"/>
    <cellStyle name="样式 2" xfId="6595" xr:uid="{00000000-0005-0000-0000-0000FC2A0000}"/>
    <cellStyle name="样式 20" xfId="6596" xr:uid="{00000000-0005-0000-0000-0000FD2A0000}"/>
    <cellStyle name="样式 200" xfId="6597" xr:uid="{00000000-0005-0000-0000-0000FE2A0000}"/>
    <cellStyle name="样式 201" xfId="6598" xr:uid="{00000000-0005-0000-0000-0000FF2A0000}"/>
    <cellStyle name="样式 202" xfId="6599" xr:uid="{00000000-0005-0000-0000-0000002B0000}"/>
    <cellStyle name="样式 203" xfId="6600" xr:uid="{00000000-0005-0000-0000-0000012B0000}"/>
    <cellStyle name="样式 204" xfId="6601" xr:uid="{00000000-0005-0000-0000-0000022B0000}"/>
    <cellStyle name="样式 205" xfId="6602" xr:uid="{00000000-0005-0000-0000-0000032B0000}"/>
    <cellStyle name="样式 206" xfId="6603" xr:uid="{00000000-0005-0000-0000-0000042B0000}"/>
    <cellStyle name="样式 207" xfId="6604" xr:uid="{00000000-0005-0000-0000-0000052B0000}"/>
    <cellStyle name="样式 208" xfId="6605" xr:uid="{00000000-0005-0000-0000-0000062B0000}"/>
    <cellStyle name="样式 209" xfId="6606" xr:uid="{00000000-0005-0000-0000-0000072B0000}"/>
    <cellStyle name="样式 21" xfId="6607" xr:uid="{00000000-0005-0000-0000-0000082B0000}"/>
    <cellStyle name="样式 210" xfId="6608" xr:uid="{00000000-0005-0000-0000-0000092B0000}"/>
    <cellStyle name="样式 211" xfId="6609" xr:uid="{00000000-0005-0000-0000-00000A2B0000}"/>
    <cellStyle name="样式 212" xfId="6610" xr:uid="{00000000-0005-0000-0000-00000B2B0000}"/>
    <cellStyle name="样式 213" xfId="6611" xr:uid="{00000000-0005-0000-0000-00000C2B0000}"/>
    <cellStyle name="样式 214" xfId="6612" xr:uid="{00000000-0005-0000-0000-00000D2B0000}"/>
    <cellStyle name="样式 215" xfId="6613" xr:uid="{00000000-0005-0000-0000-00000E2B0000}"/>
    <cellStyle name="样式 216" xfId="6614" xr:uid="{00000000-0005-0000-0000-00000F2B0000}"/>
    <cellStyle name="样式 217" xfId="6615" xr:uid="{00000000-0005-0000-0000-0000102B0000}"/>
    <cellStyle name="样式 218" xfId="6616" xr:uid="{00000000-0005-0000-0000-0000112B0000}"/>
    <cellStyle name="样式 219" xfId="6617" xr:uid="{00000000-0005-0000-0000-0000122B0000}"/>
    <cellStyle name="样式 22" xfId="6618" xr:uid="{00000000-0005-0000-0000-0000132B0000}"/>
    <cellStyle name="样式 220" xfId="6619" xr:uid="{00000000-0005-0000-0000-0000142B0000}"/>
    <cellStyle name="样式 221" xfId="6620" xr:uid="{00000000-0005-0000-0000-0000152B0000}"/>
    <cellStyle name="样式 222" xfId="6621" xr:uid="{00000000-0005-0000-0000-0000162B0000}"/>
    <cellStyle name="样式 223" xfId="6622" xr:uid="{00000000-0005-0000-0000-0000172B0000}"/>
    <cellStyle name="样式 224" xfId="6623" xr:uid="{00000000-0005-0000-0000-0000182B0000}"/>
    <cellStyle name="样式 225" xfId="6624" xr:uid="{00000000-0005-0000-0000-0000192B0000}"/>
    <cellStyle name="样式 226" xfId="6625" xr:uid="{00000000-0005-0000-0000-00001A2B0000}"/>
    <cellStyle name="样式 227" xfId="6626" xr:uid="{00000000-0005-0000-0000-00001B2B0000}"/>
    <cellStyle name="样式 228" xfId="6627" xr:uid="{00000000-0005-0000-0000-00001C2B0000}"/>
    <cellStyle name="样式 229" xfId="6628" xr:uid="{00000000-0005-0000-0000-00001D2B0000}"/>
    <cellStyle name="样式 23" xfId="6629" xr:uid="{00000000-0005-0000-0000-00001E2B0000}"/>
    <cellStyle name="样式 230" xfId="6630" xr:uid="{00000000-0005-0000-0000-00001F2B0000}"/>
    <cellStyle name="样式 231" xfId="6631" xr:uid="{00000000-0005-0000-0000-0000202B0000}"/>
    <cellStyle name="样式 232" xfId="6632" xr:uid="{00000000-0005-0000-0000-0000212B0000}"/>
    <cellStyle name="样式 233" xfId="6633" xr:uid="{00000000-0005-0000-0000-0000222B0000}"/>
    <cellStyle name="样式 234" xfId="6634" xr:uid="{00000000-0005-0000-0000-0000232B0000}"/>
    <cellStyle name="样式 235" xfId="6635" xr:uid="{00000000-0005-0000-0000-0000242B0000}"/>
    <cellStyle name="样式 236" xfId="6636" xr:uid="{00000000-0005-0000-0000-0000252B0000}"/>
    <cellStyle name="样式 237" xfId="6637" xr:uid="{00000000-0005-0000-0000-0000262B0000}"/>
    <cellStyle name="样式 238" xfId="6638" xr:uid="{00000000-0005-0000-0000-0000272B0000}"/>
    <cellStyle name="样式 239" xfId="6639" xr:uid="{00000000-0005-0000-0000-0000282B0000}"/>
    <cellStyle name="样式 24" xfId="6640" xr:uid="{00000000-0005-0000-0000-0000292B0000}"/>
    <cellStyle name="样式 240" xfId="6641" xr:uid="{00000000-0005-0000-0000-00002A2B0000}"/>
    <cellStyle name="样式 241" xfId="6642" xr:uid="{00000000-0005-0000-0000-00002B2B0000}"/>
    <cellStyle name="样式 242" xfId="6643" xr:uid="{00000000-0005-0000-0000-00002C2B0000}"/>
    <cellStyle name="样式 243" xfId="6644" xr:uid="{00000000-0005-0000-0000-00002D2B0000}"/>
    <cellStyle name="样式 244" xfId="6645" xr:uid="{00000000-0005-0000-0000-00002E2B0000}"/>
    <cellStyle name="样式 245" xfId="6646" xr:uid="{00000000-0005-0000-0000-00002F2B0000}"/>
    <cellStyle name="样式 246" xfId="6647" xr:uid="{00000000-0005-0000-0000-0000302B0000}"/>
    <cellStyle name="样式 247" xfId="6648" xr:uid="{00000000-0005-0000-0000-0000312B0000}"/>
    <cellStyle name="样式 248" xfId="6649" xr:uid="{00000000-0005-0000-0000-0000322B0000}"/>
    <cellStyle name="样式 249" xfId="6650" xr:uid="{00000000-0005-0000-0000-0000332B0000}"/>
    <cellStyle name="样式 25" xfId="6651" xr:uid="{00000000-0005-0000-0000-0000342B0000}"/>
    <cellStyle name="样式 250" xfId="6652" xr:uid="{00000000-0005-0000-0000-0000352B0000}"/>
    <cellStyle name="样式 251" xfId="6653" xr:uid="{00000000-0005-0000-0000-0000362B0000}"/>
    <cellStyle name="样式 252" xfId="6654" xr:uid="{00000000-0005-0000-0000-0000372B0000}"/>
    <cellStyle name="样式 253" xfId="6655" xr:uid="{00000000-0005-0000-0000-0000382B0000}"/>
    <cellStyle name="样式 254" xfId="6656" xr:uid="{00000000-0005-0000-0000-0000392B0000}"/>
    <cellStyle name="样式 255" xfId="6657" xr:uid="{00000000-0005-0000-0000-00003A2B0000}"/>
    <cellStyle name="样式 256" xfId="6658" xr:uid="{00000000-0005-0000-0000-00003B2B0000}"/>
    <cellStyle name="样式 26" xfId="6659" xr:uid="{00000000-0005-0000-0000-00003C2B0000}"/>
    <cellStyle name="样式 27" xfId="6660" xr:uid="{00000000-0005-0000-0000-00003D2B0000}"/>
    <cellStyle name="样式 28" xfId="6661" xr:uid="{00000000-0005-0000-0000-00003E2B0000}"/>
    <cellStyle name="样式 29" xfId="6662" xr:uid="{00000000-0005-0000-0000-00003F2B0000}"/>
    <cellStyle name="样式 3" xfId="6663" xr:uid="{00000000-0005-0000-0000-0000402B0000}"/>
    <cellStyle name="样式 30" xfId="6664" xr:uid="{00000000-0005-0000-0000-0000412B0000}"/>
    <cellStyle name="样式 31" xfId="6665" xr:uid="{00000000-0005-0000-0000-0000422B0000}"/>
    <cellStyle name="样式 32" xfId="6666" xr:uid="{00000000-0005-0000-0000-0000432B0000}"/>
    <cellStyle name="样式 33" xfId="6667" xr:uid="{00000000-0005-0000-0000-0000442B0000}"/>
    <cellStyle name="样式 34" xfId="6668" xr:uid="{00000000-0005-0000-0000-0000452B0000}"/>
    <cellStyle name="样式 35" xfId="6669" xr:uid="{00000000-0005-0000-0000-0000462B0000}"/>
    <cellStyle name="样式 36" xfId="6670" xr:uid="{00000000-0005-0000-0000-0000472B0000}"/>
    <cellStyle name="样式 37" xfId="6671" xr:uid="{00000000-0005-0000-0000-0000482B0000}"/>
    <cellStyle name="样式 38" xfId="6672" xr:uid="{00000000-0005-0000-0000-0000492B0000}"/>
    <cellStyle name="样式 39" xfId="6673" xr:uid="{00000000-0005-0000-0000-00004A2B0000}"/>
    <cellStyle name="样式 4" xfId="6674" xr:uid="{00000000-0005-0000-0000-00004B2B0000}"/>
    <cellStyle name="样式 40" xfId="6675" xr:uid="{00000000-0005-0000-0000-00004C2B0000}"/>
    <cellStyle name="样式 41" xfId="6676" xr:uid="{00000000-0005-0000-0000-00004D2B0000}"/>
    <cellStyle name="样式 42" xfId="6677" xr:uid="{00000000-0005-0000-0000-00004E2B0000}"/>
    <cellStyle name="样式 43" xfId="6678" xr:uid="{00000000-0005-0000-0000-00004F2B0000}"/>
    <cellStyle name="样式 44" xfId="6679" xr:uid="{00000000-0005-0000-0000-0000502B0000}"/>
    <cellStyle name="样式 45" xfId="6680" xr:uid="{00000000-0005-0000-0000-0000512B0000}"/>
    <cellStyle name="样式 46" xfId="6681" xr:uid="{00000000-0005-0000-0000-0000522B0000}"/>
    <cellStyle name="样式 47" xfId="6682" xr:uid="{00000000-0005-0000-0000-0000532B0000}"/>
    <cellStyle name="样式 48" xfId="6683" xr:uid="{00000000-0005-0000-0000-0000542B0000}"/>
    <cellStyle name="样式 49" xfId="6684" xr:uid="{00000000-0005-0000-0000-0000552B0000}"/>
    <cellStyle name="样式 5" xfId="6685" xr:uid="{00000000-0005-0000-0000-0000562B0000}"/>
    <cellStyle name="样式 50" xfId="6686" xr:uid="{00000000-0005-0000-0000-0000572B0000}"/>
    <cellStyle name="样式 51" xfId="6687" xr:uid="{00000000-0005-0000-0000-0000582B0000}"/>
    <cellStyle name="样式 52" xfId="6688" xr:uid="{00000000-0005-0000-0000-0000592B0000}"/>
    <cellStyle name="样式 53" xfId="6689" xr:uid="{00000000-0005-0000-0000-00005A2B0000}"/>
    <cellStyle name="样式 54" xfId="6690" xr:uid="{00000000-0005-0000-0000-00005B2B0000}"/>
    <cellStyle name="样式 55" xfId="6691" xr:uid="{00000000-0005-0000-0000-00005C2B0000}"/>
    <cellStyle name="样式 56" xfId="6692" xr:uid="{00000000-0005-0000-0000-00005D2B0000}"/>
    <cellStyle name="样式 57" xfId="6693" xr:uid="{00000000-0005-0000-0000-00005E2B0000}"/>
    <cellStyle name="样式 58" xfId="6694" xr:uid="{00000000-0005-0000-0000-00005F2B0000}"/>
    <cellStyle name="样式 59" xfId="6695" xr:uid="{00000000-0005-0000-0000-0000602B0000}"/>
    <cellStyle name="样式 6" xfId="6696" xr:uid="{00000000-0005-0000-0000-0000612B0000}"/>
    <cellStyle name="样式 60" xfId="6697" xr:uid="{00000000-0005-0000-0000-0000622B0000}"/>
    <cellStyle name="样式 61" xfId="6698" xr:uid="{00000000-0005-0000-0000-0000632B0000}"/>
    <cellStyle name="样式 62" xfId="6699" xr:uid="{00000000-0005-0000-0000-0000642B0000}"/>
    <cellStyle name="样式 63" xfId="6700" xr:uid="{00000000-0005-0000-0000-0000652B0000}"/>
    <cellStyle name="样式 64" xfId="6701" xr:uid="{00000000-0005-0000-0000-0000662B0000}"/>
    <cellStyle name="样式 65" xfId="6702" xr:uid="{00000000-0005-0000-0000-0000672B0000}"/>
    <cellStyle name="样式 66" xfId="6703" xr:uid="{00000000-0005-0000-0000-0000682B0000}"/>
    <cellStyle name="样式 67" xfId="6704" xr:uid="{00000000-0005-0000-0000-0000692B0000}"/>
    <cellStyle name="样式 68" xfId="6705" xr:uid="{00000000-0005-0000-0000-00006A2B0000}"/>
    <cellStyle name="样式 69" xfId="6706" xr:uid="{00000000-0005-0000-0000-00006B2B0000}"/>
    <cellStyle name="样式 7" xfId="6707" xr:uid="{00000000-0005-0000-0000-00006C2B0000}"/>
    <cellStyle name="样式 70" xfId="6708" xr:uid="{00000000-0005-0000-0000-00006D2B0000}"/>
    <cellStyle name="样式 71" xfId="6709" xr:uid="{00000000-0005-0000-0000-00006E2B0000}"/>
    <cellStyle name="样式 72" xfId="6710" xr:uid="{00000000-0005-0000-0000-00006F2B0000}"/>
    <cellStyle name="样式 73" xfId="6711" xr:uid="{00000000-0005-0000-0000-0000702B0000}"/>
    <cellStyle name="样式 74" xfId="6712" xr:uid="{00000000-0005-0000-0000-0000712B0000}"/>
    <cellStyle name="样式 75" xfId="6713" xr:uid="{00000000-0005-0000-0000-0000722B0000}"/>
    <cellStyle name="样式 76" xfId="6714" xr:uid="{00000000-0005-0000-0000-0000732B0000}"/>
    <cellStyle name="样式 77" xfId="6715" xr:uid="{00000000-0005-0000-0000-0000742B0000}"/>
    <cellStyle name="样式 78" xfId="6716" xr:uid="{00000000-0005-0000-0000-0000752B0000}"/>
    <cellStyle name="样式 79" xfId="6717" xr:uid="{00000000-0005-0000-0000-0000762B0000}"/>
    <cellStyle name="样式 8" xfId="6718" xr:uid="{00000000-0005-0000-0000-0000772B0000}"/>
    <cellStyle name="样式 80" xfId="6719" xr:uid="{00000000-0005-0000-0000-0000782B0000}"/>
    <cellStyle name="样式 81" xfId="6720" xr:uid="{00000000-0005-0000-0000-0000792B0000}"/>
    <cellStyle name="样式 82" xfId="6721" xr:uid="{00000000-0005-0000-0000-00007A2B0000}"/>
    <cellStyle name="样式 83" xfId="6722" xr:uid="{00000000-0005-0000-0000-00007B2B0000}"/>
    <cellStyle name="样式 84" xfId="6723" xr:uid="{00000000-0005-0000-0000-00007C2B0000}"/>
    <cellStyle name="样式 85" xfId="6724" xr:uid="{00000000-0005-0000-0000-00007D2B0000}"/>
    <cellStyle name="样式 86" xfId="6725" xr:uid="{00000000-0005-0000-0000-00007E2B0000}"/>
    <cellStyle name="样式 87" xfId="6726" xr:uid="{00000000-0005-0000-0000-00007F2B0000}"/>
    <cellStyle name="样式 88" xfId="6727" xr:uid="{00000000-0005-0000-0000-0000802B0000}"/>
    <cellStyle name="样式 89" xfId="6728" xr:uid="{00000000-0005-0000-0000-0000812B0000}"/>
    <cellStyle name="样式 9" xfId="6729" xr:uid="{00000000-0005-0000-0000-0000822B0000}"/>
    <cellStyle name="样式 90" xfId="6730" xr:uid="{00000000-0005-0000-0000-0000832B0000}"/>
    <cellStyle name="样式 91" xfId="6731" xr:uid="{00000000-0005-0000-0000-0000842B0000}"/>
    <cellStyle name="样式 92" xfId="6732" xr:uid="{00000000-0005-0000-0000-0000852B0000}"/>
    <cellStyle name="样式 93" xfId="6733" xr:uid="{00000000-0005-0000-0000-0000862B0000}"/>
    <cellStyle name="样式 94" xfId="6734" xr:uid="{00000000-0005-0000-0000-0000872B0000}"/>
    <cellStyle name="样式 95" xfId="6735" xr:uid="{00000000-0005-0000-0000-0000882B0000}"/>
    <cellStyle name="样式 96" xfId="6736" xr:uid="{00000000-0005-0000-0000-0000892B0000}"/>
    <cellStyle name="样式 97" xfId="6737" xr:uid="{00000000-0005-0000-0000-00008A2B0000}"/>
    <cellStyle name="样式 98" xfId="6738" xr:uid="{00000000-0005-0000-0000-00008B2B0000}"/>
    <cellStyle name="样式 99" xfId="6739" xr:uid="{00000000-0005-0000-0000-00008C2B0000}"/>
    <cellStyle name="检查单元格" xfId="2359" xr:uid="{00000000-0005-0000-0000-00008D2B0000}"/>
    <cellStyle name="检查单元格 10" xfId="2360" xr:uid="{00000000-0005-0000-0000-00008E2B0000}"/>
    <cellStyle name="检查单元格 11" xfId="2361" xr:uid="{00000000-0005-0000-0000-00008F2B0000}"/>
    <cellStyle name="检查单元格 12" xfId="2362" xr:uid="{00000000-0005-0000-0000-0000902B0000}"/>
    <cellStyle name="检查单元格 13" xfId="2363" xr:uid="{00000000-0005-0000-0000-0000912B0000}"/>
    <cellStyle name="检查单元格 14" xfId="2364" xr:uid="{00000000-0005-0000-0000-0000922B0000}"/>
    <cellStyle name="检查单元格 15" xfId="2365" xr:uid="{00000000-0005-0000-0000-0000932B0000}"/>
    <cellStyle name="检查单元格 16" xfId="2366" xr:uid="{00000000-0005-0000-0000-0000942B0000}"/>
    <cellStyle name="检查单元格 17" xfId="2367" xr:uid="{00000000-0005-0000-0000-0000952B0000}"/>
    <cellStyle name="检查单元格 18" xfId="2368" xr:uid="{00000000-0005-0000-0000-0000962B0000}"/>
    <cellStyle name="检查单元格 19" xfId="2369" xr:uid="{00000000-0005-0000-0000-0000972B0000}"/>
    <cellStyle name="检查单元格 2" xfId="2370" xr:uid="{00000000-0005-0000-0000-0000982B0000}"/>
    <cellStyle name="检查单元格 20" xfId="2371" xr:uid="{00000000-0005-0000-0000-0000992B0000}"/>
    <cellStyle name="检查单元格 3" xfId="2372" xr:uid="{00000000-0005-0000-0000-00009A2B0000}"/>
    <cellStyle name="检查单元格 4" xfId="2373" xr:uid="{00000000-0005-0000-0000-00009B2B0000}"/>
    <cellStyle name="检查单元格 5" xfId="2374" xr:uid="{00000000-0005-0000-0000-00009C2B0000}"/>
    <cellStyle name="检查单元格 6" xfId="2375" xr:uid="{00000000-0005-0000-0000-00009D2B0000}"/>
    <cellStyle name="检查单元格 7" xfId="2376" xr:uid="{00000000-0005-0000-0000-00009E2B0000}"/>
    <cellStyle name="检查单元格 8" xfId="2377" xr:uid="{00000000-0005-0000-0000-00009F2B0000}"/>
    <cellStyle name="检查单元格 9" xfId="2378" xr:uid="{00000000-0005-0000-0000-0000A02B0000}"/>
    <cellStyle name="標準_Billions NTT and DCM USGAAP 0210281" xfId="4170" xr:uid="{00000000-0005-0000-0000-0000A12B0000}"/>
    <cellStyle name="汇总" xfId="2379" xr:uid="{00000000-0005-0000-0000-0000A22B0000}"/>
    <cellStyle name="汇总 10" xfId="2380" xr:uid="{00000000-0005-0000-0000-0000A32B0000}"/>
    <cellStyle name="汇总 11" xfId="2381" xr:uid="{00000000-0005-0000-0000-0000A42B0000}"/>
    <cellStyle name="汇总 12" xfId="2382" xr:uid="{00000000-0005-0000-0000-0000A52B0000}"/>
    <cellStyle name="汇总 13" xfId="2383" xr:uid="{00000000-0005-0000-0000-0000A62B0000}"/>
    <cellStyle name="汇总 14" xfId="2384" xr:uid="{00000000-0005-0000-0000-0000A72B0000}"/>
    <cellStyle name="汇总 15" xfId="2385" xr:uid="{00000000-0005-0000-0000-0000A82B0000}"/>
    <cellStyle name="汇总 16" xfId="2386" xr:uid="{00000000-0005-0000-0000-0000A92B0000}"/>
    <cellStyle name="汇总 17" xfId="2387" xr:uid="{00000000-0005-0000-0000-0000AA2B0000}"/>
    <cellStyle name="汇总 18" xfId="2388" xr:uid="{00000000-0005-0000-0000-0000AB2B0000}"/>
    <cellStyle name="汇总 19" xfId="2389" xr:uid="{00000000-0005-0000-0000-0000AC2B0000}"/>
    <cellStyle name="汇总 2" xfId="2390" xr:uid="{00000000-0005-0000-0000-0000AD2B0000}"/>
    <cellStyle name="汇总 20" xfId="2391" xr:uid="{00000000-0005-0000-0000-0000AE2B0000}"/>
    <cellStyle name="汇总 3" xfId="2392" xr:uid="{00000000-0005-0000-0000-0000AF2B0000}"/>
    <cellStyle name="汇总 4" xfId="2393" xr:uid="{00000000-0005-0000-0000-0000B02B0000}"/>
    <cellStyle name="汇总 5" xfId="2394" xr:uid="{00000000-0005-0000-0000-0000B12B0000}"/>
    <cellStyle name="汇总 6" xfId="2395" xr:uid="{00000000-0005-0000-0000-0000B22B0000}"/>
    <cellStyle name="汇总 7" xfId="2396" xr:uid="{00000000-0005-0000-0000-0000B32B0000}"/>
    <cellStyle name="汇总 8" xfId="2397" xr:uid="{00000000-0005-0000-0000-0000B42B0000}"/>
    <cellStyle name="汇总 9" xfId="2398" xr:uid="{00000000-0005-0000-0000-0000B52B0000}"/>
    <cellStyle name="注释" xfId="2399" xr:uid="{00000000-0005-0000-0000-0000B62B0000}"/>
    <cellStyle name="注释 10" xfId="2400" xr:uid="{00000000-0005-0000-0000-0000B72B0000}"/>
    <cellStyle name="注释 11" xfId="2401" xr:uid="{00000000-0005-0000-0000-0000B82B0000}"/>
    <cellStyle name="注释 12" xfId="2402" xr:uid="{00000000-0005-0000-0000-0000B92B0000}"/>
    <cellStyle name="注释 13" xfId="2403" xr:uid="{00000000-0005-0000-0000-0000BA2B0000}"/>
    <cellStyle name="注释 14" xfId="2404" xr:uid="{00000000-0005-0000-0000-0000BB2B0000}"/>
    <cellStyle name="注释 15" xfId="2405" xr:uid="{00000000-0005-0000-0000-0000BC2B0000}"/>
    <cellStyle name="注释 16" xfId="2406" xr:uid="{00000000-0005-0000-0000-0000BD2B0000}"/>
    <cellStyle name="注释 17" xfId="2407" xr:uid="{00000000-0005-0000-0000-0000BE2B0000}"/>
    <cellStyle name="注释 18" xfId="2408" xr:uid="{00000000-0005-0000-0000-0000BF2B0000}"/>
    <cellStyle name="注释 19" xfId="2409" xr:uid="{00000000-0005-0000-0000-0000C02B0000}"/>
    <cellStyle name="注释 2" xfId="2410" xr:uid="{00000000-0005-0000-0000-0000C12B0000}"/>
    <cellStyle name="注释 20" xfId="2411" xr:uid="{00000000-0005-0000-0000-0000C22B0000}"/>
    <cellStyle name="注释 3" xfId="2412" xr:uid="{00000000-0005-0000-0000-0000C32B0000}"/>
    <cellStyle name="注释 4" xfId="2413" xr:uid="{00000000-0005-0000-0000-0000C42B0000}"/>
    <cellStyle name="注释 5" xfId="2414" xr:uid="{00000000-0005-0000-0000-0000C52B0000}"/>
    <cellStyle name="注释 6" xfId="2415" xr:uid="{00000000-0005-0000-0000-0000C62B0000}"/>
    <cellStyle name="注释 7" xfId="2416" xr:uid="{00000000-0005-0000-0000-0000C72B0000}"/>
    <cellStyle name="注释 8" xfId="2417" xr:uid="{00000000-0005-0000-0000-0000C82B0000}"/>
    <cellStyle name="注释 9" xfId="2418" xr:uid="{00000000-0005-0000-0000-0000C92B0000}"/>
    <cellStyle name="烹拳 [0]_97MBO" xfId="4171" xr:uid="{00000000-0005-0000-0000-0000CA2B0000}"/>
    <cellStyle name="烹拳_97MBO" xfId="4172" xr:uid="{00000000-0005-0000-0000-0000CB2B0000}"/>
    <cellStyle name="百分比 2" xfId="6458" xr:uid="{00000000-0005-0000-0000-0000CC2B0000}"/>
    <cellStyle name="百分比 2 2" xfId="6855" xr:uid="{00000000-0005-0000-0000-0000CD2B0000}"/>
    <cellStyle name="百分比 3" xfId="6459" xr:uid="{00000000-0005-0000-0000-0000CE2B0000}"/>
    <cellStyle name="砯刽 [0]_0999Comm Group consol" xfId="6471" xr:uid="{00000000-0005-0000-0000-0000CF2B0000}"/>
    <cellStyle name="砯刽_0999Comm Group consol" xfId="6472" xr:uid="{00000000-0005-0000-0000-0000D02B0000}"/>
    <cellStyle name="禬硈挡" xfId="6463" xr:uid="{00000000-0005-0000-0000-0000D12B0000}"/>
    <cellStyle name="繦禬硈挡" xfId="6479" xr:uid="{00000000-0005-0000-0000-0000D22B0000}"/>
    <cellStyle name="英文表头" xfId="4173" xr:uid="{00000000-0005-0000-0000-0000D32B0000}"/>
    <cellStyle name="解释性文本" xfId="2419" xr:uid="{00000000-0005-0000-0000-0000D42B0000}"/>
    <cellStyle name="警告文本" xfId="2420" xr:uid="{00000000-0005-0000-0000-0000D52B0000}"/>
    <cellStyle name="警告文本 10" xfId="2421" xr:uid="{00000000-0005-0000-0000-0000D62B0000}"/>
    <cellStyle name="警告文本 11" xfId="2422" xr:uid="{00000000-0005-0000-0000-0000D72B0000}"/>
    <cellStyle name="警告文本 12" xfId="2423" xr:uid="{00000000-0005-0000-0000-0000D82B0000}"/>
    <cellStyle name="警告文本 13" xfId="2424" xr:uid="{00000000-0005-0000-0000-0000D92B0000}"/>
    <cellStyle name="警告文本 14" xfId="2425" xr:uid="{00000000-0005-0000-0000-0000DA2B0000}"/>
    <cellStyle name="警告文本 15" xfId="2426" xr:uid="{00000000-0005-0000-0000-0000DB2B0000}"/>
    <cellStyle name="警告文本 16" xfId="2427" xr:uid="{00000000-0005-0000-0000-0000DC2B0000}"/>
    <cellStyle name="警告文本 17" xfId="2428" xr:uid="{00000000-0005-0000-0000-0000DD2B0000}"/>
    <cellStyle name="警告文本 18" xfId="2429" xr:uid="{00000000-0005-0000-0000-0000DE2B0000}"/>
    <cellStyle name="警告文本 19" xfId="2430" xr:uid="{00000000-0005-0000-0000-0000DF2B0000}"/>
    <cellStyle name="警告文本 2" xfId="2431" xr:uid="{00000000-0005-0000-0000-0000E02B0000}"/>
    <cellStyle name="警告文本 20" xfId="2432" xr:uid="{00000000-0005-0000-0000-0000E12B0000}"/>
    <cellStyle name="警告文本 3" xfId="2433" xr:uid="{00000000-0005-0000-0000-0000E22B0000}"/>
    <cellStyle name="警告文本 4" xfId="2434" xr:uid="{00000000-0005-0000-0000-0000E32B0000}"/>
    <cellStyle name="警告文本 5" xfId="2435" xr:uid="{00000000-0005-0000-0000-0000E42B0000}"/>
    <cellStyle name="警告文本 6" xfId="2436" xr:uid="{00000000-0005-0000-0000-0000E52B0000}"/>
    <cellStyle name="警告文本 7" xfId="2437" xr:uid="{00000000-0005-0000-0000-0000E62B0000}"/>
    <cellStyle name="警告文本 8" xfId="2438" xr:uid="{00000000-0005-0000-0000-0000E72B0000}"/>
    <cellStyle name="警告文本 9" xfId="2439" xr:uid="{00000000-0005-0000-0000-0000E82B0000}"/>
    <cellStyle name="计算" xfId="2440" xr:uid="{00000000-0005-0000-0000-0000E92B0000}"/>
    <cellStyle name="计算 10" xfId="2441" xr:uid="{00000000-0005-0000-0000-0000EA2B0000}"/>
    <cellStyle name="计算 11" xfId="2442" xr:uid="{00000000-0005-0000-0000-0000EB2B0000}"/>
    <cellStyle name="计算 12" xfId="2443" xr:uid="{00000000-0005-0000-0000-0000EC2B0000}"/>
    <cellStyle name="计算 13" xfId="2444" xr:uid="{00000000-0005-0000-0000-0000ED2B0000}"/>
    <cellStyle name="计算 14" xfId="2445" xr:uid="{00000000-0005-0000-0000-0000EE2B0000}"/>
    <cellStyle name="计算 15" xfId="2446" xr:uid="{00000000-0005-0000-0000-0000EF2B0000}"/>
    <cellStyle name="计算 16" xfId="2447" xr:uid="{00000000-0005-0000-0000-0000F02B0000}"/>
    <cellStyle name="计算 17" xfId="2448" xr:uid="{00000000-0005-0000-0000-0000F12B0000}"/>
    <cellStyle name="计算 18" xfId="2449" xr:uid="{00000000-0005-0000-0000-0000F22B0000}"/>
    <cellStyle name="计算 19" xfId="2450" xr:uid="{00000000-0005-0000-0000-0000F32B0000}"/>
    <cellStyle name="计算 2" xfId="2451" xr:uid="{00000000-0005-0000-0000-0000F42B0000}"/>
    <cellStyle name="计算 20" xfId="2452" xr:uid="{00000000-0005-0000-0000-0000F52B0000}"/>
    <cellStyle name="计算 3" xfId="2453" xr:uid="{00000000-0005-0000-0000-0000F62B0000}"/>
    <cellStyle name="计算 4" xfId="2454" xr:uid="{00000000-0005-0000-0000-0000F72B0000}"/>
    <cellStyle name="计算 5" xfId="2455" xr:uid="{00000000-0005-0000-0000-0000F82B0000}"/>
    <cellStyle name="计算 6" xfId="2456" xr:uid="{00000000-0005-0000-0000-0000F92B0000}"/>
    <cellStyle name="计算 7" xfId="2457" xr:uid="{00000000-0005-0000-0000-0000FA2B0000}"/>
    <cellStyle name="计算 8" xfId="2458" xr:uid="{00000000-0005-0000-0000-0000FB2B0000}"/>
    <cellStyle name="计算 9" xfId="2459" xr:uid="{00000000-0005-0000-0000-0000FC2B0000}"/>
    <cellStyle name="貨幣 [0]_OEM" xfId="6464" xr:uid="{00000000-0005-0000-0000-0000FD2B0000}"/>
    <cellStyle name="貨幣[0]_laroux" xfId="6465" xr:uid="{00000000-0005-0000-0000-0000FE2B0000}"/>
    <cellStyle name="貨幣_OEM" xfId="6466" xr:uid="{00000000-0005-0000-0000-0000FF2B0000}"/>
    <cellStyle name="货币[0]_10" xfId="4174" xr:uid="{00000000-0005-0000-0000-0000002C0000}"/>
    <cellStyle name="货币_10" xfId="4175" xr:uid="{00000000-0005-0000-0000-0000012C0000}"/>
    <cellStyle name="超级链接_9 Provinces Model 031104" xfId="4176" xr:uid="{00000000-0005-0000-0000-0000022C0000}"/>
    <cellStyle name="输入" xfId="2460" xr:uid="{00000000-0005-0000-0000-0000032C0000}"/>
    <cellStyle name="输入 10" xfId="2461" xr:uid="{00000000-0005-0000-0000-0000042C0000}"/>
    <cellStyle name="输入 11" xfId="2462" xr:uid="{00000000-0005-0000-0000-0000052C0000}"/>
    <cellStyle name="输入 12" xfId="2463" xr:uid="{00000000-0005-0000-0000-0000062C0000}"/>
    <cellStyle name="输入 13" xfId="2464" xr:uid="{00000000-0005-0000-0000-0000072C0000}"/>
    <cellStyle name="输入 14" xfId="2465" xr:uid="{00000000-0005-0000-0000-0000082C0000}"/>
    <cellStyle name="输入 15" xfId="2466" xr:uid="{00000000-0005-0000-0000-0000092C0000}"/>
    <cellStyle name="输入 16" xfId="2467" xr:uid="{00000000-0005-0000-0000-00000A2C0000}"/>
    <cellStyle name="输入 17" xfId="2468" xr:uid="{00000000-0005-0000-0000-00000B2C0000}"/>
    <cellStyle name="输入 18" xfId="2469" xr:uid="{00000000-0005-0000-0000-00000C2C0000}"/>
    <cellStyle name="输入 19" xfId="2470" xr:uid="{00000000-0005-0000-0000-00000D2C0000}"/>
    <cellStyle name="输入 2" xfId="2471" xr:uid="{00000000-0005-0000-0000-00000E2C0000}"/>
    <cellStyle name="输入 20" xfId="2472" xr:uid="{00000000-0005-0000-0000-00000F2C0000}"/>
    <cellStyle name="输入 3" xfId="2473" xr:uid="{00000000-0005-0000-0000-0000102C0000}"/>
    <cellStyle name="输入 4" xfId="2474" xr:uid="{00000000-0005-0000-0000-0000112C0000}"/>
    <cellStyle name="输入 5" xfId="2475" xr:uid="{00000000-0005-0000-0000-0000122C0000}"/>
    <cellStyle name="输入 6" xfId="2476" xr:uid="{00000000-0005-0000-0000-0000132C0000}"/>
    <cellStyle name="输入 7" xfId="2477" xr:uid="{00000000-0005-0000-0000-0000142C0000}"/>
    <cellStyle name="输入 8" xfId="2478" xr:uid="{00000000-0005-0000-0000-0000152C0000}"/>
    <cellStyle name="输入 9" xfId="2479" xr:uid="{00000000-0005-0000-0000-0000162C0000}"/>
    <cellStyle name="输出" xfId="2480" xr:uid="{00000000-0005-0000-0000-0000172C0000}"/>
    <cellStyle name="输出 10" xfId="2481" xr:uid="{00000000-0005-0000-0000-0000182C0000}"/>
    <cellStyle name="输出 11" xfId="2482" xr:uid="{00000000-0005-0000-0000-0000192C0000}"/>
    <cellStyle name="输出 12" xfId="2483" xr:uid="{00000000-0005-0000-0000-00001A2C0000}"/>
    <cellStyle name="输出 13" xfId="2484" xr:uid="{00000000-0005-0000-0000-00001B2C0000}"/>
    <cellStyle name="输出 14" xfId="2485" xr:uid="{00000000-0005-0000-0000-00001C2C0000}"/>
    <cellStyle name="输出 15" xfId="2486" xr:uid="{00000000-0005-0000-0000-00001D2C0000}"/>
    <cellStyle name="输出 16" xfId="2487" xr:uid="{00000000-0005-0000-0000-00001E2C0000}"/>
    <cellStyle name="输出 17" xfId="2488" xr:uid="{00000000-0005-0000-0000-00001F2C0000}"/>
    <cellStyle name="输出 18" xfId="2489" xr:uid="{00000000-0005-0000-0000-0000202C0000}"/>
    <cellStyle name="输出 19" xfId="2490" xr:uid="{00000000-0005-0000-0000-0000212C0000}"/>
    <cellStyle name="输出 2" xfId="2491" xr:uid="{00000000-0005-0000-0000-0000222C0000}"/>
    <cellStyle name="输出 20" xfId="2492" xr:uid="{00000000-0005-0000-0000-0000232C0000}"/>
    <cellStyle name="输出 3" xfId="2493" xr:uid="{00000000-0005-0000-0000-0000242C0000}"/>
    <cellStyle name="输出 4" xfId="2494" xr:uid="{00000000-0005-0000-0000-0000252C0000}"/>
    <cellStyle name="输出 5" xfId="2495" xr:uid="{00000000-0005-0000-0000-0000262C0000}"/>
    <cellStyle name="输出 6" xfId="2496" xr:uid="{00000000-0005-0000-0000-0000272C0000}"/>
    <cellStyle name="输出 7" xfId="2497" xr:uid="{00000000-0005-0000-0000-0000282C0000}"/>
    <cellStyle name="输出 8" xfId="2498" xr:uid="{00000000-0005-0000-0000-0000292C0000}"/>
    <cellStyle name="输出 9" xfId="2499" xr:uid="{00000000-0005-0000-0000-00002A2C0000}"/>
    <cellStyle name="适中" xfId="2500" xr:uid="{00000000-0005-0000-0000-00002B2C0000}"/>
    <cellStyle name="适中 10" xfId="2501" xr:uid="{00000000-0005-0000-0000-00002C2C0000}"/>
    <cellStyle name="适中 11" xfId="2502" xr:uid="{00000000-0005-0000-0000-00002D2C0000}"/>
    <cellStyle name="适中 12" xfId="2503" xr:uid="{00000000-0005-0000-0000-00002E2C0000}"/>
    <cellStyle name="适中 13" xfId="2504" xr:uid="{00000000-0005-0000-0000-00002F2C0000}"/>
    <cellStyle name="适中 14" xfId="2505" xr:uid="{00000000-0005-0000-0000-0000302C0000}"/>
    <cellStyle name="适中 15" xfId="2506" xr:uid="{00000000-0005-0000-0000-0000312C0000}"/>
    <cellStyle name="适中 16" xfId="2507" xr:uid="{00000000-0005-0000-0000-0000322C0000}"/>
    <cellStyle name="适中 17" xfId="2508" xr:uid="{00000000-0005-0000-0000-0000332C0000}"/>
    <cellStyle name="适中 18" xfId="2509" xr:uid="{00000000-0005-0000-0000-0000342C0000}"/>
    <cellStyle name="适中 19" xfId="2510" xr:uid="{00000000-0005-0000-0000-0000352C0000}"/>
    <cellStyle name="适中 2" xfId="2511" xr:uid="{00000000-0005-0000-0000-0000362C0000}"/>
    <cellStyle name="适中 20" xfId="2512" xr:uid="{00000000-0005-0000-0000-0000372C0000}"/>
    <cellStyle name="适中 3" xfId="2513" xr:uid="{00000000-0005-0000-0000-0000382C0000}"/>
    <cellStyle name="适中 4" xfId="2514" xr:uid="{00000000-0005-0000-0000-0000392C0000}"/>
    <cellStyle name="适中 5" xfId="2515" xr:uid="{00000000-0005-0000-0000-00003A2C0000}"/>
    <cellStyle name="适中 6" xfId="2516" xr:uid="{00000000-0005-0000-0000-00003B2C0000}"/>
    <cellStyle name="适中 7" xfId="2517" xr:uid="{00000000-0005-0000-0000-00003C2C0000}"/>
    <cellStyle name="适中 8" xfId="2518" xr:uid="{00000000-0005-0000-0000-00003D2C0000}"/>
    <cellStyle name="适中 9" xfId="2519" xr:uid="{00000000-0005-0000-0000-00003E2C0000}"/>
    <cellStyle name="适中rm" xfId="6481" xr:uid="{00000000-0005-0000-0000-00003F2C0000}"/>
    <cellStyle name="适中rmal" xfId="6482" xr:uid="{00000000-0005-0000-0000-0000402C0000}"/>
    <cellStyle name="钎霖_laroux" xfId="4177" xr:uid="{00000000-0005-0000-0000-0000412C0000}"/>
    <cellStyle name="链接单元格" xfId="2520" xr:uid="{00000000-0005-0000-0000-0000422C0000}"/>
    <cellStyle name="链接单元格 10" xfId="2521" xr:uid="{00000000-0005-0000-0000-0000432C0000}"/>
    <cellStyle name="链接单元格 11" xfId="2522" xr:uid="{00000000-0005-0000-0000-0000442C0000}"/>
    <cellStyle name="链接单元格 12" xfId="2523" xr:uid="{00000000-0005-0000-0000-0000452C0000}"/>
    <cellStyle name="链接单元格 13" xfId="2524" xr:uid="{00000000-0005-0000-0000-0000462C0000}"/>
    <cellStyle name="链接单元格 14" xfId="2525" xr:uid="{00000000-0005-0000-0000-0000472C0000}"/>
    <cellStyle name="链接单元格 15" xfId="2526" xr:uid="{00000000-0005-0000-0000-0000482C0000}"/>
    <cellStyle name="链接单元格 16" xfId="2527" xr:uid="{00000000-0005-0000-0000-0000492C0000}"/>
    <cellStyle name="链接单元格 17" xfId="2528" xr:uid="{00000000-0005-0000-0000-00004A2C0000}"/>
    <cellStyle name="链接单元格 18" xfId="2529" xr:uid="{00000000-0005-0000-0000-00004B2C0000}"/>
    <cellStyle name="链接单元格 19" xfId="2530" xr:uid="{00000000-0005-0000-0000-00004C2C0000}"/>
    <cellStyle name="链接单元格 2" xfId="2531" xr:uid="{00000000-0005-0000-0000-00004D2C0000}"/>
    <cellStyle name="链接单元格 20" xfId="2532" xr:uid="{00000000-0005-0000-0000-00004E2C0000}"/>
    <cellStyle name="链接单元格 3" xfId="2533" xr:uid="{00000000-0005-0000-0000-00004F2C0000}"/>
    <cellStyle name="链接单元格 4" xfId="2534" xr:uid="{00000000-0005-0000-0000-0000502C0000}"/>
    <cellStyle name="链接单元格 5" xfId="2535" xr:uid="{00000000-0005-0000-0000-0000512C0000}"/>
    <cellStyle name="链接单元格 6" xfId="2536" xr:uid="{00000000-0005-0000-0000-0000522C0000}"/>
    <cellStyle name="链接单元格 7" xfId="2537" xr:uid="{00000000-0005-0000-0000-0000532C0000}"/>
    <cellStyle name="链接单元格 8" xfId="2538" xr:uid="{00000000-0005-0000-0000-0000542C0000}"/>
    <cellStyle name="链接单元格 9" xfId="2539" xr:uid="{00000000-0005-0000-0000-0000552C0000}"/>
    <cellStyle name="霓付 [0]_97MBO" xfId="4178" xr:uid="{00000000-0005-0000-0000-0000562C0000}"/>
    <cellStyle name="霓付_97MBO" xfId="4179" xr:uid="{00000000-0005-0000-0000-0000572C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E76AA"/>
      <rgbColor rgb="00CFD6E6"/>
      <rgbColor rgb="009EADCC"/>
      <rgbColor rgb="00EFF1F6"/>
      <rgbColor rgb="00BFC8DD"/>
      <rgbColor rgb="008E9FC4"/>
      <rgbColor rgb="00DFE4EE"/>
      <rgbColor rgb="00AEBAD5"/>
      <rgbColor rgb="00000000"/>
      <rgbColor rgb="00AAAAAA"/>
      <rgbColor rgb="00444444"/>
      <rgbColor rgb="00CCCCCC"/>
      <rgbColor rgb="00888888"/>
      <rgbColor rgb="00666666"/>
      <rgbColor rgb="00EEEEEE"/>
      <rgbColor rgb="00222222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8000"/>
      <color rgb="FF0000FF"/>
      <color rgb="FF99CCFF"/>
      <color rgb="FF9966FF"/>
      <color rgb="FFFF99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querytool.functions">
      <tp t="s">
        <v>Error:Ticker is a required parameter</v>
        <stp/>
        <stp>Keyword</stp>
        <stp>60390487-45f1-4f63-93f5-a97337a70bb5</stp>
        <stp/>
        <stp>ROIC</stp>
        <stp/>
        <stp/>
        <stp/>
        <stp/>
        <stp>LIVE</stp>
        <stp>FALSE</stp>
        <stp>FALSE</stp>
        <stp>FALSE</stp>
        <stp>FALSE</stp>
        <stp/>
        <tr r="K77" s="168"/>
        <tr r="P77" s="168"/>
        <tr r="O77" s="168"/>
        <tr r="N77" s="168"/>
        <tr r="M77" s="168"/>
        <tr r="J77" s="168"/>
        <tr r="L77" s="168"/>
        <tr r="Q77" s="168"/>
        <tr r="T77" s="168"/>
        <tr r="S77" s="168"/>
        <tr r="R77" s="168"/>
      </tp>
      <tp t="s">
        <v>Error:Ticker is a required parameter</v>
        <stp/>
        <stp>Keyword</stp>
        <stp>60390487-45f1-4f63-93f5-a97337a70bb5</stp>
        <stp/>
        <stp>ROIC</stp>
        <stp>2018</stp>
        <stp/>
        <stp/>
        <stp/>
        <stp>LIVE</stp>
        <stp>FALSE</stp>
        <stp>FALSE</stp>
        <stp>FALSE</stp>
        <stp>FALSE</stp>
        <stp/>
        <tr r="H77" s="168"/>
      </tp>
      <tp t="s">
        <v>Error:Ticker is a required parameter</v>
        <stp/>
        <stp>Keyword</stp>
        <stp>60390487-45f1-4f63-93f5-a97337a70bb5</stp>
        <stp/>
        <stp>ROIC</stp>
        <stp>2019</stp>
        <stp/>
        <stp/>
        <stp/>
        <stp>LIVE</stp>
        <stp>FALSE</stp>
        <stp>FALSE</stp>
        <stp>FALSE</stp>
        <stp>FALSE</stp>
        <stp/>
        <tr r="I77" s="168"/>
      </tp>
      <tp t="s">
        <v>Error:Ticker is a required parameter</v>
        <stp/>
        <stp>Keyword</stp>
        <stp>60390487-45f1-4f63-93f5-a97337a70bb5</stp>
        <stp/>
        <stp>ROIC</stp>
        <stp>2016</stp>
        <stp/>
        <stp/>
        <stp/>
        <stp>LIVE</stp>
        <stp>FALSE</stp>
        <stp>FALSE</stp>
        <stp>FALSE</stp>
        <stp>FALSE</stp>
        <stp/>
        <tr r="F77" s="168"/>
      </tp>
      <tp t="s">
        <v>Error:Ticker is a required parameter</v>
        <stp/>
        <stp>Keyword</stp>
        <stp>60390487-45f1-4f63-93f5-a97337a70bb5</stp>
        <stp/>
        <stp>ROIC</stp>
        <stp>2017</stp>
        <stp/>
        <stp/>
        <stp/>
        <stp>LIVE</stp>
        <stp>FALSE</stp>
        <stp>FALSE</stp>
        <stp>FALSE</stp>
        <stp>FALSE</stp>
        <stp/>
        <tr r="G77" s="168"/>
      </tp>
      <tp t="s">
        <v>Error:Ticker is a required parameter</v>
        <stp/>
        <stp>Keyword</stp>
        <stp>60390487-45f1-4f63-93f5-a97337a70bb5</stp>
        <stp/>
        <stp>ROIC</stp>
        <stp>2014</stp>
        <stp/>
        <stp/>
        <stp/>
        <stp>LIVE</stp>
        <stp>FALSE</stp>
        <stp>FALSE</stp>
        <stp>FALSE</stp>
        <stp>FALSE</stp>
        <stp/>
        <tr r="D77" s="168"/>
      </tp>
      <tp t="s">
        <v>Error:Ticker is a required parameter</v>
        <stp/>
        <stp>Keyword</stp>
        <stp>60390487-45f1-4f63-93f5-a97337a70bb5</stp>
        <stp/>
        <stp>ROIC</stp>
        <stp>2015</stp>
        <stp/>
        <stp/>
        <stp/>
        <stp>LIVE</stp>
        <stp>FALSE</stp>
        <stp>FALSE</stp>
        <stp>FALSE</stp>
        <stp>FALSE</stp>
        <stp/>
        <tr r="E77" s="168"/>
      </tp>
      <tp t="s">
        <v>Error:Ticker is a required parameter</v>
        <stp/>
        <stp>Keyword</stp>
        <stp>60390487-45f1-4f63-93f5-a97337a70bb5</stp>
        <stp/>
        <stp>ROIC</stp>
        <stp>2013</stp>
        <stp/>
        <stp/>
        <stp/>
        <stp>LIVE</stp>
        <stp>FALSE</stp>
        <stp>FALSE</stp>
        <stp>FALSE</stp>
        <stp>FALSE</stp>
        <stp/>
        <tr r="C77" s="168"/>
      </tp>
    </main>
  </volType>
</volType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theme" Target="theme/theme1.xml"/><Relationship Id="rId40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volatileDependencies" Target="volatileDependenci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Quarter!$AT$96</c:f>
              <c:strCache>
                <c:ptCount val="1"/>
                <c:pt idx="0">
                  <c:v>Raw material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Quarter!$AU$94:$AY$94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Quarter!$AU$96:$AY$96</c:f>
              <c:numCache>
                <c:formatCode>_(* #,##0_);_(* \(#,##0\);_(* "-"??_);_(@_)</c:formatCode>
                <c:ptCount val="5"/>
                <c:pt idx="0">
                  <c:v>36.831376810000002</c:v>
                </c:pt>
                <c:pt idx="1">
                  <c:v>57.568583889999999</c:v>
                </c:pt>
                <c:pt idx="2">
                  <c:v>61.641146820000003</c:v>
                </c:pt>
                <c:pt idx="3">
                  <c:v>23.255963319999999</c:v>
                </c:pt>
                <c:pt idx="4">
                  <c:v>348.79238177000002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79-4AE7-83AA-4EF6AED42FF1}"/>
            </c:ext>
          </c:extLst>
        </c:ser>
        <c:ser>
          <c:idx val="1"/>
          <c:order val="1"/>
          <c:tx>
            <c:strRef>
              <c:f>Quarter!$AT$97</c:f>
              <c:strCache>
                <c:ptCount val="1"/>
                <c:pt idx="0">
                  <c:v>Finished goods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Quarter!$AU$94:$AY$94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Quarter!$AU$97:$AY$97</c:f>
              <c:numCache>
                <c:formatCode>_(* #,##0_);_(* \(#,##0\);_(* "-"??_);_(@_)</c:formatCode>
                <c:ptCount val="5"/>
                <c:pt idx="0">
                  <c:v>47.150041969999997</c:v>
                </c:pt>
                <c:pt idx="1">
                  <c:v>128.22026091999999</c:v>
                </c:pt>
                <c:pt idx="2">
                  <c:v>131.70228503999999</c:v>
                </c:pt>
                <c:pt idx="3">
                  <c:v>46.603666169999997</c:v>
                </c:pt>
                <c:pt idx="4">
                  <c:v>36.020328499999998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79-4AE7-83AA-4EF6AED42FF1}"/>
            </c:ext>
          </c:extLst>
        </c:ser>
        <c:ser>
          <c:idx val="2"/>
          <c:order val="2"/>
          <c:tx>
            <c:strRef>
              <c:f>Quarter!$AT$98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Quarter!$AU$94:$AY$94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Quarter!$AU$98:$AY$98</c:f>
              <c:numCache>
                <c:formatCode>_(* #,##0_);_(* \(#,##0\);_(* "-"??_);_(@_)</c:formatCode>
                <c:ptCount val="5"/>
                <c:pt idx="0">
                  <c:v>6.6370247600000027</c:v>
                </c:pt>
                <c:pt idx="1">
                  <c:v>101.24094844000001</c:v>
                </c:pt>
                <c:pt idx="2">
                  <c:v>93.778061649999984</c:v>
                </c:pt>
                <c:pt idx="3">
                  <c:v>29.541438669999991</c:v>
                </c:pt>
                <c:pt idx="4">
                  <c:v>1389.16165353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79-4AE7-83AA-4EF6AED42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2357167"/>
        <c:axId val="522363407"/>
      </c:barChart>
      <c:catAx>
        <c:axId val="52235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363407"/>
        <c:crosses val="autoZero"/>
        <c:auto val="1"/>
        <c:lblAlgn val="ctr"/>
        <c:lblOffset val="100"/>
        <c:noMultiLvlLbl val="0"/>
      </c:catAx>
      <c:valAx>
        <c:axId val="522363407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357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Quarter!$AV$104:$AY$104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Quarter!$AV$105:$AY$105</c:f>
              <c:numCache>
                <c:formatCode>_(* #,##0.0_);_(* \(#,##0.0\);_(* "-"??_);_(@_)</c:formatCode>
                <c:ptCount val="4"/>
                <c:pt idx="0">
                  <c:v>0.22998179999999999</c:v>
                </c:pt>
                <c:pt idx="1">
                  <c:v>0.13628319</c:v>
                </c:pt>
                <c:pt idx="2">
                  <c:v>0.26336282999999999</c:v>
                </c:pt>
                <c:pt idx="3">
                  <c:v>0.88616991000000001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D-4EBC-BE75-1666B8DC6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9394991"/>
        <c:axId val="989370991"/>
      </c:barChart>
      <c:catAx>
        <c:axId val="989394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370991"/>
        <c:crosses val="autoZero"/>
        <c:auto val="1"/>
        <c:lblAlgn val="ctr"/>
        <c:lblOffset val="100"/>
        <c:noMultiLvlLbl val="0"/>
      </c:catAx>
      <c:valAx>
        <c:axId val="989370991"/>
        <c:scaling>
          <c:orientation val="minMax"/>
        </c:scaling>
        <c:delete val="0"/>
        <c:axPos val="l"/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394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Quarter!$BM$95</c:f>
              <c:strCache>
                <c:ptCount val="1"/>
                <c:pt idx="0">
                  <c:v>Invention patents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Quarter!$BN$93:$BR$93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1H24</c:v>
                </c:pt>
              </c:strCache>
            </c:strRef>
          </c:cat>
          <c:val>
            <c:numRef>
              <c:f>Quarter!$BN$95:$BR$95</c:f>
              <c:numCache>
                <c:formatCode>_(* #,##0_);_(* \(#,##0\);_(* "-"??_);_(@_)</c:formatCode>
                <c:ptCount val="5"/>
                <c:pt idx="0">
                  <c:v>222</c:v>
                </c:pt>
                <c:pt idx="1">
                  <c:v>263</c:v>
                </c:pt>
                <c:pt idx="2">
                  <c:v>292</c:v>
                </c:pt>
                <c:pt idx="3">
                  <c:v>297</c:v>
                </c:pt>
                <c:pt idx="4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49-44D4-B1F4-A8B723878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34221983"/>
        <c:axId val="534211903"/>
      </c:barChart>
      <c:lineChart>
        <c:grouping val="standard"/>
        <c:varyColors val="0"/>
        <c:ser>
          <c:idx val="0"/>
          <c:order val="0"/>
          <c:tx>
            <c:strRef>
              <c:f>Quarter!$BM$94</c:f>
              <c:strCache>
                <c:ptCount val="1"/>
                <c:pt idx="0">
                  <c:v># of engineers (RHS)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1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Quarter!$BN$93:$BR$93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1H24</c:v>
                </c:pt>
              </c:strCache>
            </c:strRef>
          </c:cat>
          <c:val>
            <c:numRef>
              <c:f>Quarter!$BN$94:$BR$94</c:f>
              <c:numCache>
                <c:formatCode>_(* #,##0_);_(* \(#,##0\);_(* "-"??_);_(@_)</c:formatCode>
                <c:ptCount val="5"/>
                <c:pt idx="0">
                  <c:v>978</c:v>
                </c:pt>
                <c:pt idx="1">
                  <c:v>1213</c:v>
                </c:pt>
                <c:pt idx="2">
                  <c:v>1205</c:v>
                </c:pt>
                <c:pt idx="3">
                  <c:v>752</c:v>
                </c:pt>
                <c:pt idx="4">
                  <c:v>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9-44D4-B1F4-A8B723878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224863"/>
        <c:axId val="534205663"/>
      </c:lineChart>
      <c:catAx>
        <c:axId val="534221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211903"/>
        <c:crosses val="autoZero"/>
        <c:auto val="1"/>
        <c:lblAlgn val="ctr"/>
        <c:lblOffset val="100"/>
        <c:noMultiLvlLbl val="0"/>
      </c:catAx>
      <c:valAx>
        <c:axId val="534211903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221983"/>
        <c:crosses val="autoZero"/>
        <c:crossBetween val="between"/>
      </c:valAx>
      <c:valAx>
        <c:axId val="534205663"/>
        <c:scaling>
          <c:orientation val="minMax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224863"/>
        <c:crosses val="max"/>
        <c:crossBetween val="between"/>
      </c:valAx>
      <c:catAx>
        <c:axId val="534224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2056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0" orientation="portrait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Inventory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Quarter!$AS$86:$BF$86</c:f>
              <c:strCache>
                <c:ptCount val="14"/>
                <c:pt idx="0">
                  <c:v>4Q21</c:v>
                </c:pt>
                <c:pt idx="1">
                  <c:v>1Q22</c:v>
                </c:pt>
                <c:pt idx="2">
                  <c:v>2Q22</c:v>
                </c:pt>
                <c:pt idx="3">
                  <c:v>3Q22</c:v>
                </c:pt>
                <c:pt idx="4">
                  <c:v>4Q22</c:v>
                </c:pt>
                <c:pt idx="5">
                  <c:v>1Q23</c:v>
                </c:pt>
                <c:pt idx="6">
                  <c:v>2Q23</c:v>
                </c:pt>
                <c:pt idx="7">
                  <c:v>3Q23</c:v>
                </c:pt>
                <c:pt idx="8">
                  <c:v>4Q23</c:v>
                </c:pt>
                <c:pt idx="9">
                  <c:v>1Q24</c:v>
                </c:pt>
                <c:pt idx="10">
                  <c:v>2Q24</c:v>
                </c:pt>
                <c:pt idx="11">
                  <c:v>3Q24</c:v>
                </c:pt>
                <c:pt idx="12">
                  <c:v>4Q24</c:v>
                </c:pt>
                <c:pt idx="13">
                  <c:v>1Q25</c:v>
                </c:pt>
              </c:strCache>
            </c:strRef>
          </c:cat>
          <c:val>
            <c:numRef>
              <c:f>Quarter!$AS$88:$BF$88</c:f>
              <c:numCache>
                <c:formatCode>_(* #,##0_);_(* \(#,##0\);_(* "-"??_);_(@_)</c:formatCode>
                <c:ptCount val="14"/>
                <c:pt idx="0">
                  <c:v>287.02979325000001</c:v>
                </c:pt>
                <c:pt idx="1">
                  <c:v>348.98962126999999</c:v>
                </c:pt>
                <c:pt idx="2">
                  <c:v>368.26221563000001</c:v>
                </c:pt>
                <c:pt idx="3">
                  <c:v>420.51046939999998</c:v>
                </c:pt>
                <c:pt idx="4">
                  <c:v>287.12149350999999</c:v>
                </c:pt>
                <c:pt idx="5">
                  <c:v>219.21800777000001</c:v>
                </c:pt>
                <c:pt idx="6">
                  <c:v>219.21800777000001</c:v>
                </c:pt>
                <c:pt idx="7">
                  <c:v>247.08799286000001</c:v>
                </c:pt>
                <c:pt idx="8">
                  <c:v>99.401068159999994</c:v>
                </c:pt>
                <c:pt idx="9">
                  <c:v>128.88146291999999</c:v>
                </c:pt>
                <c:pt idx="10">
                  <c:v>235.42722103999998</c:v>
                </c:pt>
                <c:pt idx="11">
                  <c:v>1015.16328349</c:v>
                </c:pt>
                <c:pt idx="12">
                  <c:v>1773.9743638</c:v>
                </c:pt>
                <c:pt idx="13">
                  <c:v>2755.1812814099999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A-4D29-95A6-363661964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2399887"/>
        <c:axId val="522389327"/>
      </c:barChart>
      <c:lineChart>
        <c:grouping val="standard"/>
        <c:varyColors val="0"/>
        <c:ser>
          <c:idx val="1"/>
          <c:order val="1"/>
          <c:tx>
            <c:v>Inventory days (RHS)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Quarter!$AS$86:$BF$86</c:f>
              <c:strCache>
                <c:ptCount val="14"/>
                <c:pt idx="0">
                  <c:v>4Q21</c:v>
                </c:pt>
                <c:pt idx="1">
                  <c:v>1Q22</c:v>
                </c:pt>
                <c:pt idx="2">
                  <c:v>2Q22</c:v>
                </c:pt>
                <c:pt idx="3">
                  <c:v>3Q22</c:v>
                </c:pt>
                <c:pt idx="4">
                  <c:v>4Q22</c:v>
                </c:pt>
                <c:pt idx="5">
                  <c:v>1Q23</c:v>
                </c:pt>
                <c:pt idx="6">
                  <c:v>2Q23</c:v>
                </c:pt>
                <c:pt idx="7">
                  <c:v>3Q23</c:v>
                </c:pt>
                <c:pt idx="8">
                  <c:v>4Q23</c:v>
                </c:pt>
                <c:pt idx="9">
                  <c:v>1Q24</c:v>
                </c:pt>
                <c:pt idx="10">
                  <c:v>2Q24</c:v>
                </c:pt>
                <c:pt idx="11">
                  <c:v>3Q24</c:v>
                </c:pt>
                <c:pt idx="12">
                  <c:v>4Q24</c:v>
                </c:pt>
                <c:pt idx="13">
                  <c:v>1Q25</c:v>
                </c:pt>
              </c:strCache>
            </c:strRef>
          </c:cat>
          <c:val>
            <c:numRef>
              <c:f>Quarter!$AS$87:$BF$87</c:f>
              <c:numCache>
                <c:formatCode>_(* #,##0_);_(* \(#,##0\);_(* "-"??_);_(@_)</c:formatCode>
                <c:ptCount val="14"/>
                <c:pt idx="0">
                  <c:v>254.17899499428333</c:v>
                </c:pt>
                <c:pt idx="1">
                  <c:v>302.31173866295615</c:v>
                </c:pt>
                <c:pt idx="2">
                  <c:v>349.26083042484191</c:v>
                </c:pt>
                <c:pt idx="3">
                  <c:v>429.42447795684478</c:v>
                </c:pt>
                <c:pt idx="4">
                  <c:v>419.76452952132337</c:v>
                </c:pt>
                <c:pt idx="5">
                  <c:v>432.53405892498529</c:v>
                </c:pt>
                <c:pt idx="6">
                  <c:v>521.58224050017407</c:v>
                </c:pt>
                <c:pt idx="7">
                  <c:v>665.79386181622726</c:v>
                </c:pt>
                <c:pt idx="8">
                  <c:v>322.39707732105336</c:v>
                </c:pt>
                <c:pt idx="9">
                  <c:v>299.36908120804083</c:v>
                </c:pt>
                <c:pt idx="10">
                  <c:v>395.88956467347924</c:v>
                </c:pt>
                <c:pt idx="11">
                  <c:v>893.61689319781658</c:v>
                </c:pt>
                <c:pt idx="12">
                  <c:v>437.31936676020382</c:v>
                </c:pt>
                <c:pt idx="13">
                  <c:v>652.60287719824657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E8A-4D29-95A6-363661964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2347087"/>
        <c:axId val="522373007"/>
      </c:lineChart>
      <c:catAx>
        <c:axId val="522399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389327"/>
        <c:crosses val="autoZero"/>
        <c:auto val="1"/>
        <c:lblAlgn val="ctr"/>
        <c:lblOffset val="100"/>
        <c:noMultiLvlLbl val="0"/>
      </c:catAx>
      <c:valAx>
        <c:axId val="522389327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399887"/>
        <c:crosses val="autoZero"/>
        <c:crossBetween val="between"/>
      </c:valAx>
      <c:valAx>
        <c:axId val="522373007"/>
        <c:scaling>
          <c:orientation val="minMax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2347087"/>
        <c:crosses val="max"/>
        <c:crossBetween val="between"/>
      </c:valAx>
      <c:catAx>
        <c:axId val="5223470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2373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Contract liability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Quarter!$AU$104:$AZ$104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1Q25</c:v>
                </c:pt>
              </c:strCache>
            </c:strRef>
          </c:cat>
          <c:val>
            <c:numRef>
              <c:f>Quarter!$AU$105:$AZ$105</c:f>
              <c:numCache>
                <c:formatCode>_(* #,##0.0_);_(* \(#,##0.0\);_(* "-"??_);_(@_)</c:formatCode>
                <c:ptCount val="6"/>
                <c:pt idx="0">
                  <c:v>2.4593361000000002</c:v>
                </c:pt>
                <c:pt idx="1">
                  <c:v>0.22998179999999999</c:v>
                </c:pt>
                <c:pt idx="2">
                  <c:v>0.13628319</c:v>
                </c:pt>
                <c:pt idx="3">
                  <c:v>0.26336282999999999</c:v>
                </c:pt>
                <c:pt idx="4">
                  <c:v>0.88616991000000001</c:v>
                </c:pt>
                <c:pt idx="5" formatCode="General">
                  <c:v>1.4246902699999999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B-4875-B964-4D0CEDB5C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052031"/>
        <c:axId val="111077471"/>
      </c:barChart>
      <c:catAx>
        <c:axId val="111052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77471"/>
        <c:crosses val="autoZero"/>
        <c:auto val="1"/>
        <c:lblAlgn val="ctr"/>
        <c:lblOffset val="100"/>
        <c:noMultiLvlLbl val="0"/>
      </c:catAx>
      <c:valAx>
        <c:axId val="111077471"/>
        <c:scaling>
          <c:orientation val="minMax"/>
        </c:scaling>
        <c:delete val="0"/>
        <c:axPos val="l"/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52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0" orientation="portrait"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Quarter!$AT$113</c:f>
              <c:strCache>
                <c:ptCount val="1"/>
                <c:pt idx="0">
                  <c:v># of R&amp;D engineers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Quarter!$AU$111:$AY$111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Quarter!$AU$113:$AY$113</c:f>
              <c:numCache>
                <c:formatCode>_(* #,##0_);_(* \(#,##0\);_(* "-"??_);_(@_)</c:formatCode>
                <c:ptCount val="5"/>
                <c:pt idx="0">
                  <c:v>978</c:v>
                </c:pt>
                <c:pt idx="1">
                  <c:v>1213</c:v>
                </c:pt>
                <c:pt idx="2">
                  <c:v>1205</c:v>
                </c:pt>
                <c:pt idx="3">
                  <c:v>752</c:v>
                </c:pt>
                <c:pt idx="4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2F-40B1-B6AA-6AEB2B3DA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063071"/>
        <c:axId val="111058271"/>
      </c:barChart>
      <c:lineChart>
        <c:grouping val="standard"/>
        <c:varyColors val="0"/>
        <c:ser>
          <c:idx val="1"/>
          <c:order val="1"/>
          <c:tx>
            <c:strRef>
              <c:f>Quarter!$AT$114</c:f>
              <c:strCache>
                <c:ptCount val="1"/>
                <c:pt idx="0">
                  <c:v>Revenues per R&amp;D (RHS)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Quarter!$AU$111:$AY$111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Quarter!$AU$114:$AY$114</c:f>
              <c:numCache>
                <c:formatCode>_(* #,##0_);_(* \(#,##0\);_(* "-"??_);_(@_)</c:formatCode>
                <c:ptCount val="5"/>
                <c:pt idx="0">
                  <c:v>469.25084935582822</c:v>
                </c:pt>
                <c:pt idx="1">
                  <c:v>378.34075075845016</c:v>
                </c:pt>
                <c:pt idx="2">
                  <c:v>380.85255657261411</c:v>
                </c:pt>
                <c:pt idx="3">
                  <c:v>610.27570567819146</c:v>
                </c:pt>
                <c:pt idx="4">
                  <c:v>619.33512910931177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F2F-40B1-B6AA-6AEB2B3DA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6857168"/>
        <c:axId val="2026831248"/>
      </c:lineChart>
      <c:catAx>
        <c:axId val="11106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58271"/>
        <c:crosses val="autoZero"/>
        <c:auto val="1"/>
        <c:lblAlgn val="ctr"/>
        <c:lblOffset val="100"/>
        <c:noMultiLvlLbl val="0"/>
      </c:catAx>
      <c:valAx>
        <c:axId val="111058271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63071"/>
        <c:crosses val="autoZero"/>
        <c:crossBetween val="between"/>
      </c:valAx>
      <c:valAx>
        <c:axId val="2026831248"/>
        <c:scaling>
          <c:orientation val="minMax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6857168"/>
        <c:crosses val="max"/>
        <c:crossBetween val="between"/>
      </c:valAx>
      <c:catAx>
        <c:axId val="2026857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6831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0"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1924050</xdr:colOff>
      <xdr:row>3</xdr:row>
      <xdr:rowOff>0</xdr:rowOff>
    </xdr:to>
    <xdr:pic>
      <xdr:nvPicPr>
        <xdr:cNvPr id="2" name="Picture 1" descr="Goldman Sachs Research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905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</xdr:row>
      <xdr:rowOff>0</xdr:rowOff>
    </xdr:from>
    <xdr:to>
      <xdr:col>1</xdr:col>
      <xdr:colOff>1924050</xdr:colOff>
      <xdr:row>3</xdr:row>
      <xdr:rowOff>0</xdr:rowOff>
    </xdr:to>
    <xdr:pic>
      <xdr:nvPicPr>
        <xdr:cNvPr id="3" name="Picture 2" descr="Goldman Sachs Research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905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242887</xdr:colOff>
      <xdr:row>111</xdr:row>
      <xdr:rowOff>138112</xdr:rowOff>
    </xdr:from>
    <xdr:to>
      <xdr:col>63</xdr:col>
      <xdr:colOff>814387</xdr:colOff>
      <xdr:row>130</xdr:row>
      <xdr:rowOff>77787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BA8231E-057D-36E0-E39F-22CCD732D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547686</xdr:colOff>
      <xdr:row>130</xdr:row>
      <xdr:rowOff>61911</xdr:rowOff>
    </xdr:from>
    <xdr:to>
      <xdr:col>62</xdr:col>
      <xdr:colOff>42861</xdr:colOff>
      <xdr:row>149</xdr:row>
      <xdr:rowOff>1586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B14EF1B-32FD-439A-71CE-D99881DAE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64</xdr:col>
      <xdr:colOff>557212</xdr:colOff>
      <xdr:row>59</xdr:row>
      <xdr:rowOff>142875</xdr:rowOff>
    </xdr:from>
    <xdr:to>
      <xdr:col>70</xdr:col>
      <xdr:colOff>633412</xdr:colOff>
      <xdr:row>78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B4820A-546A-6422-FD10-A37C46D38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54</xdr:col>
      <xdr:colOff>119062</xdr:colOff>
      <xdr:row>90</xdr:row>
      <xdr:rowOff>95250</xdr:rowOff>
    </xdr:from>
    <xdr:to>
      <xdr:col>61</xdr:col>
      <xdr:colOff>690562</xdr:colOff>
      <xdr:row>109</xdr:row>
      <xdr:rowOff>34925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092D0A-FEC4-A3C0-43E1-9A3140F9F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53</xdr:col>
      <xdr:colOff>919162</xdr:colOff>
      <xdr:row>109</xdr:row>
      <xdr:rowOff>109537</xdr:rowOff>
    </xdr:from>
    <xdr:to>
      <xdr:col>61</xdr:col>
      <xdr:colOff>414337</xdr:colOff>
      <xdr:row>128</xdr:row>
      <xdr:rowOff>49212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71A653E-9934-705D-8467-7A9912601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9525</xdr:colOff>
      <xdr:row>119</xdr:row>
      <xdr:rowOff>52387</xdr:rowOff>
    </xdr:from>
    <xdr:to>
      <xdr:col>53</xdr:col>
      <xdr:colOff>581025</xdr:colOff>
      <xdr:row>137</xdr:row>
      <xdr:rowOff>153987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742E377-1E9E-0D4A-0718-C194E48C2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0.06348</cdr:x>
      <cdr:y>0.02368</cdr:y>
    </cdr:from>
    <cdr:to>
      <cdr:x>0.23926</cdr:x>
      <cdr:y>0.20368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C367FD3-C7B9-C8C0-5803-6159C9DD6F95}"/>
            </a:ext>
          </a:extLst>
        </cdr:cNvPr>
        <cdr:cNvSpPr txBox="1"/>
      </cdr:nvSpPr>
      <cdr:spPr>
        <a:xfrm xmlns:a="http://schemas.openxmlformats.org/drawingml/2006/main">
          <a:off x="309563" y="71438"/>
          <a:ext cx="857250" cy="542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/>
            <a:t>Rmb m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0.05969</cdr:x>
      <cdr:y>0.02693</cdr:y>
    </cdr:from>
    <cdr:to>
      <cdr:x>0.23973</cdr:x>
      <cdr:y>0.27402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4AB81F8-31AD-5D02-874D-525BAC0E1ADD}"/>
            </a:ext>
          </a:extLst>
        </cdr:cNvPr>
        <cdr:cNvSpPr txBox="1"/>
      </cdr:nvSpPr>
      <cdr:spPr>
        <a:xfrm xmlns:a="http://schemas.openxmlformats.org/drawingml/2006/main">
          <a:off x="290513" y="80963"/>
          <a:ext cx="876300" cy="742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/>
            <a:t>Rmb m</a:t>
          </a:r>
        </a:p>
      </cdr:txBody>
    </cdr:sp>
  </cdr:relSizeAnchor>
  <cdr:relSizeAnchor xmlns:cdr="http://schemas.openxmlformats.org/drawingml/2006/chartDrawing">
    <cdr:from>
      <cdr:x>0.17676</cdr:x>
      <cdr:y>0.15947</cdr:y>
    </cdr:from>
    <cdr:to>
      <cdr:x>0.79004</cdr:x>
      <cdr:y>0.51632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15BD8EA2-C5DC-747D-EA0A-1D5AB6E91225}"/>
            </a:ext>
          </a:extLst>
        </cdr:cNvPr>
        <cdr:cNvSpPr txBox="1"/>
      </cdr:nvSpPr>
      <cdr:spPr>
        <a:xfrm xmlns:a="http://schemas.openxmlformats.org/drawingml/2006/main">
          <a:off x="862014" y="481014"/>
          <a:ext cx="2990850" cy="1076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100"/>
            <a:t>Contract liability increased in 9M24,</a:t>
          </a:r>
          <a:r>
            <a:rPr lang="en-US" sz="1100" baseline="0"/>
            <a:t> supporting future growth</a:t>
          </a:r>
          <a:endParaRPr 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0.06934</cdr:x>
      <cdr:y>0.03474</cdr:y>
    </cdr:from>
    <cdr:to>
      <cdr:x>0.2666</cdr:x>
      <cdr:y>0.16105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957690B-63E5-769F-A801-495814F232E0}"/>
            </a:ext>
          </a:extLst>
        </cdr:cNvPr>
        <cdr:cNvSpPr txBox="1"/>
      </cdr:nvSpPr>
      <cdr:spPr>
        <a:xfrm xmlns:a="http://schemas.openxmlformats.org/drawingml/2006/main">
          <a:off x="338138" y="104775"/>
          <a:ext cx="962025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/>
            <a:t>units</a:t>
          </a:r>
        </a:p>
      </cdr:txBody>
    </cdr:sp>
  </cdr:relSizeAnchor>
  <cdr:relSizeAnchor xmlns:cdr="http://schemas.openxmlformats.org/drawingml/2006/chartDrawing">
    <cdr:from>
      <cdr:x>0.72656</cdr:x>
      <cdr:y>0.01684</cdr:y>
    </cdr:from>
    <cdr:to>
      <cdr:x>0.92383</cdr:x>
      <cdr:y>0.14316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46E71D2-4B17-38BF-A9CF-018F4B0AF576}"/>
            </a:ext>
          </a:extLst>
        </cdr:cNvPr>
        <cdr:cNvSpPr txBox="1"/>
      </cdr:nvSpPr>
      <cdr:spPr>
        <a:xfrm xmlns:a="http://schemas.openxmlformats.org/drawingml/2006/main">
          <a:off x="3543300" y="50800"/>
          <a:ext cx="962025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900"/>
            <a:t>people</a:t>
          </a:r>
        </a:p>
      </cdr:txBody>
    </cdr:sp>
  </cdr:relSizeAnchor>
  <cdr:relSizeAnchor xmlns:cdr="http://schemas.openxmlformats.org/drawingml/2006/chartDrawing">
    <cdr:from>
      <cdr:x>0.64941</cdr:x>
      <cdr:y>0.20842</cdr:y>
    </cdr:from>
    <cdr:to>
      <cdr:x>0.90332</cdr:x>
      <cdr:y>0.38842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D2D6654F-C413-8489-5EEB-B95A4C5AD20F}"/>
            </a:ext>
          </a:extLst>
        </cdr:cNvPr>
        <cdr:cNvSpPr txBox="1"/>
      </cdr:nvSpPr>
      <cdr:spPr>
        <a:xfrm xmlns:a="http://schemas.openxmlformats.org/drawingml/2006/main">
          <a:off x="3167063" y="628650"/>
          <a:ext cx="1238250" cy="542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900"/>
            <a:t>Invention patents jumped in 1H24</a:t>
          </a:r>
        </a:p>
      </cdr:txBody>
    </cdr:sp>
  </cdr:relSizeAnchor>
  <cdr:relSizeAnchor xmlns:cdr="http://schemas.openxmlformats.org/drawingml/2006/chartDrawing">
    <cdr:from>
      <cdr:x>0.52604</cdr:x>
      <cdr:y>0.47474</cdr:y>
    </cdr:from>
    <cdr:to>
      <cdr:x>0.91504</cdr:x>
      <cdr:y>0.65474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B7102752-C0BA-9336-3671-F4BA276D1D6E}"/>
            </a:ext>
          </a:extLst>
        </cdr:cNvPr>
        <cdr:cNvSpPr txBox="1"/>
      </cdr:nvSpPr>
      <cdr:spPr>
        <a:xfrm xmlns:a="http://schemas.openxmlformats.org/drawingml/2006/main">
          <a:off x="2565399" y="1431925"/>
          <a:ext cx="1897063" cy="542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/>
            <a:t>Cambricon lost engineers in 2023 post Entity list, but stabilizing in 1H24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0.08105</cdr:x>
      <cdr:y>0.03158</cdr:y>
    </cdr:from>
    <cdr:to>
      <cdr:x>0.27441</cdr:x>
      <cdr:y>0.25895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80EDA03-A51A-A75B-4469-672912F067B5}"/>
            </a:ext>
          </a:extLst>
        </cdr:cNvPr>
        <cdr:cNvSpPr txBox="1"/>
      </cdr:nvSpPr>
      <cdr:spPr>
        <a:xfrm xmlns:a="http://schemas.openxmlformats.org/drawingml/2006/main">
          <a:off x="395288" y="95250"/>
          <a:ext cx="942975" cy="685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/>
            <a:t>Rmb m</a:t>
          </a:r>
        </a:p>
      </cdr:txBody>
    </cdr:sp>
  </cdr:relSizeAnchor>
  <cdr:relSizeAnchor xmlns:cdr="http://schemas.openxmlformats.org/drawingml/2006/chartDrawing">
    <cdr:from>
      <cdr:x>0.78776</cdr:x>
      <cdr:y>0.01684</cdr:y>
    </cdr:from>
    <cdr:to>
      <cdr:x>0.98112</cdr:x>
      <cdr:y>0.24421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217303A-9CA9-50BA-5EED-95F4A0197384}"/>
            </a:ext>
          </a:extLst>
        </cdr:cNvPr>
        <cdr:cNvSpPr txBox="1"/>
      </cdr:nvSpPr>
      <cdr:spPr>
        <a:xfrm xmlns:a="http://schemas.openxmlformats.org/drawingml/2006/main">
          <a:off x="3841750" y="50800"/>
          <a:ext cx="942975" cy="685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Days</a:t>
          </a:r>
        </a:p>
      </cdr:txBody>
    </cdr:sp>
  </cdr:relSizeAnchor>
  <cdr:relSizeAnchor xmlns:cdr="http://schemas.openxmlformats.org/drawingml/2006/chartDrawing">
    <cdr:from>
      <cdr:x>0.2041</cdr:x>
      <cdr:y>0.02526</cdr:y>
    </cdr:from>
    <cdr:to>
      <cdr:x>0.71582</cdr:x>
      <cdr:y>0.29369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5B74DF1A-2CC4-0FC8-754A-A6F4FF1B7563}"/>
            </a:ext>
          </a:extLst>
        </cdr:cNvPr>
        <cdr:cNvSpPr txBox="1"/>
      </cdr:nvSpPr>
      <cdr:spPr>
        <a:xfrm xmlns:a="http://schemas.openxmlformats.org/drawingml/2006/main">
          <a:off x="995363" y="76186"/>
          <a:ext cx="2495572" cy="8096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900" b="1"/>
            <a:t>Raw materials (mainly wafer, as Cambricon is a fabless) +1,400%</a:t>
          </a:r>
          <a:r>
            <a:rPr lang="en-US" sz="900" b="1" baseline="0"/>
            <a:t> YoY in 2024</a:t>
          </a:r>
          <a:r>
            <a:rPr lang="en-US" sz="900" b="1"/>
            <a:t> with finished goods declined by 23% YoY in 2024,</a:t>
          </a:r>
          <a:r>
            <a:rPr lang="en-US" sz="900" b="1" baseline="0"/>
            <a:t> reflecting strong demand</a:t>
          </a:r>
          <a:endParaRPr lang="en-US" sz="900" b="1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0.06152</cdr:x>
      <cdr:y>0.03</cdr:y>
    </cdr:from>
    <cdr:to>
      <cdr:x>0.22168</cdr:x>
      <cdr:y>0.14053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310D92D-F26B-CB74-FCB3-F96A41569D02}"/>
            </a:ext>
          </a:extLst>
        </cdr:cNvPr>
        <cdr:cNvSpPr txBox="1"/>
      </cdr:nvSpPr>
      <cdr:spPr>
        <a:xfrm xmlns:a="http://schemas.openxmlformats.org/drawingml/2006/main">
          <a:off x="300038" y="90488"/>
          <a:ext cx="7810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kern="1200"/>
            <a:t>Rmb m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0.08398</cdr:x>
      <cdr:y>0.03</cdr:y>
    </cdr:from>
    <cdr:to>
      <cdr:x>0.33203</cdr:x>
      <cdr:y>0.30474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FC6C233-533A-675E-11B0-FAB93B01E3C0}"/>
            </a:ext>
          </a:extLst>
        </cdr:cNvPr>
        <cdr:cNvSpPr txBox="1"/>
      </cdr:nvSpPr>
      <cdr:spPr>
        <a:xfrm xmlns:a="http://schemas.openxmlformats.org/drawingml/2006/main">
          <a:off x="409575" y="90488"/>
          <a:ext cx="1209675" cy="828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kern="1200"/>
            <a:t>people</a:t>
          </a:r>
        </a:p>
      </cdr:txBody>
    </cdr:sp>
  </cdr:relSizeAnchor>
  <cdr:relSizeAnchor xmlns:cdr="http://schemas.openxmlformats.org/drawingml/2006/chartDrawing">
    <cdr:from>
      <cdr:x>0.68555</cdr:x>
      <cdr:y>0.02</cdr:y>
    </cdr:from>
    <cdr:to>
      <cdr:x>0.93359</cdr:x>
      <cdr:y>0.29474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D538DC3-F1B3-35CA-A9B3-B59DB17ABC77}"/>
            </a:ext>
          </a:extLst>
        </cdr:cNvPr>
        <cdr:cNvSpPr txBox="1"/>
      </cdr:nvSpPr>
      <cdr:spPr>
        <a:xfrm xmlns:a="http://schemas.openxmlformats.org/drawingml/2006/main">
          <a:off x="3343275" y="60325"/>
          <a:ext cx="1209675" cy="828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900" kern="1200"/>
            <a:t>Rmb k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hina_innovation\Display%20panel%20sector\Dongxu%20&#19996;&#26093;&#20809;&#30005;\GS_Dongxu%20(000413.SZ)%20mode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CJin\Models\iFLYTek\GS%20iFLYTEK%20model%2020151026%20Q315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SLi\Models\Dahua\WIP\GS%20Dahua%20model20150319WIP%20raw%20data%20adj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ina_innovation\Display%20panel%20sector\Tianma%20&#28145;&#22825;&#39532;\GS_Tianma%20(000050.SZ)%20model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hina_innovation\Display%20panel%20sector\Tianma%20&#28145;&#22825;&#39532;\GS_Tianma%20(000050.SZ)%20model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root\Projects\Research\hk\gc_tech_telco\GC%20Tech\Models\Will%20Semi\Will%20Semi%20model_Lynn%20pub%20110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CJin\Models\Hundsun\WIP\GS%20Hundsun%20model20160722%201H%20Preliminary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hina_innovation\Display%20panel%20sector\BOE%20&#20140;&#19996;&#26041;\Copy%20of%20GS_BOE%20(000725.SZ)%20model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hina_innovation\LED%20sector\Companies\Nationstar%20&#22269;&#26143;&#20809;&#30005;\GS_Nationstar%20model.xlsm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root\Projects\Research\hk\gc_tech_telco\GC%20Tech\Models\Maxscend\Maxscend%20wip.xlsx" TargetMode="External"/><Relationship Id="rId1" Type="http://schemas.openxmlformats.org/officeDocument/2006/relationships/externalLinkPath" Target="file:///\\firmwide.corp.gs.com\root\Projects\Research\hk\gc_tech_telco\GC%20Tech\Models\Maxscend\Maxscend%20wip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hina_innovation\Display%20panel%20sector\BOE%20&#20140;&#19996;&#26041;\Others\Market%20data%20tab\GS_Tianma%20(000050.SZ)%20model%20backu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hina_innovation\Display%20panel%20sector\BOE%20&#20140;&#19996;&#26041;\GS_BOE%20(000725.SZ)%20model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root\Projects\worldshare\Quantum\Exchange%20Sheet%20Linking\Greater%20China%20Telecoms%20and%20Technology\000063.SZ\GS_ZTE%20000063.SZ%2020190328_V1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CJin\Models\Shiji\WIP\GS%20Shiji%20model20150925Initiation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CJin\Models\iFLYTek\WIP\GS%20iFLYTEK%20model%2020150925Industry%20update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hk\DLu\SLi\Models\Talkweb\WIP\GS%20Talkweb%20model20130730WIP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root\Projects\Research\hk\gc_tech_telco\GC%20Tech\Models\Maxscend\Maxscend_191003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SLi\Models\Aisino\Copy%20of%20GS%20Aisino%20model%2020150824WIP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rroot\Projects\hk\gc_tech_telco\GC%20Tech\Models\Sanan\Sanan%20model_wip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root\DLu\SLi\Models\O-Film\WIP\BERNARD\CHEMS\COS\China\000422.SZ%20Hubei%20Yihua\000422%20Hubei%20Yihu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SLi\Models\O-Film\WIP\GS%20O-Film%20model%2020140730WI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SLi\Models\Joyson\WIP\GS%20Joyson%20model20141028WIP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root\Projects\Research\hk\gc_tech_telco\GC%20Tech\Models\FIT\FIT%20model%20wi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Research\hk\gc_tech_telco\Tech%201Q\Models\Largan\GS_Largan%20(3008.TW)%20operating%20model_sy_v1_clearing%20with%20QV%20team,%20pls%20dont%20chang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SLi\Models\O-Film\WIP\BERNARD\CHEMS\COS\China\000422.SZ%20Hubei%20Yihua\000422%20Hubei%20Yihu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CJin\Models\NavInfo\WIP\GS%20NavInfo%20model20151026WIP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Lu\CJin\Models\Ultrapower\GS%20Ultrapower%20Model%2020160223%20PreliminaryFY15_updated%20resul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Model"/>
      <sheetName val="Model (post deal)"/>
      <sheetName val="Driver"/>
      <sheetName val="Raw Data"/>
      <sheetName val="Market Data"/>
      <sheetName val="Raw Data (post deal)"/>
      <sheetName val="Basic Data_Wind (adjusted)"/>
      <sheetName val="Basic Data_Wind"/>
      <sheetName val="Raw Data (post deal) (old)"/>
      <sheetName val="Ratios"/>
      <sheetName val="GS vs. BBG"/>
      <sheetName val="Chart"/>
      <sheetName val="000413.SZ_Exchange_Sheet"/>
      <sheetName val="Output"/>
      <sheetName val="000413.SZ_Live_Sheet"/>
      <sheetName val="000413.SZ_Validation_Sheet"/>
      <sheetName val="000413.SZ_Annotation_Sheet"/>
    </sheetNames>
    <sheetDataSet>
      <sheetData sheetId="0" refreshError="1"/>
      <sheetData sheetId="1">
        <row r="10">
          <cell r="AA10">
            <v>29456.628749624699</v>
          </cell>
        </row>
      </sheetData>
      <sheetData sheetId="2" refreshError="1"/>
      <sheetData sheetId="3">
        <row r="4">
          <cell r="K4">
            <v>9991.1204456357973</v>
          </cell>
        </row>
      </sheetData>
      <sheetData sheetId="4" refreshError="1"/>
      <sheetData sheetId="5">
        <row r="142">
          <cell r="AF142">
            <v>6.1882157934048516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33">
          <cell r="AA33">
            <v>6.7258415429027968E-2</v>
          </cell>
        </row>
      </sheetData>
      <sheetData sheetId="11" refreshError="1"/>
      <sheetData sheetId="12">
        <row r="90">
          <cell r="H90">
            <v>0.12</v>
          </cell>
        </row>
      </sheetData>
      <sheetData sheetId="13">
        <row r="1">
          <cell r="A1" t="str">
            <v>Issuer: Dongxu Optoelectronic Technology Co.</v>
          </cell>
          <cell r="F1" t="str">
            <v>2006</v>
          </cell>
          <cell r="G1" t="str">
            <v>2007</v>
          </cell>
          <cell r="H1" t="str">
            <v>2008</v>
          </cell>
          <cell r="I1" t="str">
            <v>2009</v>
          </cell>
          <cell r="J1" t="str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 t="str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 t="str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 t="str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 t="str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 t="str">
            <v>2015</v>
          </cell>
          <cell r="AJ1" t="str">
            <v>2016 Q1</v>
          </cell>
          <cell r="AK1" t="str">
            <v>2016 Q2</v>
          </cell>
          <cell r="AL1" t="str">
            <v>2016 Q3</v>
          </cell>
          <cell r="AM1" t="str">
            <v>2016 Q4</v>
          </cell>
          <cell r="AN1" t="str">
            <v>2016</v>
          </cell>
          <cell r="AO1" t="str">
            <v>2017 Q1</v>
          </cell>
          <cell r="AP1" t="str">
            <v>2017 Q2</v>
          </cell>
          <cell r="AQ1" t="str">
            <v>2017 Q3</v>
          </cell>
          <cell r="AR1" t="str">
            <v>2017 Q4</v>
          </cell>
          <cell r="AS1" t="str">
            <v>2017</v>
          </cell>
          <cell r="AT1" t="str">
            <v>2018 Q1</v>
          </cell>
          <cell r="AU1" t="str">
            <v>2018 Q2</v>
          </cell>
          <cell r="AV1" t="str">
            <v>2018 Q3</v>
          </cell>
          <cell r="AW1" t="str">
            <v>2018 Q4</v>
          </cell>
          <cell r="AX1">
            <v>2018</v>
          </cell>
          <cell r="AY1" t="str">
            <v>2019 Q1</v>
          </cell>
          <cell r="AZ1" t="str">
            <v>2019 Q2</v>
          </cell>
          <cell r="BA1" t="str">
            <v>2019 Q3</v>
          </cell>
          <cell r="BB1" t="str">
            <v>2019 Q4</v>
          </cell>
          <cell r="BC1" t="str">
            <v>2019</v>
          </cell>
          <cell r="BD1" t="str">
            <v>2020 Q1</v>
          </cell>
          <cell r="BE1" t="str">
            <v>2020 Q2</v>
          </cell>
          <cell r="BF1" t="str">
            <v>2020 Q3</v>
          </cell>
          <cell r="BG1" t="str">
            <v>2020 Q4</v>
          </cell>
          <cell r="BH1" t="str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  <cell r="BF2" t="str">
            <v>Estimate</v>
          </cell>
          <cell r="BG2" t="str">
            <v>Estimate</v>
          </cell>
          <cell r="BH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42094</v>
          </cell>
          <cell r="AF3">
            <v>42185</v>
          </cell>
          <cell r="AG3">
            <v>42277</v>
          </cell>
          <cell r="AH3">
            <v>42369</v>
          </cell>
          <cell r="AI3">
            <v>42369</v>
          </cell>
          <cell r="AJ3">
            <v>42460</v>
          </cell>
          <cell r="AK3">
            <v>42551</v>
          </cell>
          <cell r="AL3">
            <v>42643</v>
          </cell>
          <cell r="AM3">
            <v>42735</v>
          </cell>
          <cell r="AN3">
            <v>42735</v>
          </cell>
          <cell r="AO3">
            <v>42825</v>
          </cell>
          <cell r="AP3">
            <v>42916</v>
          </cell>
          <cell r="AQ3">
            <v>43008</v>
          </cell>
          <cell r="AR3">
            <v>43100</v>
          </cell>
          <cell r="AS3">
            <v>43100</v>
          </cell>
          <cell r="AT3">
            <v>43190</v>
          </cell>
          <cell r="AU3">
            <v>43281</v>
          </cell>
          <cell r="AV3">
            <v>43373</v>
          </cell>
          <cell r="AW3">
            <v>43465</v>
          </cell>
          <cell r="AX3">
            <v>43465</v>
          </cell>
          <cell r="AY3">
            <v>43555</v>
          </cell>
          <cell r="AZ3">
            <v>43646</v>
          </cell>
          <cell r="BA3">
            <v>43738</v>
          </cell>
          <cell r="BB3">
            <v>43830</v>
          </cell>
          <cell r="BC3">
            <v>43830</v>
          </cell>
          <cell r="BD3">
            <v>43921</v>
          </cell>
          <cell r="BE3">
            <v>44012</v>
          </cell>
          <cell r="BF3">
            <v>44104</v>
          </cell>
          <cell r="BG3">
            <v>44196</v>
          </cell>
          <cell r="BH3">
            <v>44196</v>
          </cell>
        </row>
        <row r="4">
          <cell r="A4" t="str">
            <v>Issuer: Dongxu Optoelectronic Technology Co.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Dongxu Optoelectronic Technology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F11">
            <v>231.60831031000001</v>
          </cell>
          <cell r="G11">
            <v>228.14118138000001</v>
          </cell>
          <cell r="H11">
            <v>205.22499141999998</v>
          </cell>
          <cell r="I11">
            <v>62.037023099999999</v>
          </cell>
          <cell r="J11">
            <v>78.353207420000004</v>
          </cell>
          <cell r="K11">
            <v>10.82726491</v>
          </cell>
          <cell r="L11">
            <v>15.992923530000002</v>
          </cell>
          <cell r="M11">
            <v>35.810612229999997</v>
          </cell>
          <cell r="N11">
            <v>41.794659280000005</v>
          </cell>
          <cell r="O11">
            <v>104.42545995</v>
          </cell>
          <cell r="P11">
            <v>207.76442893999999</v>
          </cell>
          <cell r="Q11">
            <v>153.59131723000004</v>
          </cell>
          <cell r="R11">
            <v>217.23819307000002</v>
          </cell>
          <cell r="S11">
            <v>200.34123059000001</v>
          </cell>
          <cell r="T11">
            <v>778.93516983000006</v>
          </cell>
          <cell r="U11">
            <v>191.29712626</v>
          </cell>
          <cell r="V11">
            <v>63.745227820000025</v>
          </cell>
          <cell r="W11">
            <v>282.53759538999998</v>
          </cell>
          <cell r="X11">
            <v>394.32073352000009</v>
          </cell>
          <cell r="Y11">
            <v>931.90068299000006</v>
          </cell>
          <cell r="Z11">
            <v>577.39930603999994</v>
          </cell>
          <cell r="AA11">
            <v>332.57543705000012</v>
          </cell>
          <cell r="AB11">
            <v>277.51613752999981</v>
          </cell>
          <cell r="AC11">
            <v>413.25986507000016</v>
          </cell>
          <cell r="AD11">
            <v>1600.75074569</v>
          </cell>
          <cell r="AE11">
            <v>598.85873042999992</v>
          </cell>
          <cell r="AF11">
            <v>925.38399347000018</v>
          </cell>
          <cell r="AG11">
            <v>998.67844678999995</v>
          </cell>
          <cell r="AH11">
            <v>2127.2872774100001</v>
          </cell>
          <cell r="AI11">
            <v>4650.2084481000002</v>
          </cell>
          <cell r="AJ11">
            <v>1581.69083417</v>
          </cell>
          <cell r="AK11">
            <v>1300.3683202399998</v>
          </cell>
          <cell r="AL11">
            <v>1379.6243933000005</v>
          </cell>
          <cell r="AM11">
            <v>2639.6375749399995</v>
          </cell>
          <cell r="AN11">
            <v>6901.3211226499998</v>
          </cell>
          <cell r="AO11">
            <v>2169.6282150799998</v>
          </cell>
          <cell r="AP11">
            <v>2471.6573128299997</v>
          </cell>
          <cell r="AQ11">
            <v>3227.3602956700006</v>
          </cell>
          <cell r="AR11">
            <v>9467.7183345499998</v>
          </cell>
          <cell r="AS11">
            <v>17336.36415813</v>
          </cell>
          <cell r="AT11">
            <v>4665.7515996599996</v>
          </cell>
          <cell r="AU11">
            <v>6464.100191219999</v>
          </cell>
          <cell r="AV11">
            <v>6263.0905687036466</v>
          </cell>
          <cell r="AW11">
            <v>8295.7012896069718</v>
          </cell>
          <cell r="AX11">
            <v>25688.643649190621</v>
          </cell>
          <cell r="AY11">
            <v>5299.4124817433549</v>
          </cell>
          <cell r="AZ11">
            <v>6754.918059128946</v>
          </cell>
          <cell r="BA11">
            <v>6633.3208047025055</v>
          </cell>
          <cell r="BB11">
            <v>10768.977404049892</v>
          </cell>
          <cell r="BC11">
            <v>29456.628749624699</v>
          </cell>
          <cell r="BH11">
            <v>35260.64835158411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F13">
            <v>-205.90432475</v>
          </cell>
          <cell r="G13">
            <v>-196.70430752999999</v>
          </cell>
          <cell r="H13">
            <v>-176.91153937000001</v>
          </cell>
          <cell r="I13">
            <v>-62.54840694</v>
          </cell>
          <cell r="J13">
            <v>-74.875455909999999</v>
          </cell>
          <cell r="O13">
            <v>-67.742417660000001</v>
          </cell>
          <cell r="T13">
            <v>-379.77315264999999</v>
          </cell>
          <cell r="Y13">
            <v>-409.80339101999999</v>
          </cell>
          <cell r="AD13">
            <v>-1046.0226104000001</v>
          </cell>
          <cell r="AI13">
            <v>-2800.3535180399999</v>
          </cell>
          <cell r="AN13">
            <v>-4821.6027662400002</v>
          </cell>
          <cell r="AS13">
            <v>-13723.971704920001</v>
          </cell>
          <cell r="AX13">
            <v>-20874.687527423855</v>
          </cell>
          <cell r="BC13">
            <v>-24444.663791174909</v>
          </cell>
          <cell r="BH13">
            <v>-29436.138343820545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F14">
            <v>-33.172015260000002</v>
          </cell>
          <cell r="G14">
            <v>-22.379434740000001</v>
          </cell>
          <cell r="H14">
            <v>-22.44178866</v>
          </cell>
          <cell r="I14">
            <v>-21.328610599999998</v>
          </cell>
          <cell r="J14">
            <v>-19.238652700000003</v>
          </cell>
          <cell r="O14">
            <v>-24.55492104</v>
          </cell>
          <cell r="T14">
            <v>-90.849296939999988</v>
          </cell>
          <cell r="Y14">
            <v>-119.98720162999999</v>
          </cell>
          <cell r="AD14">
            <v>-293.96591452999996</v>
          </cell>
          <cell r="AI14">
            <v>-502.28258096999997</v>
          </cell>
          <cell r="AN14">
            <v>-534.68087520999995</v>
          </cell>
          <cell r="AS14">
            <v>-940.93124757999999</v>
          </cell>
          <cell r="AX14">
            <v>-1657.7664931182253</v>
          </cell>
          <cell r="BC14">
            <v>-1914.6808687256053</v>
          </cell>
          <cell r="BH14">
            <v>-2291.9421428529672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F15">
            <v>-239.07634001</v>
          </cell>
          <cell r="G15">
            <v>-219.08374226999999</v>
          </cell>
          <cell r="H15">
            <v>-199.35332803</v>
          </cell>
          <cell r="I15">
            <v>-83.877017539999997</v>
          </cell>
          <cell r="J15">
            <v>-94.114108610000002</v>
          </cell>
          <cell r="O15">
            <v>-92.297338699999997</v>
          </cell>
          <cell r="T15">
            <v>-470.62244958999997</v>
          </cell>
          <cell r="Y15">
            <v>-529.79059265000001</v>
          </cell>
          <cell r="AD15">
            <v>-1339.98852493</v>
          </cell>
          <cell r="AI15">
            <v>-3302.6360990099997</v>
          </cell>
          <cell r="AN15">
            <v>-5356.2836414499998</v>
          </cell>
          <cell r="AS15">
            <v>-14664.902952500001</v>
          </cell>
          <cell r="AX15">
            <v>-22532.454020542082</v>
          </cell>
          <cell r="BC15">
            <v>-26359.344659900515</v>
          </cell>
          <cell r="BH15">
            <v>-31728.080486673512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O16">
            <v>0</v>
          </cell>
          <cell r="T16">
            <v>0</v>
          </cell>
          <cell r="Y16">
            <v>0</v>
          </cell>
          <cell r="AD16">
            <v>0</v>
          </cell>
          <cell r="AI16">
            <v>0</v>
          </cell>
          <cell r="AN16">
            <v>0</v>
          </cell>
          <cell r="AS16">
            <v>0</v>
          </cell>
          <cell r="AX16">
            <v>0</v>
          </cell>
          <cell r="BC16">
            <v>0</v>
          </cell>
          <cell r="BH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O17">
            <v>0</v>
          </cell>
          <cell r="T17">
            <v>0</v>
          </cell>
          <cell r="Y17">
            <v>0</v>
          </cell>
          <cell r="AD17">
            <v>0</v>
          </cell>
          <cell r="AI17">
            <v>0</v>
          </cell>
          <cell r="AN17">
            <v>0</v>
          </cell>
          <cell r="AS17">
            <v>0</v>
          </cell>
          <cell r="AX17">
            <v>0</v>
          </cell>
          <cell r="BC17">
            <v>0</v>
          </cell>
          <cell r="BH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F18">
            <v>-239.07634001</v>
          </cell>
          <cell r="G18">
            <v>-219.08374226999996</v>
          </cell>
          <cell r="H18">
            <v>-199.35332803</v>
          </cell>
          <cell r="I18">
            <v>-83.877017539999997</v>
          </cell>
          <cell r="J18">
            <v>-94.114108610000002</v>
          </cell>
          <cell r="O18">
            <v>-92.297338700000012</v>
          </cell>
          <cell r="T18">
            <v>-470.62244958999997</v>
          </cell>
          <cell r="Y18">
            <v>-529.79059265000001</v>
          </cell>
          <cell r="AD18">
            <v>-1339.98852493</v>
          </cell>
          <cell r="AI18">
            <v>-3302.6360990099997</v>
          </cell>
          <cell r="AN18">
            <v>-5356.2836414500007</v>
          </cell>
          <cell r="AS18">
            <v>-14664.902952500001</v>
          </cell>
          <cell r="AX18">
            <v>-22532.454020542085</v>
          </cell>
          <cell r="BC18">
            <v>-26359.344659900515</v>
          </cell>
          <cell r="BH18">
            <v>-31728.080486673516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F19">
            <v>-224.27818101</v>
          </cell>
          <cell r="G19">
            <v>-203.51654245999998</v>
          </cell>
          <cell r="H19">
            <v>-183.70949644999999</v>
          </cell>
          <cell r="I19">
            <v>-68.344866769999996</v>
          </cell>
          <cell r="J19">
            <v>-78.672133099999996</v>
          </cell>
          <cell r="O19">
            <v>-78.555818630000005</v>
          </cell>
          <cell r="T19">
            <v>-458.19220287999997</v>
          </cell>
          <cell r="Y19">
            <v>-518.14564276999999</v>
          </cell>
          <cell r="AD19">
            <v>-1109.8782033300001</v>
          </cell>
          <cell r="AI19">
            <v>-2944.6037520299997</v>
          </cell>
          <cell r="AN19">
            <v>-4807.4516898900001</v>
          </cell>
          <cell r="AS19">
            <v>-13628.206429290001</v>
          </cell>
          <cell r="AX19">
            <v>-21403.568066607862</v>
          </cell>
          <cell r="BC19">
            <v>-25037.754858697404</v>
          </cell>
          <cell r="BH19">
            <v>-30352.432828938676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F20">
            <v>7.3301293000000101</v>
          </cell>
          <cell r="G20">
            <v>24.624638920000024</v>
          </cell>
          <cell r="H20">
            <v>21.515494969999992</v>
          </cell>
          <cell r="I20">
            <v>-6.3078436699999969</v>
          </cell>
          <cell r="J20">
            <v>-0.31892567999999244</v>
          </cell>
          <cell r="O20">
            <v>25.869641319999999</v>
          </cell>
          <cell r="T20">
            <v>320.7429669500001</v>
          </cell>
          <cell r="Y20">
            <v>413.75504022000007</v>
          </cell>
          <cell r="AD20">
            <v>490.8725423599999</v>
          </cell>
          <cell r="AI20">
            <v>1705.6046960700005</v>
          </cell>
          <cell r="AN20">
            <v>2093.8694327599997</v>
          </cell>
          <cell r="AS20">
            <v>3708.1577288399985</v>
          </cell>
          <cell r="AX20">
            <v>4285.0755825827582</v>
          </cell>
          <cell r="BC20">
            <v>4418.8738909272943</v>
          </cell>
          <cell r="BH20">
            <v>4908.2155226454342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F21">
            <v>-14.465394999999999</v>
          </cell>
          <cell r="G21">
            <v>-15.232786089999999</v>
          </cell>
          <cell r="H21">
            <v>-15.31261986</v>
          </cell>
          <cell r="I21">
            <v>-15.190832619999998</v>
          </cell>
          <cell r="J21">
            <v>-15.10820275</v>
          </cell>
          <cell r="O21">
            <v>-13.41430635</v>
          </cell>
          <cell r="T21">
            <v>-11.461342330000001</v>
          </cell>
          <cell r="Y21">
            <v>-9.8995988199999996</v>
          </cell>
          <cell r="AD21">
            <v>-218.4817291</v>
          </cell>
          <cell r="AI21">
            <v>-339.60834867</v>
          </cell>
          <cell r="AN21">
            <v>-526.34151111999995</v>
          </cell>
          <cell r="AS21">
            <v>-997.21968224</v>
          </cell>
          <cell r="AX21">
            <v>-1057.7988931599998</v>
          </cell>
          <cell r="BC21">
            <v>-1250.5027404288887</v>
          </cell>
          <cell r="BH21">
            <v>-1304.5605969606172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F22">
            <v>-0.332764</v>
          </cell>
          <cell r="G22">
            <v>-0.33441371999999997</v>
          </cell>
          <cell r="H22">
            <v>-0.33121171999999999</v>
          </cell>
          <cell r="I22">
            <v>-0.34131814999999999</v>
          </cell>
          <cell r="J22">
            <v>-0.33377276</v>
          </cell>
          <cell r="O22">
            <v>-0.32721371999999999</v>
          </cell>
          <cell r="T22">
            <v>-0.96890438000000001</v>
          </cell>
          <cell r="Y22">
            <v>-1.74535106</v>
          </cell>
          <cell r="AD22">
            <v>-11.6285925</v>
          </cell>
          <cell r="AI22">
            <v>-18.423998310000002</v>
          </cell>
          <cell r="AN22">
            <v>-22.49044044</v>
          </cell>
          <cell r="AS22">
            <v>-39.476840969999998</v>
          </cell>
          <cell r="AX22">
            <v>-71.087060774220305</v>
          </cell>
          <cell r="BC22">
            <v>-71.087060774220305</v>
          </cell>
          <cell r="BH22">
            <v>-71.087060774220305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F23">
            <v>-7.4680296999999882</v>
          </cell>
          <cell r="G23">
            <v>9.0574391100000469</v>
          </cell>
          <cell r="H23">
            <v>5.8716633899999806</v>
          </cell>
          <cell r="I23">
            <v>-21.839994439999998</v>
          </cell>
          <cell r="J23">
            <v>-15.760901189999998</v>
          </cell>
          <cell r="K23">
            <v>-6.7060416699999976</v>
          </cell>
          <cell r="L23">
            <v>-3.2423686299999952</v>
          </cell>
          <cell r="M23">
            <v>7.8576966999999964</v>
          </cell>
          <cell r="N23">
            <v>14.218834850000002</v>
          </cell>
          <cell r="O23">
            <v>12.128121249999992</v>
          </cell>
          <cell r="P23">
            <v>66.657039239999989</v>
          </cell>
          <cell r="Q23">
            <v>53.740391090000031</v>
          </cell>
          <cell r="R23">
            <v>104.33670408000005</v>
          </cell>
          <cell r="S23">
            <v>83.578585830000009</v>
          </cell>
          <cell r="T23">
            <v>308.31272024000009</v>
          </cell>
          <cell r="U23">
            <v>103.92332891999999</v>
          </cell>
          <cell r="V23">
            <v>-17.963811729999961</v>
          </cell>
          <cell r="W23">
            <v>101.09334587999996</v>
          </cell>
          <cell r="X23">
            <v>215.05722727000008</v>
          </cell>
          <cell r="Y23">
            <v>402.11009034000006</v>
          </cell>
          <cell r="Z23">
            <v>273.27547409999994</v>
          </cell>
          <cell r="AA23">
            <v>103.57210903000014</v>
          </cell>
          <cell r="AB23">
            <v>48.283564099999808</v>
          </cell>
          <cell r="AC23">
            <v>-164.36892646999991</v>
          </cell>
          <cell r="AD23">
            <v>260.76222075999999</v>
          </cell>
          <cell r="AE23">
            <v>125.35696382999993</v>
          </cell>
          <cell r="AF23">
            <v>315.56080307000025</v>
          </cell>
          <cell r="AG23">
            <v>239.4380692899999</v>
          </cell>
          <cell r="AH23">
            <v>667.21651290000023</v>
          </cell>
          <cell r="AI23">
            <v>1347.5723490900004</v>
          </cell>
          <cell r="AJ23">
            <v>382.09124154999984</v>
          </cell>
          <cell r="AK23">
            <v>272.9325599199999</v>
          </cell>
          <cell r="AL23">
            <v>323.60301844000054</v>
          </cell>
          <cell r="AM23">
            <v>566.41066128999933</v>
          </cell>
          <cell r="AN23">
            <v>1545.0374811999991</v>
          </cell>
          <cell r="AO23">
            <v>555.27308229999994</v>
          </cell>
          <cell r="AP23">
            <v>479.17281107999952</v>
          </cell>
          <cell r="AQ23">
            <v>478.66148097000087</v>
          </cell>
          <cell r="AR23">
            <v>1158.3538312799988</v>
          </cell>
          <cell r="AS23">
            <v>2671.4612056299993</v>
          </cell>
          <cell r="AT23">
            <v>710.45619397999963</v>
          </cell>
          <cell r="AU23">
            <v>727.43918393000001</v>
          </cell>
          <cell r="AV23">
            <v>703.21056186997066</v>
          </cell>
          <cell r="AW23">
            <v>1015.0836888685674</v>
          </cell>
          <cell r="AX23">
            <v>3156.1896286485353</v>
          </cell>
          <cell r="AY23">
            <v>532.43953006273682</v>
          </cell>
          <cell r="AZ23">
            <v>749.89553015106253</v>
          </cell>
          <cell r="BA23">
            <v>797.25949179945223</v>
          </cell>
          <cell r="BB23">
            <v>1017.6895377109369</v>
          </cell>
          <cell r="BC23">
            <v>3097.284089724184</v>
          </cell>
          <cell r="BH23">
            <v>3532.5678649105939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F24">
            <v>1.4404659900000001</v>
          </cell>
          <cell r="G24">
            <v>1.231058E-2</v>
          </cell>
          <cell r="H24">
            <v>3.9530790000000003E-2</v>
          </cell>
          <cell r="I24">
            <v>4.9591260000000005E-2</v>
          </cell>
          <cell r="J24">
            <v>1.2889020000000001E-2</v>
          </cell>
          <cell r="O24">
            <v>2.087133E-2</v>
          </cell>
          <cell r="T24">
            <v>0.34885218000000001</v>
          </cell>
          <cell r="Y24">
            <v>11.64599875</v>
          </cell>
          <cell r="AD24">
            <v>13.023572010000001</v>
          </cell>
          <cell r="AI24">
            <v>55.904591070000002</v>
          </cell>
          <cell r="AN24">
            <v>239.46877621000002</v>
          </cell>
          <cell r="AS24">
            <v>440.83309894999996</v>
          </cell>
          <cell r="AX24">
            <v>440.68774083625811</v>
          </cell>
          <cell r="BC24">
            <v>475.66774243460344</v>
          </cell>
          <cell r="BH24">
            <v>527.8756230552882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F25">
            <v>-11.70608107</v>
          </cell>
          <cell r="G25">
            <v>-1.3413751100000002</v>
          </cell>
          <cell r="H25">
            <v>-1.4261151099999998</v>
          </cell>
          <cell r="I25">
            <v>-1.0284008099999999</v>
          </cell>
          <cell r="J25">
            <v>-0.94681300999999962</v>
          </cell>
          <cell r="O25">
            <v>-0.46321526999999973</v>
          </cell>
          <cell r="T25">
            <v>-0.11532825000000001</v>
          </cell>
          <cell r="Y25">
            <v>-13.796050650000002</v>
          </cell>
          <cell r="AD25">
            <v>-87.319235330000012</v>
          </cell>
          <cell r="AI25">
            <v>-355.62054107999995</v>
          </cell>
          <cell r="AN25">
            <v>-564.65901718999999</v>
          </cell>
          <cell r="AS25">
            <v>-1176.69046953</v>
          </cell>
          <cell r="AX25">
            <v>-1183.5985543630002</v>
          </cell>
          <cell r="BC25">
            <v>-1070.5349013158802</v>
          </cell>
          <cell r="BH25">
            <v>-1184.5349013158802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F26">
            <v>-10.26561508</v>
          </cell>
          <cell r="G26">
            <v>-1.3290645300000001</v>
          </cell>
          <cell r="H26">
            <v>-1.3865843199999999</v>
          </cell>
          <cell r="I26">
            <v>-0.97880954999999992</v>
          </cell>
          <cell r="J26">
            <v>-0.93392398999999959</v>
          </cell>
          <cell r="O26">
            <v>-0.44234393999999971</v>
          </cell>
          <cell r="T26">
            <v>0.23352392999999999</v>
          </cell>
          <cell r="Y26">
            <v>-2.1500519000000011</v>
          </cell>
          <cell r="AD26">
            <v>-74.295663320000017</v>
          </cell>
          <cell r="AI26">
            <v>-299.71595000999997</v>
          </cell>
          <cell r="AN26">
            <v>-325.19024098</v>
          </cell>
          <cell r="AS26">
            <v>-735.85737057999995</v>
          </cell>
          <cell r="AX26">
            <v>-742.910813526742</v>
          </cell>
          <cell r="BC26">
            <v>-594.86715888127674</v>
          </cell>
          <cell r="BH26">
            <v>-656.65927826059203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O27">
            <v>0</v>
          </cell>
          <cell r="T27">
            <v>0</v>
          </cell>
          <cell r="Y27">
            <v>0</v>
          </cell>
          <cell r="AD27">
            <v>0</v>
          </cell>
          <cell r="AI27">
            <v>0.42625240999999997</v>
          </cell>
          <cell r="AN27">
            <v>-7.1448710000000012E-2</v>
          </cell>
          <cell r="AS27">
            <v>4.6632540000000002</v>
          </cell>
          <cell r="AX27">
            <v>4.6632540000000002</v>
          </cell>
          <cell r="BC27">
            <v>4.6632540000000002</v>
          </cell>
          <cell r="BH27">
            <v>4.6632540000000002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O28">
            <v>0</v>
          </cell>
          <cell r="T28">
            <v>0</v>
          </cell>
          <cell r="Y28">
            <v>0</v>
          </cell>
          <cell r="AD28">
            <v>0</v>
          </cell>
          <cell r="AI28">
            <v>0</v>
          </cell>
          <cell r="AN28">
            <v>0</v>
          </cell>
          <cell r="AS28">
            <v>0</v>
          </cell>
          <cell r="AX28">
            <v>0</v>
          </cell>
          <cell r="BC28">
            <v>0</v>
          </cell>
          <cell r="BH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F29">
            <v>-58.325124710000011</v>
          </cell>
          <cell r="G29">
            <v>10.737967059999963</v>
          </cell>
          <cell r="H29">
            <v>0.63634920999998634</v>
          </cell>
          <cell r="I29">
            <v>-9.5814995100000022</v>
          </cell>
          <cell r="J29">
            <v>22.639829349999999</v>
          </cell>
          <cell r="O29">
            <v>3.1476803400000106</v>
          </cell>
          <cell r="T29">
            <v>18.066151999999978</v>
          </cell>
          <cell r="Y29">
            <v>147.42401726000003</v>
          </cell>
          <cell r="AD29">
            <v>451.85426627000004</v>
          </cell>
          <cell r="AI29">
            <v>582.02404155999989</v>
          </cell>
          <cell r="AN29">
            <v>305.4429200600008</v>
          </cell>
          <cell r="AS29">
            <v>340.63238932000019</v>
          </cell>
          <cell r="AX29">
            <v>359.09053940000473</v>
          </cell>
          <cell r="BC29">
            <v>359.09053940000064</v>
          </cell>
          <cell r="BH29">
            <v>359.09053940000462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F30">
            <v>-76.058769490000003</v>
          </cell>
          <cell r="G30">
            <v>18.46634164000001</v>
          </cell>
          <cell r="H30">
            <v>5.1214282799999671</v>
          </cell>
          <cell r="I30">
            <v>-32.4003035</v>
          </cell>
          <cell r="J30">
            <v>5.9450041700000007</v>
          </cell>
          <cell r="O30">
            <v>14.833457650000003</v>
          </cell>
          <cell r="T30">
            <v>326.61239617000007</v>
          </cell>
          <cell r="Y30">
            <v>547.38405570000009</v>
          </cell>
          <cell r="AD30">
            <v>638.32082371000001</v>
          </cell>
          <cell r="AI30">
            <v>1630.3066930500004</v>
          </cell>
          <cell r="AN30">
            <v>1525.2187115699999</v>
          </cell>
          <cell r="AS30">
            <v>2280.8994783699995</v>
          </cell>
          <cell r="AX30">
            <v>2777.032608521798</v>
          </cell>
          <cell r="BC30">
            <v>2866.1707242429079</v>
          </cell>
          <cell r="BH30">
            <v>3239.6623800500065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</row>
        <row r="33">
          <cell r="B33" t="str">
            <v>Lease payments</v>
          </cell>
          <cell r="C33" t="str">
            <v>LEASE_PAY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O33">
            <v>0</v>
          </cell>
          <cell r="T33">
            <v>0</v>
          </cell>
          <cell r="Y33">
            <v>0</v>
          </cell>
          <cell r="AD33">
            <v>0</v>
          </cell>
          <cell r="AI33">
            <v>0</v>
          </cell>
          <cell r="AN33">
            <v>0</v>
          </cell>
          <cell r="AS33">
            <v>0</v>
          </cell>
          <cell r="AX33">
            <v>0</v>
          </cell>
          <cell r="BC33">
            <v>0</v>
          </cell>
          <cell r="BH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  <cell r="F36">
            <v>-11.70608107</v>
          </cell>
          <cell r="G36">
            <v>-1.3413751100000002</v>
          </cell>
          <cell r="H36">
            <v>-1.4261151099999998</v>
          </cell>
          <cell r="I36">
            <v>-1.0284008099999999</v>
          </cell>
          <cell r="J36">
            <v>-0.94681300999999962</v>
          </cell>
          <cell r="O36">
            <v>-0.46321526999999973</v>
          </cell>
          <cell r="T36">
            <v>-0.11532825000000001</v>
          </cell>
          <cell r="Y36">
            <v>-13.796050650000002</v>
          </cell>
          <cell r="AD36">
            <v>-87.319235330000012</v>
          </cell>
          <cell r="AI36">
            <v>-355.62054107999995</v>
          </cell>
          <cell r="AN36">
            <v>-564.65901718999999</v>
          </cell>
          <cell r="AS36">
            <v>-1176.69046953</v>
          </cell>
          <cell r="AX36">
            <v>-1183.5985543630002</v>
          </cell>
          <cell r="BC36">
            <v>-1070.5349013158802</v>
          </cell>
          <cell r="BH36">
            <v>-1184.5349013158802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CNY</v>
          </cell>
          <cell r="F39">
            <v>1.78140586</v>
          </cell>
          <cell r="G39">
            <v>14.70527208</v>
          </cell>
          <cell r="H39">
            <v>17.507703020000001</v>
          </cell>
          <cell r="I39">
            <v>4.8867798899999997</v>
          </cell>
          <cell r="J39">
            <v>10.211579960000002</v>
          </cell>
          <cell r="O39">
            <v>15.84722573</v>
          </cell>
          <cell r="T39">
            <v>110.77007084</v>
          </cell>
          <cell r="Y39">
            <v>2465.0109132399998</v>
          </cell>
          <cell r="AD39">
            <v>3349.8923840399998</v>
          </cell>
          <cell r="AI39">
            <v>11964.769404729999</v>
          </cell>
          <cell r="AN39">
            <v>25037.335091599998</v>
          </cell>
          <cell r="AS39">
            <v>25029.079405240002</v>
          </cell>
          <cell r="AX39">
            <v>27015.785992400804</v>
          </cell>
          <cell r="BC39">
            <v>29980.958536467402</v>
          </cell>
          <cell r="BH39">
            <v>30627.718150390672</v>
          </cell>
        </row>
        <row r="40">
          <cell r="B40" t="str">
            <v>Accounts receivable</v>
          </cell>
          <cell r="C40" t="str">
            <v>DEBTORS</v>
          </cell>
          <cell r="D40" t="str">
            <v>CNY</v>
          </cell>
          <cell r="F40">
            <v>135.91368903</v>
          </cell>
          <cell r="G40">
            <v>144.36236923999999</v>
          </cell>
          <cell r="H40">
            <v>124.91872265000001</v>
          </cell>
          <cell r="I40">
            <v>88.367414399999987</v>
          </cell>
          <cell r="J40">
            <v>30.25887268</v>
          </cell>
          <cell r="O40">
            <v>37.093575399999999</v>
          </cell>
          <cell r="T40">
            <v>593.33846719000007</v>
          </cell>
          <cell r="Y40">
            <v>1141.43642486</v>
          </cell>
          <cell r="AD40">
            <v>1053.4011468000001</v>
          </cell>
          <cell r="AI40">
            <v>1148.75033579</v>
          </cell>
          <cell r="AN40">
            <v>1894.1260139599999</v>
          </cell>
          <cell r="AS40">
            <v>9545.0900091999993</v>
          </cell>
          <cell r="AX40">
            <v>8297.4144868328858</v>
          </cell>
          <cell r="BC40">
            <v>12162.211100277853</v>
          </cell>
          <cell r="BH40">
            <v>12328.699565844314</v>
          </cell>
        </row>
        <row r="41">
          <cell r="B41" t="str">
            <v>Inventory</v>
          </cell>
          <cell r="C41" t="str">
            <v>STOCKS</v>
          </cell>
          <cell r="D41" t="str">
            <v>CNY</v>
          </cell>
          <cell r="F41">
            <v>24.469376199999999</v>
          </cell>
          <cell r="G41">
            <v>35.911975950000006</v>
          </cell>
          <cell r="H41">
            <v>45.658214549999997</v>
          </cell>
          <cell r="I41">
            <v>68.620043609999996</v>
          </cell>
          <cell r="J41">
            <v>144.05128162</v>
          </cell>
          <cell r="O41">
            <v>141.98200903</v>
          </cell>
          <cell r="T41">
            <v>168.71696267999999</v>
          </cell>
          <cell r="Y41">
            <v>298.61916507999996</v>
          </cell>
          <cell r="AD41">
            <v>616.09582074000002</v>
          </cell>
          <cell r="AI41">
            <v>2177.9796840599997</v>
          </cell>
          <cell r="AN41">
            <v>2688.9674362699998</v>
          </cell>
          <cell r="AS41">
            <v>4890.5191460299993</v>
          </cell>
          <cell r="AX41">
            <v>6991.1803823536575</v>
          </cell>
          <cell r="BC41">
            <v>6922.5201153200287</v>
          </cell>
          <cell r="BH41">
            <v>9832.2864233516157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CNY</v>
          </cell>
          <cell r="F42">
            <v>65.550205979999987</v>
          </cell>
          <cell r="G42">
            <v>67.127410160000039</v>
          </cell>
          <cell r="H42">
            <v>59.578269440000014</v>
          </cell>
          <cell r="I42">
            <v>59.223041730000006</v>
          </cell>
          <cell r="J42">
            <v>60.419995250000028</v>
          </cell>
          <cell r="O42">
            <v>63.825398109999981</v>
          </cell>
          <cell r="T42">
            <v>815.46155395999995</v>
          </cell>
          <cell r="Y42">
            <v>2986.2449803100012</v>
          </cell>
          <cell r="AD42">
            <v>4130.545376179999</v>
          </cell>
          <cell r="AI42">
            <v>2080.1925185800005</v>
          </cell>
          <cell r="AN42">
            <v>5084.668337740005</v>
          </cell>
          <cell r="AS42">
            <v>7061.2855848299951</v>
          </cell>
          <cell r="AX42">
            <v>6518.5363396699922</v>
          </cell>
          <cell r="BC42">
            <v>6518.5363396699995</v>
          </cell>
          <cell r="BH42">
            <v>6518.5363396700068</v>
          </cell>
        </row>
        <row r="43">
          <cell r="B43" t="str">
            <v>Total current assets</v>
          </cell>
          <cell r="C43" t="str">
            <v>CUR_ASS</v>
          </cell>
          <cell r="D43" t="str">
            <v>CNY</v>
          </cell>
          <cell r="F43">
            <v>227.71467706999999</v>
          </cell>
          <cell r="G43">
            <v>262.10702743000002</v>
          </cell>
          <cell r="H43">
            <v>247.66290966000003</v>
          </cell>
          <cell r="I43">
            <v>221.09727962999997</v>
          </cell>
          <cell r="J43">
            <v>244.94172951000002</v>
          </cell>
          <cell r="O43">
            <v>258.74820826999996</v>
          </cell>
          <cell r="T43">
            <v>1688.2870546700001</v>
          </cell>
          <cell r="Y43">
            <v>6891.3114834900007</v>
          </cell>
          <cell r="AD43">
            <v>9149.9347277599991</v>
          </cell>
          <cell r="AI43">
            <v>17371.69194316</v>
          </cell>
          <cell r="AN43">
            <v>34705.096879570003</v>
          </cell>
          <cell r="AS43">
            <v>46525.974145299995</v>
          </cell>
          <cell r="AX43">
            <v>48822.91720125734</v>
          </cell>
          <cell r="BC43">
            <v>55584.226091735283</v>
          </cell>
          <cell r="BH43">
            <v>59307.240479256609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CNY</v>
          </cell>
          <cell r="F44">
            <v>370.81704557</v>
          </cell>
          <cell r="G44">
            <v>369.60782728999999</v>
          </cell>
          <cell r="H44">
            <v>369.92209428000001</v>
          </cell>
          <cell r="I44">
            <v>369.96002434999997</v>
          </cell>
          <cell r="J44">
            <v>372.13367321999999</v>
          </cell>
          <cell r="O44">
            <v>270.89933189999999</v>
          </cell>
          <cell r="T44">
            <v>491.03783553999995</v>
          </cell>
          <cell r="Y44">
            <v>2361.2445261799999</v>
          </cell>
          <cell r="AD44">
            <v>9033.9365923800015</v>
          </cell>
          <cell r="AI44">
            <v>11187.057400020001</v>
          </cell>
          <cell r="AN44">
            <v>11869.526554329999</v>
          </cell>
          <cell r="AS44">
            <v>16885.161359269998</v>
          </cell>
          <cell r="AX44">
            <v>21580.871373269998</v>
          </cell>
          <cell r="BC44">
            <v>26107.339517269997</v>
          </cell>
          <cell r="BH44">
            <v>28330.883675269997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CNY</v>
          </cell>
          <cell r="F45">
            <v>-215.79733967999999</v>
          </cell>
          <cell r="G45">
            <v>-228.68804359000001</v>
          </cell>
          <cell r="H45">
            <v>-243.63753855000002</v>
          </cell>
          <cell r="I45">
            <v>-258.82837116999997</v>
          </cell>
          <cell r="J45">
            <v>-273.80581448999999</v>
          </cell>
          <cell r="O45">
            <v>-195.70001744000001</v>
          </cell>
          <cell r="T45">
            <v>-203.74257277000001</v>
          </cell>
          <cell r="Y45">
            <v>-193.33019880000001</v>
          </cell>
          <cell r="AD45">
            <v>-322.02139349000004</v>
          </cell>
          <cell r="AI45">
            <v>-853.81286837000005</v>
          </cell>
          <cell r="AN45">
            <v>-1144.25170497</v>
          </cell>
          <cell r="AS45">
            <v>-2540.4912963900001</v>
          </cell>
          <cell r="AX45">
            <v>-3598.2901895499999</v>
          </cell>
          <cell r="BC45">
            <v>-4848.7929299788884</v>
          </cell>
          <cell r="BH45">
            <v>-6153.3535269395052</v>
          </cell>
        </row>
        <row r="46">
          <cell r="B46" t="str">
            <v>Net PP&amp;E</v>
          </cell>
          <cell r="C46" t="str">
            <v>NET_FIX_ASS</v>
          </cell>
          <cell r="D46" t="str">
            <v>CNY</v>
          </cell>
          <cell r="F46">
            <v>155.01970589000001</v>
          </cell>
          <cell r="G46">
            <v>140.91978369999998</v>
          </cell>
          <cell r="H46">
            <v>126.28455572999999</v>
          </cell>
          <cell r="I46">
            <v>111.13165318</v>
          </cell>
          <cell r="J46">
            <v>98.327858730000003</v>
          </cell>
          <cell r="O46">
            <v>75.199314459999982</v>
          </cell>
          <cell r="T46">
            <v>287.29526276999991</v>
          </cell>
          <cell r="Y46">
            <v>2167.91432738</v>
          </cell>
          <cell r="AD46">
            <v>8711.9151988900012</v>
          </cell>
          <cell r="AI46">
            <v>10333.244531650002</v>
          </cell>
          <cell r="AN46">
            <v>10725.274849359999</v>
          </cell>
          <cell r="AS46">
            <v>14344.670062879997</v>
          </cell>
          <cell r="AX46">
            <v>17982.581183719998</v>
          </cell>
          <cell r="BC46">
            <v>21258.546587291108</v>
          </cell>
          <cell r="BH46">
            <v>22177.530148330494</v>
          </cell>
        </row>
        <row r="47">
          <cell r="B47" t="str">
            <v>Gross intangibles</v>
          </cell>
          <cell r="C47" t="str">
            <v>GR_INTANG</v>
          </cell>
          <cell r="D47" t="str">
            <v>CNY</v>
          </cell>
          <cell r="F47">
            <v>20.86884388</v>
          </cell>
          <cell r="G47">
            <v>23.75976232</v>
          </cell>
          <cell r="H47">
            <v>23.648524089999999</v>
          </cell>
          <cell r="I47">
            <v>23.66827202</v>
          </cell>
          <cell r="J47">
            <v>23.669970259999996</v>
          </cell>
          <cell r="O47">
            <v>16.005611000000002</v>
          </cell>
          <cell r="T47">
            <v>63.721887999999993</v>
          </cell>
          <cell r="Y47">
            <v>120.00922624999998</v>
          </cell>
          <cell r="AD47">
            <v>381.66127944999999</v>
          </cell>
          <cell r="AI47">
            <v>522.49980291999998</v>
          </cell>
          <cell r="AN47">
            <v>683.67045098999984</v>
          </cell>
          <cell r="AS47">
            <v>3757.6743974999999</v>
          </cell>
          <cell r="AX47">
            <v>3757.6743974999999</v>
          </cell>
          <cell r="BC47">
            <v>3757.6743974999999</v>
          </cell>
          <cell r="BH47">
            <v>3757.6743974999999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CNY</v>
          </cell>
          <cell r="F48">
            <v>0</v>
          </cell>
          <cell r="G48">
            <v>-3.2253321600000002</v>
          </cell>
          <cell r="H48">
            <v>-3.55654388</v>
          </cell>
          <cell r="I48">
            <v>-3.8528776000000002</v>
          </cell>
          <cell r="J48">
            <v>-4.1800913199999998</v>
          </cell>
          <cell r="O48">
            <v>-4.5073050400000003</v>
          </cell>
          <cell r="T48">
            <v>-5.47620942</v>
          </cell>
          <cell r="Y48">
            <v>-7.2215604800000008</v>
          </cell>
          <cell r="AD48">
            <v>-11.040632840000001</v>
          </cell>
          <cell r="AI48">
            <v>-43.64812903</v>
          </cell>
          <cell r="AN48">
            <v>-59.784013979999997</v>
          </cell>
          <cell r="AS48">
            <v>-151.57898849</v>
          </cell>
          <cell r="AX48">
            <v>-222.66604926422031</v>
          </cell>
          <cell r="BC48">
            <v>-293.75311003844058</v>
          </cell>
          <cell r="BH48">
            <v>-364.84017081266086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CNY</v>
          </cell>
          <cell r="F49">
            <v>20.86884388</v>
          </cell>
          <cell r="G49">
            <v>20.534430159999999</v>
          </cell>
          <cell r="H49">
            <v>20.091980209999999</v>
          </cell>
          <cell r="I49">
            <v>19.815394420000001</v>
          </cell>
          <cell r="J49">
            <v>19.489878939999997</v>
          </cell>
          <cell r="O49">
            <v>11.498305960000001</v>
          </cell>
          <cell r="T49">
            <v>58.245678579999989</v>
          </cell>
          <cell r="Y49">
            <v>112.78766576999999</v>
          </cell>
          <cell r="AD49">
            <v>370.62064660999999</v>
          </cell>
          <cell r="AI49">
            <v>478.85167388999997</v>
          </cell>
          <cell r="AN49">
            <v>623.88643700999978</v>
          </cell>
          <cell r="AS49">
            <v>3606.0954090099999</v>
          </cell>
          <cell r="AX49">
            <v>3535.0083482357795</v>
          </cell>
          <cell r="BC49">
            <v>3463.9212874615596</v>
          </cell>
          <cell r="BH49">
            <v>3392.8342266873392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CNY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CNY</v>
          </cell>
          <cell r="F51">
            <v>0</v>
          </cell>
          <cell r="G51">
            <v>0</v>
          </cell>
          <cell r="H51">
            <v>0.2</v>
          </cell>
          <cell r="I51">
            <v>0.15</v>
          </cell>
          <cell r="J51">
            <v>0.15</v>
          </cell>
          <cell r="O51">
            <v>17.967841319999998</v>
          </cell>
          <cell r="T51">
            <v>14.38028023</v>
          </cell>
          <cell r="Y51">
            <v>12.21661426</v>
          </cell>
          <cell r="AD51">
            <v>0</v>
          </cell>
          <cell r="AI51">
            <v>72.426252409999989</v>
          </cell>
          <cell r="AN51">
            <v>72.354803700000005</v>
          </cell>
          <cell r="AS51">
            <v>2432.8585216699998</v>
          </cell>
          <cell r="AX51">
            <v>2437.5217756699999</v>
          </cell>
          <cell r="BC51">
            <v>2442.1850296699999</v>
          </cell>
          <cell r="BH51">
            <v>2446.84828367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CNY</v>
          </cell>
          <cell r="F52">
            <v>16.61725706999998</v>
          </cell>
          <cell r="G52">
            <v>10.890000579999992</v>
          </cell>
          <cell r="H52">
            <v>12.143952609999978</v>
          </cell>
          <cell r="I52">
            <v>11.965300279999974</v>
          </cell>
          <cell r="J52">
            <v>11.965300279999971</v>
          </cell>
          <cell r="O52">
            <v>10.69842128999997</v>
          </cell>
          <cell r="T52">
            <v>13.499461840000034</v>
          </cell>
          <cell r="Y52">
            <v>17.598632499999241</v>
          </cell>
          <cell r="AD52">
            <v>255.75109223000004</v>
          </cell>
          <cell r="AI52">
            <v>542.40885222000111</v>
          </cell>
          <cell r="AN52">
            <v>699.70660076999798</v>
          </cell>
          <cell r="AS52">
            <v>773.73108804999902</v>
          </cell>
          <cell r="AX52">
            <v>765.51030353999295</v>
          </cell>
          <cell r="BC52">
            <v>765.51030353999022</v>
          </cell>
          <cell r="BH52">
            <v>765.51030353999158</v>
          </cell>
        </row>
        <row r="53">
          <cell r="B53" t="str">
            <v>Total assets</v>
          </cell>
          <cell r="C53" t="str">
            <v>TOT_ASSET</v>
          </cell>
          <cell r="D53" t="str">
            <v>CNY</v>
          </cell>
          <cell r="F53">
            <v>420.22048390999998</v>
          </cell>
          <cell r="G53">
            <v>434.45124186999999</v>
          </cell>
          <cell r="H53">
            <v>406.38339821</v>
          </cell>
          <cell r="I53">
            <v>364.15962750999995</v>
          </cell>
          <cell r="J53">
            <v>374.87476745999999</v>
          </cell>
          <cell r="O53">
            <v>374.11209129999992</v>
          </cell>
          <cell r="T53">
            <v>2061.70773809</v>
          </cell>
          <cell r="Y53">
            <v>9201.8287233999999</v>
          </cell>
          <cell r="AD53">
            <v>18488.22166549</v>
          </cell>
          <cell r="AI53">
            <v>28798.623253330003</v>
          </cell>
          <cell r="AN53">
            <v>46826.31957041</v>
          </cell>
          <cell r="AS53">
            <v>67683.329226909991</v>
          </cell>
          <cell r="AX53">
            <v>73543.53881242311</v>
          </cell>
          <cell r="BC53">
            <v>83514.389299697941</v>
          </cell>
          <cell r="BH53">
            <v>88089.963441484433</v>
          </cell>
        </row>
        <row r="54">
          <cell r="B54" t="str">
            <v>Accounts payable</v>
          </cell>
          <cell r="C54" t="str">
            <v>ACC_PAY_GQ</v>
          </cell>
          <cell r="D54" t="str">
            <v>CNY</v>
          </cell>
          <cell r="F54">
            <v>65.894026499999995</v>
          </cell>
          <cell r="G54">
            <v>80.410349660000008</v>
          </cell>
          <cell r="H54">
            <v>48.41335574</v>
          </cell>
          <cell r="I54">
            <v>40.288982080000004</v>
          </cell>
          <cell r="J54">
            <v>63.840496729999998</v>
          </cell>
          <cell r="O54">
            <v>46.103992990000002</v>
          </cell>
          <cell r="T54">
            <v>114.87444331</v>
          </cell>
          <cell r="Y54">
            <v>335.03927530000004</v>
          </cell>
          <cell r="AD54">
            <v>844.70181485000012</v>
          </cell>
          <cell r="AI54">
            <v>1724.0479597499998</v>
          </cell>
          <cell r="AN54">
            <v>2087.6263659599999</v>
          </cell>
          <cell r="AS54">
            <v>9084.1693672299989</v>
          </cell>
          <cell r="AX54">
            <v>8120.1605230748028</v>
          </cell>
          <cell r="BC54">
            <v>12026.443317986981</v>
          </cell>
          <cell r="BH54">
            <v>12233.993351947571</v>
          </cell>
        </row>
        <row r="55">
          <cell r="B55" t="str">
            <v>Short-term debt</v>
          </cell>
          <cell r="C55" t="str">
            <v>SHORT_T_DEBT</v>
          </cell>
          <cell r="D55" t="str">
            <v>CNY</v>
          </cell>
          <cell r="F55">
            <v>5.3810255199999997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O55">
            <v>0</v>
          </cell>
          <cell r="T55">
            <v>485</v>
          </cell>
          <cell r="Y55">
            <v>580</v>
          </cell>
          <cell r="AD55">
            <v>2308.1379999999999</v>
          </cell>
          <cell r="AI55">
            <v>4688.7541630800006</v>
          </cell>
          <cell r="AN55">
            <v>6559.4057125500003</v>
          </cell>
          <cell r="AS55">
            <v>10722.118745970001</v>
          </cell>
          <cell r="AX55">
            <v>13722.118745970001</v>
          </cell>
          <cell r="BC55">
            <v>15722.118745970001</v>
          </cell>
          <cell r="BH55">
            <v>16722.118745970001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CNY</v>
          </cell>
          <cell r="F56">
            <v>99.954115560000005</v>
          </cell>
          <cell r="G56">
            <v>88.549280149999987</v>
          </cell>
          <cell r="H56">
            <v>87.438505119999988</v>
          </cell>
          <cell r="I56">
            <v>86.142362179999992</v>
          </cell>
          <cell r="J56">
            <v>72.404325979999996</v>
          </cell>
          <cell r="O56">
            <v>68.082550310000016</v>
          </cell>
          <cell r="T56">
            <v>122.75561667000011</v>
          </cell>
          <cell r="Y56">
            <v>78.874009529999967</v>
          </cell>
          <cell r="AD56">
            <v>263.34600537000006</v>
          </cell>
          <cell r="AI56">
            <v>282.64929028999995</v>
          </cell>
          <cell r="AN56">
            <v>464.30790997000167</v>
          </cell>
          <cell r="AS56">
            <v>870.42209684000045</v>
          </cell>
          <cell r="AX56">
            <v>957.34884863353363</v>
          </cell>
          <cell r="BC56">
            <v>986.41476099855936</v>
          </cell>
          <cell r="BH56">
            <v>1053.7743965392037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CNY</v>
          </cell>
          <cell r="F57">
            <v>171.22916758</v>
          </cell>
          <cell r="G57">
            <v>168.95962981</v>
          </cell>
          <cell r="H57">
            <v>135.85186085999999</v>
          </cell>
          <cell r="I57">
            <v>126.43134426</v>
          </cell>
          <cell r="J57">
            <v>136.24482270999999</v>
          </cell>
          <cell r="O57">
            <v>114.18654330000001</v>
          </cell>
          <cell r="T57">
            <v>722.63005998000006</v>
          </cell>
          <cell r="Y57">
            <v>993.91328483000007</v>
          </cell>
          <cell r="AD57">
            <v>3416.1858202200001</v>
          </cell>
          <cell r="AI57">
            <v>6695.4514131200003</v>
          </cell>
          <cell r="AN57">
            <v>9111.3399884800019</v>
          </cell>
          <cell r="AS57">
            <v>20676.710210040001</v>
          </cell>
          <cell r="AX57">
            <v>22799.628117678338</v>
          </cell>
          <cell r="BC57">
            <v>28734.976824955542</v>
          </cell>
          <cell r="BH57">
            <v>30009.886494456776</v>
          </cell>
        </row>
        <row r="58">
          <cell r="B58" t="str">
            <v>Long-term  debt</v>
          </cell>
          <cell r="C58" t="str">
            <v>LT_DEBT</v>
          </cell>
          <cell r="D58" t="str">
            <v>CNY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O58">
            <v>0</v>
          </cell>
          <cell r="T58">
            <v>800</v>
          </cell>
          <cell r="Y58">
            <v>2300</v>
          </cell>
          <cell r="AD58">
            <v>5504.3090000000002</v>
          </cell>
          <cell r="AI58">
            <v>7237.7976879999997</v>
          </cell>
          <cell r="AN58">
            <v>12250.07149473</v>
          </cell>
          <cell r="AS58">
            <v>10449.852341290001</v>
          </cell>
          <cell r="AX58">
            <v>12449.852341290001</v>
          </cell>
          <cell r="BC58">
            <v>14449.852341290001</v>
          </cell>
          <cell r="BH58">
            <v>15449.852341290001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CNY</v>
          </cell>
          <cell r="F59">
            <v>0</v>
          </cell>
          <cell r="G59">
            <v>5.3564279599999995</v>
          </cell>
          <cell r="H59">
            <v>5.4984943099999999</v>
          </cell>
          <cell r="I59">
            <v>5.4784943099999994</v>
          </cell>
          <cell r="J59">
            <v>0.125</v>
          </cell>
          <cell r="O59">
            <v>0.105</v>
          </cell>
          <cell r="T59">
            <v>35.734000000000037</v>
          </cell>
          <cell r="Y59">
            <v>33.713999999999942</v>
          </cell>
          <cell r="AD59">
            <v>257.43746491999991</v>
          </cell>
          <cell r="AI59">
            <v>303.92538761000014</v>
          </cell>
          <cell r="AN59">
            <v>2395.6714887300004</v>
          </cell>
          <cell r="AS59">
            <v>4499.5145029300002</v>
          </cell>
          <cell r="AX59">
            <v>4308.0622178899994</v>
          </cell>
          <cell r="BC59">
            <v>4308.0622178899994</v>
          </cell>
          <cell r="BH59">
            <v>4308.0622178899994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CNY</v>
          </cell>
          <cell r="F60">
            <v>0</v>
          </cell>
          <cell r="G60">
            <v>5.3564279599999995</v>
          </cell>
          <cell r="H60">
            <v>5.4984943099999999</v>
          </cell>
          <cell r="I60">
            <v>5.4784943099999994</v>
          </cell>
          <cell r="J60">
            <v>0.125</v>
          </cell>
          <cell r="O60">
            <v>0.105</v>
          </cell>
          <cell r="T60">
            <v>835.73400000000004</v>
          </cell>
          <cell r="Y60">
            <v>2333.7139999999999</v>
          </cell>
          <cell r="AD60">
            <v>5761.7464649200001</v>
          </cell>
          <cell r="AI60">
            <v>7541.7230756099998</v>
          </cell>
          <cell r="AN60">
            <v>14645.742983460001</v>
          </cell>
          <cell r="AS60">
            <v>14949.366844220001</v>
          </cell>
          <cell r="AX60">
            <v>16757.914559180001</v>
          </cell>
          <cell r="BC60">
            <v>18757.914559180001</v>
          </cell>
          <cell r="BH60">
            <v>19757.914559180001</v>
          </cell>
        </row>
        <row r="61">
          <cell r="B61" t="str">
            <v>Total liabilities</v>
          </cell>
          <cell r="C61" t="str">
            <v>TOT_LIAB</v>
          </cell>
          <cell r="D61" t="str">
            <v>CNY</v>
          </cell>
          <cell r="F61">
            <v>171.22916758</v>
          </cell>
          <cell r="G61">
            <v>174.31605776999999</v>
          </cell>
          <cell r="H61">
            <v>141.35035517</v>
          </cell>
          <cell r="I61">
            <v>131.90983857000001</v>
          </cell>
          <cell r="J61">
            <v>136.36982270999999</v>
          </cell>
          <cell r="O61">
            <v>114.29154330000001</v>
          </cell>
          <cell r="T61">
            <v>1558.3640599800001</v>
          </cell>
          <cell r="Y61">
            <v>3327.62728483</v>
          </cell>
          <cell r="AD61">
            <v>9177.9322851399993</v>
          </cell>
          <cell r="AI61">
            <v>14237.174488730001</v>
          </cell>
          <cell r="AN61">
            <v>23757.082971940003</v>
          </cell>
          <cell r="AS61">
            <v>35626.07705426</v>
          </cell>
          <cell r="AX61">
            <v>39557.542676858342</v>
          </cell>
          <cell r="BC61">
            <v>47492.891384135539</v>
          </cell>
          <cell r="BH61">
            <v>49767.80105363678</v>
          </cell>
        </row>
        <row r="62">
          <cell r="B62" t="str">
            <v>Preferred shares</v>
          </cell>
          <cell r="C62" t="str">
            <v>PREF_SH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O62">
            <v>0</v>
          </cell>
          <cell r="T62">
            <v>0</v>
          </cell>
          <cell r="Y62">
            <v>0</v>
          </cell>
          <cell r="AD62">
            <v>0</v>
          </cell>
          <cell r="AI62">
            <v>0</v>
          </cell>
          <cell r="AN62">
            <v>0</v>
          </cell>
          <cell r="AS62">
            <v>0</v>
          </cell>
          <cell r="AX62">
            <v>0</v>
          </cell>
          <cell r="BC62">
            <v>0</v>
          </cell>
          <cell r="BH62">
            <v>0</v>
          </cell>
        </row>
        <row r="63">
          <cell r="B63" t="str">
            <v>Total common equity</v>
          </cell>
          <cell r="C63" t="str">
            <v>ORD_SH_FUND</v>
          </cell>
          <cell r="D63" t="str">
            <v>CNY</v>
          </cell>
          <cell r="F63">
            <v>234.88458716000002</v>
          </cell>
          <cell r="G63">
            <v>245.22363002999998</v>
          </cell>
          <cell r="H63">
            <v>249.36299521000001</v>
          </cell>
          <cell r="I63">
            <v>216.91943139000011</v>
          </cell>
          <cell r="J63">
            <v>220.6284106600001</v>
          </cell>
          <cell r="O63">
            <v>232.47876330999998</v>
          </cell>
          <cell r="T63">
            <v>391.92877784000001</v>
          </cell>
          <cell r="Y63">
            <v>5813.6737150400004</v>
          </cell>
          <cell r="AD63">
            <v>7677.1252743599998</v>
          </cell>
          <cell r="AI63">
            <v>14319.481941279999</v>
          </cell>
          <cell r="AN63">
            <v>22216.300365859999</v>
          </cell>
          <cell r="AS63">
            <v>30922.796455459997</v>
          </cell>
          <cell r="AX63">
            <v>32556.294901069559</v>
          </cell>
          <cell r="BC63">
            <v>34287.074275011364</v>
          </cell>
          <cell r="BH63">
            <v>36243.307863641516</v>
          </cell>
        </row>
        <row r="64">
          <cell r="B64" t="str">
            <v>Minority interest</v>
          </cell>
          <cell r="C64" t="str">
            <v>MINORITIES</v>
          </cell>
          <cell r="D64" t="str">
            <v>CNY</v>
          </cell>
          <cell r="F64">
            <v>14.106729169999999</v>
          </cell>
          <cell r="G64">
            <v>14.911554070000001</v>
          </cell>
          <cell r="H64">
            <v>15.67004783</v>
          </cell>
          <cell r="I64">
            <v>15.33035755</v>
          </cell>
          <cell r="J64">
            <v>17.87653409</v>
          </cell>
          <cell r="O64">
            <v>27.341784690000001</v>
          </cell>
          <cell r="T64">
            <v>111.41490026999999</v>
          </cell>
          <cell r="Y64">
            <v>60.527723530000003</v>
          </cell>
          <cell r="AD64">
            <v>1633.1641059900001</v>
          </cell>
          <cell r="AI64">
            <v>241.96682332</v>
          </cell>
          <cell r="AN64">
            <v>852.93623261000005</v>
          </cell>
          <cell r="AS64">
            <v>1134.4557171900001</v>
          </cell>
          <cell r="AX64">
            <v>1429.7012344952345</v>
          </cell>
          <cell r="BC64">
            <v>1734.4236405510485</v>
          </cell>
          <cell r="BH64">
            <v>2078.8545242061418</v>
          </cell>
        </row>
        <row r="65">
          <cell r="B65" t="str">
            <v>Total shareholders' equity</v>
          </cell>
          <cell r="C65" t="str">
            <v>EQ</v>
          </cell>
          <cell r="D65" t="str">
            <v>CNY</v>
          </cell>
          <cell r="F65">
            <v>248.99131633000002</v>
          </cell>
          <cell r="G65">
            <v>260.1351841</v>
          </cell>
          <cell r="H65">
            <v>265.03304304</v>
          </cell>
          <cell r="I65">
            <v>232.24978894000012</v>
          </cell>
          <cell r="J65">
            <v>238.50494475000011</v>
          </cell>
          <cell r="O65">
            <v>259.82054799999997</v>
          </cell>
          <cell r="T65">
            <v>503.34367810999998</v>
          </cell>
          <cell r="Y65">
            <v>5874.2014385700004</v>
          </cell>
          <cell r="AD65">
            <v>9310.2893803499992</v>
          </cell>
          <cell r="AI65">
            <v>14561.448764599998</v>
          </cell>
          <cell r="AN65">
            <v>23069.236598470001</v>
          </cell>
          <cell r="AS65">
            <v>32057.252172649998</v>
          </cell>
          <cell r="AX65">
            <v>33985.996135564797</v>
          </cell>
          <cell r="BC65">
            <v>36021.49791556241</v>
          </cell>
          <cell r="BH65">
            <v>38322.16238784766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CNY</v>
          </cell>
          <cell r="F66">
            <v>420.22048390999998</v>
          </cell>
          <cell r="G66">
            <v>434.45124186999999</v>
          </cell>
          <cell r="H66">
            <v>406.38339821</v>
          </cell>
          <cell r="I66">
            <v>364.15962751000012</v>
          </cell>
          <cell r="J66">
            <v>374.8747674600001</v>
          </cell>
          <cell r="O66">
            <v>374.11209129999997</v>
          </cell>
          <cell r="T66">
            <v>2061.70773809</v>
          </cell>
          <cell r="Y66">
            <v>9201.8287233999999</v>
          </cell>
          <cell r="AD66">
            <v>18488.221665489997</v>
          </cell>
          <cell r="AI66">
            <v>28798.623253329999</v>
          </cell>
          <cell r="AN66">
            <v>46826.319570410007</v>
          </cell>
          <cell r="AS66">
            <v>67683.329226909991</v>
          </cell>
          <cell r="AX66">
            <v>73543.538812423139</v>
          </cell>
          <cell r="BC66">
            <v>83514.389299697941</v>
          </cell>
          <cell r="BH66">
            <v>88089.963441484433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  <cell r="AN68">
            <v>1E-3</v>
          </cell>
        </row>
        <row r="69">
          <cell r="B69" t="str">
            <v>% US$ debt hedged (principal)</v>
          </cell>
          <cell r="C69" t="str">
            <v>TOT_PCT_USD_DEBT_HEDGED</v>
          </cell>
          <cell r="AN69">
            <v>1E-4</v>
          </cell>
        </row>
        <row r="70">
          <cell r="B70" t="str">
            <v>% Floating debt (local currency debt)</v>
          </cell>
          <cell r="C70" t="str">
            <v>FLOATING_PCT_LOCAL_DEBT</v>
          </cell>
          <cell r="AN70">
            <v>0.05</v>
          </cell>
        </row>
        <row r="71">
          <cell r="B71" t="str">
            <v>% floating debt hedged (rates)</v>
          </cell>
          <cell r="C71" t="str">
            <v>FLOATING_PCT_LOCAL_DEBT_HEDGED</v>
          </cell>
          <cell r="AN71">
            <v>0.2</v>
          </cell>
        </row>
        <row r="72">
          <cell r="B72" t="str">
            <v>Net debt</v>
          </cell>
          <cell r="C72" t="str">
            <v>NET_DEBT</v>
          </cell>
          <cell r="D72" t="str">
            <v>CNY</v>
          </cell>
          <cell r="F72">
            <v>3.5996196599999997</v>
          </cell>
          <cell r="G72">
            <v>-14.70527208</v>
          </cell>
          <cell r="H72">
            <v>-17.507703020000001</v>
          </cell>
          <cell r="I72">
            <v>-4.8867798899999997</v>
          </cell>
          <cell r="J72">
            <v>-10.211579960000002</v>
          </cell>
          <cell r="O72">
            <v>-15.84722573</v>
          </cell>
          <cell r="T72">
            <v>1174.22992916</v>
          </cell>
          <cell r="Y72">
            <v>414.98908676000019</v>
          </cell>
          <cell r="AD72">
            <v>4462.5546159599999</v>
          </cell>
          <cell r="AI72">
            <v>-38.2175536499999</v>
          </cell>
          <cell r="AN72">
            <v>-6227.8578843199975</v>
          </cell>
          <cell r="AS72">
            <v>-3857.1083179799971</v>
          </cell>
          <cell r="AX72">
            <v>-843.81490514079997</v>
          </cell>
          <cell r="BC72">
            <v>191.01255079260227</v>
          </cell>
          <cell r="BH72">
            <v>1544.2529368693322</v>
          </cell>
        </row>
        <row r="73">
          <cell r="B73" t="str">
            <v>Capitalized leases</v>
          </cell>
          <cell r="C73" t="str">
            <v>CAP_LEASES</v>
          </cell>
          <cell r="D73" t="str">
            <v>CNY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O73">
            <v>0</v>
          </cell>
          <cell r="T73">
            <v>0</v>
          </cell>
          <cell r="Y73">
            <v>0</v>
          </cell>
          <cell r="AD73">
            <v>0</v>
          </cell>
          <cell r="AI73">
            <v>0</v>
          </cell>
          <cell r="AN73">
            <v>0</v>
          </cell>
          <cell r="AS73">
            <v>0</v>
          </cell>
          <cell r="AX73">
            <v>0</v>
          </cell>
          <cell r="BC73">
            <v>0</v>
          </cell>
          <cell r="BH73">
            <v>0</v>
          </cell>
        </row>
        <row r="74">
          <cell r="B74" t="str">
            <v>Deferred income taxes</v>
          </cell>
          <cell r="C74" t="str">
            <v>DEF_INC_TAX</v>
          </cell>
          <cell r="D74" t="str">
            <v>CNY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O75">
            <v>0</v>
          </cell>
          <cell r="T75">
            <v>0</v>
          </cell>
          <cell r="Y75">
            <v>0</v>
          </cell>
          <cell r="AD75">
            <v>0</v>
          </cell>
          <cell r="AI75">
            <v>0</v>
          </cell>
          <cell r="AN75">
            <v>0</v>
          </cell>
          <cell r="AS75">
            <v>0</v>
          </cell>
          <cell r="AX75">
            <v>0</v>
          </cell>
          <cell r="BC75">
            <v>0</v>
          </cell>
          <cell r="BH75">
            <v>0</v>
          </cell>
        </row>
        <row r="76">
          <cell r="B76" t="str">
            <v>Net debt adjustment</v>
          </cell>
          <cell r="C76" t="str">
            <v>NET_DEBT_ADJ</v>
          </cell>
          <cell r="D76" t="str">
            <v>CNY</v>
          </cell>
        </row>
        <row r="77">
          <cell r="B77" t="str">
            <v>Company borrowing margin</v>
          </cell>
          <cell r="C77" t="str">
            <v>CO_BOR_MARGIN</v>
          </cell>
          <cell r="Y77">
            <v>4.790295364583334E-3</v>
          </cell>
          <cell r="AD77">
            <v>1.1176937946587031E-2</v>
          </cell>
          <cell r="AI77">
            <v>2.9817548736670023E-2</v>
          </cell>
          <cell r="AN77">
            <v>3.0019920860504031E-2</v>
          </cell>
          <cell r="AS77">
            <v>5.5577747800631572E-2</v>
          </cell>
          <cell r="AX77">
            <v>4.5223898131965784E-2</v>
          </cell>
          <cell r="BC77">
            <v>3.5481105898577149E-2</v>
          </cell>
          <cell r="BH77">
            <v>3.6818847626807427E-2</v>
          </cell>
        </row>
        <row r="78">
          <cell r="B78" t="str">
            <v>Unfunded pensions &amp; other provisions</v>
          </cell>
          <cell r="C78" t="str">
            <v>UNF_PENS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O78">
            <v>0</v>
          </cell>
          <cell r="T78">
            <v>0</v>
          </cell>
          <cell r="Y78">
            <v>0</v>
          </cell>
          <cell r="AD78">
            <v>0</v>
          </cell>
          <cell r="AI78">
            <v>0</v>
          </cell>
          <cell r="AN78">
            <v>0</v>
          </cell>
          <cell r="AS78">
            <v>0</v>
          </cell>
          <cell r="AX78">
            <v>0</v>
          </cell>
          <cell r="BC78">
            <v>0</v>
          </cell>
          <cell r="BH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str">
            <v>CNY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O80">
            <v>0</v>
          </cell>
          <cell r="T80">
            <v>0</v>
          </cell>
          <cell r="Y80">
            <v>0</v>
          </cell>
          <cell r="AD80">
            <v>0</v>
          </cell>
          <cell r="AI80">
            <v>0</v>
          </cell>
          <cell r="AN80">
            <v>0</v>
          </cell>
          <cell r="AS80">
            <v>0</v>
          </cell>
          <cell r="AX80">
            <v>0</v>
          </cell>
          <cell r="BC80">
            <v>0</v>
          </cell>
          <cell r="BH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str">
            <v>CNY</v>
          </cell>
          <cell r="F81">
            <v>-20.86884388</v>
          </cell>
          <cell r="G81">
            <v>-20.534430159999999</v>
          </cell>
          <cell r="H81">
            <v>-20.091980209999999</v>
          </cell>
          <cell r="I81">
            <v>-19.815394420000001</v>
          </cell>
          <cell r="J81">
            <v>-19.489878939999997</v>
          </cell>
          <cell r="O81">
            <v>-11.498305960000001</v>
          </cell>
          <cell r="T81">
            <v>-58.245678579999989</v>
          </cell>
          <cell r="Y81">
            <v>-112.78766576999999</v>
          </cell>
          <cell r="AD81">
            <v>-370.62064660999999</v>
          </cell>
          <cell r="AI81">
            <v>-478.85167388999997</v>
          </cell>
          <cell r="AN81">
            <v>-623.88643700999978</v>
          </cell>
          <cell r="AS81">
            <v>-3606.0954090099999</v>
          </cell>
          <cell r="AX81">
            <v>-3535.0083482357795</v>
          </cell>
          <cell r="BC81">
            <v>-3463.9212874615596</v>
          </cell>
          <cell r="BH81">
            <v>-3392.8342266873392</v>
          </cell>
        </row>
        <row r="82">
          <cell r="B82" t="str">
            <v>Other GCI adjustments</v>
          </cell>
          <cell r="C82" t="str">
            <v>OTH_GCI_ADJ</v>
          </cell>
          <cell r="D82" t="str">
            <v>CNY</v>
          </cell>
        </row>
        <row r="83">
          <cell r="B83" t="str">
            <v>GCI inflator</v>
          </cell>
          <cell r="C83" t="str">
            <v>GCI_INFL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1</v>
          </cell>
          <cell r="O83">
            <v>1</v>
          </cell>
          <cell r="T83">
            <v>1</v>
          </cell>
          <cell r="Y83">
            <v>1</v>
          </cell>
          <cell r="AD83">
            <v>1</v>
          </cell>
          <cell r="AI83">
            <v>1</v>
          </cell>
          <cell r="AN83">
            <v>1</v>
          </cell>
          <cell r="AS83">
            <v>1</v>
          </cell>
          <cell r="AX83">
            <v>1</v>
          </cell>
          <cell r="BC83">
            <v>1</v>
          </cell>
          <cell r="BH83">
            <v>1</v>
          </cell>
        </row>
        <row r="84">
          <cell r="B84" t="str">
            <v>Minority interest</v>
          </cell>
          <cell r="C84" t="str">
            <v>BAL_MINO_INT</v>
          </cell>
          <cell r="D84" t="str">
            <v>CNY</v>
          </cell>
          <cell r="F84">
            <v>14.106729169999999</v>
          </cell>
          <cell r="G84">
            <v>14.911554070000001</v>
          </cell>
          <cell r="H84">
            <v>15.67004783</v>
          </cell>
          <cell r="I84">
            <v>15.33035755</v>
          </cell>
          <cell r="J84">
            <v>17.87653409</v>
          </cell>
          <cell r="O84">
            <v>27.341784690000001</v>
          </cell>
          <cell r="T84">
            <v>111.41490026999999</v>
          </cell>
          <cell r="Y84">
            <v>60.527723530000003</v>
          </cell>
          <cell r="AD84">
            <v>1633.1641059900001</v>
          </cell>
          <cell r="AI84">
            <v>241.96682332</v>
          </cell>
          <cell r="AN84">
            <v>852.93623261000005</v>
          </cell>
          <cell r="AS84">
            <v>1134.4557171900001</v>
          </cell>
          <cell r="AX84">
            <v>1429.7012344952345</v>
          </cell>
          <cell r="BC84">
            <v>1734.4236405510485</v>
          </cell>
          <cell r="BH84">
            <v>2078.8545242061418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CNY</v>
          </cell>
          <cell r="F86">
            <v>-13.87915673</v>
          </cell>
          <cell r="G86">
            <v>0.80482491</v>
          </cell>
          <cell r="H86">
            <v>0.75849376000000002</v>
          </cell>
          <cell r="I86">
            <v>-0.33969028000000001</v>
          </cell>
          <cell r="J86">
            <v>2.5461765399999998</v>
          </cell>
          <cell r="O86">
            <v>0.28525059999999997</v>
          </cell>
          <cell r="T86">
            <v>98.363571790000009</v>
          </cell>
          <cell r="Y86">
            <v>40.247030380000005</v>
          </cell>
          <cell r="AD86">
            <v>54.521889450000003</v>
          </cell>
          <cell r="AI86">
            <v>66.290011809999996</v>
          </cell>
          <cell r="AN86">
            <v>70.595756940000001</v>
          </cell>
          <cell r="AS86">
            <v>195.20430750999998</v>
          </cell>
          <cell r="AX86">
            <v>100</v>
          </cell>
          <cell r="BC86">
            <v>103.20983323881667</v>
          </cell>
          <cell r="BH86">
            <v>116.65914077164778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CNY</v>
          </cell>
          <cell r="F87">
            <v>14.798158999999998</v>
          </cell>
          <cell r="G87">
            <v>15.56719981</v>
          </cell>
          <cell r="H87">
            <v>15.643831580000001</v>
          </cell>
          <cell r="I87">
            <v>15.532150769999998</v>
          </cell>
          <cell r="J87">
            <v>15.441975510000001</v>
          </cell>
          <cell r="O87">
            <v>13.74152007</v>
          </cell>
          <cell r="T87">
            <v>12.43024671</v>
          </cell>
          <cell r="Y87">
            <v>11.644949879999999</v>
          </cell>
          <cell r="AD87">
            <v>230.11032159999999</v>
          </cell>
          <cell r="AI87">
            <v>358.03234698</v>
          </cell>
          <cell r="AN87">
            <v>548.83195155999999</v>
          </cell>
          <cell r="AS87">
            <v>1036.6965232099999</v>
          </cell>
          <cell r="AX87">
            <v>1128.8859539342202</v>
          </cell>
          <cell r="BC87">
            <v>1321.5898012031091</v>
          </cell>
          <cell r="BH87">
            <v>1375.6476577348376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CNY</v>
          </cell>
          <cell r="F88">
            <v>-426.37893673000002</v>
          </cell>
          <cell r="G88">
            <v>-5.3749567999999854</v>
          </cell>
          <cell r="H88">
            <v>-22.299585930000013</v>
          </cell>
          <cell r="I88">
            <v>5.4651055300000237</v>
          </cell>
          <cell r="J88">
            <v>6.228818359999984</v>
          </cell>
          <cell r="O88">
            <v>-22.501933869999998</v>
          </cell>
          <cell r="T88">
            <v>-514.20939512000007</v>
          </cell>
          <cell r="Y88">
            <v>-457.83532807999984</v>
          </cell>
          <cell r="AD88">
            <v>280.2211619499999</v>
          </cell>
          <cell r="AI88">
            <v>-777.88690741000005</v>
          </cell>
          <cell r="AN88">
            <v>-892.78502416999982</v>
          </cell>
          <cell r="AS88">
            <v>-2855.972703729999</v>
          </cell>
          <cell r="AX88">
            <v>-1816.9945581117408</v>
          </cell>
          <cell r="BC88">
            <v>110.14644850084005</v>
          </cell>
          <cell r="BH88">
            <v>-2868.7047396374583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CNY</v>
          </cell>
          <cell r="F89">
            <v>455.52797550000003</v>
          </cell>
          <cell r="G89">
            <v>-8.2684445700000229</v>
          </cell>
          <cell r="H89">
            <v>5.186012720000047</v>
          </cell>
          <cell r="I89">
            <v>-0.79699526000002052</v>
          </cell>
          <cell r="J89">
            <v>-15.366679169999987</v>
          </cell>
          <cell r="O89">
            <v>-5.2134861300000033</v>
          </cell>
          <cell r="T89">
            <v>-206.24172756000007</v>
          </cell>
          <cell r="Y89">
            <v>-1800.5727958300004</v>
          </cell>
          <cell r="AD89">
            <v>-2051.3102630899994</v>
          </cell>
          <cell r="AI89">
            <v>807.45983718999969</v>
          </cell>
          <cell r="AN89">
            <v>423.47690858999988</v>
          </cell>
          <cell r="AS89">
            <v>1146.1784740999997</v>
          </cell>
          <cell r="AX89">
            <v>354.85449062999578</v>
          </cell>
          <cell r="BC89">
            <v>-4.663253999999597</v>
          </cell>
          <cell r="BH89">
            <v>-4.6632540000000517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CNY</v>
          </cell>
          <cell r="F90">
            <v>-32.941408320000001</v>
          </cell>
          <cell r="G90">
            <v>13.067666220000001</v>
          </cell>
          <cell r="H90">
            <v>3.4281169399999998</v>
          </cell>
          <cell r="I90">
            <v>-12.58299306</v>
          </cell>
          <cell r="J90">
            <v>10.369546369999998</v>
          </cell>
          <cell r="O90">
            <v>-1.83829668</v>
          </cell>
          <cell r="T90">
            <v>-466.99274586000001</v>
          </cell>
          <cell r="Y90">
            <v>-1837.2188349100002</v>
          </cell>
          <cell r="AD90">
            <v>-1017.55418865</v>
          </cell>
          <cell r="AI90">
            <v>1780.1289629400001</v>
          </cell>
          <cell r="AN90">
            <v>1390.0484923199999</v>
          </cell>
          <cell r="AS90">
            <v>1265.77342834</v>
          </cell>
          <cell r="AX90">
            <v>1888.2852582355681</v>
          </cell>
          <cell r="BC90">
            <v>3778.1723753031329</v>
          </cell>
          <cell r="BH90">
            <v>1159.6422014583845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CNY</v>
          </cell>
          <cell r="F91">
            <v>-8.440949980000001</v>
          </cell>
          <cell r="G91">
            <v>-0.16900000000000001</v>
          </cell>
          <cell r="H91">
            <v>-0.42568600000000001</v>
          </cell>
          <cell r="I91">
            <v>-3.7930069999999996E-2</v>
          </cell>
          <cell r="J91">
            <v>-7.5040419999999997E-2</v>
          </cell>
          <cell r="O91">
            <v>-0.22605755</v>
          </cell>
          <cell r="T91">
            <v>-704.02193641999997</v>
          </cell>
          <cell r="Y91">
            <v>-2254.6001501799997</v>
          </cell>
          <cell r="AD91">
            <v>-700.55635073999997</v>
          </cell>
          <cell r="AI91">
            <v>-539.89573354999993</v>
          </cell>
          <cell r="AN91">
            <v>-828.34948063000002</v>
          </cell>
          <cell r="AS91">
            <v>-2164.4240589999999</v>
          </cell>
          <cell r="AX91">
            <v>-4695.7100139999993</v>
          </cell>
          <cell r="BC91">
            <v>-4526.4681439999995</v>
          </cell>
          <cell r="BH91">
            <v>-2223.5441580000002</v>
          </cell>
        </row>
        <row r="92">
          <cell r="B92" t="str">
            <v>Acquisitions</v>
          </cell>
          <cell r="C92" t="str">
            <v>ACQ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T92">
            <v>0</v>
          </cell>
          <cell r="Y92">
            <v>0</v>
          </cell>
          <cell r="AD92">
            <v>0</v>
          </cell>
          <cell r="AI92">
            <v>0</v>
          </cell>
          <cell r="AN92">
            <v>0</v>
          </cell>
          <cell r="AS92">
            <v>0</v>
          </cell>
          <cell r="AX92">
            <v>0</v>
          </cell>
          <cell r="BC92">
            <v>0</v>
          </cell>
          <cell r="BH92">
            <v>0</v>
          </cell>
        </row>
        <row r="93">
          <cell r="B93" t="str">
            <v>Divestitures</v>
          </cell>
          <cell r="C93" t="str">
            <v>DIVEST</v>
          </cell>
          <cell r="D93" t="str">
            <v>CNY</v>
          </cell>
          <cell r="F93">
            <v>6.6684085099999999</v>
          </cell>
          <cell r="G93">
            <v>2.52E-2</v>
          </cell>
          <cell r="H93">
            <v>0</v>
          </cell>
          <cell r="I93">
            <v>0</v>
          </cell>
          <cell r="J93">
            <v>3.0294119999999997E-2</v>
          </cell>
          <cell r="O93">
            <v>0</v>
          </cell>
          <cell r="T93">
            <v>0</v>
          </cell>
          <cell r="Y93">
            <v>4.3497739500000003</v>
          </cell>
          <cell r="AD93">
            <v>1.238E-2</v>
          </cell>
          <cell r="AI93">
            <v>0</v>
          </cell>
          <cell r="AN93">
            <v>4.8129999999999999E-2</v>
          </cell>
          <cell r="AS93">
            <v>4.2329999999999998E-3</v>
          </cell>
          <cell r="AX93">
            <v>0</v>
          </cell>
          <cell r="BC93">
            <v>0</v>
          </cell>
          <cell r="BH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CNY</v>
          </cell>
          <cell r="F94">
            <v>0</v>
          </cell>
          <cell r="G94">
            <v>0</v>
          </cell>
          <cell r="H94">
            <v>-0.19999999999999996</v>
          </cell>
          <cell r="I94">
            <v>0</v>
          </cell>
          <cell r="J94">
            <v>0</v>
          </cell>
          <cell r="O94">
            <v>0</v>
          </cell>
          <cell r="T94">
            <v>0</v>
          </cell>
          <cell r="Y94">
            <v>-1.2878587085651816E-13</v>
          </cell>
          <cell r="AD94">
            <v>26.924714900000033</v>
          </cell>
          <cell r="AI94">
            <v>-3655.77673968</v>
          </cell>
          <cell r="AN94">
            <v>-2331.3595060400003</v>
          </cell>
          <cell r="AS94">
            <v>-3632.6910841000022</v>
          </cell>
          <cell r="AX94">
            <v>0</v>
          </cell>
          <cell r="BC94">
            <v>0</v>
          </cell>
          <cell r="BH94">
            <v>0</v>
          </cell>
        </row>
        <row r="95">
          <cell r="B95" t="str">
            <v>Cash flow from investing</v>
          </cell>
          <cell r="C95" t="str">
            <v>CF_INV</v>
          </cell>
          <cell r="D95" t="str">
            <v>CNY</v>
          </cell>
          <cell r="F95">
            <v>-1.7725414700000011</v>
          </cell>
          <cell r="G95">
            <v>-0.14380000000000001</v>
          </cell>
          <cell r="H95">
            <v>-0.62568599999999996</v>
          </cell>
          <cell r="I95">
            <v>-3.7930069999999996E-2</v>
          </cell>
          <cell r="J95">
            <v>-4.4746300000000003E-2</v>
          </cell>
          <cell r="O95">
            <v>-0.22605755</v>
          </cell>
          <cell r="T95">
            <v>-704.02193641999997</v>
          </cell>
          <cell r="Y95">
            <v>-2250.2503762299998</v>
          </cell>
          <cell r="AD95">
            <v>-673.61925583999994</v>
          </cell>
          <cell r="AI95">
            <v>-4195.6724732299999</v>
          </cell>
          <cell r="AN95">
            <v>-3159.6608566700002</v>
          </cell>
          <cell r="AS95">
            <v>-5797.110910100002</v>
          </cell>
          <cell r="AX95">
            <v>-4695.7100139999993</v>
          </cell>
          <cell r="BC95">
            <v>-4526.4681439999995</v>
          </cell>
          <cell r="BH95">
            <v>-2223.5441580000002</v>
          </cell>
        </row>
        <row r="96">
          <cell r="B96" t="str">
            <v>Dividends paid</v>
          </cell>
          <cell r="C96" t="str">
            <v>DIV_PAID</v>
          </cell>
          <cell r="D96" t="str">
            <v>CNY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O96">
            <v>0</v>
          </cell>
          <cell r="T96">
            <v>0</v>
          </cell>
          <cell r="Y96">
            <v>0</v>
          </cell>
          <cell r="AD96">
            <v>0</v>
          </cell>
          <cell r="AI96">
            <v>-266.20800009999999</v>
          </cell>
          <cell r="AN96">
            <v>-268.45003681999998</v>
          </cell>
          <cell r="AS96">
            <v>-345.79502881000002</v>
          </cell>
          <cell r="AX96">
            <v>-401.11750826000002</v>
          </cell>
          <cell r="BC96">
            <v>-488.04426005353446</v>
          </cell>
          <cell r="BH96">
            <v>-517.11017241856086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CNY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O97">
            <v>4.9000000000000004</v>
          </cell>
          <cell r="T97">
            <v>0</v>
          </cell>
          <cell r="Y97">
            <v>4970.8</v>
          </cell>
          <cell r="AD97">
            <v>47.1404</v>
          </cell>
          <cell r="AI97">
            <v>7964.4999804999998</v>
          </cell>
          <cell r="AN97">
            <v>7410.4361258399995</v>
          </cell>
          <cell r="AS97">
            <v>3707.9999852599999</v>
          </cell>
          <cell r="AX97">
            <v>0</v>
          </cell>
          <cell r="BC97">
            <v>0</v>
          </cell>
          <cell r="BH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CNY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-5</v>
          </cell>
          <cell r="O98">
            <v>2.8</v>
          </cell>
          <cell r="T98">
            <v>1285</v>
          </cell>
          <cell r="Y98">
            <v>1595</v>
          </cell>
          <cell r="AD98">
            <v>2614.5823</v>
          </cell>
          <cell r="AI98">
            <v>3949.5188388699994</v>
          </cell>
          <cell r="AN98">
            <v>6144.7101560000001</v>
          </cell>
          <cell r="AS98">
            <v>-1225.2262646300005</v>
          </cell>
          <cell r="AX98">
            <v>5000</v>
          </cell>
          <cell r="BC98">
            <v>4000</v>
          </cell>
          <cell r="BH98">
            <v>2000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O99">
            <v>0</v>
          </cell>
          <cell r="T99">
            <v>-19.062472609999986</v>
          </cell>
          <cell r="Y99">
            <v>-124.08994645999974</v>
          </cell>
          <cell r="AD99">
            <v>-85.667784709999978</v>
          </cell>
          <cell r="AI99">
            <v>-617.39028828999972</v>
          </cell>
          <cell r="AN99">
            <v>1555.4818061999995</v>
          </cell>
          <cell r="AS99">
            <v>2007.9214553400011</v>
          </cell>
          <cell r="AX99">
            <v>195.24885118523434</v>
          </cell>
          <cell r="BC99">
            <v>201.51257281699782</v>
          </cell>
          <cell r="BH99">
            <v>227.77174288344531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CNY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-5</v>
          </cell>
          <cell r="O100">
            <v>7.7</v>
          </cell>
          <cell r="T100">
            <v>1265.93752739</v>
          </cell>
          <cell r="Y100">
            <v>6441.7100535400004</v>
          </cell>
          <cell r="AD100">
            <v>2576.0549152899998</v>
          </cell>
          <cell r="AI100">
            <v>11030.42053098</v>
          </cell>
          <cell r="AN100">
            <v>14842.178051219998</v>
          </cell>
          <cell r="AS100">
            <v>4144.9001471600004</v>
          </cell>
          <cell r="AX100">
            <v>4794.1313429252341</v>
          </cell>
          <cell r="BC100">
            <v>3713.468312763463</v>
          </cell>
          <cell r="BH100">
            <v>1710.6615704648843</v>
          </cell>
        </row>
        <row r="101">
          <cell r="B101" t="str">
            <v>Total cash flow</v>
          </cell>
          <cell r="C101" t="str">
            <v>TOT_CF</v>
          </cell>
          <cell r="D101" t="str">
            <v>CNY</v>
          </cell>
          <cell r="F101">
            <v>-34.713949790000001</v>
          </cell>
          <cell r="G101">
            <v>12.923866220000001</v>
          </cell>
          <cell r="H101">
            <v>2.8024309399999998</v>
          </cell>
          <cell r="I101">
            <v>-12.62092313</v>
          </cell>
          <cell r="J101">
            <v>5.3248000699999984</v>
          </cell>
          <cell r="O101">
            <v>5.63564577</v>
          </cell>
          <cell r="T101">
            <v>94.922845110000026</v>
          </cell>
          <cell r="Y101">
            <v>2354.2408424000005</v>
          </cell>
          <cell r="AD101">
            <v>884.88147079999999</v>
          </cell>
          <cell r="AI101">
            <v>8614.8770206900008</v>
          </cell>
          <cell r="AN101">
            <v>13072.565686869999</v>
          </cell>
          <cell r="AS101">
            <v>-386.43733460000112</v>
          </cell>
          <cell r="AX101">
            <v>1986.7065871608029</v>
          </cell>
          <cell r="BC101">
            <v>2965.1725440665964</v>
          </cell>
          <cell r="BH101">
            <v>646.75961392326872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CNY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CNY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CNY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CNY</v>
          </cell>
        </row>
        <row r="107">
          <cell r="B107" t="str">
            <v>Cash interest expense</v>
          </cell>
          <cell r="C107" t="str">
            <v>CASH_INT_EXP</v>
          </cell>
          <cell r="D107" t="str">
            <v>CNY</v>
          </cell>
        </row>
        <row r="108">
          <cell r="B108" t="str">
            <v>Cash tax expense</v>
          </cell>
          <cell r="C108" t="str">
            <v>CASH_TAX_EXP</v>
          </cell>
          <cell r="D108" t="str">
            <v>CNY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str">
            <v>CNY</v>
          </cell>
        </row>
        <row r="110">
          <cell r="B110" t="str">
            <v>Capex maintenance</v>
          </cell>
          <cell r="C110" t="str">
            <v>CAPEX_MAINTENANCE</v>
          </cell>
          <cell r="D110" t="str">
            <v>CNY</v>
          </cell>
        </row>
        <row r="111">
          <cell r="B111" t="str">
            <v>Capex expansion</v>
          </cell>
          <cell r="C111" t="str">
            <v>CAPEX_EXPANSION</v>
          </cell>
          <cell r="D111" t="str">
            <v>CNY</v>
          </cell>
        </row>
        <row r="112">
          <cell r="B112" t="str">
            <v>Non-PP&amp;E capex</v>
          </cell>
          <cell r="C112" t="str">
            <v>NONPPE_CAPEX</v>
          </cell>
          <cell r="D112" t="str">
            <v>CNY</v>
          </cell>
        </row>
        <row r="113">
          <cell r="B113" t="str">
            <v>Dividends paid to minorities</v>
          </cell>
          <cell r="C113" t="str">
            <v>DIVDS_PD_MINORITIES</v>
          </cell>
          <cell r="D113" t="str">
            <v>CNY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  <cell r="T115">
            <v>2</v>
          </cell>
          <cell r="Y115">
            <v>2.5310000000000001</v>
          </cell>
          <cell r="AD115">
            <v>2.9430000000000001</v>
          </cell>
          <cell r="AI115">
            <v>5.05</v>
          </cell>
          <cell r="AN115">
            <v>4.4610000000000003</v>
          </cell>
          <cell r="AS115">
            <v>7.931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T118">
            <v>0</v>
          </cell>
          <cell r="Y118">
            <v>0</v>
          </cell>
          <cell r="AD118">
            <v>0</v>
          </cell>
          <cell r="AI118">
            <v>0</v>
          </cell>
          <cell r="AN118">
            <v>0</v>
          </cell>
          <cell r="AS118">
            <v>0</v>
          </cell>
          <cell r="AX118">
            <v>0</v>
          </cell>
          <cell r="BC118">
            <v>0</v>
          </cell>
          <cell r="BH118">
            <v>0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T121">
            <v>0</v>
          </cell>
          <cell r="Y121">
            <v>0</v>
          </cell>
          <cell r="AD121">
            <v>0</v>
          </cell>
          <cell r="AI121">
            <v>0</v>
          </cell>
          <cell r="AN121">
            <v>0</v>
          </cell>
          <cell r="AS121">
            <v>0</v>
          </cell>
          <cell r="AX121">
            <v>0</v>
          </cell>
          <cell r="BC121">
            <v>0</v>
          </cell>
          <cell r="BH121">
            <v>0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T140">
            <v>0</v>
          </cell>
          <cell r="Y140">
            <v>0</v>
          </cell>
          <cell r="AD140">
            <v>0</v>
          </cell>
          <cell r="AI140">
            <v>0</v>
          </cell>
          <cell r="AN140">
            <v>0</v>
          </cell>
          <cell r="AS140">
            <v>0</v>
          </cell>
          <cell r="AX140">
            <v>0</v>
          </cell>
          <cell r="BC140">
            <v>0</v>
          </cell>
          <cell r="BH140">
            <v>0</v>
          </cell>
        </row>
        <row r="141">
          <cell r="B141" t="str">
            <v>Sales - % Other Western Europe</v>
          </cell>
          <cell r="C141" t="str">
            <v>SALES_OTH_WEST_EURO</v>
          </cell>
          <cell r="AN141">
            <v>0</v>
          </cell>
          <cell r="AS141">
            <v>0</v>
          </cell>
          <cell r="AX141">
            <v>0</v>
          </cell>
          <cell r="BC141">
            <v>0</v>
          </cell>
          <cell r="BH141">
            <v>0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T143">
            <v>0</v>
          </cell>
          <cell r="Y143">
            <v>0</v>
          </cell>
          <cell r="AD143">
            <v>0</v>
          </cell>
          <cell r="AI143">
            <v>0</v>
          </cell>
          <cell r="AN143">
            <v>0</v>
          </cell>
          <cell r="AS143">
            <v>0</v>
          </cell>
          <cell r="AX143">
            <v>0</v>
          </cell>
          <cell r="BC143">
            <v>0</v>
          </cell>
          <cell r="BH143">
            <v>0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T153">
            <v>0</v>
          </cell>
          <cell r="Y153">
            <v>0</v>
          </cell>
          <cell r="AD153">
            <v>0</v>
          </cell>
          <cell r="AI153">
            <v>0</v>
          </cell>
          <cell r="AN153">
            <v>0</v>
          </cell>
          <cell r="AS153">
            <v>0</v>
          </cell>
          <cell r="AX153">
            <v>0</v>
          </cell>
          <cell r="BC153">
            <v>0</v>
          </cell>
          <cell r="BH153">
            <v>0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T155">
            <v>0</v>
          </cell>
          <cell r="Y155">
            <v>0</v>
          </cell>
          <cell r="AD155">
            <v>0</v>
          </cell>
          <cell r="AI155">
            <v>0</v>
          </cell>
          <cell r="AN155">
            <v>0</v>
          </cell>
          <cell r="AS155">
            <v>0</v>
          </cell>
          <cell r="AX155">
            <v>0</v>
          </cell>
          <cell r="BC155">
            <v>0</v>
          </cell>
          <cell r="BH155">
            <v>0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  <cell r="G158">
            <v>0.9</v>
          </cell>
          <cell r="H158">
            <v>0.9</v>
          </cell>
          <cell r="I158">
            <v>0.9</v>
          </cell>
          <cell r="J158">
            <v>0.9</v>
          </cell>
          <cell r="K158">
            <v>0.9</v>
          </cell>
          <cell r="L158">
            <v>0.9</v>
          </cell>
          <cell r="M158">
            <v>0.9</v>
          </cell>
          <cell r="N158">
            <v>0.9</v>
          </cell>
          <cell r="O158">
            <v>0.9</v>
          </cell>
          <cell r="T158">
            <v>0.90312351559190163</v>
          </cell>
          <cell r="Y158">
            <v>0.91892993958644076</v>
          </cell>
          <cell r="AD158">
            <v>0.96252682653727717</v>
          </cell>
          <cell r="AI158">
            <v>0.90278912734936123</v>
          </cell>
          <cell r="AN158">
            <v>0.92919770536983448</v>
          </cell>
          <cell r="AS158">
            <v>0.94021504918123511</v>
          </cell>
          <cell r="AX158">
            <v>0.9</v>
          </cell>
          <cell r="BC158">
            <v>0.9</v>
          </cell>
          <cell r="BH158">
            <v>0.9</v>
          </cell>
        </row>
        <row r="159">
          <cell r="B159" t="str">
            <v>Sales - % India</v>
          </cell>
          <cell r="C159" t="str">
            <v>SALES_INDIA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T159">
            <v>0</v>
          </cell>
          <cell r="Y159">
            <v>0</v>
          </cell>
          <cell r="AD159">
            <v>0</v>
          </cell>
          <cell r="AI159">
            <v>0</v>
          </cell>
          <cell r="AN159">
            <v>0</v>
          </cell>
          <cell r="AS159">
            <v>0</v>
          </cell>
          <cell r="AX159">
            <v>0</v>
          </cell>
          <cell r="BC159">
            <v>0</v>
          </cell>
          <cell r="BH159">
            <v>0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  <cell r="G165">
            <v>0.1</v>
          </cell>
          <cell r="H165">
            <v>0.1</v>
          </cell>
          <cell r="I165">
            <v>0.1</v>
          </cell>
          <cell r="J165">
            <v>0.1</v>
          </cell>
          <cell r="K165">
            <v>0.1</v>
          </cell>
          <cell r="L165">
            <v>0.1</v>
          </cell>
          <cell r="M165">
            <v>0.1</v>
          </cell>
          <cell r="N165">
            <v>0.1</v>
          </cell>
          <cell r="O165">
            <v>0.1</v>
          </cell>
          <cell r="T165">
            <v>9.6876484408098373E-2</v>
          </cell>
          <cell r="Y165">
            <v>8.1070060413559242E-2</v>
          </cell>
          <cell r="AD165">
            <v>3.7473173462722831E-2</v>
          </cell>
          <cell r="AI165">
            <v>9.7210872650638769E-2</v>
          </cell>
          <cell r="AN165">
            <v>7.0802294630165519E-2</v>
          </cell>
          <cell r="AS165">
            <v>5.9784950818764893E-2</v>
          </cell>
          <cell r="AX165">
            <v>0.1</v>
          </cell>
          <cell r="BC165">
            <v>0.1</v>
          </cell>
          <cell r="BH165">
            <v>0.1</v>
          </cell>
        </row>
        <row r="166">
          <cell r="B166" t="str">
            <v>% of CoGS from U.S. (GS estimate)</v>
          </cell>
          <cell r="C166" t="str">
            <v>COGS_PCT_US</v>
          </cell>
          <cell r="AI166">
            <v>0.1</v>
          </cell>
          <cell r="AN166">
            <v>0.1</v>
          </cell>
          <cell r="AS166">
            <v>0.1</v>
          </cell>
        </row>
        <row r="167">
          <cell r="B167" t="str">
            <v>% of CoGS from non-U.S. (GS estimate)</v>
          </cell>
          <cell r="C167" t="str">
            <v>COGS_PCT_ROW</v>
          </cell>
          <cell r="AI167">
            <v>0.9</v>
          </cell>
          <cell r="AN167">
            <v>0.9</v>
          </cell>
          <cell r="AS167">
            <v>0.9</v>
          </cell>
        </row>
        <row r="168">
          <cell r="B168" t="str">
            <v>% of SG&amp;A from U.S. (GS estimate)</v>
          </cell>
          <cell r="C168" t="str">
            <v>SGA_PCT_US</v>
          </cell>
          <cell r="AI168">
            <v>0.05</v>
          </cell>
          <cell r="AN168">
            <v>0.05</v>
          </cell>
          <cell r="AS168">
            <v>0.05</v>
          </cell>
        </row>
        <row r="169">
          <cell r="B169" t="str">
            <v>% of SG&amp;A from non-U.S. (GS estimate)</v>
          </cell>
          <cell r="C169" t="str">
            <v>SGA_PCT_ROW</v>
          </cell>
          <cell r="AI169">
            <v>0.95</v>
          </cell>
          <cell r="AN169">
            <v>0.95</v>
          </cell>
          <cell r="AS169">
            <v>0.95</v>
          </cell>
        </row>
        <row r="170">
          <cell r="B170" t="str">
            <v>Sales -% Consumer (C)</v>
          </cell>
          <cell r="C170" t="str">
            <v>SALES_CONS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O170">
            <v>0</v>
          </cell>
          <cell r="T170">
            <v>0</v>
          </cell>
          <cell r="Y170">
            <v>0</v>
          </cell>
          <cell r="AD170">
            <v>0</v>
          </cell>
          <cell r="AI170">
            <v>0</v>
          </cell>
          <cell r="AN170">
            <v>0</v>
          </cell>
          <cell r="AS170">
            <v>0</v>
          </cell>
          <cell r="AX170">
            <v>0</v>
          </cell>
          <cell r="BC170">
            <v>0</v>
          </cell>
          <cell r="BH170">
            <v>0</v>
          </cell>
        </row>
        <row r="171">
          <cell r="B171" t="str">
            <v>Sales -% Industry (I)</v>
          </cell>
          <cell r="C171" t="str">
            <v>SALES_IND</v>
          </cell>
          <cell r="G171">
            <v>0.85</v>
          </cell>
          <cell r="H171">
            <v>0.85</v>
          </cell>
          <cell r="I171">
            <v>0.85</v>
          </cell>
          <cell r="J171">
            <v>0.85</v>
          </cell>
          <cell r="O171">
            <v>0.85</v>
          </cell>
          <cell r="T171">
            <v>0.85</v>
          </cell>
          <cell r="Y171">
            <v>0.85</v>
          </cell>
          <cell r="AD171">
            <v>0.85</v>
          </cell>
          <cell r="AI171">
            <v>0.85</v>
          </cell>
          <cell r="AN171">
            <v>0.85</v>
          </cell>
          <cell r="AS171">
            <v>0.85</v>
          </cell>
          <cell r="AX171">
            <v>0.85</v>
          </cell>
          <cell r="BC171">
            <v>0.85</v>
          </cell>
          <cell r="BH171">
            <v>0.85</v>
          </cell>
        </row>
        <row r="172">
          <cell r="B172" t="str">
            <v>Sales -% Government (G)</v>
          </cell>
          <cell r="C172" t="str">
            <v>SALES_GOV</v>
          </cell>
          <cell r="G172">
            <v>0.15000000000000002</v>
          </cell>
          <cell r="H172">
            <v>0.15000000000000002</v>
          </cell>
          <cell r="I172">
            <v>0.15000000000000002</v>
          </cell>
          <cell r="J172">
            <v>0.15000000000000002</v>
          </cell>
          <cell r="O172">
            <v>0.15000000000000002</v>
          </cell>
          <cell r="T172">
            <v>0.15000000000000002</v>
          </cell>
          <cell r="Y172">
            <v>0.15000000000000002</v>
          </cell>
          <cell r="AD172">
            <v>0.15000000000000002</v>
          </cell>
          <cell r="AI172">
            <v>0.15000000000000002</v>
          </cell>
          <cell r="AN172">
            <v>0.15000000000000002</v>
          </cell>
          <cell r="AS172">
            <v>0.15000000000000002</v>
          </cell>
          <cell r="AX172">
            <v>0.15000000000000002</v>
          </cell>
          <cell r="BC172">
            <v>0.15000000000000002</v>
          </cell>
          <cell r="BH172">
            <v>0.15000000000000002</v>
          </cell>
        </row>
        <row r="173">
          <cell r="B173" t="str">
            <v>Sales - % Industry Sub-Segment: Financial Services</v>
          </cell>
          <cell r="C173" t="str">
            <v>SALES_FINAN</v>
          </cell>
          <cell r="G173">
            <v>0.15</v>
          </cell>
          <cell r="H173">
            <v>0.15</v>
          </cell>
          <cell r="I173">
            <v>0.15</v>
          </cell>
          <cell r="J173">
            <v>0.15</v>
          </cell>
          <cell r="O173">
            <v>0</v>
          </cell>
          <cell r="T173">
            <v>0</v>
          </cell>
          <cell r="Y173">
            <v>0</v>
          </cell>
          <cell r="AD173">
            <v>0</v>
          </cell>
          <cell r="AI173">
            <v>0</v>
          </cell>
          <cell r="AN173">
            <v>0</v>
          </cell>
          <cell r="AS173">
            <v>0</v>
          </cell>
          <cell r="AX173">
            <v>0</v>
          </cell>
          <cell r="BC173">
            <v>0</v>
          </cell>
          <cell r="BH173">
            <v>0</v>
          </cell>
        </row>
        <row r="174">
          <cell r="B174" t="str">
            <v>Sales - % Industry Sub-Segment: Oil &amp; Gas</v>
          </cell>
          <cell r="C174" t="str">
            <v>SALES_OIL_GAS</v>
          </cell>
          <cell r="G174">
            <v>0.02</v>
          </cell>
          <cell r="H174">
            <v>0.02</v>
          </cell>
          <cell r="I174">
            <v>0.02</v>
          </cell>
          <cell r="J174">
            <v>0.02</v>
          </cell>
          <cell r="O174">
            <v>0.02</v>
          </cell>
          <cell r="T174">
            <v>0.02</v>
          </cell>
          <cell r="Y174">
            <v>0.02</v>
          </cell>
          <cell r="AD174">
            <v>0.02</v>
          </cell>
          <cell r="AI174">
            <v>0.02</v>
          </cell>
          <cell r="AN174">
            <v>0.02</v>
          </cell>
          <cell r="AS174">
            <v>0.02</v>
          </cell>
          <cell r="AX174">
            <v>0.02</v>
          </cell>
          <cell r="BC174">
            <v>0.02</v>
          </cell>
          <cell r="BH174">
            <v>0.02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  <cell r="Y176">
            <v>0.02</v>
          </cell>
          <cell r="AD176">
            <v>0.02</v>
          </cell>
          <cell r="AI176">
            <v>0.02</v>
          </cell>
          <cell r="AN176">
            <v>0.02</v>
          </cell>
          <cell r="AS176">
            <v>0.02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  <cell r="Y177">
            <v>0.02</v>
          </cell>
          <cell r="AD177">
            <v>0.02</v>
          </cell>
          <cell r="AI177">
            <v>0.02</v>
          </cell>
          <cell r="AN177">
            <v>0.02</v>
          </cell>
          <cell r="AS177">
            <v>0.02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3">
          <cell r="A183" t="str">
            <v>FX Exposure - Sales</v>
          </cell>
        </row>
        <row r="184">
          <cell r="B184" t="str">
            <v>Sales - % FX: British Pounds/Pence</v>
          </cell>
          <cell r="C184" t="str">
            <v>SALES_FX_GPB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O184">
            <v>0</v>
          </cell>
          <cell r="T184">
            <v>0</v>
          </cell>
          <cell r="Y184">
            <v>0</v>
          </cell>
          <cell r="AD184">
            <v>0</v>
          </cell>
          <cell r="AI184">
            <v>0</v>
          </cell>
          <cell r="AN184">
            <v>0</v>
          </cell>
          <cell r="AS184">
            <v>0</v>
          </cell>
          <cell r="AX184">
            <v>0</v>
          </cell>
          <cell r="BC184">
            <v>0</v>
          </cell>
          <cell r="BH184">
            <v>0</v>
          </cell>
        </row>
        <row r="185">
          <cell r="B185" t="str">
            <v>Sales - % FX: Euro</v>
          </cell>
          <cell r="C185" t="str">
            <v>SALES_FX_EUR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O185">
            <v>0</v>
          </cell>
          <cell r="T185">
            <v>0</v>
          </cell>
          <cell r="Y185">
            <v>0</v>
          </cell>
          <cell r="AD185">
            <v>0</v>
          </cell>
          <cell r="AI185">
            <v>0</v>
          </cell>
          <cell r="AN185">
            <v>0</v>
          </cell>
          <cell r="AS185">
            <v>0</v>
          </cell>
          <cell r="AX185">
            <v>0</v>
          </cell>
          <cell r="BC185">
            <v>0</v>
          </cell>
          <cell r="BH185">
            <v>0</v>
          </cell>
        </row>
        <row r="186">
          <cell r="B186" t="str">
            <v>Sales - % FX: New Russian Ruble</v>
          </cell>
          <cell r="C186" t="str">
            <v>SALES_FX_RUB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O186">
            <v>0</v>
          </cell>
          <cell r="T186">
            <v>0</v>
          </cell>
          <cell r="Y186">
            <v>0</v>
          </cell>
          <cell r="AD186">
            <v>0</v>
          </cell>
          <cell r="AI186">
            <v>0</v>
          </cell>
          <cell r="AN186">
            <v>0</v>
          </cell>
          <cell r="AS186">
            <v>0</v>
          </cell>
          <cell r="AX186">
            <v>0</v>
          </cell>
          <cell r="BC186">
            <v>0</v>
          </cell>
          <cell r="BH186">
            <v>0</v>
          </cell>
        </row>
        <row r="187">
          <cell r="B187" t="str">
            <v>Sales - % FX: U.S. Dollar</v>
          </cell>
          <cell r="C187" t="str">
            <v>SALES_FX_USD</v>
          </cell>
          <cell r="G187">
            <v>0.1</v>
          </cell>
          <cell r="H187">
            <v>0.1</v>
          </cell>
          <cell r="I187">
            <v>0.1</v>
          </cell>
          <cell r="J187">
            <v>0.1</v>
          </cell>
          <cell r="O187">
            <v>0.1</v>
          </cell>
          <cell r="T187">
            <v>9.6876484408098373E-2</v>
          </cell>
          <cell r="Y187">
            <v>8.1070060413559242E-2</v>
          </cell>
          <cell r="AD187">
            <v>3.7473173462722831E-2</v>
          </cell>
          <cell r="AI187">
            <v>9.7210872650638769E-2</v>
          </cell>
          <cell r="AN187">
            <v>7.0802294630165519E-2</v>
          </cell>
          <cell r="AS187">
            <v>5.9784950818764893E-2</v>
          </cell>
          <cell r="AX187">
            <v>0.1</v>
          </cell>
          <cell r="BC187">
            <v>0.1</v>
          </cell>
          <cell r="BH187">
            <v>0.1</v>
          </cell>
        </row>
        <row r="188">
          <cell r="B188" t="str">
            <v>Sales - % FX: Brazilian Real</v>
          </cell>
          <cell r="C188" t="str">
            <v>SALES_FX_BRL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O188">
            <v>0</v>
          </cell>
          <cell r="T188">
            <v>0</v>
          </cell>
          <cell r="Y188">
            <v>0</v>
          </cell>
          <cell r="AD188">
            <v>0</v>
          </cell>
          <cell r="AI188">
            <v>0</v>
          </cell>
          <cell r="AN188">
            <v>0</v>
          </cell>
          <cell r="AS188">
            <v>0</v>
          </cell>
          <cell r="AX188">
            <v>0</v>
          </cell>
          <cell r="BC188">
            <v>0</v>
          </cell>
          <cell r="BH188">
            <v>0</v>
          </cell>
        </row>
        <row r="189">
          <cell r="B189" t="str">
            <v>Sales - % FX: Japanese Yen</v>
          </cell>
          <cell r="C189" t="str">
            <v>SALES_FX_YEN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O189">
            <v>0</v>
          </cell>
          <cell r="T189">
            <v>0</v>
          </cell>
          <cell r="Y189">
            <v>0</v>
          </cell>
          <cell r="AD189">
            <v>0</v>
          </cell>
          <cell r="AI189">
            <v>0</v>
          </cell>
          <cell r="AN189">
            <v>0</v>
          </cell>
          <cell r="AS189">
            <v>0</v>
          </cell>
          <cell r="AX189">
            <v>0</v>
          </cell>
          <cell r="BC189">
            <v>0</v>
          </cell>
          <cell r="BH189">
            <v>0</v>
          </cell>
        </row>
        <row r="190">
          <cell r="B190" t="str">
            <v>Sales - % FX: Chinese Renminbi</v>
          </cell>
          <cell r="C190" t="str">
            <v>SALES_FX_CNY</v>
          </cell>
          <cell r="G190">
            <v>0.9</v>
          </cell>
          <cell r="H190">
            <v>0.9</v>
          </cell>
          <cell r="I190">
            <v>0.9</v>
          </cell>
          <cell r="J190">
            <v>0.9</v>
          </cell>
          <cell r="O190">
            <v>0.9</v>
          </cell>
          <cell r="T190">
            <v>0.90312351559190163</v>
          </cell>
          <cell r="Y190">
            <v>0.91892993958644076</v>
          </cell>
          <cell r="AD190">
            <v>0.96252682653727717</v>
          </cell>
          <cell r="AI190">
            <v>0.90278912734936123</v>
          </cell>
          <cell r="AN190">
            <v>0.92919770536983448</v>
          </cell>
          <cell r="AS190">
            <v>0.94021504918123511</v>
          </cell>
          <cell r="AX190">
            <v>0.9</v>
          </cell>
          <cell r="BC190">
            <v>0.9</v>
          </cell>
          <cell r="BH190">
            <v>0.9</v>
          </cell>
        </row>
        <row r="191">
          <cell r="B191" t="str">
            <v>Sales - % FX: Indian Rupee</v>
          </cell>
          <cell r="C191" t="str">
            <v>SALES_FX_INR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O191">
            <v>0</v>
          </cell>
          <cell r="T191">
            <v>0</v>
          </cell>
          <cell r="Y191">
            <v>0</v>
          </cell>
          <cell r="AD191">
            <v>0</v>
          </cell>
          <cell r="AI191">
            <v>0</v>
          </cell>
          <cell r="AN191">
            <v>0</v>
          </cell>
          <cell r="AS191">
            <v>0</v>
          </cell>
          <cell r="AX191">
            <v>0</v>
          </cell>
          <cell r="BC191">
            <v>0</v>
          </cell>
          <cell r="BH191">
            <v>0</v>
          </cell>
        </row>
        <row r="192">
          <cell r="B192" t="str">
            <v>Sales - % FX: South Korean Won</v>
          </cell>
          <cell r="C192" t="str">
            <v>SALES_FX_KRW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O192">
            <v>0</v>
          </cell>
          <cell r="T192">
            <v>0</v>
          </cell>
          <cell r="Y192">
            <v>0</v>
          </cell>
          <cell r="AD192">
            <v>0</v>
          </cell>
          <cell r="AI192">
            <v>0</v>
          </cell>
          <cell r="AN192">
            <v>0</v>
          </cell>
          <cell r="AS192">
            <v>0</v>
          </cell>
          <cell r="AX192">
            <v>0</v>
          </cell>
          <cell r="BC192">
            <v>0</v>
          </cell>
          <cell r="BH192">
            <v>0</v>
          </cell>
        </row>
        <row r="193">
          <cell r="B193" t="str">
            <v>Sales - % FX: Taiwan Dollar</v>
          </cell>
          <cell r="C193" t="str">
            <v>SALES_FX_TWD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O193">
            <v>0</v>
          </cell>
          <cell r="T193">
            <v>0</v>
          </cell>
          <cell r="Y193">
            <v>0</v>
          </cell>
          <cell r="AD193">
            <v>0</v>
          </cell>
          <cell r="AI193">
            <v>0</v>
          </cell>
          <cell r="AN193">
            <v>0</v>
          </cell>
          <cell r="AS193">
            <v>0</v>
          </cell>
          <cell r="AX193">
            <v>0</v>
          </cell>
          <cell r="BC193">
            <v>0</v>
          </cell>
          <cell r="BH193">
            <v>0</v>
          </cell>
        </row>
        <row r="194">
          <cell r="B194" t="str">
            <v>Sales - % FX: Other Currency</v>
          </cell>
          <cell r="C194" t="str">
            <v>SALES_FX_OTH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O194">
            <v>0</v>
          </cell>
          <cell r="T194">
            <v>0</v>
          </cell>
          <cell r="Y194">
            <v>0</v>
          </cell>
          <cell r="AD194">
            <v>0</v>
          </cell>
          <cell r="AI194">
            <v>0</v>
          </cell>
          <cell r="AN194">
            <v>0</v>
          </cell>
          <cell r="AS194">
            <v>0</v>
          </cell>
          <cell r="AX194">
            <v>0</v>
          </cell>
          <cell r="BC194">
            <v>0</v>
          </cell>
          <cell r="BH194">
            <v>0</v>
          </cell>
        </row>
        <row r="195">
          <cell r="A195" t="str">
            <v>Items to be removed</v>
          </cell>
        </row>
        <row r="196">
          <cell r="B196" t="str">
            <v>Sales - Total % Americas</v>
          </cell>
          <cell r="C196" t="str">
            <v>SALES_TOT_AM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O196">
            <v>0</v>
          </cell>
          <cell r="T196">
            <v>0</v>
          </cell>
          <cell r="Y196">
            <v>0</v>
          </cell>
          <cell r="AD196">
            <v>0</v>
          </cell>
          <cell r="AI196">
            <v>0</v>
          </cell>
          <cell r="AN196">
            <v>0</v>
          </cell>
          <cell r="AS196">
            <v>0</v>
          </cell>
          <cell r="AX196">
            <v>0</v>
          </cell>
          <cell r="BC196">
            <v>0</v>
          </cell>
          <cell r="BH196">
            <v>0</v>
          </cell>
        </row>
        <row r="197">
          <cell r="B197" t="str">
            <v>Sales - % Other Americas</v>
          </cell>
          <cell r="C197" t="str">
            <v>SALES_OTH_AM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O197">
            <v>0</v>
          </cell>
          <cell r="T197">
            <v>0</v>
          </cell>
          <cell r="Y197">
            <v>0</v>
          </cell>
          <cell r="AD197">
            <v>0</v>
          </cell>
          <cell r="AI197">
            <v>0</v>
          </cell>
          <cell r="AN197">
            <v>0</v>
          </cell>
          <cell r="AS197">
            <v>0</v>
          </cell>
          <cell r="AX197">
            <v>0</v>
          </cell>
          <cell r="BC197">
            <v>0</v>
          </cell>
          <cell r="BH197">
            <v>0</v>
          </cell>
        </row>
        <row r="198">
          <cell r="B198" t="str">
            <v>Sales - Total % EMEA</v>
          </cell>
          <cell r="C198" t="str">
            <v>SALES_TOT_EMEA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O198">
            <v>0</v>
          </cell>
          <cell r="T198">
            <v>0</v>
          </cell>
          <cell r="Y198">
            <v>0</v>
          </cell>
          <cell r="AD198">
            <v>0</v>
          </cell>
          <cell r="AI198">
            <v>0</v>
          </cell>
          <cell r="AN198">
            <v>0</v>
          </cell>
          <cell r="AS198">
            <v>0</v>
          </cell>
          <cell r="AX198">
            <v>0</v>
          </cell>
          <cell r="BC198">
            <v>0</v>
          </cell>
          <cell r="BH198">
            <v>0</v>
          </cell>
        </row>
        <row r="199">
          <cell r="B199" t="str">
            <v>Sales - % Western Europe-Ex UK</v>
          </cell>
          <cell r="C199" t="str">
            <v>SALES_EU_EX_UK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O199">
            <v>0</v>
          </cell>
          <cell r="T199">
            <v>0</v>
          </cell>
          <cell r="Y199">
            <v>0</v>
          </cell>
          <cell r="AD199">
            <v>0</v>
          </cell>
          <cell r="AI199">
            <v>0</v>
          </cell>
          <cell r="AN199">
            <v>0</v>
          </cell>
          <cell r="AS199">
            <v>0</v>
          </cell>
          <cell r="AX199">
            <v>0</v>
          </cell>
          <cell r="BC199">
            <v>0</v>
          </cell>
          <cell r="BH199">
            <v>0</v>
          </cell>
        </row>
        <row r="200">
          <cell r="B200" t="str">
            <v>Sales - % Central &amp; Eastern Europe</v>
          </cell>
          <cell r="C200" t="str">
            <v>SALES_CEE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O200">
            <v>0</v>
          </cell>
          <cell r="T200">
            <v>0</v>
          </cell>
          <cell r="Y200">
            <v>0</v>
          </cell>
          <cell r="AD200">
            <v>0</v>
          </cell>
          <cell r="AI200">
            <v>0</v>
          </cell>
          <cell r="AN200">
            <v>0</v>
          </cell>
          <cell r="AS200">
            <v>0</v>
          </cell>
          <cell r="AX200">
            <v>0</v>
          </cell>
          <cell r="BC200">
            <v>0</v>
          </cell>
          <cell r="BH200">
            <v>0</v>
          </cell>
        </row>
        <row r="201">
          <cell r="B201" t="str">
            <v>Sales - % Middle East</v>
          </cell>
          <cell r="C201" t="str">
            <v>SALES_ME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O201">
            <v>0</v>
          </cell>
          <cell r="T201">
            <v>0</v>
          </cell>
          <cell r="Y201">
            <v>0</v>
          </cell>
          <cell r="AD201">
            <v>0</v>
          </cell>
          <cell r="AI201">
            <v>0</v>
          </cell>
          <cell r="AN201">
            <v>0</v>
          </cell>
          <cell r="AS201">
            <v>0</v>
          </cell>
          <cell r="AX201">
            <v>0</v>
          </cell>
          <cell r="BC201">
            <v>0</v>
          </cell>
          <cell r="BH201">
            <v>0</v>
          </cell>
        </row>
        <row r="202">
          <cell r="B202" t="str">
            <v>Sales - % Total Africa</v>
          </cell>
          <cell r="C202" t="str">
            <v>SALES_TOT_AFRICA</v>
          </cell>
        </row>
        <row r="203">
          <cell r="B203" t="str">
            <v>Sales - % Other EMEA</v>
          </cell>
          <cell r="C203" t="str">
            <v>SALES_OTH_EMEA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O203">
            <v>0</v>
          </cell>
          <cell r="T203">
            <v>0</v>
          </cell>
          <cell r="Y203">
            <v>0</v>
          </cell>
          <cell r="AD203">
            <v>0</v>
          </cell>
          <cell r="AI203">
            <v>0</v>
          </cell>
          <cell r="AN203">
            <v>0</v>
          </cell>
          <cell r="AS203">
            <v>0</v>
          </cell>
          <cell r="AX203">
            <v>0</v>
          </cell>
          <cell r="BC203">
            <v>0</v>
          </cell>
          <cell r="BH203">
            <v>0</v>
          </cell>
        </row>
        <row r="204">
          <cell r="B204" t="str">
            <v>Sales - Total % Asia (incl Australia &amp; New Zealand)</v>
          </cell>
          <cell r="C204" t="str">
            <v>SALES_TOT_ASIA</v>
          </cell>
          <cell r="G204">
            <v>1</v>
          </cell>
          <cell r="H204">
            <v>1</v>
          </cell>
          <cell r="I204">
            <v>1</v>
          </cell>
          <cell r="J204">
            <v>1</v>
          </cell>
          <cell r="O204">
            <v>1</v>
          </cell>
          <cell r="T204">
            <v>1</v>
          </cell>
          <cell r="Y204">
            <v>1</v>
          </cell>
          <cell r="AD204">
            <v>1</v>
          </cell>
          <cell r="AI204">
            <v>1</v>
          </cell>
          <cell r="AN204">
            <v>1</v>
          </cell>
          <cell r="AS204">
            <v>1</v>
          </cell>
          <cell r="AX204">
            <v>1</v>
          </cell>
          <cell r="BC204">
            <v>1</v>
          </cell>
          <cell r="BH204">
            <v>1</v>
          </cell>
        </row>
        <row r="205">
          <cell r="B205" t="str">
            <v>Sales - % Other Asia</v>
          </cell>
          <cell r="C205" t="str">
            <v>SALES_OTH_AEJ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O205">
            <v>0</v>
          </cell>
          <cell r="T205">
            <v>0</v>
          </cell>
          <cell r="Y205">
            <v>0</v>
          </cell>
          <cell r="AD205">
            <v>0</v>
          </cell>
          <cell r="AI205">
            <v>0</v>
          </cell>
          <cell r="AN205">
            <v>0</v>
          </cell>
          <cell r="AS205">
            <v>0</v>
          </cell>
          <cell r="AX205">
            <v>0</v>
          </cell>
          <cell r="BC205">
            <v>0</v>
          </cell>
          <cell r="BH205">
            <v>0</v>
          </cell>
        </row>
        <row r="206">
          <cell r="A206" t="str">
            <v>Security: Dongxu Optoelectronic Technology Co.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000413.SZ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Dongxu Optoelectronic Technology Co.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</row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5.8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Fundamental value</v>
          </cell>
          <cell r="C220" t="str">
            <v>TARGET_PRICE_FUNDAMENTAL</v>
          </cell>
          <cell r="D220" t="str">
            <v>CNY</v>
          </cell>
        </row>
        <row r="221">
          <cell r="B221" t="str">
            <v>M&amp;A value</v>
          </cell>
          <cell r="C221" t="str">
            <v>TARGET_PRICE_MA</v>
          </cell>
          <cell r="D221" t="str">
            <v>CNY</v>
          </cell>
        </row>
        <row r="222">
          <cell r="B222" t="str">
            <v>Current shares outstanding (mn)</v>
          </cell>
          <cell r="C222" t="str">
            <v>NUM_SH</v>
          </cell>
          <cell r="E222">
            <v>5730.2501179999999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  <cell r="E235">
            <v>16</v>
          </cell>
        </row>
        <row r="236">
          <cell r="B236" t="str">
            <v>Target price methodology</v>
          </cell>
          <cell r="C236" t="str">
            <v>PRI_TARG_METH</v>
          </cell>
        </row>
        <row r="237">
          <cell r="A237" t="str">
            <v>Publishing Items</v>
          </cell>
        </row>
        <row r="238">
          <cell r="B238" t="str">
            <v>Book value per share, BVPS (Pub)</v>
          </cell>
          <cell r="C238" t="str">
            <v>BVPS_PUB</v>
          </cell>
          <cell r="D238" t="str">
            <v>CNY</v>
          </cell>
          <cell r="F238">
            <v>0.61327568449086167</v>
          </cell>
          <cell r="G238">
            <v>0.64027057449086155</v>
          </cell>
          <cell r="H238">
            <v>0.65107831647519587</v>
          </cell>
          <cell r="I238">
            <v>0.56636927255874703</v>
          </cell>
          <cell r="J238">
            <v>0.57605329154047025</v>
          </cell>
          <cell r="O238">
            <v>0.60699416007832896</v>
          </cell>
          <cell r="T238">
            <v>1.0233127358746736</v>
          </cell>
          <cell r="Y238">
            <v>6.438176871583611</v>
          </cell>
          <cell r="AD238">
            <v>2.8838822542809073</v>
          </cell>
          <cell r="AI238">
            <v>3.7338930840292668</v>
          </cell>
          <cell r="AN238">
            <v>4.4972914473697809</v>
          </cell>
          <cell r="AS238">
            <v>5.3964130393409118</v>
          </cell>
          <cell r="AX238">
            <v>5.681478858802854</v>
          </cell>
          <cell r="BC238">
            <v>5.9835214116235482</v>
          </cell>
          <cell r="BH238">
            <v>6.3249085323157468</v>
          </cell>
        </row>
        <row r="239">
          <cell r="B239" t="str">
            <v>DPS, dividend per share (Pub)</v>
          </cell>
          <cell r="C239" t="str">
            <v>DPS_PUB</v>
          </cell>
          <cell r="D239" t="str">
            <v>CNY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O239">
            <v>0</v>
          </cell>
          <cell r="T239">
            <v>0</v>
          </cell>
          <cell r="Y239">
            <v>0</v>
          </cell>
          <cell r="AD239">
            <v>0.1</v>
          </cell>
          <cell r="AI239">
            <v>6.9999999999999993E-2</v>
          </cell>
          <cell r="AN239">
            <v>7.0000000000000007E-2</v>
          </cell>
          <cell r="AS239">
            <v>7.0000000000000007E-2</v>
          </cell>
          <cell r="AX239">
            <v>8.516980062012966E-2</v>
          </cell>
          <cell r="BC239">
            <v>9.0242164263336769E-2</v>
          </cell>
          <cell r="BH239">
            <v>0.10199725944304827</v>
          </cell>
        </row>
        <row r="240">
          <cell r="B240" t="str">
            <v>Special dividend per share</v>
          </cell>
          <cell r="C240" t="str">
            <v>DPS_SPECIAL_PUB</v>
          </cell>
          <cell r="D240" t="str">
            <v>CNY</v>
          </cell>
        </row>
        <row r="241">
          <cell r="B241" t="str">
            <v>EBITDA (Pub)</v>
          </cell>
          <cell r="C241" t="str">
            <v>EBITDA_PUB</v>
          </cell>
          <cell r="D241" t="str">
            <v>CNY</v>
          </cell>
          <cell r="F241">
            <v>7.3301293000000101</v>
          </cell>
          <cell r="G241">
            <v>24.624638920000024</v>
          </cell>
          <cell r="H241">
            <v>21.515494969999992</v>
          </cell>
          <cell r="I241">
            <v>-6.3078436699999969</v>
          </cell>
          <cell r="J241">
            <v>-0.31892567999999244</v>
          </cell>
          <cell r="O241">
            <v>25.869641319999999</v>
          </cell>
          <cell r="T241">
            <v>320.7429669500001</v>
          </cell>
          <cell r="Y241">
            <v>413.75504022000007</v>
          </cell>
          <cell r="AD241">
            <v>490.8725423599999</v>
          </cell>
          <cell r="AI241">
            <v>1705.6046960700005</v>
          </cell>
          <cell r="AN241">
            <v>2093.8694327599997</v>
          </cell>
          <cell r="AS241">
            <v>3708.1577288399985</v>
          </cell>
          <cell r="AX241">
            <v>4285.0755825827582</v>
          </cell>
          <cell r="BC241">
            <v>4418.8738909272943</v>
          </cell>
          <cell r="BH241">
            <v>4908.2155226454342</v>
          </cell>
        </row>
        <row r="242">
          <cell r="B242" t="str">
            <v>EPS (Pub)</v>
          </cell>
          <cell r="C242" t="str">
            <v>EPS_PUB</v>
          </cell>
          <cell r="D242" t="str">
            <v>CNY</v>
          </cell>
          <cell r="F242">
            <v>-0.16000000000000003</v>
          </cell>
          <cell r="G242">
            <v>0.03</v>
          </cell>
          <cell r="H242">
            <v>1.0000000000000002E-2</v>
          </cell>
          <cell r="I242">
            <v>-0.08</v>
          </cell>
          <cell r="J242">
            <v>4.0000000000000001E-3</v>
          </cell>
          <cell r="K242">
            <v>-1.72E-2</v>
          </cell>
          <cell r="L242">
            <v>-1.2799999999999999E-2</v>
          </cell>
          <cell r="M242">
            <v>1.9999999999999997E-2</v>
          </cell>
          <cell r="N242">
            <v>0.04</v>
          </cell>
          <cell r="O242">
            <v>0.03</v>
          </cell>
          <cell r="P242">
            <v>0.05</v>
          </cell>
          <cell r="Q242">
            <v>0.06</v>
          </cell>
          <cell r="R242">
            <v>0.16000000000000003</v>
          </cell>
          <cell r="S242">
            <v>9.9999999999999978E-2</v>
          </cell>
          <cell r="T242">
            <v>0.37</v>
          </cell>
          <cell r="U242">
            <v>0.16</v>
          </cell>
          <cell r="V242">
            <v>4.0000000000000008E-2</v>
          </cell>
          <cell r="W242">
            <v>0.12</v>
          </cell>
          <cell r="X242">
            <v>0.19</v>
          </cell>
          <cell r="Y242">
            <v>0.51</v>
          </cell>
          <cell r="Z242">
            <v>0.08</v>
          </cell>
          <cell r="AA242">
            <v>6.9999999999999993E-2</v>
          </cell>
          <cell r="AB242">
            <v>7.0000000000000007E-2</v>
          </cell>
          <cell r="AC242">
            <v>-4.9999999999999989E-2</v>
          </cell>
          <cell r="AD242">
            <v>0.17</v>
          </cell>
          <cell r="AE242">
            <v>0.06</v>
          </cell>
          <cell r="AF242">
            <v>0.09</v>
          </cell>
          <cell r="AG242">
            <v>0.13000000000000003</v>
          </cell>
          <cell r="AH242">
            <v>0.19999999999999996</v>
          </cell>
          <cell r="AI242">
            <v>0.48000000000000004</v>
          </cell>
          <cell r="AJ242">
            <v>0.09</v>
          </cell>
          <cell r="AK242">
            <v>5.0000000000000017E-2</v>
          </cell>
          <cell r="AL242">
            <v>0.06</v>
          </cell>
          <cell r="AM242">
            <v>8.9999999999999969E-2</v>
          </cell>
          <cell r="AN242">
            <v>0.29000000000000004</v>
          </cell>
          <cell r="AO242">
            <v>0.08</v>
          </cell>
          <cell r="AP242">
            <v>0.05</v>
          </cell>
          <cell r="AQ242">
            <v>7.9999999999999988E-2</v>
          </cell>
          <cell r="AR242">
            <v>0.12000000000000002</v>
          </cell>
          <cell r="AS242">
            <v>0.33</v>
          </cell>
          <cell r="AT242">
            <v>7.0000000000000007E-2</v>
          </cell>
          <cell r="AU242">
            <v>7.5713564325430721E-2</v>
          </cell>
          <cell r="AV242">
            <v>8.7639157681725435E-2</v>
          </cell>
          <cell r="AW242">
            <v>0.13281252534951965</v>
          </cell>
          <cell r="AX242">
            <v>0.37023503827849719</v>
          </cell>
          <cell r="AY242">
            <v>6.3457886716992762E-2</v>
          </cell>
          <cell r="AZ242">
            <v>9.4575886176091944E-2</v>
          </cell>
          <cell r="BA242">
            <v>0.10135367907376656</v>
          </cell>
          <cell r="BB242">
            <v>0.13289726511718075</v>
          </cell>
          <cell r="BC242">
            <v>0.39228471708403123</v>
          </cell>
          <cell r="BH242">
            <v>0.44338438013524728</v>
          </cell>
        </row>
        <row r="243">
          <cell r="B243" t="str">
            <v>EV adjustment (Pub)</v>
          </cell>
          <cell r="C243" t="str">
            <v>EV_ADJ_PUB</v>
          </cell>
          <cell r="D243" t="str">
            <v>CNY</v>
          </cell>
        </row>
        <row r="244">
          <cell r="B244" t="str">
            <v>Net debt (Pub)</v>
          </cell>
          <cell r="C244" t="str">
            <v>NET_DEBT_PUB</v>
          </cell>
          <cell r="D244" t="str">
            <v>CNY</v>
          </cell>
          <cell r="F244">
            <v>3.5996196599999997</v>
          </cell>
          <cell r="G244">
            <v>-14.70527208</v>
          </cell>
          <cell r="H244">
            <v>-17.507703020000001</v>
          </cell>
          <cell r="I244">
            <v>-4.8867798899999997</v>
          </cell>
          <cell r="J244">
            <v>-10.211579960000002</v>
          </cell>
          <cell r="O244">
            <v>-15.84722573</v>
          </cell>
          <cell r="T244">
            <v>1174.22992916</v>
          </cell>
          <cell r="Y244">
            <v>414.98908676000019</v>
          </cell>
          <cell r="AD244">
            <v>4462.5546159599999</v>
          </cell>
          <cell r="AI244">
            <v>-38.2175536499999</v>
          </cell>
          <cell r="AN244">
            <v>-6227.8578843199975</v>
          </cell>
          <cell r="AS244">
            <v>-3857.1083179799971</v>
          </cell>
          <cell r="AX244">
            <v>-843.81490514079997</v>
          </cell>
          <cell r="BC244">
            <v>191.01255079260227</v>
          </cell>
          <cell r="BH244">
            <v>1544.2529368693322</v>
          </cell>
        </row>
        <row r="245">
          <cell r="B245" t="str">
            <v>Net income (Pub)</v>
          </cell>
          <cell r="C245" t="str">
            <v>NI_PUB</v>
          </cell>
          <cell r="D245" t="str">
            <v>CNY</v>
          </cell>
          <cell r="F245">
            <v>-63.009449359999998</v>
          </cell>
          <cell r="G245">
            <v>10.339042870000009</v>
          </cell>
          <cell r="H245">
            <v>4.1393648099999671</v>
          </cell>
          <cell r="I245">
            <v>-32.443563820000001</v>
          </cell>
          <cell r="J245">
            <v>1.5192551300000008</v>
          </cell>
          <cell r="K245">
            <v>-6.5849915299999981</v>
          </cell>
          <cell r="L245">
            <v>-3.2658349999999956</v>
          </cell>
          <cell r="M245">
            <v>7.5737002799999971</v>
          </cell>
          <cell r="N245">
            <v>14.1274789</v>
          </cell>
          <cell r="O245">
            <v>11.850352650000003</v>
          </cell>
          <cell r="P245">
            <v>19.043917669999992</v>
          </cell>
          <cell r="Q245">
            <v>22.131866510000037</v>
          </cell>
          <cell r="R245">
            <v>61.109162970000042</v>
          </cell>
          <cell r="S245">
            <v>40.379611170000004</v>
          </cell>
          <cell r="T245">
            <v>142.66455832000005</v>
          </cell>
          <cell r="U245">
            <v>61.882386279999984</v>
          </cell>
          <cell r="V245">
            <v>52.085239720000047</v>
          </cell>
          <cell r="W245">
            <v>100.87652036999994</v>
          </cell>
          <cell r="X245">
            <v>154.45316237000006</v>
          </cell>
          <cell r="Y245">
            <v>369.29730874000006</v>
          </cell>
          <cell r="Z245">
            <v>207.65235419999993</v>
          </cell>
          <cell r="AA245">
            <v>199.88430670000017</v>
          </cell>
          <cell r="AB245">
            <v>196.78215818999979</v>
          </cell>
          <cell r="AC245">
            <v>-135.4161176499999</v>
          </cell>
          <cell r="AD245">
            <v>468.90270143999999</v>
          </cell>
          <cell r="AE245">
            <v>158.27198709999993</v>
          </cell>
          <cell r="AF245">
            <v>241.80974353000019</v>
          </cell>
          <cell r="AG245">
            <v>339.80631647999985</v>
          </cell>
          <cell r="AH245">
            <v>586.34562726000013</v>
          </cell>
          <cell r="AI245">
            <v>1326.2336743700005</v>
          </cell>
          <cell r="AJ245">
            <v>347.75053273999981</v>
          </cell>
          <cell r="AK245">
            <v>198.21317797999987</v>
          </cell>
          <cell r="AL245">
            <v>255.87319791000053</v>
          </cell>
          <cell r="AM245">
            <v>438.09199076999931</v>
          </cell>
          <cell r="AN245">
            <v>1239.9288993999999</v>
          </cell>
          <cell r="AO245">
            <v>392.78264450999995</v>
          </cell>
          <cell r="AP245">
            <v>243.07310585999954</v>
          </cell>
          <cell r="AQ245">
            <v>390.25813600000083</v>
          </cell>
          <cell r="AR245">
            <v>717.5529408799988</v>
          </cell>
          <cell r="AS245">
            <v>1743.6668272499994</v>
          </cell>
          <cell r="AT245">
            <v>424.43842816999961</v>
          </cell>
          <cell r="AU245">
            <v>433.85766090999999</v>
          </cell>
          <cell r="AV245">
            <v>502.19429364712778</v>
          </cell>
          <cell r="AW245">
            <v>761.04898905596292</v>
          </cell>
          <cell r="AX245">
            <v>2121.539371783093</v>
          </cell>
          <cell r="AY245">
            <v>363.62956284807836</v>
          </cell>
          <cell r="AZ245">
            <v>541.9434829205054</v>
          </cell>
          <cell r="BA245">
            <v>580.78193147218497</v>
          </cell>
          <cell r="BB245">
            <v>761.53456911960234</v>
          </cell>
          <cell r="BC245">
            <v>2247.8895463603667</v>
          </cell>
          <cell r="BH245">
            <v>2540.7033965893575</v>
          </cell>
        </row>
        <row r="246">
          <cell r="B246" t="str">
            <v>EBIT, operating profit (Pub)</v>
          </cell>
          <cell r="C246" t="str">
            <v>EBIT_PUB</v>
          </cell>
          <cell r="D246" t="str">
            <v>CNY</v>
          </cell>
          <cell r="F246">
            <v>-7.4680296999999882</v>
          </cell>
          <cell r="G246">
            <v>9.0574391100000469</v>
          </cell>
          <cell r="H246">
            <v>5.8716633899999806</v>
          </cell>
          <cell r="I246">
            <v>-21.839994439999998</v>
          </cell>
          <cell r="J246">
            <v>-15.760901189999998</v>
          </cell>
          <cell r="K246">
            <v>-6.7060416699999976</v>
          </cell>
          <cell r="L246">
            <v>-3.2423686299999952</v>
          </cell>
          <cell r="M246">
            <v>7.8576966999999964</v>
          </cell>
          <cell r="N246">
            <v>14.218834850000002</v>
          </cell>
          <cell r="O246">
            <v>12.128121249999992</v>
          </cell>
          <cell r="P246">
            <v>66.657039239999989</v>
          </cell>
          <cell r="Q246">
            <v>53.740391090000031</v>
          </cell>
          <cell r="R246">
            <v>104.33670408000005</v>
          </cell>
          <cell r="S246">
            <v>83.578585830000009</v>
          </cell>
          <cell r="T246">
            <v>308.31272024000009</v>
          </cell>
          <cell r="U246">
            <v>103.92332891999999</v>
          </cell>
          <cell r="V246">
            <v>-17.963811729999961</v>
          </cell>
          <cell r="W246">
            <v>101.09334587999996</v>
          </cell>
          <cell r="X246">
            <v>215.05722727000008</v>
          </cell>
          <cell r="Y246">
            <v>402.11009034000006</v>
          </cell>
          <cell r="Z246">
            <v>273.27547409999994</v>
          </cell>
          <cell r="AA246">
            <v>103.57210903000014</v>
          </cell>
          <cell r="AB246">
            <v>48.283564099999808</v>
          </cell>
          <cell r="AC246">
            <v>-164.36892646999991</v>
          </cell>
          <cell r="AD246">
            <v>260.76222075999999</v>
          </cell>
          <cell r="AE246">
            <v>125.35696382999993</v>
          </cell>
          <cell r="AF246">
            <v>315.56080307000025</v>
          </cell>
          <cell r="AG246">
            <v>239.4380692899999</v>
          </cell>
          <cell r="AH246">
            <v>667.21651290000023</v>
          </cell>
          <cell r="AI246">
            <v>1347.5723490900004</v>
          </cell>
          <cell r="AJ246">
            <v>382.09124154999984</v>
          </cell>
          <cell r="AK246">
            <v>272.9325599199999</v>
          </cell>
          <cell r="AL246">
            <v>323.60301844000054</v>
          </cell>
          <cell r="AM246">
            <v>566.41066128999933</v>
          </cell>
          <cell r="AN246">
            <v>1545.0374811999991</v>
          </cell>
          <cell r="AO246">
            <v>555.27308229999994</v>
          </cell>
          <cell r="AP246">
            <v>479.17281107999952</v>
          </cell>
          <cell r="AQ246">
            <v>478.66148097000087</v>
          </cell>
          <cell r="AR246">
            <v>1158.3538312799988</v>
          </cell>
          <cell r="AS246">
            <v>2671.4612056299993</v>
          </cell>
          <cell r="AT246">
            <v>710.45619397999963</v>
          </cell>
          <cell r="AU246">
            <v>727.43918393000001</v>
          </cell>
          <cell r="AV246">
            <v>703.21056186997066</v>
          </cell>
          <cell r="AW246">
            <v>1015.0836888685674</v>
          </cell>
          <cell r="AX246">
            <v>3156.1896286485353</v>
          </cell>
          <cell r="AY246">
            <v>532.43953006273682</v>
          </cell>
          <cell r="AZ246">
            <v>749.89553015106253</v>
          </cell>
          <cell r="BA246">
            <v>797.25949179945223</v>
          </cell>
          <cell r="BB246">
            <v>1017.6895377109369</v>
          </cell>
          <cell r="BC246">
            <v>3097.284089724184</v>
          </cell>
          <cell r="BH246">
            <v>3532.5678649105939</v>
          </cell>
        </row>
        <row r="247">
          <cell r="B247" t="str">
            <v>Pre-tax profit (Pub)</v>
          </cell>
          <cell r="C247" t="str">
            <v>PTP_PUB</v>
          </cell>
          <cell r="D247" t="str">
            <v>CNY</v>
          </cell>
          <cell r="F247">
            <v>-76.058769490000003</v>
          </cell>
          <cell r="G247">
            <v>18.46634164000001</v>
          </cell>
          <cell r="H247">
            <v>5.1214282799999671</v>
          </cell>
          <cell r="I247">
            <v>-32.4003035</v>
          </cell>
          <cell r="J247">
            <v>5.9450041700000007</v>
          </cell>
          <cell r="O247">
            <v>14.833457650000003</v>
          </cell>
          <cell r="T247">
            <v>326.61239617000007</v>
          </cell>
          <cell r="Y247">
            <v>547.38405570000009</v>
          </cell>
          <cell r="AD247">
            <v>638.32082371000001</v>
          </cell>
          <cell r="AI247">
            <v>1630.3066930500004</v>
          </cell>
          <cell r="AN247">
            <v>1525.2187115699999</v>
          </cell>
          <cell r="AS247">
            <v>2280.8994783699995</v>
          </cell>
          <cell r="AX247">
            <v>2777.032608521798</v>
          </cell>
          <cell r="BC247">
            <v>2866.1707242429079</v>
          </cell>
          <cell r="BH247">
            <v>3239.6623800500065</v>
          </cell>
        </row>
        <row r="248">
          <cell r="B248" t="str">
            <v>Sales, revenue (Pub)</v>
          </cell>
          <cell r="C248" t="str">
            <v>REVS_PUB</v>
          </cell>
          <cell r="D248" t="str">
            <v>CNY</v>
          </cell>
          <cell r="F248">
            <v>231.60831031000001</v>
          </cell>
          <cell r="G248">
            <v>228.14118138000001</v>
          </cell>
          <cell r="H248">
            <v>205.22499141999998</v>
          </cell>
          <cell r="I248">
            <v>62.037023099999999</v>
          </cell>
          <cell r="J248">
            <v>78.353207420000004</v>
          </cell>
          <cell r="K248">
            <v>10.82726491</v>
          </cell>
          <cell r="L248">
            <v>15.992923530000002</v>
          </cell>
          <cell r="M248">
            <v>35.810612229999997</v>
          </cell>
          <cell r="N248">
            <v>41.794659280000005</v>
          </cell>
          <cell r="O248">
            <v>104.42545995</v>
          </cell>
          <cell r="P248">
            <v>207.76442893999999</v>
          </cell>
          <cell r="Q248">
            <v>153.59131723000004</v>
          </cell>
          <cell r="R248">
            <v>217.23819307000002</v>
          </cell>
          <cell r="S248">
            <v>200.34123059000001</v>
          </cell>
          <cell r="T248">
            <v>778.93516983000006</v>
          </cell>
          <cell r="U248">
            <v>191.29712626</v>
          </cell>
          <cell r="V248">
            <v>63.745227820000025</v>
          </cell>
          <cell r="W248">
            <v>282.53759538999998</v>
          </cell>
          <cell r="X248">
            <v>394.32073352000009</v>
          </cell>
          <cell r="Y248">
            <v>931.90068299000006</v>
          </cell>
          <cell r="Z248">
            <v>577.39930603999994</v>
          </cell>
          <cell r="AA248">
            <v>332.57543705000012</v>
          </cell>
          <cell r="AB248">
            <v>277.51613752999981</v>
          </cell>
          <cell r="AC248">
            <v>413.25986507000016</v>
          </cell>
          <cell r="AD248">
            <v>1600.75074569</v>
          </cell>
          <cell r="AE248">
            <v>598.85873042999992</v>
          </cell>
          <cell r="AF248">
            <v>925.38399347000018</v>
          </cell>
          <cell r="AG248">
            <v>998.67844678999995</v>
          </cell>
          <cell r="AH248">
            <v>2127.2872774100001</v>
          </cell>
          <cell r="AI248">
            <v>4650.2084481000002</v>
          </cell>
          <cell r="AJ248">
            <v>1581.69083417</v>
          </cell>
          <cell r="AK248">
            <v>1300.3683202399998</v>
          </cell>
          <cell r="AL248">
            <v>1379.6243933000005</v>
          </cell>
          <cell r="AM248">
            <v>2639.6375749399995</v>
          </cell>
          <cell r="AN248">
            <v>6901.3211226499998</v>
          </cell>
          <cell r="AO248">
            <v>2169.6282150799998</v>
          </cell>
          <cell r="AP248">
            <v>2471.6573128299997</v>
          </cell>
          <cell r="AQ248">
            <v>3227.3602956700006</v>
          </cell>
          <cell r="AR248">
            <v>9467.7183345499998</v>
          </cell>
          <cell r="AS248">
            <v>17336.36415813</v>
          </cell>
          <cell r="AT248">
            <v>4665.7515996599996</v>
          </cell>
          <cell r="AU248">
            <v>6464.100191219999</v>
          </cell>
          <cell r="AV248">
            <v>6263.0905687036466</v>
          </cell>
          <cell r="AW248">
            <v>8295.7012896069718</v>
          </cell>
          <cell r="AX248">
            <v>25688.643649190621</v>
          </cell>
          <cell r="AY248">
            <v>5299.4124817433549</v>
          </cell>
          <cell r="AZ248">
            <v>6754.918059128946</v>
          </cell>
          <cell r="BA248">
            <v>6633.3208047025055</v>
          </cell>
          <cell r="BB248">
            <v>10768.977404049892</v>
          </cell>
          <cell r="BC248">
            <v>29456.628749624699</v>
          </cell>
          <cell r="BH248">
            <v>35260.64835158411</v>
          </cell>
        </row>
        <row r="249">
          <cell r="B249" t="str">
            <v>Total shareholders' equity (Pub)</v>
          </cell>
          <cell r="C249" t="str">
            <v>EQ_PUB</v>
          </cell>
          <cell r="D249" t="str">
            <v>CNY</v>
          </cell>
          <cell r="F249">
            <v>248.99131633000002</v>
          </cell>
          <cell r="G249">
            <v>260.1351841</v>
          </cell>
          <cell r="H249">
            <v>265.03304304</v>
          </cell>
          <cell r="I249">
            <v>232.24978894000012</v>
          </cell>
          <cell r="J249">
            <v>238.50494475000011</v>
          </cell>
          <cell r="O249">
            <v>259.82054799999997</v>
          </cell>
          <cell r="T249">
            <v>503.34367810999998</v>
          </cell>
          <cell r="Y249">
            <v>5874.2014385700004</v>
          </cell>
          <cell r="AD249">
            <v>9310.2893803499992</v>
          </cell>
          <cell r="AI249">
            <v>14561.448764599998</v>
          </cell>
          <cell r="AN249">
            <v>23069.236598470001</v>
          </cell>
          <cell r="AS249">
            <v>32057.252172649998</v>
          </cell>
          <cell r="AX249">
            <v>33985.996135564797</v>
          </cell>
          <cell r="BC249">
            <v>36021.49791556241</v>
          </cell>
          <cell r="BH249">
            <v>38322.16238784766</v>
          </cell>
        </row>
        <row r="250">
          <cell r="B250" t="str">
            <v>EPS (consensus)</v>
          </cell>
          <cell r="C250" t="str">
            <v>EPS_CONS_PUB</v>
          </cell>
          <cell r="D250" t="str">
            <v>CNY</v>
          </cell>
        </row>
        <row r="251">
          <cell r="A251" t="str">
            <v>Income Statement</v>
          </cell>
        </row>
        <row r="252">
          <cell r="B252" t="str">
            <v>Provision for income tax</v>
          </cell>
          <cell r="C252" t="str">
            <v>PROV_INC_TAX</v>
          </cell>
          <cell r="D252" t="str">
            <v>CNY</v>
          </cell>
          <cell r="F252">
            <v>-0.82983659999999992</v>
          </cell>
          <cell r="G252">
            <v>-7.3224738600000006</v>
          </cell>
          <cell r="H252">
            <v>-0.22356971</v>
          </cell>
          <cell r="I252">
            <v>-0.38295059999999997</v>
          </cell>
          <cell r="J252">
            <v>-1.8795725000000001</v>
          </cell>
          <cell r="O252">
            <v>-2.6978543999999998</v>
          </cell>
          <cell r="T252">
            <v>-85.584266060000004</v>
          </cell>
          <cell r="Y252">
            <v>-137.83971658000002</v>
          </cell>
          <cell r="AD252">
            <v>-114.89623281999999</v>
          </cell>
          <cell r="AI252">
            <v>-237.78300687000001</v>
          </cell>
          <cell r="AN252">
            <v>-214.69405522999998</v>
          </cell>
          <cell r="AS252">
            <v>-342.02834361000004</v>
          </cell>
          <cell r="AX252">
            <v>-555.49323673870526</v>
          </cell>
          <cell r="BC252">
            <v>-515.07134464372416</v>
          </cell>
          <cell r="BH252">
            <v>-582.29984268900114</v>
          </cell>
        </row>
        <row r="253">
          <cell r="B253" t="str">
            <v>Minority interest</v>
          </cell>
          <cell r="C253" t="str">
            <v>INC_MINORITY</v>
          </cell>
          <cell r="D253" t="str">
            <v>CNY</v>
          </cell>
          <cell r="F253">
            <v>13.87915673</v>
          </cell>
          <cell r="G253">
            <v>-0.80482491</v>
          </cell>
          <cell r="H253">
            <v>-0.75849376000000002</v>
          </cell>
          <cell r="I253">
            <v>0.33969028000000001</v>
          </cell>
          <cell r="J253">
            <v>-2.5461765399999998</v>
          </cell>
          <cell r="O253">
            <v>-0.28525059999999997</v>
          </cell>
          <cell r="T253">
            <v>-98.363571790000009</v>
          </cell>
          <cell r="Y253">
            <v>-40.247030380000005</v>
          </cell>
          <cell r="AD253">
            <v>-54.521889450000003</v>
          </cell>
          <cell r="AI253">
            <v>-66.290011809999996</v>
          </cell>
          <cell r="AN253">
            <v>-70.595756940000001</v>
          </cell>
          <cell r="AS253">
            <v>-195.20430750999998</v>
          </cell>
          <cell r="AX253">
            <v>-100</v>
          </cell>
          <cell r="BC253">
            <v>-103.20983323881667</v>
          </cell>
          <cell r="BH253">
            <v>-116.65914077164778</v>
          </cell>
        </row>
        <row r="254">
          <cell r="B254" t="str">
            <v>Net income (pre-preferred dividends)</v>
          </cell>
          <cell r="C254" t="str">
            <v>NI_PRE_PREF</v>
          </cell>
          <cell r="D254" t="str">
            <v>CNY</v>
          </cell>
          <cell r="F254">
            <v>-63.009449359999998</v>
          </cell>
          <cell r="G254">
            <v>10.339042870000009</v>
          </cell>
          <cell r="H254">
            <v>4.1393648099999671</v>
          </cell>
          <cell r="I254">
            <v>-32.443563820000001</v>
          </cell>
          <cell r="J254">
            <v>1.5192551300000008</v>
          </cell>
          <cell r="O254">
            <v>11.850352650000003</v>
          </cell>
          <cell r="T254">
            <v>142.66455832000005</v>
          </cell>
          <cell r="Y254">
            <v>369.29730874000006</v>
          </cell>
          <cell r="AD254">
            <v>468.90270143999999</v>
          </cell>
          <cell r="AI254">
            <v>1326.2336743700005</v>
          </cell>
          <cell r="AN254">
            <v>1239.9288993999999</v>
          </cell>
          <cell r="AS254">
            <v>1743.6668272499994</v>
          </cell>
          <cell r="AX254">
            <v>2121.539371783093</v>
          </cell>
          <cell r="BC254">
            <v>2247.8895463603667</v>
          </cell>
          <cell r="BH254">
            <v>2540.7033965893575</v>
          </cell>
        </row>
        <row r="255">
          <cell r="B255" t="str">
            <v>Preferred dividends</v>
          </cell>
          <cell r="C255" t="str">
            <v>PREF_DIV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O255">
            <v>0</v>
          </cell>
          <cell r="T255">
            <v>0</v>
          </cell>
          <cell r="Y255">
            <v>0</v>
          </cell>
          <cell r="AD255">
            <v>0</v>
          </cell>
          <cell r="AI255">
            <v>0</v>
          </cell>
          <cell r="AN255">
            <v>0</v>
          </cell>
          <cell r="AS255">
            <v>0</v>
          </cell>
          <cell r="AX255">
            <v>0</v>
          </cell>
          <cell r="BC255">
            <v>0</v>
          </cell>
          <cell r="BH255">
            <v>0</v>
          </cell>
        </row>
        <row r="256">
          <cell r="B256" t="str">
            <v>Net income (pre-exceptionals)</v>
          </cell>
          <cell r="C256" t="str">
            <v>NET_EARNING</v>
          </cell>
          <cell r="D256" t="str">
            <v>CNY</v>
          </cell>
          <cell r="F256">
            <v>-63.009449359999998</v>
          </cell>
          <cell r="G256">
            <v>10.339042870000009</v>
          </cell>
          <cell r="H256">
            <v>4.1393648099999671</v>
          </cell>
          <cell r="I256">
            <v>-32.443563820000001</v>
          </cell>
          <cell r="J256">
            <v>1.5192551300000008</v>
          </cell>
          <cell r="O256">
            <v>11.850352650000003</v>
          </cell>
          <cell r="T256">
            <v>142.66455832000005</v>
          </cell>
          <cell r="Y256">
            <v>369.29730874000006</v>
          </cell>
          <cell r="AD256">
            <v>468.90270143999999</v>
          </cell>
          <cell r="AI256">
            <v>1326.2336743700005</v>
          </cell>
          <cell r="AN256">
            <v>1239.9288993999999</v>
          </cell>
          <cell r="AS256">
            <v>1743.6668272499994</v>
          </cell>
          <cell r="AX256">
            <v>2121.539371783093</v>
          </cell>
          <cell r="BC256">
            <v>2247.8895463603667</v>
          </cell>
          <cell r="BH256">
            <v>2540.7033965893575</v>
          </cell>
        </row>
        <row r="257">
          <cell r="B257" t="str">
            <v>Post-tax exceptionals</v>
          </cell>
          <cell r="C257" t="str">
            <v>TAX_EXC</v>
          </cell>
          <cell r="D257" t="str">
            <v>CNY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O257">
            <v>0</v>
          </cell>
          <cell r="T257">
            <v>0</v>
          </cell>
          <cell r="Y257">
            <v>0</v>
          </cell>
          <cell r="AD257">
            <v>0</v>
          </cell>
          <cell r="AI257">
            <v>0</v>
          </cell>
          <cell r="AN257">
            <v>0</v>
          </cell>
          <cell r="AS257">
            <v>0</v>
          </cell>
          <cell r="AX257">
            <v>0</v>
          </cell>
          <cell r="BC257">
            <v>0</v>
          </cell>
          <cell r="BH257">
            <v>0</v>
          </cell>
        </row>
        <row r="258">
          <cell r="B258" t="str">
            <v>Net income (post-exceptionals)</v>
          </cell>
          <cell r="C258" t="str">
            <v>NET_INC</v>
          </cell>
          <cell r="D258" t="str">
            <v>CNY</v>
          </cell>
          <cell r="F258">
            <v>-63.009449359999998</v>
          </cell>
          <cell r="G258">
            <v>10.339042870000009</v>
          </cell>
          <cell r="H258">
            <v>4.1393648099999671</v>
          </cell>
          <cell r="I258">
            <v>-32.443563820000001</v>
          </cell>
          <cell r="J258">
            <v>1.5192551300000008</v>
          </cell>
          <cell r="K258">
            <v>-6.5849915299999981</v>
          </cell>
          <cell r="L258">
            <v>-3.2658349999999956</v>
          </cell>
          <cell r="M258">
            <v>7.5737002799999971</v>
          </cell>
          <cell r="N258">
            <v>14.1274789</v>
          </cell>
          <cell r="O258">
            <v>11.850352650000003</v>
          </cell>
          <cell r="P258">
            <v>19.043917669999992</v>
          </cell>
          <cell r="Q258">
            <v>22.131866510000037</v>
          </cell>
          <cell r="R258">
            <v>61.109162970000042</v>
          </cell>
          <cell r="S258">
            <v>40.379611170000004</v>
          </cell>
          <cell r="T258">
            <v>142.66455832000005</v>
          </cell>
          <cell r="U258">
            <v>61.882386279999984</v>
          </cell>
          <cell r="V258">
            <v>52.085239720000047</v>
          </cell>
          <cell r="W258">
            <v>100.87652036999994</v>
          </cell>
          <cell r="X258">
            <v>154.45316237000006</v>
          </cell>
          <cell r="Y258">
            <v>369.29730874000006</v>
          </cell>
          <cell r="Z258">
            <v>207.65235419999993</v>
          </cell>
          <cell r="AA258">
            <v>199.88430670000017</v>
          </cell>
          <cell r="AB258">
            <v>196.78215818999979</v>
          </cell>
          <cell r="AC258">
            <v>-135.4161176499999</v>
          </cell>
          <cell r="AD258">
            <v>468.90270143999999</v>
          </cell>
          <cell r="AE258">
            <v>158.27198709999993</v>
          </cell>
          <cell r="AF258">
            <v>241.80974353000019</v>
          </cell>
          <cell r="AG258">
            <v>339.80631647999985</v>
          </cell>
          <cell r="AH258">
            <v>586.34562726000013</v>
          </cell>
          <cell r="AI258">
            <v>1326.2336743700005</v>
          </cell>
          <cell r="AJ258">
            <v>347.75053273999981</v>
          </cell>
          <cell r="AK258">
            <v>198.21317797999987</v>
          </cell>
          <cell r="AL258">
            <v>255.87319791000053</v>
          </cell>
          <cell r="AM258">
            <v>438.09199076999931</v>
          </cell>
          <cell r="AN258">
            <v>1239.9288993999999</v>
          </cell>
          <cell r="AO258">
            <v>392.78264450999995</v>
          </cell>
          <cell r="AP258">
            <v>243.07310585999954</v>
          </cell>
          <cell r="AQ258">
            <v>390.25813600000083</v>
          </cell>
          <cell r="AR258">
            <v>717.5529408799988</v>
          </cell>
          <cell r="AS258">
            <v>1743.6668272499994</v>
          </cell>
          <cell r="AT258">
            <v>424.43842816999961</v>
          </cell>
          <cell r="AU258">
            <v>433.85766090999999</v>
          </cell>
          <cell r="AV258">
            <v>502.19429364712778</v>
          </cell>
          <cell r="AW258">
            <v>761.04898905596292</v>
          </cell>
          <cell r="AX258">
            <v>2121.539371783093</v>
          </cell>
          <cell r="AY258">
            <v>363.62956284807836</v>
          </cell>
          <cell r="AZ258">
            <v>541.9434829205054</v>
          </cell>
          <cell r="BA258">
            <v>580.78193147218497</v>
          </cell>
          <cell r="BB258">
            <v>761.53456911960234</v>
          </cell>
          <cell r="BC258">
            <v>2247.8895463603667</v>
          </cell>
          <cell r="BH258">
            <v>2540.7033965893575</v>
          </cell>
        </row>
        <row r="259">
          <cell r="B259" t="str">
            <v>EPS (pre-exceptionals, basic)</v>
          </cell>
          <cell r="C259" t="str">
            <v>EPS</v>
          </cell>
          <cell r="D259" t="str">
            <v>CNY</v>
          </cell>
          <cell r="F259">
            <v>-0.16000000000000003</v>
          </cell>
          <cell r="G259">
            <v>0.03</v>
          </cell>
          <cell r="H259">
            <v>1.0000000000000002E-2</v>
          </cell>
          <cell r="I259">
            <v>-0.08</v>
          </cell>
          <cell r="J259">
            <v>4.0000000000000001E-3</v>
          </cell>
          <cell r="O259">
            <v>0.03</v>
          </cell>
          <cell r="T259">
            <v>0.37</v>
          </cell>
          <cell r="Y259">
            <v>0.51</v>
          </cell>
          <cell r="AD259">
            <v>0.17</v>
          </cell>
          <cell r="AI259">
            <v>0.48000000000000004</v>
          </cell>
          <cell r="AN259">
            <v>0.29000000000000004</v>
          </cell>
          <cell r="AS259">
            <v>0.33</v>
          </cell>
          <cell r="AX259">
            <v>0.37023503827849719</v>
          </cell>
          <cell r="BC259">
            <v>0.39228471708403123</v>
          </cell>
          <cell r="BH259">
            <v>0.44338438013524728</v>
          </cell>
        </row>
        <row r="260">
          <cell r="B260" t="str">
            <v>EPS (pre-exceptionals, diluted)</v>
          </cell>
          <cell r="C260" t="str">
            <v>EPS_FUL_DIL</v>
          </cell>
          <cell r="D260" t="str">
            <v>CNY</v>
          </cell>
          <cell r="F260">
            <v>-0.16000000000000003</v>
          </cell>
          <cell r="G260">
            <v>0.03</v>
          </cell>
          <cell r="H260">
            <v>1.0000000000000002E-2</v>
          </cell>
          <cell r="I260">
            <v>-0.08</v>
          </cell>
          <cell r="J260">
            <v>4.0000000000000001E-3</v>
          </cell>
          <cell r="O260">
            <v>0.03</v>
          </cell>
          <cell r="T260">
            <v>0.37</v>
          </cell>
          <cell r="Y260">
            <v>0.51</v>
          </cell>
          <cell r="AD260">
            <v>0.17</v>
          </cell>
          <cell r="AI260">
            <v>0.48000000000000004</v>
          </cell>
          <cell r="AN260">
            <v>0.29000000000000004</v>
          </cell>
          <cell r="AS260">
            <v>0.33</v>
          </cell>
          <cell r="AX260">
            <v>0.37023503827849719</v>
          </cell>
          <cell r="BC260">
            <v>0.39228471708403123</v>
          </cell>
          <cell r="BH260">
            <v>0.44338438013524728</v>
          </cell>
        </row>
        <row r="261">
          <cell r="B261" t="str">
            <v>EPS (post-exceptionals, basic)</v>
          </cell>
          <cell r="C261" t="str">
            <v>EPS_POST_BASIC</v>
          </cell>
          <cell r="D261" t="str">
            <v>CNY</v>
          </cell>
          <cell r="F261">
            <v>-0.16000000000000003</v>
          </cell>
          <cell r="G261">
            <v>0.03</v>
          </cell>
          <cell r="H261">
            <v>1.0000000000000002E-2</v>
          </cell>
          <cell r="I261">
            <v>-0.08</v>
          </cell>
          <cell r="J261">
            <v>4.0000000000000001E-3</v>
          </cell>
          <cell r="O261">
            <v>0.03</v>
          </cell>
          <cell r="T261">
            <v>0.37</v>
          </cell>
          <cell r="Y261">
            <v>0.51</v>
          </cell>
          <cell r="AD261">
            <v>0.17</v>
          </cell>
          <cell r="AI261">
            <v>0.48000000000000004</v>
          </cell>
          <cell r="AN261">
            <v>0.29000000000000004</v>
          </cell>
          <cell r="AS261">
            <v>0.33</v>
          </cell>
          <cell r="AX261">
            <v>0.37023503827849719</v>
          </cell>
          <cell r="BC261">
            <v>0.39228471708403123</v>
          </cell>
          <cell r="BH261">
            <v>0.44338438013524728</v>
          </cell>
        </row>
        <row r="262">
          <cell r="B262" t="str">
            <v>EPS (post-exceptionals, diluted)</v>
          </cell>
          <cell r="C262" t="str">
            <v>FULLY_DIL_EPS</v>
          </cell>
          <cell r="D262" t="str">
            <v>CNY</v>
          </cell>
          <cell r="F262">
            <v>-0.16000000000000003</v>
          </cell>
          <cell r="G262">
            <v>0.03</v>
          </cell>
          <cell r="H262">
            <v>1.0000000000000002E-2</v>
          </cell>
          <cell r="I262">
            <v>-0.08</v>
          </cell>
          <cell r="J262">
            <v>4.0000000000000001E-3</v>
          </cell>
          <cell r="O262">
            <v>0.03</v>
          </cell>
          <cell r="T262">
            <v>0.37</v>
          </cell>
          <cell r="Y262">
            <v>0.51</v>
          </cell>
          <cell r="AD262">
            <v>0.17</v>
          </cell>
          <cell r="AI262">
            <v>0.48000000000000004</v>
          </cell>
          <cell r="AN262">
            <v>0.29000000000000004</v>
          </cell>
          <cell r="AS262">
            <v>0.33</v>
          </cell>
          <cell r="AX262">
            <v>0.37023503827849719</v>
          </cell>
          <cell r="BC262">
            <v>0.39228471708403123</v>
          </cell>
          <cell r="BH262">
            <v>0.44338438013524728</v>
          </cell>
        </row>
        <row r="263">
          <cell r="B263" t="str">
            <v>Common dividends paid</v>
          </cell>
          <cell r="C263" t="str">
            <v>COMMON_DIV_PAID</v>
          </cell>
          <cell r="D263" t="str">
            <v>CNY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O263">
            <v>0</v>
          </cell>
          <cell r="T263">
            <v>0</v>
          </cell>
          <cell r="Y263">
            <v>0</v>
          </cell>
          <cell r="AD263">
            <v>-266.20800009999999</v>
          </cell>
          <cell r="AI263">
            <v>-268.45003681999998</v>
          </cell>
          <cell r="AN263">
            <v>-345.79502881000002</v>
          </cell>
          <cell r="AS263">
            <v>-401.11750826000002</v>
          </cell>
          <cell r="AX263">
            <v>-488.04426005353446</v>
          </cell>
          <cell r="BC263">
            <v>-517.11017241856086</v>
          </cell>
          <cell r="BH263">
            <v>-584.46980795920399</v>
          </cell>
        </row>
        <row r="264">
          <cell r="B264" t="str">
            <v>DPS, dividend per share</v>
          </cell>
          <cell r="C264" t="str">
            <v>DPS</v>
          </cell>
          <cell r="D264" t="str">
            <v>CNY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O264">
            <v>0</v>
          </cell>
          <cell r="T264">
            <v>0</v>
          </cell>
          <cell r="Y264">
            <v>0</v>
          </cell>
          <cell r="AD264">
            <v>0.1</v>
          </cell>
          <cell r="AI264">
            <v>6.9999999999999993E-2</v>
          </cell>
          <cell r="AN264">
            <v>7.0000000000000007E-2</v>
          </cell>
          <cell r="AS264">
            <v>7.0000000000000007E-2</v>
          </cell>
          <cell r="AX264">
            <v>8.516980062012966E-2</v>
          </cell>
          <cell r="BC264">
            <v>9.0242164263336769E-2</v>
          </cell>
          <cell r="BH264">
            <v>0.10199725944304827</v>
          </cell>
        </row>
        <row r="265">
          <cell r="B265" t="str">
            <v>Weighted average shares outstanding, basic</v>
          </cell>
          <cell r="C265" t="str">
            <v>SH</v>
          </cell>
          <cell r="F265">
            <v>393.80905849999988</v>
          </cell>
          <cell r="G265">
            <v>344.63476233333364</v>
          </cell>
          <cell r="H265">
            <v>413.9364809999966</v>
          </cell>
          <cell r="I265">
            <v>405.54454774999999</v>
          </cell>
          <cell r="J265">
            <v>379.81378250000017</v>
          </cell>
          <cell r="O265">
            <v>395.01175500000011</v>
          </cell>
          <cell r="T265">
            <v>385.57988735135149</v>
          </cell>
          <cell r="Y265">
            <v>724.11237007843147</v>
          </cell>
          <cell r="AD265">
            <v>2758.2511849411762</v>
          </cell>
          <cell r="AI265">
            <v>2762.9868216041673</v>
          </cell>
          <cell r="AN265">
            <v>4275.6168944827577</v>
          </cell>
          <cell r="AS265">
            <v>5283.8388704545432</v>
          </cell>
          <cell r="AX265">
            <v>5730.2501179999999</v>
          </cell>
          <cell r="BC265">
            <v>5730.2501179999999</v>
          </cell>
          <cell r="BH265">
            <v>5730.2501179999999</v>
          </cell>
        </row>
        <row r="266">
          <cell r="B266" t="str">
            <v>Diluted average shares outstanding (mn)</v>
          </cell>
          <cell r="C266" t="str">
            <v>DILUTE_SHARES</v>
          </cell>
          <cell r="F266">
            <v>393.80905849999988</v>
          </cell>
          <cell r="G266">
            <v>344.63476233333364</v>
          </cell>
          <cell r="H266">
            <v>413.9364809999966</v>
          </cell>
          <cell r="I266">
            <v>405.54454774999999</v>
          </cell>
          <cell r="J266">
            <v>379.81378250000017</v>
          </cell>
          <cell r="O266">
            <v>395.01175500000011</v>
          </cell>
          <cell r="T266">
            <v>385.57988735135149</v>
          </cell>
          <cell r="Y266">
            <v>724.11237007843147</v>
          </cell>
          <cell r="AD266">
            <v>2758.2511849411762</v>
          </cell>
          <cell r="AI266">
            <v>2762.9868216041673</v>
          </cell>
          <cell r="AN266">
            <v>4275.6168944827577</v>
          </cell>
          <cell r="AS266">
            <v>5283.8388704545432</v>
          </cell>
          <cell r="AX266">
            <v>5730.2501179999999</v>
          </cell>
          <cell r="BC266">
            <v>5730.2501179999999</v>
          </cell>
          <cell r="BH266">
            <v>5730.2501179999999</v>
          </cell>
        </row>
        <row r="267">
          <cell r="B267" t="str">
            <v>Period-end shares outstanding</v>
          </cell>
          <cell r="C267" t="str">
            <v>NON_OP_ADD</v>
          </cell>
          <cell r="F267">
            <v>383</v>
          </cell>
          <cell r="G267">
            <v>383</v>
          </cell>
          <cell r="H267">
            <v>383</v>
          </cell>
          <cell r="I267">
            <v>383</v>
          </cell>
          <cell r="J267">
            <v>383</v>
          </cell>
          <cell r="O267">
            <v>383</v>
          </cell>
          <cell r="T267">
            <v>383</v>
          </cell>
          <cell r="Y267">
            <v>903</v>
          </cell>
          <cell r="AD267">
            <v>2662.0800009999998</v>
          </cell>
          <cell r="AI267">
            <v>3835.0005259999998</v>
          </cell>
          <cell r="AN267">
            <v>4939.9289829999998</v>
          </cell>
          <cell r="AS267">
            <v>5730.2501179999999</v>
          </cell>
          <cell r="AX267">
            <v>5730.2501179999999</v>
          </cell>
          <cell r="BC267">
            <v>5730.2501179999999</v>
          </cell>
          <cell r="BH267">
            <v>5730.2501179999999</v>
          </cell>
        </row>
        <row r="268">
          <cell r="A268" t="str">
            <v>Additional Income Statement Items</v>
          </cell>
        </row>
        <row r="269">
          <cell r="B269" t="str">
            <v>Marginal tax rate</v>
          </cell>
          <cell r="C269" t="str">
            <v>MARGIN_TAX_RATE</v>
          </cell>
          <cell r="F269">
            <v>1.0910465756471442E-2</v>
          </cell>
          <cell r="G269">
            <v>0.39653083446364729</v>
          </cell>
          <cell r="H269">
            <v>4.3653781284622703E-2</v>
          </cell>
          <cell r="I269">
            <v>1.1819352247734345E-2</v>
          </cell>
          <cell r="J269">
            <v>0.31615999690711738</v>
          </cell>
          <cell r="O269">
            <v>0.18187630043221914</v>
          </cell>
          <cell r="T269">
            <v>0.26203618436899079</v>
          </cell>
          <cell r="Y269">
            <v>0.18187630043221914</v>
          </cell>
          <cell r="AD269">
            <v>0.1799976258838131</v>
          </cell>
          <cell r="AI269">
            <v>0.14588984623720649</v>
          </cell>
          <cell r="AN269">
            <v>0.14075620548852702</v>
          </cell>
          <cell r="AS269">
            <v>0.15026047821757349</v>
          </cell>
          <cell r="AX269">
            <v>0.20036768760002452</v>
          </cell>
          <cell r="BC269">
            <v>0.18000000000000027</v>
          </cell>
          <cell r="BH269">
            <v>0.18</v>
          </cell>
        </row>
        <row r="270">
          <cell r="B270" t="str">
            <v>Net income (consensus) (Pub)</v>
          </cell>
          <cell r="C270" t="str">
            <v>NI_CONS</v>
          </cell>
          <cell r="D270" t="str">
            <v>CNY</v>
          </cell>
        </row>
        <row r="271">
          <cell r="A271" t="str">
            <v>Balance Sheet</v>
          </cell>
        </row>
        <row r="272">
          <cell r="B272" t="str">
            <v>BVPS, book value per share</v>
          </cell>
          <cell r="C272" t="str">
            <v>BVPS</v>
          </cell>
          <cell r="D272" t="str">
            <v>CNY</v>
          </cell>
          <cell r="F272">
            <v>0.61327568449086167</v>
          </cell>
          <cell r="G272">
            <v>0.64027057449086155</v>
          </cell>
          <cell r="H272">
            <v>0.65107831647519587</v>
          </cell>
          <cell r="I272">
            <v>0.56636927255874703</v>
          </cell>
          <cell r="J272">
            <v>0.57605329154047025</v>
          </cell>
          <cell r="O272">
            <v>0.60699416007832896</v>
          </cell>
          <cell r="T272">
            <v>1.0233127358746736</v>
          </cell>
          <cell r="Y272">
            <v>6.438176871583611</v>
          </cell>
          <cell r="AD272">
            <v>2.8838822542809073</v>
          </cell>
          <cell r="AI272">
            <v>3.7338930840292668</v>
          </cell>
          <cell r="AN272">
            <v>4.4972914473697809</v>
          </cell>
          <cell r="AS272">
            <v>5.3964130393409118</v>
          </cell>
          <cell r="AX272">
            <v>5.681478858802854</v>
          </cell>
          <cell r="BC272">
            <v>5.9835214116235482</v>
          </cell>
          <cell r="BH272">
            <v>6.3249085323157468</v>
          </cell>
        </row>
        <row r="273">
          <cell r="A273" t="str">
            <v>Cash Flow Statement</v>
          </cell>
        </row>
        <row r="274">
          <cell r="B274" t="str">
            <v>Net income (pre-preferred dividends)</v>
          </cell>
          <cell r="C274" t="str">
            <v>CF_NI_PRE_PREF</v>
          </cell>
          <cell r="D274" t="str">
            <v>CNY</v>
          </cell>
          <cell r="F274">
            <v>-63.009449359999998</v>
          </cell>
          <cell r="G274">
            <v>10.339042870000009</v>
          </cell>
          <cell r="H274">
            <v>4.1393648099999671</v>
          </cell>
          <cell r="I274">
            <v>-32.443563820000001</v>
          </cell>
          <cell r="J274">
            <v>1.5192551300000008</v>
          </cell>
          <cell r="O274">
            <v>11.850352650000003</v>
          </cell>
          <cell r="T274">
            <v>142.66455832000005</v>
          </cell>
          <cell r="Y274">
            <v>369.29730874000006</v>
          </cell>
          <cell r="AD274">
            <v>468.90270143999999</v>
          </cell>
          <cell r="AI274">
            <v>1326.2336743700005</v>
          </cell>
          <cell r="AN274">
            <v>1239.9288993999999</v>
          </cell>
          <cell r="AS274">
            <v>1743.6668272499994</v>
          </cell>
          <cell r="AX274">
            <v>2121.539371783093</v>
          </cell>
          <cell r="BC274">
            <v>2247.8895463603667</v>
          </cell>
          <cell r="BH274">
            <v>2540.7033965893575</v>
          </cell>
        </row>
        <row r="275">
          <cell r="A275" t="str">
            <v>Other Items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O278">
            <v>0</v>
          </cell>
          <cell r="T278">
            <v>0</v>
          </cell>
          <cell r="Y278">
            <v>0</v>
          </cell>
          <cell r="AD278">
            <v>0</v>
          </cell>
          <cell r="AI278">
            <v>0</v>
          </cell>
          <cell r="AN278">
            <v>0</v>
          </cell>
          <cell r="AS278">
            <v>0</v>
          </cell>
          <cell r="AX278">
            <v>0</v>
          </cell>
          <cell r="BC278">
            <v>0</v>
          </cell>
          <cell r="BH278">
            <v>0</v>
          </cell>
        </row>
      </sheetData>
      <sheetData sheetId="14" refreshError="1"/>
      <sheetData sheetId="15">
        <row r="1">
          <cell r="A1" t="str">
            <v>Issuer: Dongxu Optoelectronic Technology Co.</v>
          </cell>
          <cell r="C1">
            <v>662207180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>
            <v>2015</v>
          </cell>
          <cell r="AJ1" t="str">
            <v>2016 Q1</v>
          </cell>
          <cell r="AK1" t="str">
            <v>2016 Q2</v>
          </cell>
          <cell r="AL1" t="str">
            <v>2016 Q3</v>
          </cell>
          <cell r="AM1" t="str">
            <v>2016 Q4</v>
          </cell>
          <cell r="AN1">
            <v>2016</v>
          </cell>
          <cell r="AO1" t="str">
            <v>2017 Q1</v>
          </cell>
          <cell r="AP1" t="str">
            <v>2017 Q2</v>
          </cell>
          <cell r="AQ1" t="str">
            <v>2017 Q3</v>
          </cell>
          <cell r="AR1" t="str">
            <v>2017 Q4</v>
          </cell>
          <cell r="AS1">
            <v>2017</v>
          </cell>
          <cell r="AT1" t="str">
            <v>2018 Q1</v>
          </cell>
          <cell r="AU1" t="str">
            <v>2018 Q2</v>
          </cell>
          <cell r="AV1" t="str">
            <v>2018 Q3</v>
          </cell>
          <cell r="AW1" t="str">
            <v>2018 Q4</v>
          </cell>
          <cell r="AX1">
            <v>2018</v>
          </cell>
          <cell r="AY1" t="str">
            <v>2019 Q1</v>
          </cell>
          <cell r="AZ1" t="str">
            <v>2019 Q2</v>
          </cell>
          <cell r="BA1" t="str">
            <v>2019 Q3</v>
          </cell>
          <cell r="BB1" t="str">
            <v>2019 Q4</v>
          </cell>
          <cell r="BC1">
            <v>2019</v>
          </cell>
          <cell r="BD1" t="str">
            <v>2020 Q1</v>
          </cell>
          <cell r="BE1" t="str">
            <v>2020 Q2</v>
          </cell>
          <cell r="BF1" t="str">
            <v>2020 Q3</v>
          </cell>
          <cell r="BG1" t="str">
            <v>2020 Q4</v>
          </cell>
          <cell r="BH1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  <cell r="BF2" t="str">
            <v>Estimate</v>
          </cell>
          <cell r="BG2" t="str">
            <v>Estimate</v>
          </cell>
          <cell r="BH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42094</v>
          </cell>
          <cell r="AF3">
            <v>42185</v>
          </cell>
          <cell r="AG3">
            <v>42277</v>
          </cell>
          <cell r="AH3">
            <v>42369</v>
          </cell>
          <cell r="AI3">
            <v>42369</v>
          </cell>
          <cell r="AJ3">
            <v>42460</v>
          </cell>
          <cell r="AK3">
            <v>42551</v>
          </cell>
          <cell r="AL3">
            <v>42643</v>
          </cell>
          <cell r="AM3">
            <v>42735</v>
          </cell>
          <cell r="AN3">
            <v>42735</v>
          </cell>
          <cell r="AO3">
            <v>42825</v>
          </cell>
          <cell r="AP3">
            <v>42916</v>
          </cell>
          <cell r="AQ3">
            <v>43008</v>
          </cell>
          <cell r="AR3">
            <v>43100</v>
          </cell>
          <cell r="AS3">
            <v>43100</v>
          </cell>
          <cell r="AT3">
            <v>43190</v>
          </cell>
          <cell r="AU3">
            <v>43281</v>
          </cell>
          <cell r="AV3">
            <v>43373</v>
          </cell>
          <cell r="AW3">
            <v>43465</v>
          </cell>
          <cell r="AX3">
            <v>43465</v>
          </cell>
          <cell r="AY3">
            <v>43555</v>
          </cell>
          <cell r="AZ3">
            <v>43646</v>
          </cell>
          <cell r="BA3">
            <v>43738</v>
          </cell>
          <cell r="BB3">
            <v>43830</v>
          </cell>
          <cell r="BC3">
            <v>43830</v>
          </cell>
          <cell r="BD3">
            <v>43921</v>
          </cell>
          <cell r="BE3">
            <v>44012</v>
          </cell>
          <cell r="BF3">
            <v>44104</v>
          </cell>
          <cell r="BG3">
            <v>44196</v>
          </cell>
          <cell r="BH3">
            <v>44196</v>
          </cell>
        </row>
        <row r="4">
          <cell r="A4" t="str">
            <v>Issuer: Dongxu Optoelectronic Technology Co.</v>
          </cell>
          <cell r="B4" t="str">
            <v>44KNE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Dongxu Optoelectronic Technology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>
            <v>0</v>
          </cell>
          <cell r="F11">
            <v>231.60831031000001</v>
          </cell>
          <cell r="G11">
            <v>228.14118138000001</v>
          </cell>
          <cell r="H11">
            <v>205.22499142000001</v>
          </cell>
          <cell r="I11">
            <v>62.037023099999999</v>
          </cell>
          <cell r="J11">
            <v>78.353207420000004</v>
          </cell>
          <cell r="K11">
            <v>10.82726491</v>
          </cell>
          <cell r="L11">
            <v>15.992923530000001</v>
          </cell>
          <cell r="M11">
            <v>35.810612229999997</v>
          </cell>
          <cell r="N11">
            <v>41.794659279999998</v>
          </cell>
          <cell r="O11">
            <v>104.42545995</v>
          </cell>
          <cell r="P11">
            <v>207.76442893999999</v>
          </cell>
          <cell r="Q11">
            <v>153.59131722999999</v>
          </cell>
          <cell r="R11">
            <v>217.23819306999999</v>
          </cell>
          <cell r="S11">
            <v>200.34123059000001</v>
          </cell>
          <cell r="T11">
            <v>778.93516982999995</v>
          </cell>
          <cell r="U11">
            <v>191.29712626</v>
          </cell>
          <cell r="V11">
            <v>63.745227819999997</v>
          </cell>
          <cell r="W11">
            <v>282.53759538999998</v>
          </cell>
          <cell r="X11">
            <v>394.32073351999998</v>
          </cell>
          <cell r="Y11">
            <v>931.90068298999995</v>
          </cell>
          <cell r="Z11">
            <v>577.39930604000006</v>
          </cell>
          <cell r="AA11">
            <v>332.57543705000001</v>
          </cell>
          <cell r="AB11">
            <v>277.51613752999998</v>
          </cell>
          <cell r="AC11">
            <v>413.25986506999999</v>
          </cell>
          <cell r="AD11">
            <v>1600.75074569</v>
          </cell>
          <cell r="AE11">
            <v>598.85873043000004</v>
          </cell>
          <cell r="AF11">
            <v>925.38399346999995</v>
          </cell>
          <cell r="AG11">
            <v>998.67844678999995</v>
          </cell>
          <cell r="AH11">
            <v>2127.2872774100001</v>
          </cell>
          <cell r="AI11">
            <v>4650.2084481000002</v>
          </cell>
          <cell r="AJ11">
            <v>1581.69083417</v>
          </cell>
          <cell r="AK11">
            <v>1300.36832024</v>
          </cell>
          <cell r="AL11">
            <v>1379.6243933000001</v>
          </cell>
          <cell r="AM11">
            <v>2639.6375749399999</v>
          </cell>
          <cell r="AN11">
            <v>6901.3211226499998</v>
          </cell>
          <cell r="AO11">
            <v>2169.6282150799998</v>
          </cell>
          <cell r="AP11">
            <v>2471.6573128300001</v>
          </cell>
          <cell r="AQ11">
            <v>3227.3602956700001</v>
          </cell>
          <cell r="AR11">
            <v>9467.7183345499998</v>
          </cell>
          <cell r="AS11">
            <v>17336.36415813</v>
          </cell>
          <cell r="AT11">
            <v>4665.7515996599996</v>
          </cell>
          <cell r="AU11">
            <v>6464.1001912199999</v>
          </cell>
          <cell r="AV11">
            <v>6263.0905687036502</v>
          </cell>
          <cell r="AW11">
            <v>8295.70128960697</v>
          </cell>
          <cell r="AX11">
            <v>25688.643649190599</v>
          </cell>
          <cell r="AY11">
            <v>5299.4124817433503</v>
          </cell>
          <cell r="AZ11">
            <v>6754.9180591289496</v>
          </cell>
          <cell r="BA11">
            <v>6633.32080470251</v>
          </cell>
          <cell r="BB11">
            <v>10768.9774040499</v>
          </cell>
          <cell r="BC11">
            <v>29456.628749624699</v>
          </cell>
          <cell r="BH11">
            <v>35260.648351584103</v>
          </cell>
        </row>
        <row r="12">
          <cell r="B12" t="str">
            <v>Compensation &amp; benfits expense</v>
          </cell>
          <cell r="C12" t="str">
            <v>PERSONNEL</v>
          </cell>
          <cell r="D12">
            <v>0</v>
          </cell>
        </row>
        <row r="13">
          <cell r="B13" t="str">
            <v>Cost of goods sold, COGS</v>
          </cell>
          <cell r="C13" t="str">
            <v>COST_GD_SD</v>
          </cell>
          <cell r="D13">
            <v>0</v>
          </cell>
          <cell r="F13">
            <v>-205.90432475</v>
          </cell>
          <cell r="G13">
            <v>-196.70430752999999</v>
          </cell>
          <cell r="H13">
            <v>-176.91153937000001</v>
          </cell>
          <cell r="I13">
            <v>-62.54840694</v>
          </cell>
          <cell r="J13">
            <v>-74.875455909999999</v>
          </cell>
          <cell r="O13">
            <v>-67.742417660000001</v>
          </cell>
          <cell r="T13">
            <v>-379.77315264999999</v>
          </cell>
          <cell r="Y13">
            <v>-409.80339101999999</v>
          </cell>
          <cell r="AD13">
            <v>-1046.0226104000001</v>
          </cell>
          <cell r="AI13">
            <v>-2800.3535180399999</v>
          </cell>
          <cell r="AN13">
            <v>-4821.6027662400002</v>
          </cell>
          <cell r="AS13">
            <v>-13723.971704920001</v>
          </cell>
          <cell r="AX13">
            <v>-20874.687527423899</v>
          </cell>
          <cell r="BC13">
            <v>-24444.663791174899</v>
          </cell>
          <cell r="BH13">
            <v>-29436.138343820501</v>
          </cell>
        </row>
        <row r="14">
          <cell r="B14" t="str">
            <v>SG&amp;A, selling, general and admin. expense</v>
          </cell>
          <cell r="C14" t="str">
            <v>SEL_GL_AD</v>
          </cell>
          <cell r="D14">
            <v>0</v>
          </cell>
          <cell r="F14">
            <v>-33.172015260000002</v>
          </cell>
          <cell r="G14">
            <v>-22.379434740000001</v>
          </cell>
          <cell r="H14">
            <v>-22.44178866</v>
          </cell>
          <cell r="I14">
            <v>-21.328610600000001</v>
          </cell>
          <cell r="J14">
            <v>-19.238652699999999</v>
          </cell>
          <cell r="O14">
            <v>-24.55492104</v>
          </cell>
          <cell r="T14">
            <v>-90.849296940000002</v>
          </cell>
          <cell r="Y14">
            <v>-119.98720163</v>
          </cell>
          <cell r="AD14">
            <v>-293.96591453000002</v>
          </cell>
          <cell r="AI14">
            <v>-502.28258097000003</v>
          </cell>
          <cell r="AN14">
            <v>-534.68087520999995</v>
          </cell>
          <cell r="AS14">
            <v>-940.93124757999999</v>
          </cell>
          <cell r="AX14">
            <v>-1657.7664931182301</v>
          </cell>
          <cell r="BC14">
            <v>-1914.68086872561</v>
          </cell>
          <cell r="BH14">
            <v>-2291.9421428529699</v>
          </cell>
        </row>
        <row r="15">
          <cell r="B15" t="str">
            <v>Total operating expense</v>
          </cell>
          <cell r="C15" t="str">
            <v>OP_COST</v>
          </cell>
          <cell r="D15">
            <v>0</v>
          </cell>
          <cell r="F15">
            <v>-239.07634001</v>
          </cell>
          <cell r="G15">
            <v>-219.08374226999999</v>
          </cell>
          <cell r="H15">
            <v>-199.35332803</v>
          </cell>
          <cell r="I15">
            <v>-83.877017539999997</v>
          </cell>
          <cell r="J15">
            <v>-94.114108610000002</v>
          </cell>
          <cell r="O15">
            <v>-92.297338699999997</v>
          </cell>
          <cell r="T15">
            <v>-470.62244958999997</v>
          </cell>
          <cell r="Y15">
            <v>-529.79059265000001</v>
          </cell>
          <cell r="AD15">
            <v>-1339.98852493</v>
          </cell>
          <cell r="AI15">
            <v>-3302.6360990100002</v>
          </cell>
          <cell r="AN15">
            <v>-5356.2836414499998</v>
          </cell>
          <cell r="AS15">
            <v>-14664.902952500001</v>
          </cell>
          <cell r="AX15">
            <v>-22532.4540205421</v>
          </cell>
          <cell r="BC15">
            <v>-26359.3446599005</v>
          </cell>
          <cell r="BH15">
            <v>-31728.080486673502</v>
          </cell>
        </row>
        <row r="16">
          <cell r="B16" t="str">
            <v>R&amp;D expense</v>
          </cell>
          <cell r="C16" t="str">
            <v>RD_EXP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O16">
            <v>0</v>
          </cell>
          <cell r="T16">
            <v>0</v>
          </cell>
          <cell r="Y16">
            <v>0</v>
          </cell>
          <cell r="AD16">
            <v>0</v>
          </cell>
          <cell r="AI16">
            <v>0</v>
          </cell>
          <cell r="AN16">
            <v>0</v>
          </cell>
          <cell r="AS16">
            <v>0</v>
          </cell>
          <cell r="AX16">
            <v>0</v>
          </cell>
          <cell r="BC16">
            <v>0</v>
          </cell>
          <cell r="BH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>
            <v>0</v>
          </cell>
          <cell r="F18">
            <v>-239.07634001</v>
          </cell>
          <cell r="G18">
            <v>-219.08374226999999</v>
          </cell>
          <cell r="H18">
            <v>-199.35332803</v>
          </cell>
          <cell r="I18">
            <v>-83.877017539999997</v>
          </cell>
          <cell r="J18">
            <v>-94.114108610000002</v>
          </cell>
          <cell r="O18">
            <v>-92.297338699999997</v>
          </cell>
          <cell r="T18">
            <v>-470.62244958999997</v>
          </cell>
          <cell r="Y18">
            <v>-529.79059265000001</v>
          </cell>
          <cell r="AD18">
            <v>-1339.98852493</v>
          </cell>
          <cell r="AI18">
            <v>-3302.6360990100002</v>
          </cell>
          <cell r="AN18">
            <v>-5356.2836414499998</v>
          </cell>
          <cell r="AS18">
            <v>-14664.902952500001</v>
          </cell>
          <cell r="AX18">
            <v>-22532.4540205421</v>
          </cell>
          <cell r="BC18">
            <v>-26359.3446599005</v>
          </cell>
          <cell r="BH18">
            <v>-31728.080486673502</v>
          </cell>
        </row>
        <row r="19">
          <cell r="B19" t="str">
            <v>Total operating expense (excl. D&amp;A)</v>
          </cell>
          <cell r="C19" t="str">
            <v>TOT_OPS_EXP</v>
          </cell>
          <cell r="D19">
            <v>0</v>
          </cell>
          <cell r="F19">
            <v>-224.27818101</v>
          </cell>
          <cell r="G19">
            <v>-203.51654246000001</v>
          </cell>
          <cell r="H19">
            <v>-183.70949644999999</v>
          </cell>
          <cell r="I19">
            <v>-68.344866769999996</v>
          </cell>
          <cell r="J19">
            <v>-78.672133099999996</v>
          </cell>
          <cell r="O19">
            <v>-78.555818630000005</v>
          </cell>
          <cell r="T19">
            <v>-458.19220288000002</v>
          </cell>
          <cell r="Y19">
            <v>-518.14564276999999</v>
          </cell>
          <cell r="AD19">
            <v>-1109.8782033299999</v>
          </cell>
          <cell r="AI19">
            <v>-2944.6037520300001</v>
          </cell>
          <cell r="AN19">
            <v>-4807.4516898900001</v>
          </cell>
          <cell r="AS19">
            <v>-13628.20642929</v>
          </cell>
          <cell r="AX19">
            <v>-21403.568066607899</v>
          </cell>
          <cell r="BC19">
            <v>-25037.754858697401</v>
          </cell>
          <cell r="BH19">
            <v>-30352.432828938701</v>
          </cell>
        </row>
        <row r="20">
          <cell r="B20" t="str">
            <v>EBITDA</v>
          </cell>
          <cell r="C20" t="str">
            <v>EBITDA_CALC</v>
          </cell>
          <cell r="D20">
            <v>0</v>
          </cell>
          <cell r="F20">
            <v>7.3301293000000003</v>
          </cell>
          <cell r="G20">
            <v>24.624638919999999</v>
          </cell>
          <cell r="H20">
            <v>21.515494969999999</v>
          </cell>
          <cell r="I20">
            <v>-6.3078436699999996</v>
          </cell>
          <cell r="J20">
            <v>-0.31892567999999999</v>
          </cell>
          <cell r="O20">
            <v>25.869641319999999</v>
          </cell>
          <cell r="T20">
            <v>320.74296694999998</v>
          </cell>
          <cell r="Y20">
            <v>413.75504022000001</v>
          </cell>
          <cell r="AD20">
            <v>490.87254236000001</v>
          </cell>
          <cell r="AI20">
            <v>1705.60469607</v>
          </cell>
          <cell r="AN20">
            <v>2093.8694327600001</v>
          </cell>
          <cell r="AS20">
            <v>3708.1577288399999</v>
          </cell>
          <cell r="AX20">
            <v>4285.07558258276</v>
          </cell>
          <cell r="BC20">
            <v>4418.8738909272897</v>
          </cell>
          <cell r="BH20">
            <v>4908.2155226454297</v>
          </cell>
        </row>
        <row r="21">
          <cell r="B21" t="str">
            <v>Depreciation</v>
          </cell>
          <cell r="C21" t="str">
            <v>DEPREC</v>
          </cell>
          <cell r="D21">
            <v>0</v>
          </cell>
          <cell r="F21">
            <v>-14.465394999999999</v>
          </cell>
          <cell r="G21">
            <v>-15.232786089999999</v>
          </cell>
          <cell r="H21">
            <v>-15.31261986</v>
          </cell>
          <cell r="I21">
            <v>-15.19083262</v>
          </cell>
          <cell r="J21">
            <v>-15.10820275</v>
          </cell>
          <cell r="O21">
            <v>-13.41430635</v>
          </cell>
          <cell r="T21">
            <v>-11.461342330000001</v>
          </cell>
          <cell r="Y21">
            <v>-9.8995988199999996</v>
          </cell>
          <cell r="AD21">
            <v>-218.4817291</v>
          </cell>
          <cell r="AI21">
            <v>-339.60834867</v>
          </cell>
          <cell r="AN21">
            <v>-526.34151111999995</v>
          </cell>
          <cell r="AS21">
            <v>-997.21968224</v>
          </cell>
          <cell r="AX21">
            <v>-1057.79889316</v>
          </cell>
          <cell r="BC21">
            <v>-1250.5027404288901</v>
          </cell>
          <cell r="BH21">
            <v>-1304.5605969606199</v>
          </cell>
        </row>
        <row r="22">
          <cell r="B22" t="str">
            <v>Amortization</v>
          </cell>
          <cell r="C22" t="str">
            <v>GOODWILL_AMORT</v>
          </cell>
          <cell r="D22">
            <v>0</v>
          </cell>
          <cell r="F22">
            <v>-0.332764</v>
          </cell>
          <cell r="G22">
            <v>-0.33441372000000003</v>
          </cell>
          <cell r="H22">
            <v>-0.33121171999999999</v>
          </cell>
          <cell r="I22">
            <v>-0.34131814999999999</v>
          </cell>
          <cell r="J22">
            <v>-0.33377276</v>
          </cell>
          <cell r="O22">
            <v>-0.32721371999999999</v>
          </cell>
          <cell r="T22">
            <v>-0.96890438000000001</v>
          </cell>
          <cell r="Y22">
            <v>-1.74535106</v>
          </cell>
          <cell r="AD22">
            <v>-11.6285925</v>
          </cell>
          <cell r="AI22">
            <v>-18.423998310000002</v>
          </cell>
          <cell r="AN22">
            <v>-22.49044044</v>
          </cell>
          <cell r="AS22">
            <v>-39.476840969999998</v>
          </cell>
          <cell r="AX22">
            <v>-71.087060774220006</v>
          </cell>
          <cell r="BC22">
            <v>-71.087060774220006</v>
          </cell>
          <cell r="BH22">
            <v>-71.087060774220006</v>
          </cell>
        </row>
        <row r="23">
          <cell r="B23" t="str">
            <v>EBIT, operating profit</v>
          </cell>
          <cell r="C23" t="str">
            <v>EBIT</v>
          </cell>
          <cell r="D23">
            <v>0</v>
          </cell>
          <cell r="F23">
            <v>-7.4680296999999998</v>
          </cell>
          <cell r="G23">
            <v>9.0574391100000007</v>
          </cell>
          <cell r="H23">
            <v>5.8716633900000001</v>
          </cell>
          <cell r="I23">
            <v>-21.839994440000002</v>
          </cell>
          <cell r="J23">
            <v>-15.76090119</v>
          </cell>
          <cell r="K23">
            <v>-6.7060416700000003</v>
          </cell>
          <cell r="L23">
            <v>-3.2423686300000001</v>
          </cell>
          <cell r="M23">
            <v>7.8576967</v>
          </cell>
          <cell r="N23">
            <v>14.21883485</v>
          </cell>
          <cell r="O23">
            <v>12.12812125</v>
          </cell>
          <cell r="P23">
            <v>66.657039240000003</v>
          </cell>
          <cell r="Q23">
            <v>53.740391090000003</v>
          </cell>
          <cell r="R23">
            <v>104.33670408</v>
          </cell>
          <cell r="S23">
            <v>83.578585829999994</v>
          </cell>
          <cell r="T23">
            <v>308.31272023999998</v>
          </cell>
          <cell r="U23">
            <v>103.92332892</v>
          </cell>
          <cell r="V23">
            <v>-17.96381173</v>
          </cell>
          <cell r="W23">
            <v>101.09334588</v>
          </cell>
          <cell r="X23">
            <v>215.05722727</v>
          </cell>
          <cell r="Y23">
            <v>402.11009034</v>
          </cell>
          <cell r="Z23">
            <v>273.2754741</v>
          </cell>
          <cell r="AA23">
            <v>103.57210902999999</v>
          </cell>
          <cell r="AB23">
            <v>48.2835641</v>
          </cell>
          <cell r="AC23">
            <v>-164.36892646999999</v>
          </cell>
          <cell r="AD23">
            <v>260.76222075999999</v>
          </cell>
          <cell r="AE23">
            <v>125.35696383</v>
          </cell>
          <cell r="AF23">
            <v>315.56080307000002</v>
          </cell>
          <cell r="AG23">
            <v>239.43806928999999</v>
          </cell>
          <cell r="AH23">
            <v>667.2165129</v>
          </cell>
          <cell r="AI23">
            <v>1347.57234909</v>
          </cell>
          <cell r="AJ23">
            <v>382.09124155000001</v>
          </cell>
          <cell r="AK23">
            <v>272.93255992000002</v>
          </cell>
          <cell r="AL23">
            <v>323.60301844000099</v>
          </cell>
          <cell r="AM23">
            <v>566.41066128999898</v>
          </cell>
          <cell r="AN23">
            <v>1545.0374812</v>
          </cell>
          <cell r="AO23">
            <v>555.27308230000006</v>
          </cell>
          <cell r="AP23">
            <v>479.17281107999997</v>
          </cell>
          <cell r="AQ23">
            <v>478.66148097000098</v>
          </cell>
          <cell r="AR23">
            <v>1158.3538312799999</v>
          </cell>
          <cell r="AS23">
            <v>2671.4612056300002</v>
          </cell>
          <cell r="AT23">
            <v>710.45619397999997</v>
          </cell>
          <cell r="AU23">
            <v>727.43918393000001</v>
          </cell>
          <cell r="AV23">
            <v>703.210561869971</v>
          </cell>
          <cell r="AW23">
            <v>1015.08368886857</v>
          </cell>
          <cell r="AX23">
            <v>3156.1896286485398</v>
          </cell>
          <cell r="AY23">
            <v>532.43953006273705</v>
          </cell>
          <cell r="AZ23">
            <v>749.89553015106299</v>
          </cell>
          <cell r="BA23">
            <v>797.25949179945201</v>
          </cell>
          <cell r="BB23">
            <v>1017.68953771094</v>
          </cell>
          <cell r="BC23">
            <v>3097.2840897241799</v>
          </cell>
          <cell r="BH23">
            <v>3532.5678649105898</v>
          </cell>
        </row>
        <row r="24">
          <cell r="B24" t="str">
            <v>Interest income</v>
          </cell>
          <cell r="C24" t="str">
            <v>INT_INC_IND</v>
          </cell>
          <cell r="D24">
            <v>0</v>
          </cell>
          <cell r="F24">
            <v>1.4404659900000001</v>
          </cell>
          <cell r="G24">
            <v>1.231058E-2</v>
          </cell>
          <cell r="H24">
            <v>3.9530790000000003E-2</v>
          </cell>
          <cell r="I24">
            <v>4.9591259999999998E-2</v>
          </cell>
          <cell r="J24">
            <v>1.2889019999999999E-2</v>
          </cell>
          <cell r="O24">
            <v>2.087133E-2</v>
          </cell>
          <cell r="T24">
            <v>0.34885218000000001</v>
          </cell>
          <cell r="Y24">
            <v>11.64599875</v>
          </cell>
          <cell r="AD24">
            <v>13.023572010000001</v>
          </cell>
          <cell r="AI24">
            <v>55.904591070000002</v>
          </cell>
          <cell r="AN24">
            <v>239.46877620999999</v>
          </cell>
          <cell r="AS24">
            <v>440.83309895000002</v>
          </cell>
          <cell r="AX24">
            <v>440.687740836258</v>
          </cell>
          <cell r="BC24">
            <v>475.66774243460299</v>
          </cell>
          <cell r="BH24">
            <v>527.87562305528797</v>
          </cell>
        </row>
        <row r="25">
          <cell r="B25" t="str">
            <v>Interest expense</v>
          </cell>
          <cell r="C25" t="str">
            <v>INT_EXP_IND</v>
          </cell>
          <cell r="D25">
            <v>0</v>
          </cell>
          <cell r="F25">
            <v>-11.70608107</v>
          </cell>
          <cell r="G25">
            <v>-1.34137511</v>
          </cell>
          <cell r="H25">
            <v>-1.42611511</v>
          </cell>
          <cell r="I25">
            <v>-1.0284008099999999</v>
          </cell>
          <cell r="J25">
            <v>-0.94681300999999995</v>
          </cell>
          <cell r="O25">
            <v>-0.46321527000000001</v>
          </cell>
          <cell r="T25">
            <v>-0.11532824999999999</v>
          </cell>
          <cell r="Y25">
            <v>-13.79605065</v>
          </cell>
          <cell r="AD25">
            <v>-87.319235329999998</v>
          </cell>
          <cell r="AI25">
            <v>-355.62054108000001</v>
          </cell>
          <cell r="AN25">
            <v>-564.65901718999999</v>
          </cell>
          <cell r="AS25">
            <v>-1176.69046953</v>
          </cell>
          <cell r="AX25">
            <v>-1183.5985543629999</v>
          </cell>
          <cell r="BC25">
            <v>-1070.53490131588</v>
          </cell>
          <cell r="BH25">
            <v>-1184.53490131588</v>
          </cell>
        </row>
        <row r="26">
          <cell r="B26" t="str">
            <v>Net interest income/(expense)</v>
          </cell>
          <cell r="C26" t="str">
            <v>NET_INT_EXP</v>
          </cell>
          <cell r="D26">
            <v>0</v>
          </cell>
          <cell r="F26">
            <v>-10.26561508</v>
          </cell>
          <cell r="G26">
            <v>-1.3290645299999999</v>
          </cell>
          <cell r="H26">
            <v>-1.3865843200000001</v>
          </cell>
          <cell r="I26">
            <v>-0.97880955000000003</v>
          </cell>
          <cell r="J26">
            <v>-0.93392399000000004</v>
          </cell>
          <cell r="O26">
            <v>-0.44234393999999999</v>
          </cell>
          <cell r="T26">
            <v>0.23352392999999999</v>
          </cell>
          <cell r="Y26">
            <v>-2.1500518999999998</v>
          </cell>
          <cell r="AD26">
            <v>-74.295663320000003</v>
          </cell>
          <cell r="AI26">
            <v>-299.71595000999997</v>
          </cell>
          <cell r="AN26">
            <v>-325.19024098</v>
          </cell>
          <cell r="AS26">
            <v>-735.85737057999995</v>
          </cell>
          <cell r="AX26">
            <v>-742.910813526742</v>
          </cell>
          <cell r="BC26">
            <v>-594.86715888127696</v>
          </cell>
          <cell r="BH26">
            <v>-656.65927826059203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>
            <v>0</v>
          </cell>
          <cell r="AI27">
            <v>0.42625241000000003</v>
          </cell>
          <cell r="AN27">
            <v>-7.1448709999999999E-2</v>
          </cell>
          <cell r="AS27">
            <v>4.6632540000000002</v>
          </cell>
          <cell r="AX27">
            <v>4.6632540000000002</v>
          </cell>
          <cell r="BC27">
            <v>4.6632540000000002</v>
          </cell>
          <cell r="BH27">
            <v>4.6632540000000002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>
            <v>0</v>
          </cell>
          <cell r="F29">
            <v>-58.325124709999997</v>
          </cell>
          <cell r="G29">
            <v>10.737967060000001</v>
          </cell>
          <cell r="H29">
            <v>0.63634921</v>
          </cell>
          <cell r="I29">
            <v>-9.5814995100000004</v>
          </cell>
          <cell r="J29">
            <v>22.639829349999999</v>
          </cell>
          <cell r="O29">
            <v>3.14768034</v>
          </cell>
          <cell r="T29">
            <v>18.066151999999999</v>
          </cell>
          <cell r="Y29">
            <v>147.42401726</v>
          </cell>
          <cell r="AD29">
            <v>451.85426626999998</v>
          </cell>
          <cell r="AI29">
            <v>582.02404156</v>
          </cell>
          <cell r="AN29">
            <v>305.44292006000097</v>
          </cell>
          <cell r="AS29">
            <v>340.63238932000002</v>
          </cell>
          <cell r="AX29">
            <v>359.09053940000501</v>
          </cell>
          <cell r="BC29">
            <v>359.09053940000098</v>
          </cell>
          <cell r="BH29">
            <v>359.09053940000501</v>
          </cell>
        </row>
        <row r="30">
          <cell r="B30" t="str">
            <v>Pre-tax profit</v>
          </cell>
          <cell r="C30" t="str">
            <v>PT_PROF</v>
          </cell>
          <cell r="D30">
            <v>0</v>
          </cell>
          <cell r="F30">
            <v>-76.058769490000003</v>
          </cell>
          <cell r="G30">
            <v>18.46634164</v>
          </cell>
          <cell r="H30">
            <v>5.1214282799999999</v>
          </cell>
          <cell r="I30">
            <v>-32.4003035</v>
          </cell>
          <cell r="J30">
            <v>5.9450041699999998</v>
          </cell>
          <cell r="O30">
            <v>14.83345765</v>
          </cell>
          <cell r="T30">
            <v>326.61239617000001</v>
          </cell>
          <cell r="Y30">
            <v>547.38405569999998</v>
          </cell>
          <cell r="AD30">
            <v>638.32082371000001</v>
          </cell>
          <cell r="AI30">
            <v>1630.3066930499999</v>
          </cell>
          <cell r="AN30">
            <v>1525.2187115700001</v>
          </cell>
          <cell r="AS30">
            <v>2280.89947837</v>
          </cell>
          <cell r="AX30">
            <v>2777.0326085217998</v>
          </cell>
          <cell r="BC30">
            <v>2866.1707242429102</v>
          </cell>
          <cell r="BH30">
            <v>3239.6623800500101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>
            <v>0</v>
          </cell>
        </row>
        <row r="33">
          <cell r="B33" t="str">
            <v>Lease payments</v>
          </cell>
          <cell r="C33" t="str">
            <v>LEASE_PAY</v>
          </cell>
          <cell r="D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>
            <v>0</v>
          </cell>
        </row>
        <row r="36">
          <cell r="B36" t="str">
            <v>Gross interest charge</v>
          </cell>
          <cell r="C36" t="str">
            <v>NET_INT_CH</v>
          </cell>
          <cell r="D36">
            <v>0</v>
          </cell>
          <cell r="F36">
            <v>-11.70608107</v>
          </cell>
          <cell r="G36">
            <v>-1.34137511</v>
          </cell>
          <cell r="H36">
            <v>-1.42611511</v>
          </cell>
          <cell r="I36">
            <v>-1.0284008099999999</v>
          </cell>
          <cell r="J36">
            <v>-0.94681300999999995</v>
          </cell>
          <cell r="O36">
            <v>-0.46321527000000001</v>
          </cell>
          <cell r="T36">
            <v>-0.11532824999999999</v>
          </cell>
          <cell r="Y36">
            <v>-13.79605065</v>
          </cell>
          <cell r="AD36">
            <v>-87.319235329999998</v>
          </cell>
          <cell r="AI36">
            <v>-355.62054108000001</v>
          </cell>
          <cell r="AN36">
            <v>-564.65901718999999</v>
          </cell>
          <cell r="AS36">
            <v>-1176.69046953</v>
          </cell>
          <cell r="AX36">
            <v>-1183.5985543629999</v>
          </cell>
          <cell r="BC36">
            <v>-1070.53490131588</v>
          </cell>
          <cell r="BH36">
            <v>-1184.53490131588</v>
          </cell>
        </row>
        <row r="37">
          <cell r="B37" t="str">
            <v>Income from associates (operating)</v>
          </cell>
          <cell r="C37" t="str">
            <v>ASSOCIATE_OP</v>
          </cell>
          <cell r="D37">
            <v>0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>
            <v>0</v>
          </cell>
          <cell r="F39">
            <v>1.78140586</v>
          </cell>
          <cell r="G39">
            <v>14.70527208</v>
          </cell>
          <cell r="H39">
            <v>17.507703020000001</v>
          </cell>
          <cell r="I39">
            <v>4.8867798899999997</v>
          </cell>
          <cell r="J39">
            <v>10.21157996</v>
          </cell>
          <cell r="O39">
            <v>15.84722573</v>
          </cell>
          <cell r="T39">
            <v>110.77007084</v>
          </cell>
          <cell r="Y39">
            <v>2465.0109132399998</v>
          </cell>
          <cell r="AD39">
            <v>3349.8923840399998</v>
          </cell>
          <cell r="AI39">
            <v>11964.769404729999</v>
          </cell>
          <cell r="AN39">
            <v>25037.335091600002</v>
          </cell>
          <cell r="AS39">
            <v>25029.079405240002</v>
          </cell>
          <cell r="AX39">
            <v>27015.785992400801</v>
          </cell>
          <cell r="BC39">
            <v>29980.958536467399</v>
          </cell>
          <cell r="BH39">
            <v>30627.718150390701</v>
          </cell>
        </row>
        <row r="40">
          <cell r="B40" t="str">
            <v>Accounts receivable</v>
          </cell>
          <cell r="C40" t="str">
            <v>DEBTORS</v>
          </cell>
          <cell r="D40">
            <v>0</v>
          </cell>
          <cell r="F40">
            <v>135.91368903</v>
          </cell>
          <cell r="G40">
            <v>144.36236923999999</v>
          </cell>
          <cell r="H40">
            <v>124.91872265000001</v>
          </cell>
          <cell r="I40">
            <v>88.367414400000001</v>
          </cell>
          <cell r="J40">
            <v>30.25887268</v>
          </cell>
          <cell r="O40">
            <v>37.093575399999999</v>
          </cell>
          <cell r="T40">
            <v>593.33846718999996</v>
          </cell>
          <cell r="Y40">
            <v>1141.43642486</v>
          </cell>
          <cell r="AD40">
            <v>1053.4011468000001</v>
          </cell>
          <cell r="AI40">
            <v>1148.75033579</v>
          </cell>
          <cell r="AN40">
            <v>1894.1260139599999</v>
          </cell>
          <cell r="AS40">
            <v>9545.0900091999993</v>
          </cell>
          <cell r="AX40">
            <v>8297.4144868328895</v>
          </cell>
          <cell r="BC40">
            <v>12162.2111002779</v>
          </cell>
          <cell r="BH40">
            <v>12328.699565844299</v>
          </cell>
        </row>
        <row r="41">
          <cell r="B41" t="str">
            <v>Inventory</v>
          </cell>
          <cell r="C41" t="str">
            <v>STOCKS</v>
          </cell>
          <cell r="D41">
            <v>0</v>
          </cell>
          <cell r="F41">
            <v>24.469376199999999</v>
          </cell>
          <cell r="G41">
            <v>35.911975949999999</v>
          </cell>
          <cell r="H41">
            <v>45.658214549999997</v>
          </cell>
          <cell r="I41">
            <v>68.620043609999996</v>
          </cell>
          <cell r="J41">
            <v>144.05128162</v>
          </cell>
          <cell r="O41">
            <v>141.98200903</v>
          </cell>
          <cell r="T41">
            <v>168.71696267999999</v>
          </cell>
          <cell r="Y41">
            <v>298.61916508000002</v>
          </cell>
          <cell r="AD41">
            <v>616.09582074000002</v>
          </cell>
          <cell r="AI41">
            <v>2177.9796840600002</v>
          </cell>
          <cell r="AN41">
            <v>2688.9674362699998</v>
          </cell>
          <cell r="AS41">
            <v>4890.5191460300002</v>
          </cell>
          <cell r="AX41">
            <v>6991.1803823536602</v>
          </cell>
          <cell r="BC41">
            <v>6922.5201153200296</v>
          </cell>
          <cell r="BH41">
            <v>9832.2864233516193</v>
          </cell>
        </row>
        <row r="42">
          <cell r="B42" t="str">
            <v>Other current assets</v>
          </cell>
          <cell r="C42" t="str">
            <v>OTH_CUR_ASS</v>
          </cell>
          <cell r="D42">
            <v>0</v>
          </cell>
          <cell r="F42">
            <v>65.550205980000001</v>
          </cell>
          <cell r="G42">
            <v>67.127410159999997</v>
          </cell>
          <cell r="H42">
            <v>59.57826944</v>
          </cell>
          <cell r="I42">
            <v>59.223041729999998</v>
          </cell>
          <cell r="J42">
            <v>60.419995249999999</v>
          </cell>
          <cell r="O42">
            <v>63.825398110000002</v>
          </cell>
          <cell r="T42">
            <v>815.46155395999995</v>
          </cell>
          <cell r="Y42">
            <v>2986.2449803099998</v>
          </cell>
          <cell r="AD42">
            <v>4130.5453761799999</v>
          </cell>
          <cell r="AI42">
            <v>2080.1925185800001</v>
          </cell>
          <cell r="AN42">
            <v>5084.6683377400104</v>
          </cell>
          <cell r="AS42">
            <v>7061.2855848299996</v>
          </cell>
          <cell r="AX42">
            <v>6518.5363396699904</v>
          </cell>
          <cell r="BC42">
            <v>6518.5363396700004</v>
          </cell>
          <cell r="BH42">
            <v>6518.5363396700104</v>
          </cell>
        </row>
        <row r="43">
          <cell r="B43" t="str">
            <v>Total current assets</v>
          </cell>
          <cell r="C43" t="str">
            <v>CUR_ASS</v>
          </cell>
          <cell r="D43">
            <v>0</v>
          </cell>
          <cell r="F43">
            <v>227.71467706999999</v>
          </cell>
          <cell r="G43">
            <v>262.10702743000002</v>
          </cell>
          <cell r="H43">
            <v>247.66290966</v>
          </cell>
          <cell r="I43">
            <v>221.09727963</v>
          </cell>
          <cell r="J43">
            <v>244.94172950999999</v>
          </cell>
          <cell r="O43">
            <v>258.74820827000002</v>
          </cell>
          <cell r="T43">
            <v>1688.2870546700001</v>
          </cell>
          <cell r="Y43">
            <v>6891.3114834899998</v>
          </cell>
          <cell r="AD43">
            <v>9149.9347277600009</v>
          </cell>
          <cell r="AI43">
            <v>17371.69194316</v>
          </cell>
          <cell r="AN43">
            <v>34705.096879570003</v>
          </cell>
          <cell r="AS43">
            <v>46525.974145300002</v>
          </cell>
          <cell r="AX43">
            <v>48822.917201257304</v>
          </cell>
          <cell r="BC43">
            <v>55584.226091735298</v>
          </cell>
          <cell r="BH43">
            <v>59307.240479256601</v>
          </cell>
        </row>
        <row r="44">
          <cell r="B44" t="str">
            <v>Gross fixed assets, PP&amp;E</v>
          </cell>
          <cell r="C44" t="str">
            <v>GR_FIX_ASS</v>
          </cell>
          <cell r="D44">
            <v>0</v>
          </cell>
          <cell r="F44">
            <v>370.81704557</v>
          </cell>
          <cell r="G44">
            <v>369.60782728999999</v>
          </cell>
          <cell r="H44">
            <v>369.92209428000001</v>
          </cell>
          <cell r="I44">
            <v>369.96002435000003</v>
          </cell>
          <cell r="J44">
            <v>372.13367321999999</v>
          </cell>
          <cell r="O44">
            <v>270.89933189999999</v>
          </cell>
          <cell r="T44">
            <v>491.03783554</v>
          </cell>
          <cell r="Y44">
            <v>2361.2445261799999</v>
          </cell>
          <cell r="AD44">
            <v>9033.9365923799996</v>
          </cell>
          <cell r="AI44">
            <v>11187.057400019999</v>
          </cell>
          <cell r="AN44">
            <v>11869.526554329999</v>
          </cell>
          <cell r="AS44">
            <v>16885.161359270001</v>
          </cell>
          <cell r="AX44">
            <v>21580.871373270002</v>
          </cell>
          <cell r="BC44">
            <v>26107.33951727</v>
          </cell>
          <cell r="BH44">
            <v>28330.883675270001</v>
          </cell>
        </row>
        <row r="45">
          <cell r="B45" t="str">
            <v>Accumulated depreciation</v>
          </cell>
          <cell r="C45" t="str">
            <v>ACC_DDA</v>
          </cell>
          <cell r="D45">
            <v>0</v>
          </cell>
          <cell r="F45">
            <v>-215.79733967999999</v>
          </cell>
          <cell r="G45">
            <v>-228.68804359000001</v>
          </cell>
          <cell r="H45">
            <v>-243.63753854999999</v>
          </cell>
          <cell r="I45">
            <v>-258.82837117000003</v>
          </cell>
          <cell r="J45">
            <v>-273.80581448999999</v>
          </cell>
          <cell r="O45">
            <v>-195.70001744000001</v>
          </cell>
          <cell r="T45">
            <v>-203.74257277000001</v>
          </cell>
          <cell r="Y45">
            <v>-193.33019880000001</v>
          </cell>
          <cell r="AD45">
            <v>-322.02139348999998</v>
          </cell>
          <cell r="AI45">
            <v>-853.81286837000005</v>
          </cell>
          <cell r="AN45">
            <v>-1144.25170497</v>
          </cell>
          <cell r="AS45">
            <v>-2540.4912963900001</v>
          </cell>
          <cell r="AX45">
            <v>-3598.2901895499999</v>
          </cell>
          <cell r="BC45">
            <v>-4848.7929299788902</v>
          </cell>
          <cell r="BH45">
            <v>-6153.3535269395097</v>
          </cell>
        </row>
        <row r="46">
          <cell r="B46" t="str">
            <v>Net PP&amp;E</v>
          </cell>
          <cell r="C46" t="str">
            <v>NET_FIX_ASS</v>
          </cell>
          <cell r="D46">
            <v>0</v>
          </cell>
          <cell r="F46">
            <v>155.01970589000001</v>
          </cell>
          <cell r="G46">
            <v>140.91978370000001</v>
          </cell>
          <cell r="H46">
            <v>126.28455572999999</v>
          </cell>
          <cell r="I46">
            <v>111.13165318</v>
          </cell>
          <cell r="J46">
            <v>98.327858730000003</v>
          </cell>
          <cell r="O46">
            <v>75.199314459999997</v>
          </cell>
          <cell r="T46">
            <v>287.29526277000002</v>
          </cell>
          <cell r="Y46">
            <v>2167.91432738</v>
          </cell>
          <cell r="AD46">
            <v>8711.9151988899994</v>
          </cell>
          <cell r="AI46">
            <v>10333.24453165</v>
          </cell>
          <cell r="AN46">
            <v>10725.274849359999</v>
          </cell>
          <cell r="AS46">
            <v>14344.670062880001</v>
          </cell>
          <cell r="AX46">
            <v>17982.581183720002</v>
          </cell>
          <cell r="BC46">
            <v>21258.546587291101</v>
          </cell>
          <cell r="BH46">
            <v>22177.530148330501</v>
          </cell>
        </row>
        <row r="47">
          <cell r="B47" t="str">
            <v>Gross intangibles</v>
          </cell>
          <cell r="C47" t="str">
            <v>GR_INTANG</v>
          </cell>
          <cell r="D47">
            <v>0</v>
          </cell>
          <cell r="F47">
            <v>20.86884388</v>
          </cell>
          <cell r="G47">
            <v>23.75976232</v>
          </cell>
          <cell r="H47">
            <v>23.648524089999999</v>
          </cell>
          <cell r="I47">
            <v>23.66827202</v>
          </cell>
          <cell r="J47">
            <v>23.669970259999999</v>
          </cell>
          <cell r="O47">
            <v>16.005610999999998</v>
          </cell>
          <cell r="T47">
            <v>63.721888</v>
          </cell>
          <cell r="Y47">
            <v>120.00922625</v>
          </cell>
          <cell r="AD47">
            <v>381.66127944999999</v>
          </cell>
          <cell r="AI47">
            <v>522.49980291999998</v>
          </cell>
          <cell r="AN47">
            <v>683.67045098999995</v>
          </cell>
          <cell r="AS47">
            <v>3757.6743974999999</v>
          </cell>
          <cell r="AX47">
            <v>3757.6743974999999</v>
          </cell>
          <cell r="BC47">
            <v>3757.6743974999999</v>
          </cell>
          <cell r="BH47">
            <v>3757.6743974999999</v>
          </cell>
        </row>
        <row r="48">
          <cell r="B48" t="str">
            <v>Accumulated amortization</v>
          </cell>
          <cell r="C48" t="str">
            <v>ACC_AMORT</v>
          </cell>
          <cell r="D48">
            <v>0</v>
          </cell>
          <cell r="G48">
            <v>-3.2253321599999998</v>
          </cell>
          <cell r="H48">
            <v>-3.55654388</v>
          </cell>
          <cell r="I48">
            <v>-3.8528775999999998</v>
          </cell>
          <cell r="J48">
            <v>-4.1800913199999998</v>
          </cell>
          <cell r="O48">
            <v>-4.5073050400000003</v>
          </cell>
          <cell r="T48">
            <v>-5.47620942</v>
          </cell>
          <cell r="Y48">
            <v>-7.2215604799999999</v>
          </cell>
          <cell r="AD48">
            <v>-11.040632840000001</v>
          </cell>
          <cell r="AI48">
            <v>-43.64812903</v>
          </cell>
          <cell r="AN48">
            <v>-59.784013979999997</v>
          </cell>
          <cell r="AS48">
            <v>-151.57898849</v>
          </cell>
          <cell r="AX48">
            <v>-222.66604926421999</v>
          </cell>
          <cell r="BC48">
            <v>-293.75311003844098</v>
          </cell>
          <cell r="BH48">
            <v>-364.84017081266097</v>
          </cell>
        </row>
        <row r="49">
          <cell r="B49" t="str">
            <v>Net intangible assets</v>
          </cell>
          <cell r="C49" t="str">
            <v>NET_INTANG</v>
          </cell>
          <cell r="D49">
            <v>0</v>
          </cell>
          <cell r="F49">
            <v>20.86884388</v>
          </cell>
          <cell r="G49">
            <v>20.534430159999999</v>
          </cell>
          <cell r="H49">
            <v>20.091980209999999</v>
          </cell>
          <cell r="I49">
            <v>19.815394420000001</v>
          </cell>
          <cell r="J49">
            <v>19.489878940000001</v>
          </cell>
          <cell r="O49">
            <v>11.49830596</v>
          </cell>
          <cell r="T49">
            <v>58.245678580000003</v>
          </cell>
          <cell r="Y49">
            <v>112.78766577</v>
          </cell>
          <cell r="AD49">
            <v>370.62064660999999</v>
          </cell>
          <cell r="AI49">
            <v>478.85167388999997</v>
          </cell>
          <cell r="AN49">
            <v>623.88643701000001</v>
          </cell>
          <cell r="AS49">
            <v>3606.0954090099999</v>
          </cell>
          <cell r="AX49">
            <v>3535.00834823578</v>
          </cell>
          <cell r="BC49">
            <v>3463.92128746156</v>
          </cell>
          <cell r="BH49">
            <v>3392.8342266873401</v>
          </cell>
        </row>
        <row r="50">
          <cell r="B50" t="str">
            <v>Equity method investments</v>
          </cell>
          <cell r="C50" t="str">
            <v>FIX_ASS_INV</v>
          </cell>
          <cell r="D50">
            <v>0</v>
          </cell>
        </row>
        <row r="51">
          <cell r="B51" t="str">
            <v>Investments in securities</v>
          </cell>
          <cell r="C51" t="str">
            <v>INV_SECUR</v>
          </cell>
          <cell r="D51">
            <v>0</v>
          </cell>
          <cell r="H51">
            <v>0.2</v>
          </cell>
          <cell r="I51">
            <v>0.15</v>
          </cell>
          <cell r="J51">
            <v>0.15</v>
          </cell>
          <cell r="O51">
            <v>17.967841320000002</v>
          </cell>
          <cell r="T51">
            <v>14.38028023</v>
          </cell>
          <cell r="Y51">
            <v>12.21661426</v>
          </cell>
          <cell r="AI51">
            <v>72.426252410000004</v>
          </cell>
          <cell r="AN51">
            <v>72.354803700000005</v>
          </cell>
          <cell r="AS51">
            <v>2432.8585216699998</v>
          </cell>
          <cell r="AX51">
            <v>2437.5217756699999</v>
          </cell>
          <cell r="BC51">
            <v>2442.1850296699999</v>
          </cell>
          <cell r="BH51">
            <v>2446.84828367</v>
          </cell>
        </row>
        <row r="52">
          <cell r="B52" t="str">
            <v>Other long-term assets</v>
          </cell>
          <cell r="C52" t="str">
            <v>OTH_LT_ASS</v>
          </cell>
          <cell r="D52">
            <v>0</v>
          </cell>
          <cell r="F52">
            <v>16.617257070000001</v>
          </cell>
          <cell r="G52">
            <v>10.890000580000001</v>
          </cell>
          <cell r="H52">
            <v>12.143952609999999</v>
          </cell>
          <cell r="I52">
            <v>11.965300279999999</v>
          </cell>
          <cell r="J52">
            <v>11.965300279999999</v>
          </cell>
          <cell r="O52">
            <v>10.698421290000001</v>
          </cell>
          <cell r="T52">
            <v>13.49946184</v>
          </cell>
          <cell r="Y52">
            <v>17.598632499998999</v>
          </cell>
          <cell r="AD52">
            <v>255.75109223000001</v>
          </cell>
          <cell r="AI52">
            <v>542.40885222000099</v>
          </cell>
          <cell r="AN52">
            <v>699.70660076999798</v>
          </cell>
          <cell r="AS52">
            <v>773.73108804999902</v>
          </cell>
          <cell r="AX52">
            <v>765.51030353999295</v>
          </cell>
          <cell r="BC52">
            <v>765.51030353998999</v>
          </cell>
          <cell r="BH52">
            <v>765.51030353999204</v>
          </cell>
        </row>
        <row r="53">
          <cell r="B53" t="str">
            <v>Total assets</v>
          </cell>
          <cell r="C53" t="str">
            <v>TOT_ASSET</v>
          </cell>
          <cell r="D53">
            <v>0</v>
          </cell>
          <cell r="F53">
            <v>420.22048390999998</v>
          </cell>
          <cell r="G53">
            <v>434.45124186999999</v>
          </cell>
          <cell r="H53">
            <v>406.38339821</v>
          </cell>
          <cell r="I53">
            <v>364.15962751000001</v>
          </cell>
          <cell r="J53">
            <v>374.87476745999999</v>
          </cell>
          <cell r="O53">
            <v>374.11209129999997</v>
          </cell>
          <cell r="T53">
            <v>2061.70773809</v>
          </cell>
          <cell r="Y53">
            <v>9201.8287233999999</v>
          </cell>
          <cell r="AD53">
            <v>18488.22166549</v>
          </cell>
          <cell r="AI53">
            <v>28798.623253329999</v>
          </cell>
          <cell r="AN53">
            <v>46826.31957041</v>
          </cell>
          <cell r="AS53">
            <v>67683.329226910006</v>
          </cell>
          <cell r="AX53">
            <v>73543.538812423096</v>
          </cell>
          <cell r="BC53">
            <v>83514.389299697898</v>
          </cell>
          <cell r="BH53">
            <v>88089.963441484404</v>
          </cell>
        </row>
        <row r="54">
          <cell r="B54" t="str">
            <v>Accounts payable</v>
          </cell>
          <cell r="C54" t="str">
            <v>ACC_PAY_GQ</v>
          </cell>
          <cell r="D54">
            <v>0</v>
          </cell>
          <cell r="F54">
            <v>65.894026499999995</v>
          </cell>
          <cell r="G54">
            <v>80.410349659999994</v>
          </cell>
          <cell r="H54">
            <v>48.41335574</v>
          </cell>
          <cell r="I54">
            <v>40.288982079999997</v>
          </cell>
          <cell r="J54">
            <v>63.840496729999998</v>
          </cell>
          <cell r="O54">
            <v>46.103992990000002</v>
          </cell>
          <cell r="T54">
            <v>114.87444331</v>
          </cell>
          <cell r="Y54">
            <v>335.03927529999999</v>
          </cell>
          <cell r="AD54">
            <v>844.70181485000001</v>
          </cell>
          <cell r="AI54">
            <v>1724.04795975</v>
          </cell>
          <cell r="AN54">
            <v>2087.6263659599999</v>
          </cell>
          <cell r="AS54">
            <v>9084.1693672300007</v>
          </cell>
          <cell r="AX54">
            <v>8120.1605230748</v>
          </cell>
          <cell r="BC54">
            <v>12026.443317986999</v>
          </cell>
          <cell r="BH54">
            <v>12233.9933519476</v>
          </cell>
        </row>
        <row r="55">
          <cell r="B55" t="str">
            <v>Short-term debt</v>
          </cell>
          <cell r="C55" t="str">
            <v>SHORT_T_DEBT</v>
          </cell>
          <cell r="D55">
            <v>0</v>
          </cell>
          <cell r="F55">
            <v>5.3810255199999997</v>
          </cell>
          <cell r="T55">
            <v>485</v>
          </cell>
          <cell r="Y55">
            <v>580</v>
          </cell>
          <cell r="AD55">
            <v>2308.1379999999999</v>
          </cell>
          <cell r="AI55">
            <v>4688.7541630799997</v>
          </cell>
          <cell r="AN55">
            <v>6559.4057125500003</v>
          </cell>
          <cell r="AS55">
            <v>10722.11874597</v>
          </cell>
          <cell r="AX55">
            <v>13722.11874597</v>
          </cell>
          <cell r="BC55">
            <v>15722.11874597</v>
          </cell>
          <cell r="BH55">
            <v>16722.118745970001</v>
          </cell>
        </row>
        <row r="56">
          <cell r="B56" t="str">
            <v>Other current liabilities</v>
          </cell>
          <cell r="C56" t="str">
            <v>OTH_CUR_LIABS</v>
          </cell>
          <cell r="D56">
            <v>0</v>
          </cell>
          <cell r="F56">
            <v>99.954115560000005</v>
          </cell>
          <cell r="G56">
            <v>88.549280150000001</v>
          </cell>
          <cell r="H56">
            <v>87.438505120000002</v>
          </cell>
          <cell r="I56">
            <v>86.142362180000006</v>
          </cell>
          <cell r="J56">
            <v>72.404325979999996</v>
          </cell>
          <cell r="O56">
            <v>68.082550310000002</v>
          </cell>
          <cell r="T56">
            <v>122.75561666999999</v>
          </cell>
          <cell r="Y56">
            <v>78.874009529999995</v>
          </cell>
          <cell r="AD56">
            <v>263.34600537</v>
          </cell>
          <cell r="AI56">
            <v>282.64929029000001</v>
          </cell>
          <cell r="AN56">
            <v>464.30790997000202</v>
          </cell>
          <cell r="AS56">
            <v>870.42209683999999</v>
          </cell>
          <cell r="AX56">
            <v>957.34884863353398</v>
          </cell>
          <cell r="BC56">
            <v>986.41476099855902</v>
          </cell>
          <cell r="BH56">
            <v>1053.7743965392001</v>
          </cell>
        </row>
        <row r="57">
          <cell r="B57" t="str">
            <v>Total current liabilities</v>
          </cell>
          <cell r="C57" t="str">
            <v>SHORT_TERM_LIABS</v>
          </cell>
          <cell r="D57">
            <v>0</v>
          </cell>
          <cell r="F57">
            <v>171.22916758</v>
          </cell>
          <cell r="G57">
            <v>168.95962981</v>
          </cell>
          <cell r="H57">
            <v>135.85186085999999</v>
          </cell>
          <cell r="I57">
            <v>126.43134426</v>
          </cell>
          <cell r="J57">
            <v>136.24482270999999</v>
          </cell>
          <cell r="O57">
            <v>114.1865433</v>
          </cell>
          <cell r="T57">
            <v>722.63005998000006</v>
          </cell>
          <cell r="Y57">
            <v>993.91328482999995</v>
          </cell>
          <cell r="AD57">
            <v>3416.1858202200001</v>
          </cell>
          <cell r="AI57">
            <v>6695.4514131200003</v>
          </cell>
          <cell r="AN57">
            <v>9111.3399884800001</v>
          </cell>
          <cell r="AS57">
            <v>20676.710210040001</v>
          </cell>
          <cell r="AX57">
            <v>22799.628117678301</v>
          </cell>
          <cell r="BC57">
            <v>28734.976824955502</v>
          </cell>
          <cell r="BH57">
            <v>30009.886494456801</v>
          </cell>
        </row>
        <row r="58">
          <cell r="B58" t="str">
            <v>Long-term  debt</v>
          </cell>
          <cell r="C58" t="str">
            <v>LT_DEBT</v>
          </cell>
          <cell r="D58">
            <v>0</v>
          </cell>
          <cell r="T58">
            <v>800</v>
          </cell>
          <cell r="Y58">
            <v>2300</v>
          </cell>
          <cell r="AD58">
            <v>5504.3090000000002</v>
          </cell>
          <cell r="AI58">
            <v>7237.7976879999997</v>
          </cell>
          <cell r="AN58">
            <v>12250.07149473</v>
          </cell>
          <cell r="AS58">
            <v>10449.852341289999</v>
          </cell>
          <cell r="AX58">
            <v>12449.852341289999</v>
          </cell>
          <cell r="BC58">
            <v>14449.852341289999</v>
          </cell>
          <cell r="BH58">
            <v>15449.852341289999</v>
          </cell>
        </row>
        <row r="59">
          <cell r="B59" t="str">
            <v>Other long-term liabilities</v>
          </cell>
          <cell r="C59" t="str">
            <v>OTH_LT_CRED_GQ</v>
          </cell>
          <cell r="D59">
            <v>0</v>
          </cell>
          <cell r="G59">
            <v>5.3564279600000004</v>
          </cell>
          <cell r="H59">
            <v>5.4984943099999999</v>
          </cell>
          <cell r="I59">
            <v>5.4784943100000003</v>
          </cell>
          <cell r="J59">
            <v>0.125</v>
          </cell>
          <cell r="O59">
            <v>0.105</v>
          </cell>
          <cell r="T59">
            <v>35.734000000000002</v>
          </cell>
          <cell r="Y59">
            <v>33.713999999999999</v>
          </cell>
          <cell r="AD59">
            <v>257.43746492000002</v>
          </cell>
          <cell r="AI59">
            <v>303.92538760999997</v>
          </cell>
          <cell r="AN59">
            <v>2395.67148873</v>
          </cell>
          <cell r="AS59">
            <v>4499.5145029300002</v>
          </cell>
          <cell r="AX59">
            <v>4308.0622178900003</v>
          </cell>
          <cell r="BC59">
            <v>4308.0622178900003</v>
          </cell>
          <cell r="BH59">
            <v>4308.0622178900003</v>
          </cell>
        </row>
        <row r="60">
          <cell r="B60" t="str">
            <v>Total long-term liabilities</v>
          </cell>
          <cell r="C60" t="str">
            <v>TOT_LT_LIAB</v>
          </cell>
          <cell r="D60">
            <v>0</v>
          </cell>
          <cell r="F60">
            <v>0</v>
          </cell>
          <cell r="G60">
            <v>5.3564279600000004</v>
          </cell>
          <cell r="H60">
            <v>5.4984943099999999</v>
          </cell>
          <cell r="I60">
            <v>5.4784943100000003</v>
          </cell>
          <cell r="J60">
            <v>0.125</v>
          </cell>
          <cell r="O60">
            <v>0.105</v>
          </cell>
          <cell r="T60">
            <v>835.73400000000004</v>
          </cell>
          <cell r="Y60">
            <v>2333.7139999999999</v>
          </cell>
          <cell r="AD60">
            <v>5761.7464649200001</v>
          </cell>
          <cell r="AI60">
            <v>7541.7230756099998</v>
          </cell>
          <cell r="AN60">
            <v>14645.742983460001</v>
          </cell>
          <cell r="AS60">
            <v>14949.36684422</v>
          </cell>
          <cell r="AX60">
            <v>16757.914559180001</v>
          </cell>
          <cell r="BC60">
            <v>18757.914559180001</v>
          </cell>
          <cell r="BH60">
            <v>19757.914559180001</v>
          </cell>
        </row>
        <row r="61">
          <cell r="B61" t="str">
            <v>Total liabilities</v>
          </cell>
          <cell r="C61" t="str">
            <v>TOT_LIAB</v>
          </cell>
          <cell r="D61">
            <v>0</v>
          </cell>
          <cell r="F61">
            <v>171.22916758</v>
          </cell>
          <cell r="G61">
            <v>174.31605776999999</v>
          </cell>
          <cell r="H61">
            <v>141.35035517</v>
          </cell>
          <cell r="I61">
            <v>131.90983857000001</v>
          </cell>
          <cell r="J61">
            <v>136.36982270999999</v>
          </cell>
          <cell r="O61">
            <v>114.2915433</v>
          </cell>
          <cell r="T61">
            <v>1558.3640599800001</v>
          </cell>
          <cell r="Y61">
            <v>3327.62728483</v>
          </cell>
          <cell r="AD61">
            <v>9177.9322851399993</v>
          </cell>
          <cell r="AI61">
            <v>14237.174488729999</v>
          </cell>
          <cell r="AN61">
            <v>23757.082971939999</v>
          </cell>
          <cell r="AS61">
            <v>35626.07705426</v>
          </cell>
          <cell r="AX61">
            <v>39557.542676858298</v>
          </cell>
          <cell r="BC61">
            <v>47492.891384135502</v>
          </cell>
          <cell r="BH61">
            <v>49767.801053636802</v>
          </cell>
        </row>
        <row r="62">
          <cell r="B62" t="str">
            <v>Preferred shares</v>
          </cell>
          <cell r="C62" t="str">
            <v>PREF_SH</v>
          </cell>
          <cell r="D62">
            <v>0</v>
          </cell>
        </row>
        <row r="63">
          <cell r="B63" t="str">
            <v>Total common equity</v>
          </cell>
          <cell r="C63" t="str">
            <v>ORD_SH_FUND</v>
          </cell>
          <cell r="D63">
            <v>0</v>
          </cell>
          <cell r="F63">
            <v>234.88458716</v>
          </cell>
          <cell r="G63">
            <v>245.22363003000001</v>
          </cell>
          <cell r="H63">
            <v>249.36299521000001</v>
          </cell>
          <cell r="I63">
            <v>216.91943139</v>
          </cell>
          <cell r="J63">
            <v>220.62841065999999</v>
          </cell>
          <cell r="O63">
            <v>232.47876331000001</v>
          </cell>
          <cell r="T63">
            <v>391.92877784000001</v>
          </cell>
          <cell r="Y63">
            <v>5813.6737150400004</v>
          </cell>
          <cell r="AD63">
            <v>7677.1252743599998</v>
          </cell>
          <cell r="AI63">
            <v>14319.481941280001</v>
          </cell>
          <cell r="AN63">
            <v>22216.300365859999</v>
          </cell>
          <cell r="AS63">
            <v>30922.79645546</v>
          </cell>
          <cell r="AX63">
            <v>32556.294901069599</v>
          </cell>
          <cell r="BC63">
            <v>34287.0742750114</v>
          </cell>
          <cell r="BH63">
            <v>36243.307863641501</v>
          </cell>
        </row>
        <row r="64">
          <cell r="B64" t="str">
            <v>Minority interest</v>
          </cell>
          <cell r="C64" t="str">
            <v>MINORITIES</v>
          </cell>
          <cell r="D64">
            <v>0</v>
          </cell>
          <cell r="F64">
            <v>14.106729169999999</v>
          </cell>
          <cell r="G64">
            <v>14.911554069999999</v>
          </cell>
          <cell r="H64">
            <v>15.67004783</v>
          </cell>
          <cell r="I64">
            <v>15.33035755</v>
          </cell>
          <cell r="J64">
            <v>17.87653409</v>
          </cell>
          <cell r="O64">
            <v>27.341784690000001</v>
          </cell>
          <cell r="T64">
            <v>111.41490027</v>
          </cell>
          <cell r="Y64">
            <v>60.527723530000003</v>
          </cell>
          <cell r="AD64">
            <v>1633.1641059900001</v>
          </cell>
          <cell r="AI64">
            <v>241.96682332</v>
          </cell>
          <cell r="AN64">
            <v>852.93623261000005</v>
          </cell>
          <cell r="AS64">
            <v>1134.4557171900001</v>
          </cell>
          <cell r="AX64">
            <v>1429.70123449523</v>
          </cell>
          <cell r="BC64">
            <v>1734.4236405510501</v>
          </cell>
          <cell r="BH64">
            <v>2078.85452420614</v>
          </cell>
        </row>
        <row r="65">
          <cell r="B65" t="str">
            <v>Total shareholders' equity</v>
          </cell>
          <cell r="C65" t="str">
            <v>EQ</v>
          </cell>
          <cell r="D65">
            <v>0</v>
          </cell>
          <cell r="F65">
            <v>248.99131632999999</v>
          </cell>
          <cell r="G65">
            <v>260.1351841</v>
          </cell>
          <cell r="H65">
            <v>265.03304304</v>
          </cell>
          <cell r="I65">
            <v>232.24978894</v>
          </cell>
          <cell r="J65">
            <v>238.50494474999999</v>
          </cell>
          <cell r="O65">
            <v>259.82054799999997</v>
          </cell>
          <cell r="T65">
            <v>503.34367810999998</v>
          </cell>
          <cell r="Y65">
            <v>5874.2014385700004</v>
          </cell>
          <cell r="AD65">
            <v>9310.2893803499992</v>
          </cell>
          <cell r="AI65">
            <v>14561.4487646</v>
          </cell>
          <cell r="AN65">
            <v>23069.236598470001</v>
          </cell>
          <cell r="AS65">
            <v>32057.252172650002</v>
          </cell>
          <cell r="AX65">
            <v>33985.996135564797</v>
          </cell>
          <cell r="BC65">
            <v>36021.497915562402</v>
          </cell>
          <cell r="BH65">
            <v>38322.162387847697</v>
          </cell>
        </row>
        <row r="66">
          <cell r="B66" t="str">
            <v>Total liabilities and equity</v>
          </cell>
          <cell r="C66" t="str">
            <v>TOT_LIAB_EQ</v>
          </cell>
          <cell r="D66">
            <v>0</v>
          </cell>
          <cell r="F66">
            <v>420.22048390999998</v>
          </cell>
          <cell r="G66">
            <v>434.45124186999999</v>
          </cell>
          <cell r="H66">
            <v>406.38339821</v>
          </cell>
          <cell r="I66">
            <v>364.15962751000001</v>
          </cell>
          <cell r="J66">
            <v>374.87476745999999</v>
          </cell>
          <cell r="O66">
            <v>374.11209129999997</v>
          </cell>
          <cell r="T66">
            <v>2061.70773809</v>
          </cell>
          <cell r="Y66">
            <v>9201.8287233999999</v>
          </cell>
          <cell r="AD66">
            <v>18488.22166549</v>
          </cell>
          <cell r="AI66">
            <v>28798.623253329999</v>
          </cell>
          <cell r="AN66">
            <v>46826.31957041</v>
          </cell>
          <cell r="AS66">
            <v>67683.329226910006</v>
          </cell>
          <cell r="AX66">
            <v>73543.538812423096</v>
          </cell>
          <cell r="BC66">
            <v>83514.389299697898</v>
          </cell>
          <cell r="BH66">
            <v>88089.963441484404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  <cell r="AN68">
            <v>1E-3</v>
          </cell>
        </row>
        <row r="69">
          <cell r="B69" t="str">
            <v>% US$ debt hedged (principal)</v>
          </cell>
          <cell r="C69" t="str">
            <v>TOT_PCT_USD_DEBT_HEDGED</v>
          </cell>
          <cell r="AN69">
            <v>1E-4</v>
          </cell>
        </row>
        <row r="70">
          <cell r="B70" t="str">
            <v>% Floating debt (local currency debt)</v>
          </cell>
          <cell r="C70" t="str">
            <v>FLOATING_PCT_LOCAL_DEBT</v>
          </cell>
          <cell r="AN70">
            <v>0.05</v>
          </cell>
        </row>
        <row r="71">
          <cell r="B71" t="str">
            <v>% floating debt hedged (rates)</v>
          </cell>
          <cell r="C71" t="str">
            <v>FLOATING_PCT_LOCAL_DEBT_HEDGED</v>
          </cell>
          <cell r="AN71">
            <v>0.2</v>
          </cell>
        </row>
        <row r="72">
          <cell r="B72" t="str">
            <v>Net debt</v>
          </cell>
          <cell r="C72" t="str">
            <v>NET_DEBT</v>
          </cell>
          <cell r="D72">
            <v>0</v>
          </cell>
          <cell r="F72">
            <v>3.5996196600000001</v>
          </cell>
          <cell r="G72">
            <v>-14.70527208</v>
          </cell>
          <cell r="H72">
            <v>-17.507703020000001</v>
          </cell>
          <cell r="I72">
            <v>-4.8867798899999997</v>
          </cell>
          <cell r="J72">
            <v>-10.21157996</v>
          </cell>
          <cell r="O72">
            <v>-15.84722573</v>
          </cell>
          <cell r="T72">
            <v>1174.22992916</v>
          </cell>
          <cell r="Y72">
            <v>414.98908676000002</v>
          </cell>
          <cell r="AD72">
            <v>4462.5546159599999</v>
          </cell>
          <cell r="AI72">
            <v>-38.217553649999999</v>
          </cell>
          <cell r="AN72">
            <v>-6227.8578843200003</v>
          </cell>
          <cell r="AS72">
            <v>-3857.1083179799998</v>
          </cell>
          <cell r="AX72">
            <v>-843.81490514079997</v>
          </cell>
          <cell r="BC72">
            <v>191.01255079260201</v>
          </cell>
          <cell r="BH72">
            <v>1544.2529368693299</v>
          </cell>
        </row>
        <row r="73">
          <cell r="B73" t="str">
            <v>Capitalized leases</v>
          </cell>
          <cell r="C73" t="str">
            <v>CAP_LEASES</v>
          </cell>
          <cell r="D73">
            <v>0</v>
          </cell>
        </row>
        <row r="74">
          <cell r="B74" t="str">
            <v>Deferred income taxes</v>
          </cell>
          <cell r="C74" t="str">
            <v>DEF_INC_TAX</v>
          </cell>
          <cell r="D74">
            <v>0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>
            <v>0</v>
          </cell>
        </row>
        <row r="76">
          <cell r="B76" t="str">
            <v>Net debt adjustment</v>
          </cell>
          <cell r="C76" t="str">
            <v>NET_DEBT_ADJ</v>
          </cell>
          <cell r="D76">
            <v>0</v>
          </cell>
        </row>
        <row r="77">
          <cell r="B77" t="str">
            <v>Company borrowing margin</v>
          </cell>
          <cell r="C77" t="str">
            <v>CO_BOR_MARGIN</v>
          </cell>
          <cell r="Y77">
            <v>4.7902953649999998E-3</v>
          </cell>
          <cell r="AD77">
            <v>1.1176937947000001E-2</v>
          </cell>
          <cell r="AI77">
            <v>2.9817548736999998E-2</v>
          </cell>
          <cell r="AN77">
            <v>3.0019920860999999E-2</v>
          </cell>
          <cell r="AS77">
            <v>5.5577747800999999E-2</v>
          </cell>
          <cell r="AX77">
            <v>4.5223898132E-2</v>
          </cell>
          <cell r="BC77">
            <v>3.5481105898999998E-2</v>
          </cell>
          <cell r="BH77">
            <v>3.6818847627000002E-2</v>
          </cell>
        </row>
        <row r="78">
          <cell r="B78" t="str">
            <v>Unfunded pensions &amp; other provisions</v>
          </cell>
          <cell r="C78" t="str">
            <v>UNF_PENS</v>
          </cell>
          <cell r="D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>
            <v>0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>
            <v>0</v>
          </cell>
          <cell r="F81">
            <v>-20.86884388</v>
          </cell>
          <cell r="G81">
            <v>-20.534430159999999</v>
          </cell>
          <cell r="H81">
            <v>-20.091980209999999</v>
          </cell>
          <cell r="I81">
            <v>-19.815394420000001</v>
          </cell>
          <cell r="J81">
            <v>-19.489878940000001</v>
          </cell>
          <cell r="O81">
            <v>-11.49830596</v>
          </cell>
          <cell r="T81">
            <v>-58.245678580000003</v>
          </cell>
          <cell r="Y81">
            <v>-112.78766577</v>
          </cell>
          <cell r="AD81">
            <v>-370.62064660999999</v>
          </cell>
          <cell r="AI81">
            <v>-478.85167388999997</v>
          </cell>
          <cell r="AN81">
            <v>-623.88643701000001</v>
          </cell>
          <cell r="AS81">
            <v>-3606.0954090099999</v>
          </cell>
          <cell r="AX81">
            <v>-3535.00834823578</v>
          </cell>
          <cell r="BC81">
            <v>-3463.92128746156</v>
          </cell>
          <cell r="BH81">
            <v>-3392.8342266873401</v>
          </cell>
        </row>
        <row r="82">
          <cell r="B82" t="str">
            <v>Other GCI adjustments</v>
          </cell>
          <cell r="C82" t="str">
            <v>OTH_GCI_ADJ</v>
          </cell>
          <cell r="D82">
            <v>0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>
            <v>0</v>
          </cell>
          <cell r="F84">
            <v>14.106729169999999</v>
          </cell>
          <cell r="G84">
            <v>14.911554069999999</v>
          </cell>
          <cell r="H84">
            <v>15.67004783</v>
          </cell>
          <cell r="I84">
            <v>15.33035755</v>
          </cell>
          <cell r="J84">
            <v>17.87653409</v>
          </cell>
          <cell r="O84">
            <v>27.341784690000001</v>
          </cell>
          <cell r="T84">
            <v>111.41490027</v>
          </cell>
          <cell r="Y84">
            <v>60.527723530000003</v>
          </cell>
          <cell r="AD84">
            <v>1633.1641059900001</v>
          </cell>
          <cell r="AI84">
            <v>241.96682332</v>
          </cell>
          <cell r="AN84">
            <v>852.93623261000005</v>
          </cell>
          <cell r="AS84">
            <v>1134.4557171900001</v>
          </cell>
          <cell r="AX84">
            <v>1429.70123449523</v>
          </cell>
          <cell r="BC84">
            <v>1734.4236405510501</v>
          </cell>
          <cell r="BH84">
            <v>2078.85452420614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>
            <v>0</v>
          </cell>
          <cell r="F86">
            <v>-13.87915673</v>
          </cell>
          <cell r="G86">
            <v>0.80482491</v>
          </cell>
          <cell r="H86">
            <v>0.75849376000000002</v>
          </cell>
          <cell r="I86">
            <v>-0.33969028000000001</v>
          </cell>
          <cell r="J86">
            <v>2.5461765399999998</v>
          </cell>
          <cell r="O86">
            <v>0.28525060000000002</v>
          </cell>
          <cell r="T86">
            <v>98.363571789999995</v>
          </cell>
          <cell r="Y86">
            <v>40.247030379999998</v>
          </cell>
          <cell r="AD86">
            <v>54.521889450000003</v>
          </cell>
          <cell r="AI86">
            <v>66.290011809999996</v>
          </cell>
          <cell r="AN86">
            <v>70.595756940000001</v>
          </cell>
          <cell r="AS86">
            <v>195.20430751000001</v>
          </cell>
          <cell r="AX86">
            <v>100</v>
          </cell>
          <cell r="BC86">
            <v>103.209833238817</v>
          </cell>
          <cell r="BH86">
            <v>116.659140771648</v>
          </cell>
        </row>
        <row r="87">
          <cell r="B87" t="str">
            <v>Depreciation &amp; amortization add-back</v>
          </cell>
          <cell r="C87" t="str">
            <v>DEPR_AMORT</v>
          </cell>
          <cell r="D87">
            <v>0</v>
          </cell>
          <cell r="F87">
            <v>14.798159</v>
          </cell>
          <cell r="G87">
            <v>15.56719981</v>
          </cell>
          <cell r="H87">
            <v>15.643831580000001</v>
          </cell>
          <cell r="I87">
            <v>15.532150769999999</v>
          </cell>
          <cell r="J87">
            <v>15.441975510000001</v>
          </cell>
          <cell r="O87">
            <v>13.74152007</v>
          </cell>
          <cell r="T87">
            <v>12.43024671</v>
          </cell>
          <cell r="Y87">
            <v>11.64494988</v>
          </cell>
          <cell r="AD87">
            <v>230.11032159999999</v>
          </cell>
          <cell r="AI87">
            <v>358.03234698</v>
          </cell>
          <cell r="AN87">
            <v>548.83195155999999</v>
          </cell>
          <cell r="AS87">
            <v>1036.6965232099999</v>
          </cell>
          <cell r="AX87">
            <v>1128.88595393422</v>
          </cell>
          <cell r="BC87">
            <v>1321.58980120311</v>
          </cell>
          <cell r="BH87">
            <v>1375.6476577348401</v>
          </cell>
        </row>
        <row r="88">
          <cell r="B88" t="str">
            <v>(Increase)/decrease in working capital</v>
          </cell>
          <cell r="C88" t="str">
            <v>WORK_CAP</v>
          </cell>
          <cell r="D88">
            <v>0</v>
          </cell>
          <cell r="F88">
            <v>-426.37893673000002</v>
          </cell>
          <cell r="G88">
            <v>-5.3749567999999996</v>
          </cell>
          <cell r="H88">
            <v>-22.299585929999999</v>
          </cell>
          <cell r="I88">
            <v>5.4651055299999998</v>
          </cell>
          <cell r="J88">
            <v>6.22881836</v>
          </cell>
          <cell r="O88">
            <v>-22.501933869999998</v>
          </cell>
          <cell r="T88">
            <v>-514.20939511999995</v>
          </cell>
          <cell r="Y88">
            <v>-457.83532808000001</v>
          </cell>
          <cell r="AD88">
            <v>280.22116195000001</v>
          </cell>
          <cell r="AI88">
            <v>-777.88690741000005</v>
          </cell>
          <cell r="AN88">
            <v>-892.78502417000004</v>
          </cell>
          <cell r="AS88">
            <v>-2855.9727037299999</v>
          </cell>
          <cell r="AX88">
            <v>-1816.9945581117399</v>
          </cell>
          <cell r="BC88">
            <v>110.14644850083999</v>
          </cell>
          <cell r="BH88">
            <v>-2868.7047396374601</v>
          </cell>
        </row>
        <row r="89">
          <cell r="B89" t="str">
            <v>Other operating cash flow items</v>
          </cell>
          <cell r="C89" t="str">
            <v>OTH_OP_CF</v>
          </cell>
          <cell r="D89">
            <v>0</v>
          </cell>
          <cell r="F89">
            <v>455.52797550000003</v>
          </cell>
          <cell r="G89">
            <v>-8.2684445699999998</v>
          </cell>
          <cell r="H89">
            <v>5.1860127199999999</v>
          </cell>
          <cell r="I89">
            <v>-0.79699525999999998</v>
          </cell>
          <cell r="J89">
            <v>-15.366679169999999</v>
          </cell>
          <cell r="O89">
            <v>-5.2134861299999997</v>
          </cell>
          <cell r="T89">
            <v>-206.24172755999999</v>
          </cell>
          <cell r="Y89">
            <v>-1800.5727958299999</v>
          </cell>
          <cell r="AD89">
            <v>-2051.3102630899998</v>
          </cell>
          <cell r="AI89">
            <v>807.45983719000003</v>
          </cell>
          <cell r="AN89">
            <v>423.47690858999999</v>
          </cell>
          <cell r="AS89">
            <v>1146.1784740999999</v>
          </cell>
          <cell r="AX89">
            <v>354.85449062999601</v>
          </cell>
          <cell r="BC89">
            <v>-4.6632540000000002</v>
          </cell>
          <cell r="BH89">
            <v>-4.6632540000000002</v>
          </cell>
        </row>
        <row r="90">
          <cell r="B90" t="str">
            <v>Cash flow from operating activities</v>
          </cell>
          <cell r="C90" t="str">
            <v>CF_OPS</v>
          </cell>
          <cell r="D90">
            <v>0</v>
          </cell>
          <cell r="F90">
            <v>-32.941408320000001</v>
          </cell>
          <cell r="G90">
            <v>13.06766622</v>
          </cell>
          <cell r="H90">
            <v>3.4281169399999998</v>
          </cell>
          <cell r="I90">
            <v>-12.58299306</v>
          </cell>
          <cell r="J90">
            <v>10.36954637</v>
          </cell>
          <cell r="O90">
            <v>-1.83829668</v>
          </cell>
          <cell r="T90">
            <v>-466.99274586000001</v>
          </cell>
          <cell r="Y90">
            <v>-1837.2188349099999</v>
          </cell>
          <cell r="AD90">
            <v>-1017.55418865</v>
          </cell>
          <cell r="AI90">
            <v>1780.1289629400001</v>
          </cell>
          <cell r="AN90">
            <v>1390.0484923199999</v>
          </cell>
          <cell r="AS90">
            <v>1265.77342834</v>
          </cell>
          <cell r="AX90">
            <v>1888.2852582355699</v>
          </cell>
          <cell r="BC90">
            <v>3778.1723753031301</v>
          </cell>
          <cell r="BH90">
            <v>1159.64220145838</v>
          </cell>
        </row>
        <row r="91">
          <cell r="B91" t="str">
            <v>Capital expenditures, Capex</v>
          </cell>
          <cell r="C91" t="str">
            <v>CAPEX</v>
          </cell>
          <cell r="D91">
            <v>0</v>
          </cell>
          <cell r="F91">
            <v>-8.4409499799999992</v>
          </cell>
          <cell r="G91">
            <v>-0.16900000000000001</v>
          </cell>
          <cell r="H91">
            <v>-0.42568600000000001</v>
          </cell>
          <cell r="I91">
            <v>-3.7930070000000003E-2</v>
          </cell>
          <cell r="J91">
            <v>-7.5040419999999997E-2</v>
          </cell>
          <cell r="O91">
            <v>-0.22605755</v>
          </cell>
          <cell r="T91">
            <v>-704.02193641999997</v>
          </cell>
          <cell r="Y91">
            <v>-2254.6001501800001</v>
          </cell>
          <cell r="AD91">
            <v>-700.55635073999997</v>
          </cell>
          <cell r="AI91">
            <v>-539.89573355000005</v>
          </cell>
          <cell r="AN91">
            <v>-828.34948063000002</v>
          </cell>
          <cell r="AS91">
            <v>-2164.4240589999999</v>
          </cell>
          <cell r="AX91">
            <v>-4695.7100140000002</v>
          </cell>
          <cell r="BC91">
            <v>-4526.4681440000004</v>
          </cell>
          <cell r="BH91">
            <v>-2223.5441580000002</v>
          </cell>
        </row>
        <row r="92">
          <cell r="B92" t="str">
            <v>Acquisitions</v>
          </cell>
          <cell r="C92" t="str">
            <v>ACQ</v>
          </cell>
          <cell r="D92">
            <v>0</v>
          </cell>
        </row>
        <row r="93">
          <cell r="B93" t="str">
            <v>Divestitures</v>
          </cell>
          <cell r="C93" t="str">
            <v>DIVEST</v>
          </cell>
          <cell r="D93">
            <v>0</v>
          </cell>
          <cell r="F93">
            <v>6.6684085099999999</v>
          </cell>
          <cell r="G93">
            <v>2.52E-2</v>
          </cell>
          <cell r="J93">
            <v>3.0294120000000001E-2</v>
          </cell>
          <cell r="Y93">
            <v>4.3497739500000003</v>
          </cell>
          <cell r="AD93">
            <v>1.238E-2</v>
          </cell>
          <cell r="AN93">
            <v>4.8129999999999999E-2</v>
          </cell>
          <cell r="AS93">
            <v>4.2329999999999998E-3</v>
          </cell>
        </row>
        <row r="94">
          <cell r="B94" t="str">
            <v>Other investing cash flow items</v>
          </cell>
          <cell r="C94" t="str">
            <v>OTH_INV_CF</v>
          </cell>
          <cell r="D94">
            <v>0</v>
          </cell>
          <cell r="H94">
            <v>-0.2</v>
          </cell>
          <cell r="AD94">
            <v>26.924714900000001</v>
          </cell>
          <cell r="AI94">
            <v>-3655.77673968</v>
          </cell>
          <cell r="AN94">
            <v>-2331.3595060399998</v>
          </cell>
          <cell r="AS94">
            <v>-3632.6910840999999</v>
          </cell>
        </row>
        <row r="95">
          <cell r="B95" t="str">
            <v>Cash flow from investing</v>
          </cell>
          <cell r="C95" t="str">
            <v>CF_INV</v>
          </cell>
          <cell r="D95">
            <v>0</v>
          </cell>
          <cell r="F95">
            <v>-1.77254147</v>
          </cell>
          <cell r="G95">
            <v>-0.14380000000000001</v>
          </cell>
          <cell r="H95">
            <v>-0.62568599999999996</v>
          </cell>
          <cell r="I95">
            <v>-3.7930070000000003E-2</v>
          </cell>
          <cell r="J95">
            <v>-4.4746300000000003E-2</v>
          </cell>
          <cell r="O95">
            <v>-0.22605755</v>
          </cell>
          <cell r="T95">
            <v>-704.02193641999997</v>
          </cell>
          <cell r="Y95">
            <v>-2250.2503762299998</v>
          </cell>
          <cell r="AD95">
            <v>-673.61925584000005</v>
          </cell>
          <cell r="AI95">
            <v>-4195.6724732299999</v>
          </cell>
          <cell r="AN95">
            <v>-3159.6608566700002</v>
          </cell>
          <cell r="AS95">
            <v>-5797.1109101000002</v>
          </cell>
          <cell r="AX95">
            <v>-4695.7100140000002</v>
          </cell>
          <cell r="BC95">
            <v>-4526.4681440000004</v>
          </cell>
          <cell r="BH95">
            <v>-2223.5441580000002</v>
          </cell>
        </row>
        <row r="96">
          <cell r="B96" t="str">
            <v>Dividends paid</v>
          </cell>
          <cell r="C96" t="str">
            <v>DIV_PAID</v>
          </cell>
          <cell r="D96">
            <v>0</v>
          </cell>
          <cell r="AI96">
            <v>-266.20800009999999</v>
          </cell>
          <cell r="AN96">
            <v>-268.45003681999998</v>
          </cell>
          <cell r="AS96">
            <v>-345.79502881000002</v>
          </cell>
          <cell r="AX96">
            <v>-401.11750826000002</v>
          </cell>
          <cell r="BC96">
            <v>-488.044260053534</v>
          </cell>
          <cell r="BH96">
            <v>-517.11017241856098</v>
          </cell>
        </row>
        <row r="97">
          <cell r="B97" t="str">
            <v>Common stock issuance/(repurchase)</v>
          </cell>
          <cell r="C97" t="str">
            <v>SH_REPUR</v>
          </cell>
          <cell r="D97">
            <v>0</v>
          </cell>
          <cell r="O97">
            <v>4.9000000000000004</v>
          </cell>
          <cell r="Y97">
            <v>4970.8</v>
          </cell>
          <cell r="AD97">
            <v>47.1404</v>
          </cell>
          <cell r="AI97">
            <v>7964.4999804999998</v>
          </cell>
          <cell r="AN97">
            <v>7410.4361258400004</v>
          </cell>
          <cell r="AS97">
            <v>3707.9999852599999</v>
          </cell>
        </row>
        <row r="98">
          <cell r="B98" t="str">
            <v>Increase/(decrease) in total debt</v>
          </cell>
          <cell r="C98" t="str">
            <v>CHG_LT_DEBT</v>
          </cell>
          <cell r="D98">
            <v>0</v>
          </cell>
          <cell r="J98">
            <v>-5</v>
          </cell>
          <cell r="O98">
            <v>2.8</v>
          </cell>
          <cell r="T98">
            <v>1285</v>
          </cell>
          <cell r="Y98">
            <v>1595</v>
          </cell>
          <cell r="AD98">
            <v>2614.5823</v>
          </cell>
          <cell r="AI98">
            <v>3949.5188388699999</v>
          </cell>
          <cell r="AN98">
            <v>6144.7101560000001</v>
          </cell>
          <cell r="AS98">
            <v>-1225.2262646300001</v>
          </cell>
          <cell r="AX98">
            <v>5000</v>
          </cell>
          <cell r="BC98">
            <v>4000</v>
          </cell>
          <cell r="BH98">
            <v>2000</v>
          </cell>
        </row>
        <row r="99">
          <cell r="B99" t="str">
            <v>Other financing cash flow items</v>
          </cell>
          <cell r="C99" t="str">
            <v>OTH_FIN_CF</v>
          </cell>
          <cell r="D99">
            <v>0</v>
          </cell>
          <cell r="T99">
            <v>-19.06247261</v>
          </cell>
          <cell r="Y99">
            <v>-124.08994645999999</v>
          </cell>
          <cell r="AD99">
            <v>-85.667784710000006</v>
          </cell>
          <cell r="AI99">
            <v>-617.39028828999994</v>
          </cell>
          <cell r="AN99">
            <v>1555.4818061999999</v>
          </cell>
          <cell r="AS99">
            <v>2007.92145534</v>
          </cell>
          <cell r="AX99">
            <v>195.248851185234</v>
          </cell>
          <cell r="BC99">
            <v>201.51257281699799</v>
          </cell>
          <cell r="BH99">
            <v>227.771742883445</v>
          </cell>
        </row>
        <row r="100">
          <cell r="B100" t="str">
            <v>Cash flow from financing</v>
          </cell>
          <cell r="C100" t="str">
            <v>CF_FIN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-5</v>
          </cell>
          <cell r="O100">
            <v>7.7</v>
          </cell>
          <cell r="T100">
            <v>1265.93752739</v>
          </cell>
          <cell r="Y100">
            <v>6441.7100535400004</v>
          </cell>
          <cell r="AD100">
            <v>2576.0549152899998</v>
          </cell>
          <cell r="AI100">
            <v>11030.42053098</v>
          </cell>
          <cell r="AN100">
            <v>14842.17805122</v>
          </cell>
          <cell r="AS100">
            <v>4144.9001471600004</v>
          </cell>
          <cell r="AX100">
            <v>4794.1313429252295</v>
          </cell>
          <cell r="BC100">
            <v>3713.4683127634598</v>
          </cell>
          <cell r="BH100">
            <v>1710.66157046488</v>
          </cell>
        </row>
        <row r="101">
          <cell r="B101" t="str">
            <v>Total cash flow</v>
          </cell>
          <cell r="C101" t="str">
            <v>TOT_CF</v>
          </cell>
          <cell r="D101">
            <v>0</v>
          </cell>
          <cell r="F101">
            <v>-34.713949790000001</v>
          </cell>
          <cell r="G101">
            <v>12.923866220000001</v>
          </cell>
          <cell r="H101">
            <v>2.8024309399999998</v>
          </cell>
          <cell r="I101">
            <v>-12.62092313</v>
          </cell>
          <cell r="J101">
            <v>5.3248000700000002</v>
          </cell>
          <cell r="O101">
            <v>5.63564577</v>
          </cell>
          <cell r="T101">
            <v>94.922845109999997</v>
          </cell>
          <cell r="Y101">
            <v>2354.2408424</v>
          </cell>
          <cell r="AD101">
            <v>884.88147079999999</v>
          </cell>
          <cell r="AI101">
            <v>8614.8770206900008</v>
          </cell>
          <cell r="AN101">
            <v>13072.565686870001</v>
          </cell>
          <cell r="AS101">
            <v>-386.43733460000101</v>
          </cell>
          <cell r="AX101">
            <v>1986.7065871607999</v>
          </cell>
          <cell r="BC101">
            <v>2965.1725440666</v>
          </cell>
          <cell r="BH101">
            <v>646.75961392326894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>
            <v>0</v>
          </cell>
        </row>
        <row r="104">
          <cell r="B104" t="str">
            <v>Profit/(loss) on sale of assets</v>
          </cell>
          <cell r="C104" t="str">
            <v>PL_SALE_ASSETS</v>
          </cell>
          <cell r="D104">
            <v>0</v>
          </cell>
        </row>
        <row r="105">
          <cell r="B105" t="str">
            <v>Other non-cash adjustments</v>
          </cell>
          <cell r="C105" t="str">
            <v>OTH_NONCASH_ADJ</v>
          </cell>
          <cell r="D105">
            <v>0</v>
          </cell>
        </row>
        <row r="106">
          <cell r="B106" t="str">
            <v>Other DACF adjustments</v>
          </cell>
          <cell r="C106" t="str">
            <v>OTH_DACF_ADJ</v>
          </cell>
          <cell r="D106">
            <v>0</v>
          </cell>
        </row>
        <row r="107">
          <cell r="B107" t="str">
            <v>Cash interest expense</v>
          </cell>
          <cell r="C107" t="str">
            <v>CASH_INT_EXP</v>
          </cell>
          <cell r="D107">
            <v>0</v>
          </cell>
        </row>
        <row r="108">
          <cell r="B108" t="str">
            <v>Cash tax expense</v>
          </cell>
          <cell r="C108" t="str">
            <v>CASH_TAX_EXP</v>
          </cell>
          <cell r="D108">
            <v>0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>
            <v>0</v>
          </cell>
        </row>
        <row r="110">
          <cell r="B110" t="str">
            <v>Capex maintenance</v>
          </cell>
          <cell r="C110" t="str">
            <v>CAPEX_MAINTENANCE</v>
          </cell>
          <cell r="D110">
            <v>0</v>
          </cell>
        </row>
        <row r="111">
          <cell r="B111" t="str">
            <v>Capex expansion</v>
          </cell>
          <cell r="C111" t="str">
            <v>CAPEX_EXPANSION</v>
          </cell>
          <cell r="D111">
            <v>0</v>
          </cell>
        </row>
        <row r="112">
          <cell r="B112" t="str">
            <v>Non-PP&amp;E capex</v>
          </cell>
          <cell r="C112" t="str">
            <v>NONPPE_CAPEX</v>
          </cell>
          <cell r="D112">
            <v>0</v>
          </cell>
        </row>
        <row r="113">
          <cell r="B113" t="str">
            <v>Dividends paid to minorities</v>
          </cell>
          <cell r="C113" t="str">
            <v>DIVDS_PD_MINORITIES</v>
          </cell>
          <cell r="D113">
            <v>0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  <cell r="T115">
            <v>2</v>
          </cell>
          <cell r="Y115">
            <v>2.5310000000000001</v>
          </cell>
          <cell r="AD115">
            <v>2.9430000000000001</v>
          </cell>
          <cell r="AI115">
            <v>5.05</v>
          </cell>
          <cell r="AN115">
            <v>4.4610000000000003</v>
          </cell>
          <cell r="AS115">
            <v>7.931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  <cell r="G158">
            <v>0.9</v>
          </cell>
          <cell r="H158">
            <v>0.9</v>
          </cell>
          <cell r="I158">
            <v>0.9</v>
          </cell>
          <cell r="J158">
            <v>0.9</v>
          </cell>
          <cell r="K158">
            <v>0.9</v>
          </cell>
          <cell r="L158">
            <v>0.9</v>
          </cell>
          <cell r="M158">
            <v>0.9</v>
          </cell>
          <cell r="N158">
            <v>0.9</v>
          </cell>
          <cell r="O158">
            <v>0.9</v>
          </cell>
          <cell r="T158">
            <v>0.90312351559199999</v>
          </cell>
          <cell r="Y158">
            <v>0.918929939586</v>
          </cell>
          <cell r="AD158">
            <v>0.96252682653699995</v>
          </cell>
          <cell r="AI158">
            <v>0.90278912734899996</v>
          </cell>
          <cell r="AN158">
            <v>0.92919770537000002</v>
          </cell>
          <cell r="AS158">
            <v>0.94021504918099996</v>
          </cell>
          <cell r="AX158">
            <v>0.9</v>
          </cell>
          <cell r="BC158">
            <v>0.9</v>
          </cell>
          <cell r="BH158">
            <v>0.9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  <cell r="G165">
            <v>0.1</v>
          </cell>
          <cell r="H165">
            <v>0.1</v>
          </cell>
          <cell r="I165">
            <v>0.1</v>
          </cell>
          <cell r="J165">
            <v>0.1</v>
          </cell>
          <cell r="K165">
            <v>0.1</v>
          </cell>
          <cell r="L165">
            <v>0.1</v>
          </cell>
          <cell r="M165">
            <v>0.1</v>
          </cell>
          <cell r="N165">
            <v>0.1</v>
          </cell>
          <cell r="O165">
            <v>0.1</v>
          </cell>
          <cell r="T165">
            <v>9.6876484407999994E-2</v>
          </cell>
          <cell r="Y165">
            <v>8.1070060414E-2</v>
          </cell>
          <cell r="AD165">
            <v>3.7473173462999998E-2</v>
          </cell>
          <cell r="AI165">
            <v>9.7210872650999994E-2</v>
          </cell>
          <cell r="AN165">
            <v>7.0802294629999998E-2</v>
          </cell>
          <cell r="AS165">
            <v>5.9784950819000003E-2</v>
          </cell>
          <cell r="AX165">
            <v>0.1</v>
          </cell>
          <cell r="BC165">
            <v>0.1</v>
          </cell>
          <cell r="BH165">
            <v>0.1</v>
          </cell>
        </row>
        <row r="166">
          <cell r="B166" t="str">
            <v>% of CoGS from U.S. (GS estimate)</v>
          </cell>
          <cell r="C166" t="str">
            <v>COGS_PCT_US</v>
          </cell>
          <cell r="AI166">
            <v>0.1</v>
          </cell>
          <cell r="AN166">
            <v>0.1</v>
          </cell>
          <cell r="AS166">
            <v>0.1</v>
          </cell>
        </row>
        <row r="167">
          <cell r="B167" t="str">
            <v>% of CoGS from non-U.S. (GS estimate)</v>
          </cell>
          <cell r="C167" t="str">
            <v>COGS_PCT_ROW</v>
          </cell>
          <cell r="AI167">
            <v>0.9</v>
          </cell>
          <cell r="AN167">
            <v>0.9</v>
          </cell>
          <cell r="AS167">
            <v>0.9</v>
          </cell>
        </row>
        <row r="168">
          <cell r="B168" t="str">
            <v>% of SG&amp;A from U.S. (GS estimate)</v>
          </cell>
          <cell r="C168" t="str">
            <v>SGA_PCT_US</v>
          </cell>
          <cell r="AI168">
            <v>0.05</v>
          </cell>
          <cell r="AN168">
            <v>0.05</v>
          </cell>
          <cell r="AS168">
            <v>0.05</v>
          </cell>
        </row>
        <row r="169">
          <cell r="B169" t="str">
            <v>% of SG&amp;A from non-U.S. (GS estimate)</v>
          </cell>
          <cell r="C169" t="str">
            <v>SGA_PCT_ROW</v>
          </cell>
          <cell r="AI169">
            <v>0.95</v>
          </cell>
          <cell r="AN169">
            <v>0.95</v>
          </cell>
          <cell r="AS169">
            <v>0.95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  <cell r="G171">
            <v>0.85</v>
          </cell>
          <cell r="H171">
            <v>0.85</v>
          </cell>
          <cell r="I171">
            <v>0.85</v>
          </cell>
          <cell r="J171">
            <v>0.85</v>
          </cell>
          <cell r="O171">
            <v>0.85</v>
          </cell>
          <cell r="T171">
            <v>0.85</v>
          </cell>
          <cell r="Y171">
            <v>0.85</v>
          </cell>
          <cell r="AD171">
            <v>0.85</v>
          </cell>
          <cell r="AI171">
            <v>0.85</v>
          </cell>
          <cell r="AN171">
            <v>0.85</v>
          </cell>
          <cell r="AS171">
            <v>0.85</v>
          </cell>
          <cell r="AX171">
            <v>0.85</v>
          </cell>
          <cell r="BC171">
            <v>0.85</v>
          </cell>
          <cell r="BH171">
            <v>0.85</v>
          </cell>
        </row>
        <row r="172">
          <cell r="B172" t="str">
            <v>Sales -% Government (G)</v>
          </cell>
          <cell r="C172" t="str">
            <v>SALES_GOV</v>
          </cell>
          <cell r="G172">
            <v>0.15</v>
          </cell>
          <cell r="H172">
            <v>0.15</v>
          </cell>
          <cell r="I172">
            <v>0.15</v>
          </cell>
          <cell r="J172">
            <v>0.15</v>
          </cell>
          <cell r="O172">
            <v>0.15</v>
          </cell>
          <cell r="T172">
            <v>0.15</v>
          </cell>
          <cell r="Y172">
            <v>0.15</v>
          </cell>
          <cell r="AD172">
            <v>0.15</v>
          </cell>
          <cell r="AI172">
            <v>0.15</v>
          </cell>
          <cell r="AN172">
            <v>0.15</v>
          </cell>
          <cell r="AS172">
            <v>0.15</v>
          </cell>
          <cell r="AX172">
            <v>0.15</v>
          </cell>
          <cell r="BC172">
            <v>0.15</v>
          </cell>
          <cell r="BH172">
            <v>0.15</v>
          </cell>
        </row>
        <row r="173">
          <cell r="B173" t="str">
            <v>Sales - % Industry Sub-Segment: Financial Services</v>
          </cell>
          <cell r="C173" t="str">
            <v>SALES_FINAN</v>
          </cell>
          <cell r="G173">
            <v>0.15</v>
          </cell>
          <cell r="H173">
            <v>0.15</v>
          </cell>
          <cell r="I173">
            <v>0.15</v>
          </cell>
          <cell r="J173">
            <v>0.15</v>
          </cell>
        </row>
        <row r="174">
          <cell r="B174" t="str">
            <v>Sales - % Industry Sub-Segment: Oil &amp; Gas</v>
          </cell>
          <cell r="C174" t="str">
            <v>SALES_OIL_GAS</v>
          </cell>
          <cell r="G174">
            <v>0.02</v>
          </cell>
          <cell r="H174">
            <v>0.02</v>
          </cell>
          <cell r="I174">
            <v>0.02</v>
          </cell>
          <cell r="J174">
            <v>0.02</v>
          </cell>
          <cell r="O174">
            <v>0.02</v>
          </cell>
          <cell r="T174">
            <v>0.02</v>
          </cell>
          <cell r="Y174">
            <v>0.02</v>
          </cell>
          <cell r="AD174">
            <v>0.02</v>
          </cell>
          <cell r="AI174">
            <v>0.02</v>
          </cell>
          <cell r="AN174">
            <v>0.02</v>
          </cell>
          <cell r="AS174">
            <v>0.02</v>
          </cell>
          <cell r="AX174">
            <v>0.02</v>
          </cell>
          <cell r="BC174">
            <v>0.02</v>
          </cell>
          <cell r="BH174">
            <v>0.02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  <cell r="Y176">
            <v>0.02</v>
          </cell>
          <cell r="AD176">
            <v>0.02</v>
          </cell>
          <cell r="AI176">
            <v>0.02</v>
          </cell>
          <cell r="AN176">
            <v>0.02</v>
          </cell>
          <cell r="AS176">
            <v>0.02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  <cell r="Y177">
            <v>0.02</v>
          </cell>
          <cell r="AD177">
            <v>0.02</v>
          </cell>
          <cell r="AI177">
            <v>0.02</v>
          </cell>
          <cell r="AN177">
            <v>0.02</v>
          </cell>
          <cell r="AS177">
            <v>0.02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3">
          <cell r="A183" t="str">
            <v>FX Exposure - Sales</v>
          </cell>
        </row>
        <row r="184">
          <cell r="B184" t="str">
            <v>Sales - % FX: British Pounds/Pence</v>
          </cell>
          <cell r="C184" t="str">
            <v>SALES_FX_GPB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O184">
            <v>0</v>
          </cell>
          <cell r="T184">
            <v>0</v>
          </cell>
          <cell r="Y184">
            <v>0</v>
          </cell>
          <cell r="AD184">
            <v>0</v>
          </cell>
          <cell r="AI184">
            <v>0</v>
          </cell>
          <cell r="AN184">
            <v>0</v>
          </cell>
          <cell r="AS184">
            <v>0</v>
          </cell>
          <cell r="AX184">
            <v>0</v>
          </cell>
          <cell r="BC184">
            <v>0</v>
          </cell>
          <cell r="BH184">
            <v>0</v>
          </cell>
        </row>
        <row r="185">
          <cell r="B185" t="str">
            <v>Sales - % FX: Euro</v>
          </cell>
          <cell r="C185" t="str">
            <v>SALES_FX_EUR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O185">
            <v>0</v>
          </cell>
          <cell r="T185">
            <v>0</v>
          </cell>
          <cell r="Y185">
            <v>0</v>
          </cell>
          <cell r="AD185">
            <v>0</v>
          </cell>
          <cell r="AI185">
            <v>0</v>
          </cell>
          <cell r="AN185">
            <v>0</v>
          </cell>
          <cell r="AS185">
            <v>0</v>
          </cell>
          <cell r="AX185">
            <v>0</v>
          </cell>
          <cell r="BC185">
            <v>0</v>
          </cell>
          <cell r="BH185">
            <v>0</v>
          </cell>
        </row>
        <row r="186">
          <cell r="B186" t="str">
            <v>Sales - % FX: New Russian Ruble</v>
          </cell>
          <cell r="C186" t="str">
            <v>SALES_FX_RUB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O186">
            <v>0</v>
          </cell>
          <cell r="T186">
            <v>0</v>
          </cell>
          <cell r="Y186">
            <v>0</v>
          </cell>
          <cell r="AD186">
            <v>0</v>
          </cell>
          <cell r="AI186">
            <v>0</v>
          </cell>
          <cell r="AN186">
            <v>0</v>
          </cell>
          <cell r="AS186">
            <v>0</v>
          </cell>
          <cell r="AX186">
            <v>0</v>
          </cell>
          <cell r="BC186">
            <v>0</v>
          </cell>
          <cell r="BH186">
            <v>0</v>
          </cell>
        </row>
        <row r="187">
          <cell r="B187" t="str">
            <v>Sales - % FX: U.S. Dollar</v>
          </cell>
          <cell r="C187" t="str">
            <v>SALES_FX_USD</v>
          </cell>
          <cell r="G187">
            <v>0.1</v>
          </cell>
          <cell r="H187">
            <v>0.1</v>
          </cell>
          <cell r="I187">
            <v>0.1</v>
          </cell>
          <cell r="J187">
            <v>0.1</v>
          </cell>
          <cell r="O187">
            <v>0.1</v>
          </cell>
          <cell r="T187">
            <v>9.6876484407999994E-2</v>
          </cell>
          <cell r="Y187">
            <v>8.1070060414E-2</v>
          </cell>
          <cell r="AD187">
            <v>3.7473173462999998E-2</v>
          </cell>
          <cell r="AI187">
            <v>9.7210872650999994E-2</v>
          </cell>
          <cell r="AN187">
            <v>7.0802294629999998E-2</v>
          </cell>
          <cell r="AS187">
            <v>5.9784950819000003E-2</v>
          </cell>
          <cell r="AX187">
            <v>0.1</v>
          </cell>
          <cell r="BC187">
            <v>0.1</v>
          </cell>
          <cell r="BH187">
            <v>0.1</v>
          </cell>
        </row>
        <row r="188">
          <cell r="B188" t="str">
            <v>Sales - % FX: Brazilian Real</v>
          </cell>
          <cell r="C188" t="str">
            <v>SALES_FX_BRL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O188">
            <v>0</v>
          </cell>
          <cell r="T188">
            <v>0</v>
          </cell>
          <cell r="Y188">
            <v>0</v>
          </cell>
          <cell r="AD188">
            <v>0</v>
          </cell>
          <cell r="AI188">
            <v>0</v>
          </cell>
          <cell r="AN188">
            <v>0</v>
          </cell>
          <cell r="AS188">
            <v>0</v>
          </cell>
          <cell r="AX188">
            <v>0</v>
          </cell>
          <cell r="BC188">
            <v>0</v>
          </cell>
          <cell r="BH188">
            <v>0</v>
          </cell>
        </row>
        <row r="189">
          <cell r="B189" t="str">
            <v>Sales - % FX: Japanese Yen</v>
          </cell>
          <cell r="C189" t="str">
            <v>SALES_FX_YEN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O189">
            <v>0</v>
          </cell>
          <cell r="T189">
            <v>0</v>
          </cell>
          <cell r="Y189">
            <v>0</v>
          </cell>
          <cell r="AD189">
            <v>0</v>
          </cell>
          <cell r="AI189">
            <v>0</v>
          </cell>
          <cell r="AN189">
            <v>0</v>
          </cell>
          <cell r="AS189">
            <v>0</v>
          </cell>
          <cell r="AX189">
            <v>0</v>
          </cell>
          <cell r="BC189">
            <v>0</v>
          </cell>
          <cell r="BH189">
            <v>0</v>
          </cell>
        </row>
        <row r="190">
          <cell r="B190" t="str">
            <v>Sales - % FX: Chinese Renminbi</v>
          </cell>
          <cell r="C190" t="str">
            <v>SALES_FX_CNY</v>
          </cell>
          <cell r="G190">
            <v>0.9</v>
          </cell>
          <cell r="H190">
            <v>0.9</v>
          </cell>
          <cell r="I190">
            <v>0.9</v>
          </cell>
          <cell r="J190">
            <v>0.9</v>
          </cell>
          <cell r="O190">
            <v>0.9</v>
          </cell>
          <cell r="T190">
            <v>0.90312351559199999</v>
          </cell>
          <cell r="Y190">
            <v>0.918929939586</v>
          </cell>
          <cell r="AD190">
            <v>0.96252682653699995</v>
          </cell>
          <cell r="AI190">
            <v>0.90278912734899996</v>
          </cell>
          <cell r="AN190">
            <v>0.92919770537000002</v>
          </cell>
          <cell r="AS190">
            <v>0.94021504918099996</v>
          </cell>
          <cell r="AX190">
            <v>0.9</v>
          </cell>
          <cell r="BC190">
            <v>0.9</v>
          </cell>
          <cell r="BH190">
            <v>0.9</v>
          </cell>
        </row>
        <row r="191">
          <cell r="B191" t="str">
            <v>Sales - % FX: Indian Rupee</v>
          </cell>
          <cell r="C191" t="str">
            <v>SALES_FX_INR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O191">
            <v>0</v>
          </cell>
          <cell r="T191">
            <v>0</v>
          </cell>
          <cell r="Y191">
            <v>0</v>
          </cell>
          <cell r="AD191">
            <v>0</v>
          </cell>
          <cell r="AI191">
            <v>0</v>
          </cell>
          <cell r="AN191">
            <v>0</v>
          </cell>
          <cell r="AS191">
            <v>0</v>
          </cell>
          <cell r="AX191">
            <v>0</v>
          </cell>
          <cell r="BC191">
            <v>0</v>
          </cell>
          <cell r="BH191">
            <v>0</v>
          </cell>
        </row>
        <row r="192">
          <cell r="B192" t="str">
            <v>Sales - % FX: South Korean Won</v>
          </cell>
          <cell r="C192" t="str">
            <v>SALES_FX_KRW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O192">
            <v>0</v>
          </cell>
          <cell r="T192">
            <v>0</v>
          </cell>
          <cell r="Y192">
            <v>0</v>
          </cell>
          <cell r="AD192">
            <v>0</v>
          </cell>
          <cell r="AI192">
            <v>0</v>
          </cell>
          <cell r="AN192">
            <v>0</v>
          </cell>
          <cell r="AS192">
            <v>0</v>
          </cell>
          <cell r="AX192">
            <v>0</v>
          </cell>
          <cell r="BC192">
            <v>0</v>
          </cell>
          <cell r="BH192">
            <v>0</v>
          </cell>
        </row>
        <row r="193">
          <cell r="B193" t="str">
            <v>Sales - % FX: Taiwan Dollar</v>
          </cell>
          <cell r="C193" t="str">
            <v>SALES_FX_TWD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O193">
            <v>0</v>
          </cell>
          <cell r="T193">
            <v>0</v>
          </cell>
          <cell r="Y193">
            <v>0</v>
          </cell>
          <cell r="AD193">
            <v>0</v>
          </cell>
          <cell r="AI193">
            <v>0</v>
          </cell>
          <cell r="AN193">
            <v>0</v>
          </cell>
          <cell r="AS193">
            <v>0</v>
          </cell>
          <cell r="AX193">
            <v>0</v>
          </cell>
          <cell r="BC193">
            <v>0</v>
          </cell>
          <cell r="BH193">
            <v>0</v>
          </cell>
        </row>
        <row r="194">
          <cell r="B194" t="str">
            <v>Sales - % FX: Other Currency</v>
          </cell>
          <cell r="C194" t="str">
            <v>SALES_FX_OTH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O194">
            <v>0</v>
          </cell>
          <cell r="T194">
            <v>0</v>
          </cell>
          <cell r="Y194">
            <v>0</v>
          </cell>
          <cell r="AD194">
            <v>0</v>
          </cell>
          <cell r="AI194">
            <v>0</v>
          </cell>
          <cell r="AN194">
            <v>0</v>
          </cell>
          <cell r="AS194">
            <v>0</v>
          </cell>
          <cell r="AX194">
            <v>0</v>
          </cell>
          <cell r="BC194">
            <v>0</v>
          </cell>
          <cell r="BH194">
            <v>0</v>
          </cell>
        </row>
        <row r="195">
          <cell r="A195" t="str">
            <v>Items to be removed</v>
          </cell>
        </row>
        <row r="196">
          <cell r="B196" t="str">
            <v>Sales - Total % Americas</v>
          </cell>
          <cell r="C196" t="str">
            <v>SALES_TOT_AM</v>
          </cell>
        </row>
        <row r="197">
          <cell r="B197" t="str">
            <v>Sales - % Other Americas</v>
          </cell>
          <cell r="C197" t="str">
            <v>SALES_OTH_AM</v>
          </cell>
        </row>
        <row r="198">
          <cell r="B198" t="str">
            <v>Sales - Total % EMEA</v>
          </cell>
          <cell r="C198" t="str">
            <v>SALES_TOT_EMEA</v>
          </cell>
        </row>
        <row r="199">
          <cell r="B199" t="str">
            <v>Sales - % Western Europe-Ex UK</v>
          </cell>
          <cell r="C199" t="str">
            <v>SALES_EU_EX_UK</v>
          </cell>
        </row>
        <row r="200">
          <cell r="B200" t="str">
            <v>Sales - % Central &amp; Eastern Europe</v>
          </cell>
          <cell r="C200" t="str">
            <v>SALES_CEE</v>
          </cell>
        </row>
        <row r="201">
          <cell r="B201" t="str">
            <v>Sales - % Middle East</v>
          </cell>
          <cell r="C201" t="str">
            <v>SALES_ME</v>
          </cell>
        </row>
        <row r="202">
          <cell r="B202" t="str">
            <v>Sales - % Total Africa</v>
          </cell>
          <cell r="C202" t="str">
            <v>SALES_TOT_AFRICA</v>
          </cell>
        </row>
        <row r="203">
          <cell r="B203" t="str">
            <v>Sales - % Other EMEA</v>
          </cell>
          <cell r="C203" t="str">
            <v>SALES_OTH_EMEA</v>
          </cell>
        </row>
        <row r="204">
          <cell r="B204" t="str">
            <v>Sales - Total % Asia (incl Australia &amp; New Zealand)</v>
          </cell>
          <cell r="C204" t="str">
            <v>SALES_TOT_ASIA</v>
          </cell>
          <cell r="G204">
            <v>1</v>
          </cell>
          <cell r="H204">
            <v>1</v>
          </cell>
          <cell r="I204">
            <v>1</v>
          </cell>
          <cell r="J204">
            <v>1</v>
          </cell>
          <cell r="O204">
            <v>1</v>
          </cell>
          <cell r="T204">
            <v>1</v>
          </cell>
          <cell r="Y204">
            <v>1</v>
          </cell>
          <cell r="AD204">
            <v>1</v>
          </cell>
          <cell r="AI204">
            <v>1</v>
          </cell>
          <cell r="AN204">
            <v>1</v>
          </cell>
          <cell r="AS204">
            <v>1</v>
          </cell>
          <cell r="AX204">
            <v>1</v>
          </cell>
          <cell r="BC204">
            <v>1</v>
          </cell>
          <cell r="BH204">
            <v>1</v>
          </cell>
        </row>
        <row r="205">
          <cell r="B205" t="str">
            <v>Sales - % Other Asia</v>
          </cell>
          <cell r="C205" t="str">
            <v>SALES_OTH_AEJ</v>
          </cell>
        </row>
        <row r="206">
          <cell r="A206" t="str">
            <v>Security: Dongxu Optoelectronic Technology Co.</v>
          </cell>
          <cell r="B206" t="str">
            <v>44KNE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000413.SZ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Dongxu Optoelectronic Technology Co.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</row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>
            <v>0</v>
          </cell>
          <cell r="E218">
            <v>5.8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Fundamental value</v>
          </cell>
          <cell r="C220" t="str">
            <v>TARGET_PRICE_FUNDAMENTAL</v>
          </cell>
          <cell r="D220">
            <v>0</v>
          </cell>
        </row>
        <row r="221">
          <cell r="B221" t="str">
            <v>M&amp;A value</v>
          </cell>
          <cell r="C221" t="str">
            <v>TARGET_PRICE_MA</v>
          </cell>
          <cell r="D221">
            <v>0</v>
          </cell>
        </row>
        <row r="222">
          <cell r="B222" t="str">
            <v>Current shares outstanding (mn)</v>
          </cell>
          <cell r="C222" t="str">
            <v>NUM_SH</v>
          </cell>
          <cell r="E222">
            <v>5730.2501179999999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  <cell r="E235">
            <v>16</v>
          </cell>
        </row>
        <row r="236">
          <cell r="B236" t="str">
            <v>Target price methodology</v>
          </cell>
          <cell r="C236" t="str">
            <v>PRI_TARG_METH</v>
          </cell>
        </row>
        <row r="237">
          <cell r="A237" t="str">
            <v>Publishing Items</v>
          </cell>
        </row>
        <row r="238">
          <cell r="B238" t="str">
            <v>Book value per share, BVPS (Pub)</v>
          </cell>
          <cell r="C238" t="str">
            <v>BVPS_PUB</v>
          </cell>
          <cell r="D238">
            <v>0</v>
          </cell>
          <cell r="F238">
            <v>0.61327568449100001</v>
          </cell>
          <cell r="G238">
            <v>0.640270574491</v>
          </cell>
          <cell r="H238">
            <v>0.65107831647500003</v>
          </cell>
          <cell r="I238">
            <v>0.56636927255900005</v>
          </cell>
          <cell r="J238">
            <v>0.57605329153999996</v>
          </cell>
          <cell r="O238">
            <v>0.606994160078</v>
          </cell>
          <cell r="T238">
            <v>1.023312735875</v>
          </cell>
          <cell r="Y238">
            <v>6.438176871584</v>
          </cell>
          <cell r="AD238">
            <v>2.8838822542810001</v>
          </cell>
          <cell r="AI238">
            <v>3.7338930840289999</v>
          </cell>
          <cell r="AN238">
            <v>4.4972914473700003</v>
          </cell>
          <cell r="AS238">
            <v>5.3964130393409997</v>
          </cell>
          <cell r="AX238">
            <v>5.6814788588029996</v>
          </cell>
          <cell r="BC238">
            <v>5.9835214116240003</v>
          </cell>
          <cell r="BH238">
            <v>6.3249085323159999</v>
          </cell>
        </row>
        <row r="239">
          <cell r="B239" t="str">
            <v>DPS, dividend per share (Pub)</v>
          </cell>
          <cell r="C239" t="str">
            <v>DPS_PUB</v>
          </cell>
          <cell r="D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O239">
            <v>0</v>
          </cell>
          <cell r="T239">
            <v>0</v>
          </cell>
          <cell r="Y239">
            <v>0</v>
          </cell>
          <cell r="AD239">
            <v>0.1</v>
          </cell>
          <cell r="AI239">
            <v>7.0000000000000007E-2</v>
          </cell>
          <cell r="AN239">
            <v>7.0000000000000007E-2</v>
          </cell>
          <cell r="AS239">
            <v>7.0000000000000007E-2</v>
          </cell>
          <cell r="AX239">
            <v>8.516980062E-2</v>
          </cell>
          <cell r="BC239">
            <v>9.0242164262999996E-2</v>
          </cell>
          <cell r="BH239">
            <v>0.101997259443</v>
          </cell>
        </row>
        <row r="240">
          <cell r="B240" t="str">
            <v>Special dividend per share</v>
          </cell>
          <cell r="C240" t="str">
            <v>DPS_SPECIAL_PUB</v>
          </cell>
          <cell r="D240">
            <v>0</v>
          </cell>
        </row>
        <row r="241">
          <cell r="B241" t="str">
            <v>EBITDA (Pub)</v>
          </cell>
          <cell r="C241" t="str">
            <v>EBITDA_PUB</v>
          </cell>
          <cell r="D241">
            <v>0</v>
          </cell>
          <cell r="F241">
            <v>7.3301293000000003</v>
          </cell>
          <cell r="G241">
            <v>24.624638919999999</v>
          </cell>
          <cell r="H241">
            <v>21.515494969999999</v>
          </cell>
          <cell r="I241">
            <v>-6.3078436699999996</v>
          </cell>
          <cell r="J241">
            <v>-0.31892567999999999</v>
          </cell>
          <cell r="O241">
            <v>25.869641319999999</v>
          </cell>
          <cell r="T241">
            <v>320.74296694999998</v>
          </cell>
          <cell r="Y241">
            <v>413.75504022000001</v>
          </cell>
          <cell r="AD241">
            <v>490.87254236000001</v>
          </cell>
          <cell r="AI241">
            <v>1705.60469607</v>
          </cell>
          <cell r="AN241">
            <v>2093.8694327600001</v>
          </cell>
          <cell r="AS241">
            <v>3708.1577288399999</v>
          </cell>
          <cell r="AX241">
            <v>4285.07558258276</v>
          </cell>
          <cell r="BC241">
            <v>4418.8738909272897</v>
          </cell>
          <cell r="BH241">
            <v>4908.2155226454297</v>
          </cell>
        </row>
        <row r="242">
          <cell r="B242" t="str">
            <v>EPS (Pub)</v>
          </cell>
          <cell r="C242" t="str">
            <v>EPS_PUB</v>
          </cell>
          <cell r="D242">
            <v>0</v>
          </cell>
          <cell r="F242">
            <v>-0.16</v>
          </cell>
          <cell r="G242">
            <v>0.03</v>
          </cell>
          <cell r="H242">
            <v>0.01</v>
          </cell>
          <cell r="I242">
            <v>-0.08</v>
          </cell>
          <cell r="J242">
            <v>4.0000000000000001E-3</v>
          </cell>
          <cell r="K242">
            <v>-1.72E-2</v>
          </cell>
          <cell r="L242">
            <v>-1.2800000000000001E-2</v>
          </cell>
          <cell r="M242">
            <v>0.02</v>
          </cell>
          <cell r="N242">
            <v>0.04</v>
          </cell>
          <cell r="O242">
            <v>0.03</v>
          </cell>
          <cell r="P242">
            <v>0.05</v>
          </cell>
          <cell r="Q242">
            <v>0.06</v>
          </cell>
          <cell r="R242">
            <v>0.16</v>
          </cell>
          <cell r="S242">
            <v>0.1</v>
          </cell>
          <cell r="T242">
            <v>0.37</v>
          </cell>
          <cell r="U242">
            <v>0.16</v>
          </cell>
          <cell r="V242">
            <v>0.04</v>
          </cell>
          <cell r="W242">
            <v>0.12</v>
          </cell>
          <cell r="X242">
            <v>0.19</v>
          </cell>
          <cell r="Y242">
            <v>0.51</v>
          </cell>
          <cell r="Z242">
            <v>0.08</v>
          </cell>
          <cell r="AA242">
            <v>7.0000000000000007E-2</v>
          </cell>
          <cell r="AB242">
            <v>7.0000000000000007E-2</v>
          </cell>
          <cell r="AC242">
            <v>-0.05</v>
          </cell>
          <cell r="AD242">
            <v>0.17</v>
          </cell>
          <cell r="AE242">
            <v>0.06</v>
          </cell>
          <cell r="AF242">
            <v>0.09</v>
          </cell>
          <cell r="AG242">
            <v>0.13</v>
          </cell>
          <cell r="AH242">
            <v>0.2</v>
          </cell>
          <cell r="AI242">
            <v>0.48</v>
          </cell>
          <cell r="AJ242">
            <v>0.09</v>
          </cell>
          <cell r="AK242">
            <v>0.05</v>
          </cell>
          <cell r="AL242">
            <v>0.06</v>
          </cell>
          <cell r="AM242">
            <v>0.09</v>
          </cell>
          <cell r="AN242">
            <v>0.28999999999999998</v>
          </cell>
          <cell r="AO242">
            <v>0.08</v>
          </cell>
          <cell r="AP242">
            <v>0.05</v>
          </cell>
          <cell r="AQ242">
            <v>0.08</v>
          </cell>
          <cell r="AR242">
            <v>0.12</v>
          </cell>
          <cell r="AS242">
            <v>0.33</v>
          </cell>
          <cell r="AT242">
            <v>7.0000000000000007E-2</v>
          </cell>
          <cell r="AU242">
            <v>7.5713564324999996E-2</v>
          </cell>
          <cell r="AV242">
            <v>8.7639157681999993E-2</v>
          </cell>
          <cell r="AW242">
            <v>0.13281252534999999</v>
          </cell>
          <cell r="AX242">
            <v>0.37023503827799997</v>
          </cell>
          <cell r="AY242">
            <v>6.3457886717000006E-2</v>
          </cell>
          <cell r="AZ242">
            <v>9.4575886176000004E-2</v>
          </cell>
          <cell r="BA242">
            <v>0.101353679074</v>
          </cell>
          <cell r="BB242">
            <v>0.13289726511700001</v>
          </cell>
          <cell r="BC242">
            <v>0.39228471708399998</v>
          </cell>
          <cell r="BH242">
            <v>0.44338438013499998</v>
          </cell>
        </row>
        <row r="243">
          <cell r="B243" t="str">
            <v>EV adjustment (Pub)</v>
          </cell>
          <cell r="C243" t="str">
            <v>EV_ADJ_PUB</v>
          </cell>
          <cell r="D243">
            <v>0</v>
          </cell>
        </row>
        <row r="244">
          <cell r="B244" t="str">
            <v>Net debt (Pub)</v>
          </cell>
          <cell r="C244" t="str">
            <v>NET_DEBT_PUB</v>
          </cell>
          <cell r="D244">
            <v>0</v>
          </cell>
          <cell r="F244">
            <v>3.5996196600000001</v>
          </cell>
          <cell r="G244">
            <v>-14.70527208</v>
          </cell>
          <cell r="H244">
            <v>-17.507703020000001</v>
          </cell>
          <cell r="I244">
            <v>-4.8867798899999997</v>
          </cell>
          <cell r="J244">
            <v>-10.21157996</v>
          </cell>
          <cell r="O244">
            <v>-15.84722573</v>
          </cell>
          <cell r="T244">
            <v>1174.22992916</v>
          </cell>
          <cell r="Y244">
            <v>414.98908676000002</v>
          </cell>
          <cell r="AD244">
            <v>4462.5546159599999</v>
          </cell>
          <cell r="AI244">
            <v>-38.217553649999999</v>
          </cell>
          <cell r="AN244">
            <v>-6227.8578843200003</v>
          </cell>
          <cell r="AS244">
            <v>-3857.1083179799998</v>
          </cell>
          <cell r="AX244">
            <v>-843.81490514079997</v>
          </cell>
          <cell r="BC244">
            <v>191.01255079260201</v>
          </cell>
          <cell r="BH244">
            <v>1544.2529368693299</v>
          </cell>
        </row>
        <row r="245">
          <cell r="B245" t="str">
            <v>Net income (Pub)</v>
          </cell>
          <cell r="C245" t="str">
            <v>NI_PUB</v>
          </cell>
          <cell r="D245">
            <v>0</v>
          </cell>
          <cell r="F245">
            <v>-63.009449359999998</v>
          </cell>
          <cell r="G245">
            <v>10.33904287</v>
          </cell>
          <cell r="H245">
            <v>4.13936481</v>
          </cell>
          <cell r="I245">
            <v>-32.443563820000001</v>
          </cell>
          <cell r="J245">
            <v>1.5192551299999999</v>
          </cell>
          <cell r="K245">
            <v>-6.5849915299999999</v>
          </cell>
          <cell r="L245">
            <v>-3.265835</v>
          </cell>
          <cell r="M245">
            <v>7.5737002799999997</v>
          </cell>
          <cell r="N245">
            <v>14.1274789</v>
          </cell>
          <cell r="O245">
            <v>11.85035265</v>
          </cell>
          <cell r="P245">
            <v>19.043917669999999</v>
          </cell>
          <cell r="Q245">
            <v>22.131866509999998</v>
          </cell>
          <cell r="R245">
            <v>61.10916297</v>
          </cell>
          <cell r="S245">
            <v>40.379611169999997</v>
          </cell>
          <cell r="T245">
            <v>142.66455832</v>
          </cell>
          <cell r="U245">
            <v>61.882386279999999</v>
          </cell>
          <cell r="V245">
            <v>52.085239719999997</v>
          </cell>
          <cell r="W245">
            <v>100.87652036999999</v>
          </cell>
          <cell r="X245">
            <v>154.45316237</v>
          </cell>
          <cell r="Y245">
            <v>369.29730874000001</v>
          </cell>
          <cell r="Z245">
            <v>207.65235419999999</v>
          </cell>
          <cell r="AA245">
            <v>199.8843067</v>
          </cell>
          <cell r="AB245">
            <v>196.78215818999999</v>
          </cell>
          <cell r="AC245">
            <v>-135.41611764999999</v>
          </cell>
          <cell r="AD245">
            <v>468.90270143999999</v>
          </cell>
          <cell r="AE245">
            <v>158.27198709999999</v>
          </cell>
          <cell r="AF245">
            <v>241.80974352999999</v>
          </cell>
          <cell r="AG245">
            <v>339.80631648000002</v>
          </cell>
          <cell r="AH245">
            <v>586.34562726000001</v>
          </cell>
          <cell r="AI245">
            <v>1326.23367437</v>
          </cell>
          <cell r="AJ245">
            <v>347.75053273999998</v>
          </cell>
          <cell r="AK245">
            <v>198.21317798000001</v>
          </cell>
          <cell r="AL245">
            <v>255.87319791000101</v>
          </cell>
          <cell r="AM245">
            <v>438.09199076999897</v>
          </cell>
          <cell r="AN245">
            <v>1239.9288994000001</v>
          </cell>
          <cell r="AO245">
            <v>392.78264451000001</v>
          </cell>
          <cell r="AP245">
            <v>243.07310586</v>
          </cell>
          <cell r="AQ245">
            <v>390.258136000001</v>
          </cell>
          <cell r="AR245">
            <v>717.55294087999903</v>
          </cell>
          <cell r="AS245">
            <v>1743.6668272500001</v>
          </cell>
          <cell r="AT245">
            <v>424.43842817000001</v>
          </cell>
          <cell r="AU245">
            <v>433.85766090999999</v>
          </cell>
          <cell r="AV245">
            <v>502.19429364712801</v>
          </cell>
          <cell r="AW245">
            <v>761.04898905596303</v>
          </cell>
          <cell r="AX245">
            <v>2121.5393717830898</v>
          </cell>
          <cell r="AY245">
            <v>363.62956284807802</v>
          </cell>
          <cell r="AZ245">
            <v>541.94348292050495</v>
          </cell>
          <cell r="BA245">
            <v>580.78193147218497</v>
          </cell>
          <cell r="BB245">
            <v>761.534569119602</v>
          </cell>
          <cell r="BC245">
            <v>2247.8895463603699</v>
          </cell>
          <cell r="BH245">
            <v>2540.7033965893602</v>
          </cell>
        </row>
        <row r="246">
          <cell r="B246" t="str">
            <v>EBIT, operating profit (Pub)</v>
          </cell>
          <cell r="C246" t="str">
            <v>EBIT_PUB</v>
          </cell>
          <cell r="D246">
            <v>0</v>
          </cell>
          <cell r="F246">
            <v>-7.4680296999999998</v>
          </cell>
          <cell r="G246">
            <v>9.0574391100000007</v>
          </cell>
          <cell r="H246">
            <v>5.8716633900000001</v>
          </cell>
          <cell r="I246">
            <v>-21.839994440000002</v>
          </cell>
          <cell r="J246">
            <v>-15.76090119</v>
          </cell>
          <cell r="K246">
            <v>-6.7060416700000003</v>
          </cell>
          <cell r="L246">
            <v>-3.2423686300000001</v>
          </cell>
          <cell r="M246">
            <v>7.8576967</v>
          </cell>
          <cell r="N246">
            <v>14.21883485</v>
          </cell>
          <cell r="O246">
            <v>12.12812125</v>
          </cell>
          <cell r="P246">
            <v>66.657039240000003</v>
          </cell>
          <cell r="Q246">
            <v>53.740391090000003</v>
          </cell>
          <cell r="R246">
            <v>104.33670408</v>
          </cell>
          <cell r="S246">
            <v>83.578585829999994</v>
          </cell>
          <cell r="T246">
            <v>308.31272023999998</v>
          </cell>
          <cell r="U246">
            <v>103.92332892</v>
          </cell>
          <cell r="V246">
            <v>-17.96381173</v>
          </cell>
          <cell r="W246">
            <v>101.09334588</v>
          </cell>
          <cell r="X246">
            <v>215.05722727</v>
          </cell>
          <cell r="Y246">
            <v>402.11009034</v>
          </cell>
          <cell r="Z246">
            <v>273.2754741</v>
          </cell>
          <cell r="AA246">
            <v>103.57210902999999</v>
          </cell>
          <cell r="AB246">
            <v>48.2835641</v>
          </cell>
          <cell r="AC246">
            <v>-164.36892646999999</v>
          </cell>
          <cell r="AD246">
            <v>260.76222075999999</v>
          </cell>
          <cell r="AE246">
            <v>125.35696383</v>
          </cell>
          <cell r="AF246">
            <v>315.56080307000002</v>
          </cell>
          <cell r="AG246">
            <v>239.43806928999999</v>
          </cell>
          <cell r="AH246">
            <v>667.2165129</v>
          </cell>
          <cell r="AI246">
            <v>1347.57234909</v>
          </cell>
          <cell r="AJ246">
            <v>382.09124155000001</v>
          </cell>
          <cell r="AK246">
            <v>272.93255992000002</v>
          </cell>
          <cell r="AL246">
            <v>323.60301844000099</v>
          </cell>
          <cell r="AM246">
            <v>566.41066128999898</v>
          </cell>
          <cell r="AN246">
            <v>1545.0374812</v>
          </cell>
          <cell r="AO246">
            <v>555.27308230000006</v>
          </cell>
          <cell r="AP246">
            <v>479.17281107999997</v>
          </cell>
          <cell r="AQ246">
            <v>478.66148097000098</v>
          </cell>
          <cell r="AR246">
            <v>1158.3538312799999</v>
          </cell>
          <cell r="AS246">
            <v>2671.4612056300002</v>
          </cell>
          <cell r="AT246">
            <v>710.45619397999997</v>
          </cell>
          <cell r="AU246">
            <v>727.43918393000001</v>
          </cell>
          <cell r="AV246">
            <v>703.210561869971</v>
          </cell>
          <cell r="AW246">
            <v>1015.08368886857</v>
          </cell>
          <cell r="AX246">
            <v>3156.1896286485398</v>
          </cell>
          <cell r="AY246">
            <v>532.43953006273705</v>
          </cell>
          <cell r="AZ246">
            <v>749.89553015106299</v>
          </cell>
          <cell r="BA246">
            <v>797.25949179945201</v>
          </cell>
          <cell r="BB246">
            <v>1017.68953771094</v>
          </cell>
          <cell r="BC246">
            <v>3097.2840897241799</v>
          </cell>
          <cell r="BH246">
            <v>3532.5678649105898</v>
          </cell>
        </row>
        <row r="247">
          <cell r="B247" t="str">
            <v>Pre-tax profit (Pub)</v>
          </cell>
          <cell r="C247" t="str">
            <v>PTP_PUB</v>
          </cell>
          <cell r="D247">
            <v>0</v>
          </cell>
          <cell r="F247">
            <v>-76.058769490000003</v>
          </cell>
          <cell r="G247">
            <v>18.46634164</v>
          </cell>
          <cell r="H247">
            <v>5.1214282799999999</v>
          </cell>
          <cell r="I247">
            <v>-32.4003035</v>
          </cell>
          <cell r="J247">
            <v>5.9450041699999998</v>
          </cell>
          <cell r="O247">
            <v>14.83345765</v>
          </cell>
          <cell r="T247">
            <v>326.61239617000001</v>
          </cell>
          <cell r="Y247">
            <v>547.38405569999998</v>
          </cell>
          <cell r="AD247">
            <v>638.32082371000001</v>
          </cell>
          <cell r="AI247">
            <v>1630.3066930499999</v>
          </cell>
          <cell r="AN247">
            <v>1525.2187115700001</v>
          </cell>
          <cell r="AS247">
            <v>2280.89947837</v>
          </cell>
          <cell r="AX247">
            <v>2777.0326085217998</v>
          </cell>
          <cell r="BC247">
            <v>2866.1707242429102</v>
          </cell>
          <cell r="BH247">
            <v>3239.6623800500101</v>
          </cell>
        </row>
        <row r="248">
          <cell r="B248" t="str">
            <v>Sales, revenue (Pub)</v>
          </cell>
          <cell r="C248" t="str">
            <v>REVS_PUB</v>
          </cell>
          <cell r="D248">
            <v>0</v>
          </cell>
          <cell r="F248">
            <v>231.60831031000001</v>
          </cell>
          <cell r="G248">
            <v>228.14118138000001</v>
          </cell>
          <cell r="H248">
            <v>205.22499142000001</v>
          </cell>
          <cell r="I248">
            <v>62.037023099999999</v>
          </cell>
          <cell r="J248">
            <v>78.353207420000004</v>
          </cell>
          <cell r="K248">
            <v>10.82726491</v>
          </cell>
          <cell r="L248">
            <v>15.992923530000001</v>
          </cell>
          <cell r="M248">
            <v>35.810612229999997</v>
          </cell>
          <cell r="N248">
            <v>41.794659279999998</v>
          </cell>
          <cell r="O248">
            <v>104.42545995</v>
          </cell>
          <cell r="P248">
            <v>207.76442893999999</v>
          </cell>
          <cell r="Q248">
            <v>153.59131722999999</v>
          </cell>
          <cell r="R248">
            <v>217.23819306999999</v>
          </cell>
          <cell r="S248">
            <v>200.34123059000001</v>
          </cell>
          <cell r="T248">
            <v>778.93516982999995</v>
          </cell>
          <cell r="U248">
            <v>191.29712626</v>
          </cell>
          <cell r="V248">
            <v>63.745227819999997</v>
          </cell>
          <cell r="W248">
            <v>282.53759538999998</v>
          </cell>
          <cell r="X248">
            <v>394.32073351999998</v>
          </cell>
          <cell r="Y248">
            <v>931.90068298999995</v>
          </cell>
          <cell r="Z248">
            <v>577.39930604000006</v>
          </cell>
          <cell r="AA248">
            <v>332.57543705000001</v>
          </cell>
          <cell r="AB248">
            <v>277.51613752999998</v>
          </cell>
          <cell r="AC248">
            <v>413.25986506999999</v>
          </cell>
          <cell r="AD248">
            <v>1600.75074569</v>
          </cell>
          <cell r="AE248">
            <v>598.85873043000004</v>
          </cell>
          <cell r="AF248">
            <v>925.38399346999995</v>
          </cell>
          <cell r="AG248">
            <v>998.67844678999995</v>
          </cell>
          <cell r="AH248">
            <v>2127.2872774100001</v>
          </cell>
          <cell r="AI248">
            <v>4650.2084481000002</v>
          </cell>
          <cell r="AJ248">
            <v>1581.69083417</v>
          </cell>
          <cell r="AK248">
            <v>1300.36832024</v>
          </cell>
          <cell r="AL248">
            <v>1379.6243933000001</v>
          </cell>
          <cell r="AM248">
            <v>2639.6375749399999</v>
          </cell>
          <cell r="AN248">
            <v>6901.3211226499998</v>
          </cell>
          <cell r="AO248">
            <v>2169.6282150799998</v>
          </cell>
          <cell r="AP248">
            <v>2471.6573128300001</v>
          </cell>
          <cell r="AQ248">
            <v>3227.3602956700001</v>
          </cell>
          <cell r="AR248">
            <v>9467.7183345499998</v>
          </cell>
          <cell r="AS248">
            <v>17336.36415813</v>
          </cell>
          <cell r="AT248">
            <v>4665.7515996599996</v>
          </cell>
          <cell r="AU248">
            <v>6464.1001912199999</v>
          </cell>
          <cell r="AV248">
            <v>6263.0905687036502</v>
          </cell>
          <cell r="AW248">
            <v>8295.70128960697</v>
          </cell>
          <cell r="AX248">
            <v>25688.643649190599</v>
          </cell>
          <cell r="AY248">
            <v>5299.4124817433503</v>
          </cell>
          <cell r="AZ248">
            <v>6754.9180591289496</v>
          </cell>
          <cell r="BA248">
            <v>6633.32080470251</v>
          </cell>
          <cell r="BB248">
            <v>10768.9774040499</v>
          </cell>
          <cell r="BC248">
            <v>29456.628749624699</v>
          </cell>
          <cell r="BH248">
            <v>35260.648351584103</v>
          </cell>
        </row>
        <row r="249">
          <cell r="B249" t="str">
            <v>Total shareholders' equity (Pub)</v>
          </cell>
          <cell r="C249" t="str">
            <v>EQ_PUB</v>
          </cell>
          <cell r="D249">
            <v>0</v>
          </cell>
          <cell r="F249">
            <v>248.99131632999999</v>
          </cell>
          <cell r="G249">
            <v>260.1351841</v>
          </cell>
          <cell r="H249">
            <v>265.03304304</v>
          </cell>
          <cell r="I249">
            <v>232.24978894</v>
          </cell>
          <cell r="J249">
            <v>238.50494474999999</v>
          </cell>
          <cell r="O249">
            <v>259.82054799999997</v>
          </cell>
          <cell r="T249">
            <v>503.34367810999998</v>
          </cell>
          <cell r="Y249">
            <v>5874.2014385700004</v>
          </cell>
          <cell r="AD249">
            <v>9310.2893803499992</v>
          </cell>
          <cell r="AI249">
            <v>14561.4487646</v>
          </cell>
          <cell r="AN249">
            <v>23069.236598470001</v>
          </cell>
          <cell r="AS249">
            <v>32057.252172650002</v>
          </cell>
          <cell r="AX249">
            <v>33985.996135564797</v>
          </cell>
          <cell r="BC249">
            <v>36021.497915562402</v>
          </cell>
          <cell r="BH249">
            <v>38322.162387847697</v>
          </cell>
        </row>
        <row r="250">
          <cell r="B250" t="str">
            <v>EPS (consensus)</v>
          </cell>
          <cell r="C250" t="str">
            <v>EPS_CONS_PUB</v>
          </cell>
          <cell r="D250">
            <v>0</v>
          </cell>
        </row>
        <row r="251">
          <cell r="A251" t="str">
            <v>Income Statement</v>
          </cell>
        </row>
        <row r="252">
          <cell r="B252" t="str">
            <v>Provision for income tax</v>
          </cell>
          <cell r="C252" t="str">
            <v>PROV_INC_TAX</v>
          </cell>
          <cell r="D252">
            <v>0</v>
          </cell>
          <cell r="F252">
            <v>-0.82983660000000004</v>
          </cell>
          <cell r="G252">
            <v>-7.3224738599999997</v>
          </cell>
          <cell r="H252">
            <v>-0.22356971</v>
          </cell>
          <cell r="I252">
            <v>-0.38295059999999997</v>
          </cell>
          <cell r="J252">
            <v>-1.8795725000000001</v>
          </cell>
          <cell r="O252">
            <v>-2.6978544000000002</v>
          </cell>
          <cell r="T252">
            <v>-85.584266060000004</v>
          </cell>
          <cell r="Y252">
            <v>-137.83971657999999</v>
          </cell>
          <cell r="AD252">
            <v>-114.89623281999999</v>
          </cell>
          <cell r="AI252">
            <v>-237.78300687000001</v>
          </cell>
          <cell r="AN252">
            <v>-214.69405523</v>
          </cell>
          <cell r="AS252">
            <v>-342.02834360999998</v>
          </cell>
          <cell r="AX252">
            <v>-555.49323673870504</v>
          </cell>
          <cell r="BC252">
            <v>-515.07134464372405</v>
          </cell>
          <cell r="BH252">
            <v>-582.29984268900103</v>
          </cell>
        </row>
        <row r="253">
          <cell r="B253" t="str">
            <v>Minority interest</v>
          </cell>
          <cell r="C253" t="str">
            <v>INC_MINORITY</v>
          </cell>
          <cell r="D253">
            <v>0</v>
          </cell>
          <cell r="F253">
            <v>13.87915673</v>
          </cell>
          <cell r="G253">
            <v>-0.80482491</v>
          </cell>
          <cell r="H253">
            <v>-0.75849376000000002</v>
          </cell>
          <cell r="I253">
            <v>0.33969028000000001</v>
          </cell>
          <cell r="J253">
            <v>-2.5461765399999998</v>
          </cell>
          <cell r="O253">
            <v>-0.28525060000000002</v>
          </cell>
          <cell r="T253">
            <v>-98.363571789999995</v>
          </cell>
          <cell r="Y253">
            <v>-40.247030379999998</v>
          </cell>
          <cell r="AD253">
            <v>-54.521889450000003</v>
          </cell>
          <cell r="AI253">
            <v>-66.290011809999996</v>
          </cell>
          <cell r="AN253">
            <v>-70.595756940000001</v>
          </cell>
          <cell r="AS253">
            <v>-195.20430751000001</v>
          </cell>
          <cell r="AX253">
            <v>-100</v>
          </cell>
          <cell r="BC253">
            <v>-103.209833238817</v>
          </cell>
          <cell r="BH253">
            <v>-116.659140771648</v>
          </cell>
        </row>
        <row r="254">
          <cell r="B254" t="str">
            <v>Net income (pre-preferred dividends)</v>
          </cell>
          <cell r="C254" t="str">
            <v>NI_PRE_PREF</v>
          </cell>
          <cell r="D254">
            <v>0</v>
          </cell>
          <cell r="F254">
            <v>-63.009449359999998</v>
          </cell>
          <cell r="G254">
            <v>10.33904287</v>
          </cell>
          <cell r="H254">
            <v>4.13936481</v>
          </cell>
          <cell r="I254">
            <v>-32.443563820000001</v>
          </cell>
          <cell r="J254">
            <v>1.5192551299999999</v>
          </cell>
          <cell r="O254">
            <v>11.85035265</v>
          </cell>
          <cell r="T254">
            <v>142.66455832</v>
          </cell>
          <cell r="Y254">
            <v>369.29730874000001</v>
          </cell>
          <cell r="AD254">
            <v>468.90270143999999</v>
          </cell>
          <cell r="AI254">
            <v>1326.23367437</v>
          </cell>
          <cell r="AN254">
            <v>1239.9288994000001</v>
          </cell>
          <cell r="AS254">
            <v>1743.6668272500001</v>
          </cell>
          <cell r="AX254">
            <v>2121.5393717830898</v>
          </cell>
          <cell r="BC254">
            <v>2247.8895463603699</v>
          </cell>
          <cell r="BH254">
            <v>2540.7033965893602</v>
          </cell>
        </row>
        <row r="255">
          <cell r="B255" t="str">
            <v>Preferred dividends</v>
          </cell>
          <cell r="C255" t="str">
            <v>PREF_DIV</v>
          </cell>
          <cell r="D255">
            <v>0</v>
          </cell>
        </row>
        <row r="256">
          <cell r="B256" t="str">
            <v>Net income (pre-exceptionals)</v>
          </cell>
          <cell r="C256" t="str">
            <v>NET_EARNING</v>
          </cell>
          <cell r="D256">
            <v>0</v>
          </cell>
          <cell r="F256">
            <v>-63.009449359999998</v>
          </cell>
          <cell r="G256">
            <v>10.33904287</v>
          </cell>
          <cell r="H256">
            <v>4.13936481</v>
          </cell>
          <cell r="I256">
            <v>-32.443563820000001</v>
          </cell>
          <cell r="J256">
            <v>1.5192551299999999</v>
          </cell>
          <cell r="O256">
            <v>11.85035265</v>
          </cell>
          <cell r="T256">
            <v>142.66455832</v>
          </cell>
          <cell r="Y256">
            <v>369.29730874000001</v>
          </cell>
          <cell r="AD256">
            <v>468.90270143999999</v>
          </cell>
          <cell r="AI256">
            <v>1326.23367437</v>
          </cell>
          <cell r="AN256">
            <v>1239.9288994000001</v>
          </cell>
          <cell r="AS256">
            <v>1743.6668272500001</v>
          </cell>
          <cell r="AX256">
            <v>2121.5393717830898</v>
          </cell>
          <cell r="BC256">
            <v>2247.8895463603699</v>
          </cell>
          <cell r="BH256">
            <v>2540.7033965893602</v>
          </cell>
        </row>
        <row r="257">
          <cell r="B257" t="str">
            <v>Post-tax exceptionals</v>
          </cell>
          <cell r="C257" t="str">
            <v>TAX_EXC</v>
          </cell>
          <cell r="D257">
            <v>0</v>
          </cell>
        </row>
        <row r="258">
          <cell r="B258" t="str">
            <v>Net income (post-exceptionals)</v>
          </cell>
          <cell r="C258" t="str">
            <v>NET_INC</v>
          </cell>
          <cell r="D258">
            <v>0</v>
          </cell>
          <cell r="F258">
            <v>-63.009449359999998</v>
          </cell>
          <cell r="G258">
            <v>10.33904287</v>
          </cell>
          <cell r="H258">
            <v>4.13936481</v>
          </cell>
          <cell r="I258">
            <v>-32.443563820000001</v>
          </cell>
          <cell r="J258">
            <v>1.5192551299999999</v>
          </cell>
          <cell r="K258">
            <v>-6.5849915299999999</v>
          </cell>
          <cell r="L258">
            <v>-3.265835</v>
          </cell>
          <cell r="M258">
            <v>7.5737002799999997</v>
          </cell>
          <cell r="N258">
            <v>14.1274789</v>
          </cell>
          <cell r="O258">
            <v>11.85035265</v>
          </cell>
          <cell r="P258">
            <v>19.043917669999999</v>
          </cell>
          <cell r="Q258">
            <v>22.131866509999998</v>
          </cell>
          <cell r="R258">
            <v>61.10916297</v>
          </cell>
          <cell r="S258">
            <v>40.379611169999997</v>
          </cell>
          <cell r="T258">
            <v>142.66455832</v>
          </cell>
          <cell r="U258">
            <v>61.882386279999999</v>
          </cell>
          <cell r="V258">
            <v>52.085239719999997</v>
          </cell>
          <cell r="W258">
            <v>100.87652036999999</v>
          </cell>
          <cell r="X258">
            <v>154.45316237</v>
          </cell>
          <cell r="Y258">
            <v>369.29730874000001</v>
          </cell>
          <cell r="Z258">
            <v>207.65235419999999</v>
          </cell>
          <cell r="AA258">
            <v>199.8843067</v>
          </cell>
          <cell r="AB258">
            <v>196.78215818999999</v>
          </cell>
          <cell r="AC258">
            <v>-135.41611764999999</v>
          </cell>
          <cell r="AD258">
            <v>468.90270143999999</v>
          </cell>
          <cell r="AE258">
            <v>158.27198709999999</v>
          </cell>
          <cell r="AF258">
            <v>241.80974352999999</v>
          </cell>
          <cell r="AG258">
            <v>339.80631648000002</v>
          </cell>
          <cell r="AH258">
            <v>586.34562726000001</v>
          </cell>
          <cell r="AI258">
            <v>1326.23367437</v>
          </cell>
          <cell r="AJ258">
            <v>347.75053273999998</v>
          </cell>
          <cell r="AK258">
            <v>198.21317798000001</v>
          </cell>
          <cell r="AL258">
            <v>255.87319791000101</v>
          </cell>
          <cell r="AM258">
            <v>438.09199076999897</v>
          </cell>
          <cell r="AN258">
            <v>1239.9288994000001</v>
          </cell>
          <cell r="AO258">
            <v>392.78264451000001</v>
          </cell>
          <cell r="AP258">
            <v>243.07310586</v>
          </cell>
          <cell r="AQ258">
            <v>390.258136000001</v>
          </cell>
          <cell r="AR258">
            <v>717.55294087999903</v>
          </cell>
          <cell r="AS258">
            <v>1743.6668272500001</v>
          </cell>
          <cell r="AT258">
            <v>424.43842817000001</v>
          </cell>
          <cell r="AU258">
            <v>433.85766090999999</v>
          </cell>
          <cell r="AV258">
            <v>502.19429364712801</v>
          </cell>
          <cell r="AW258">
            <v>761.04898905596303</v>
          </cell>
          <cell r="AX258">
            <v>2121.5393717830898</v>
          </cell>
          <cell r="AY258">
            <v>363.62956284807802</v>
          </cell>
          <cell r="AZ258">
            <v>541.94348292050495</v>
          </cell>
          <cell r="BA258">
            <v>580.78193147218497</v>
          </cell>
          <cell r="BB258">
            <v>761.534569119602</v>
          </cell>
          <cell r="BC258">
            <v>2247.8895463603699</v>
          </cell>
          <cell r="BH258">
            <v>2540.7033965893602</v>
          </cell>
        </row>
        <row r="259">
          <cell r="B259" t="str">
            <v>EPS (pre-exceptionals, basic)</v>
          </cell>
          <cell r="C259" t="str">
            <v>EPS</v>
          </cell>
          <cell r="D259">
            <v>0</v>
          </cell>
          <cell r="F259">
            <v>-0.16</v>
          </cell>
          <cell r="G259">
            <v>0.03</v>
          </cell>
          <cell r="H259">
            <v>0.01</v>
          </cell>
          <cell r="I259">
            <v>-0.08</v>
          </cell>
          <cell r="J259">
            <v>4.0000000000000001E-3</v>
          </cell>
          <cell r="O259">
            <v>0.03</v>
          </cell>
          <cell r="T259">
            <v>0.37</v>
          </cell>
          <cell r="Y259">
            <v>0.51</v>
          </cell>
          <cell r="AD259">
            <v>0.17</v>
          </cell>
          <cell r="AI259">
            <v>0.48</v>
          </cell>
          <cell r="AN259">
            <v>0.28999999999999998</v>
          </cell>
          <cell r="AS259">
            <v>0.33</v>
          </cell>
          <cell r="AX259">
            <v>0.37023503827799997</v>
          </cell>
          <cell r="BC259">
            <v>0.39228471708399998</v>
          </cell>
          <cell r="BH259">
            <v>0.44338438013499998</v>
          </cell>
        </row>
        <row r="260">
          <cell r="B260" t="str">
            <v>EPS (pre-exceptionals, diluted)</v>
          </cell>
          <cell r="C260" t="str">
            <v>EPS_FUL_DIL</v>
          </cell>
          <cell r="D260">
            <v>0</v>
          </cell>
          <cell r="F260">
            <v>-0.16</v>
          </cell>
          <cell r="G260">
            <v>0.03</v>
          </cell>
          <cell r="H260">
            <v>0.01</v>
          </cell>
          <cell r="I260">
            <v>-0.08</v>
          </cell>
          <cell r="J260">
            <v>4.0000000000000001E-3</v>
          </cell>
          <cell r="O260">
            <v>0.03</v>
          </cell>
          <cell r="T260">
            <v>0.37</v>
          </cell>
          <cell r="Y260">
            <v>0.51</v>
          </cell>
          <cell r="AD260">
            <v>0.17</v>
          </cell>
          <cell r="AI260">
            <v>0.48</v>
          </cell>
          <cell r="AN260">
            <v>0.28999999999999998</v>
          </cell>
          <cell r="AS260">
            <v>0.33</v>
          </cell>
          <cell r="AX260">
            <v>0.37023503827799997</v>
          </cell>
          <cell r="BC260">
            <v>0.39228471708399998</v>
          </cell>
          <cell r="BH260">
            <v>0.44338438013499998</v>
          </cell>
        </row>
        <row r="261">
          <cell r="B261" t="str">
            <v>EPS (post-exceptionals, basic)</v>
          </cell>
          <cell r="C261" t="str">
            <v>EPS_POST_BASIC</v>
          </cell>
          <cell r="D261">
            <v>0</v>
          </cell>
          <cell r="F261">
            <v>-0.16</v>
          </cell>
          <cell r="G261">
            <v>0.03</v>
          </cell>
          <cell r="H261">
            <v>0.01</v>
          </cell>
          <cell r="I261">
            <v>-0.08</v>
          </cell>
          <cell r="J261">
            <v>4.0000000000000001E-3</v>
          </cell>
          <cell r="O261">
            <v>0.03</v>
          </cell>
          <cell r="T261">
            <v>0.37</v>
          </cell>
          <cell r="Y261">
            <v>0.51</v>
          </cell>
          <cell r="AD261">
            <v>0.17</v>
          </cell>
          <cell r="AI261">
            <v>0.48</v>
          </cell>
          <cell r="AN261">
            <v>0.28999999999999998</v>
          </cell>
          <cell r="AS261">
            <v>0.33</v>
          </cell>
          <cell r="AX261">
            <v>0.37023503827799997</v>
          </cell>
          <cell r="BC261">
            <v>0.39228471708399998</v>
          </cell>
          <cell r="BH261">
            <v>0.44338438013499998</v>
          </cell>
        </row>
        <row r="262">
          <cell r="B262" t="str">
            <v>EPS (post-exceptionals, diluted)</v>
          </cell>
          <cell r="C262" t="str">
            <v>FULLY_DIL_EPS</v>
          </cell>
          <cell r="D262">
            <v>0</v>
          </cell>
          <cell r="F262">
            <v>-0.16</v>
          </cell>
          <cell r="G262">
            <v>0.03</v>
          </cell>
          <cell r="H262">
            <v>0.01</v>
          </cell>
          <cell r="I262">
            <v>-0.08</v>
          </cell>
          <cell r="J262">
            <v>4.0000000000000001E-3</v>
          </cell>
          <cell r="O262">
            <v>0.03</v>
          </cell>
          <cell r="T262">
            <v>0.37</v>
          </cell>
          <cell r="Y262">
            <v>0.51</v>
          </cell>
          <cell r="AD262">
            <v>0.17</v>
          </cell>
          <cell r="AI262">
            <v>0.48</v>
          </cell>
          <cell r="AN262">
            <v>0.28999999999999998</v>
          </cell>
          <cell r="AS262">
            <v>0.33</v>
          </cell>
          <cell r="AX262">
            <v>0.37023503827799997</v>
          </cell>
          <cell r="BC262">
            <v>0.39228471708399998</v>
          </cell>
          <cell r="BH262">
            <v>0.44338438013499998</v>
          </cell>
        </row>
        <row r="263">
          <cell r="B263" t="str">
            <v>Common dividends paid</v>
          </cell>
          <cell r="C263" t="str">
            <v>COMMON_DIV_PAID</v>
          </cell>
          <cell r="D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O263">
            <v>0</v>
          </cell>
          <cell r="T263">
            <v>0</v>
          </cell>
          <cell r="Y263">
            <v>0</v>
          </cell>
          <cell r="AD263">
            <v>-266.20800009999999</v>
          </cell>
          <cell r="AI263">
            <v>-268.45003681999998</v>
          </cell>
          <cell r="AN263">
            <v>-345.79502881000002</v>
          </cell>
          <cell r="AS263">
            <v>-401.11750826000002</v>
          </cell>
          <cell r="AX263">
            <v>-488.044260053534</v>
          </cell>
          <cell r="BC263">
            <v>-517.11017241856098</v>
          </cell>
          <cell r="BH263">
            <v>-584.46980795920399</v>
          </cell>
        </row>
        <row r="264">
          <cell r="B264" t="str">
            <v>DPS, dividend per share</v>
          </cell>
          <cell r="C264" t="str">
            <v>DPS</v>
          </cell>
          <cell r="D264">
            <v>0</v>
          </cell>
          <cell r="AD264">
            <v>0.1</v>
          </cell>
          <cell r="AI264">
            <v>7.0000000000000007E-2</v>
          </cell>
          <cell r="AN264">
            <v>7.0000000000000007E-2</v>
          </cell>
          <cell r="AS264">
            <v>7.0000000000000007E-2</v>
          </cell>
          <cell r="AX264">
            <v>8.516980062E-2</v>
          </cell>
          <cell r="BC264">
            <v>9.0242164262999996E-2</v>
          </cell>
          <cell r="BH264">
            <v>0.101997259443</v>
          </cell>
        </row>
        <row r="265">
          <cell r="B265" t="str">
            <v>Weighted average shares outstanding, basic</v>
          </cell>
          <cell r="C265" t="str">
            <v>SH</v>
          </cell>
          <cell r="F265">
            <v>393.80905849999999</v>
          </cell>
          <cell r="G265">
            <v>344.63476233333398</v>
          </cell>
          <cell r="H265">
            <v>413.936480999997</v>
          </cell>
          <cell r="I265">
            <v>405.54454774999999</v>
          </cell>
          <cell r="J265">
            <v>379.8137825</v>
          </cell>
          <cell r="O265">
            <v>395.01175499999999</v>
          </cell>
          <cell r="T265">
            <v>385.57988735135098</v>
          </cell>
          <cell r="Y265">
            <v>724.11237007843101</v>
          </cell>
          <cell r="AD265">
            <v>2758.2511849411799</v>
          </cell>
          <cell r="AI265">
            <v>2762.98682160417</v>
          </cell>
          <cell r="AN265">
            <v>4275.6168944827596</v>
          </cell>
          <cell r="AS265">
            <v>5283.8388704545396</v>
          </cell>
          <cell r="AX265">
            <v>5730.2501179999999</v>
          </cell>
          <cell r="BC265">
            <v>5730.2501179999999</v>
          </cell>
          <cell r="BH265">
            <v>5730.2501179999999</v>
          </cell>
        </row>
        <row r="266">
          <cell r="B266" t="str">
            <v>Diluted average shares outstanding (mn)</v>
          </cell>
          <cell r="C266" t="str">
            <v>DILUTE_SHARES</v>
          </cell>
          <cell r="F266">
            <v>393.80905849999999</v>
          </cell>
          <cell r="G266">
            <v>344.63476233333398</v>
          </cell>
          <cell r="H266">
            <v>413.936480999997</v>
          </cell>
          <cell r="I266">
            <v>405.54454774999999</v>
          </cell>
          <cell r="J266">
            <v>379.8137825</v>
          </cell>
          <cell r="O266">
            <v>395.01175499999999</v>
          </cell>
          <cell r="T266">
            <v>385.57988735135098</v>
          </cell>
          <cell r="Y266">
            <v>724.11237007843101</v>
          </cell>
          <cell r="AD266">
            <v>2758.2511849411799</v>
          </cell>
          <cell r="AI266">
            <v>2762.98682160417</v>
          </cell>
          <cell r="AN266">
            <v>4275.6168944827596</v>
          </cell>
          <cell r="AS266">
            <v>5283.8388704545396</v>
          </cell>
          <cell r="AX266">
            <v>5730.2501179999999</v>
          </cell>
          <cell r="BC266">
            <v>5730.2501179999999</v>
          </cell>
          <cell r="BH266">
            <v>5730.2501179999999</v>
          </cell>
        </row>
        <row r="267">
          <cell r="B267" t="str">
            <v>Period-end shares outstanding</v>
          </cell>
          <cell r="C267" t="str">
            <v>NON_OP_ADD</v>
          </cell>
          <cell r="F267">
            <v>383</v>
          </cell>
          <cell r="G267">
            <v>383</v>
          </cell>
          <cell r="H267">
            <v>383</v>
          </cell>
          <cell r="I267">
            <v>383</v>
          </cell>
          <cell r="J267">
            <v>383</v>
          </cell>
          <cell r="O267">
            <v>383</v>
          </cell>
          <cell r="T267">
            <v>383</v>
          </cell>
          <cell r="Y267">
            <v>903</v>
          </cell>
          <cell r="AD267">
            <v>2662.0800009999998</v>
          </cell>
          <cell r="AI267">
            <v>3835.0005259999998</v>
          </cell>
          <cell r="AN267">
            <v>4939.9289829999998</v>
          </cell>
          <cell r="AS267">
            <v>5730.2501179999999</v>
          </cell>
          <cell r="AX267">
            <v>5730.2501179999999</v>
          </cell>
          <cell r="BC267">
            <v>5730.2501179999999</v>
          </cell>
          <cell r="BH267">
            <v>5730.2501179999999</v>
          </cell>
        </row>
        <row r="268">
          <cell r="A268" t="str">
            <v>Additional Income Statement Items</v>
          </cell>
        </row>
        <row r="269">
          <cell r="B269" t="str">
            <v>Marginal tax rate</v>
          </cell>
          <cell r="C269" t="str">
            <v>MARGIN_TAX_RATE</v>
          </cell>
          <cell r="F269">
            <v>1.0910465756E-2</v>
          </cell>
          <cell r="G269">
            <v>0.396530834464</v>
          </cell>
          <cell r="H269">
            <v>4.3653781284999998E-2</v>
          </cell>
          <cell r="I269">
            <v>1.1819352248000001E-2</v>
          </cell>
          <cell r="J269">
            <v>0.31615999690699997</v>
          </cell>
          <cell r="O269">
            <v>0.18187630043200001</v>
          </cell>
          <cell r="T269">
            <v>0.262036184369</v>
          </cell>
          <cell r="Y269">
            <v>0.18187630043200001</v>
          </cell>
          <cell r="AD269">
            <v>0.17999762588400001</v>
          </cell>
          <cell r="AI269">
            <v>0.14588984623699999</v>
          </cell>
          <cell r="AN269">
            <v>0.140756205489</v>
          </cell>
          <cell r="AS269">
            <v>0.15026047821800001</v>
          </cell>
          <cell r="AX269">
            <v>0.20036768760000001</v>
          </cell>
          <cell r="BC269">
            <v>0.18</v>
          </cell>
          <cell r="BH269">
            <v>0.18</v>
          </cell>
        </row>
        <row r="270">
          <cell r="B270" t="str">
            <v>Net income (consensus) (Pub)</v>
          </cell>
          <cell r="C270" t="str">
            <v>NI_CONS</v>
          </cell>
          <cell r="D270">
            <v>0</v>
          </cell>
        </row>
        <row r="271">
          <cell r="A271" t="str">
            <v>Balance Sheet</v>
          </cell>
        </row>
        <row r="272">
          <cell r="B272" t="str">
            <v>BVPS, book value per share</v>
          </cell>
          <cell r="C272" t="str">
            <v>BVPS</v>
          </cell>
          <cell r="D272">
            <v>0</v>
          </cell>
          <cell r="F272">
            <v>0.61327568449100001</v>
          </cell>
          <cell r="G272">
            <v>0.640270574491</v>
          </cell>
          <cell r="H272">
            <v>0.65107831647500003</v>
          </cell>
          <cell r="I272">
            <v>0.56636927255900005</v>
          </cell>
          <cell r="J272">
            <v>0.57605329153999996</v>
          </cell>
          <cell r="O272">
            <v>0.606994160078</v>
          </cell>
          <cell r="T272">
            <v>1.023312735875</v>
          </cell>
          <cell r="Y272">
            <v>6.438176871584</v>
          </cell>
          <cell r="AD272">
            <v>2.8838822542810001</v>
          </cell>
          <cell r="AI272">
            <v>3.7338930840289999</v>
          </cell>
          <cell r="AN272">
            <v>4.4972914473700003</v>
          </cell>
          <cell r="AS272">
            <v>5.3964130393409997</v>
          </cell>
          <cell r="AX272">
            <v>5.6814788588029996</v>
          </cell>
          <cell r="BC272">
            <v>5.9835214116240003</v>
          </cell>
          <cell r="BH272">
            <v>6.3249085323159999</v>
          </cell>
        </row>
        <row r="273">
          <cell r="A273" t="str">
            <v>Cash Flow Statement</v>
          </cell>
        </row>
        <row r="274">
          <cell r="B274" t="str">
            <v>Net income (pre-preferred dividends)</v>
          </cell>
          <cell r="C274" t="str">
            <v>CF_NI_PRE_PREF</v>
          </cell>
          <cell r="D274">
            <v>0</v>
          </cell>
          <cell r="F274">
            <v>-63.009449359999998</v>
          </cell>
          <cell r="G274">
            <v>10.33904287</v>
          </cell>
          <cell r="H274">
            <v>4.13936481</v>
          </cell>
          <cell r="I274">
            <v>-32.443563820000001</v>
          </cell>
          <cell r="J274">
            <v>1.5192551299999999</v>
          </cell>
          <cell r="O274">
            <v>11.85035265</v>
          </cell>
          <cell r="T274">
            <v>142.66455832</v>
          </cell>
          <cell r="Y274">
            <v>369.29730874000001</v>
          </cell>
          <cell r="AD274">
            <v>468.90270143999999</v>
          </cell>
          <cell r="AI274">
            <v>1326.23367437</v>
          </cell>
          <cell r="AN274">
            <v>1239.9288994000001</v>
          </cell>
          <cell r="AS274">
            <v>1743.6668272500001</v>
          </cell>
          <cell r="AX274">
            <v>2121.5393717830898</v>
          </cell>
          <cell r="BC274">
            <v>2247.8895463603699</v>
          </cell>
          <cell r="BH274">
            <v>2540.7033965893602</v>
          </cell>
        </row>
        <row r="275">
          <cell r="A275" t="str">
            <v>Other Items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  <sheetData sheetId="16">
        <row r="1">
          <cell r="A1" t="str">
            <v>57c5b9cb-df5c-46e4-962f-ee49abbd8d8d</v>
          </cell>
        </row>
        <row r="2">
          <cell r="A2" t="str">
            <v>M:\china_innovation\Display panel sector\Dongxu 东旭光电\[GS_Dongxu (000413.SZ) model.xlsx]000413.SZ_Validation_Sheet</v>
          </cell>
        </row>
        <row r="3">
          <cell r="A3" t="str">
            <v>Enabled</v>
          </cell>
        </row>
        <row r="7">
          <cell r="A7" t="str">
            <v>Scalar|||208018115|||ISSR|||CURRENCY_ISO|||False|||</v>
          </cell>
          <cell r="C7" t="str">
            <v>V_KEYWORD_ISSR_208018115_CURRENCY_ISO</v>
          </cell>
          <cell r="E7" t="str">
            <v>ERROR</v>
          </cell>
        </row>
        <row r="9">
          <cell r="A9" t="str">
            <v>Scalar|||208018115|||ISSR|||MA_PROB|||False|||</v>
          </cell>
          <cell r="C9" t="str">
            <v>V_KEYWORD_ISSR_208018115_MA_PROB</v>
          </cell>
          <cell r="E9" t="str">
            <v>ERROR</v>
          </cell>
        </row>
        <row r="11">
          <cell r="A11" t="str">
            <v>Vector|||208018115|||ISSR|||SALES|||False|||</v>
          </cell>
          <cell r="C11" t="str">
            <v>V_KEYWORD_ISSR_208018115_SALES</v>
          </cell>
        </row>
        <row r="12">
          <cell r="A12" t="str">
            <v>Vector|||208018115|||ISSR|||PERSONNEL|||False|||</v>
          </cell>
          <cell r="C12" t="str">
            <v>V_KEYWORD_ISSR_208018115_PERSONNEL</v>
          </cell>
        </row>
        <row r="13">
          <cell r="A13" t="str">
            <v>Vector|||208018115|||ISSR|||COST_GD_SD|||False|||</v>
          </cell>
          <cell r="C13" t="str">
            <v>V_KEYWORD_ISSR_208018115_COST_GD_SD</v>
          </cell>
        </row>
        <row r="14">
          <cell r="A14" t="str">
            <v>Vector|||208018115|||ISSR|||SEL_GL_AD|||False|||</v>
          </cell>
          <cell r="C14" t="str">
            <v>V_KEYWORD_ISSR_208018115_SEL_GL_AD</v>
          </cell>
        </row>
        <row r="15">
          <cell r="A15" t="str">
            <v>Vector|||208018115|||ISSR|||OP_COST|||False|||</v>
          </cell>
          <cell r="C15" t="str">
            <v>V_KEYWORD_ISSR_208018115_OP_COST</v>
          </cell>
        </row>
        <row r="16">
          <cell r="A16" t="str">
            <v>Vector|||208018115|||ISSR|||RD_EXP|||False|||</v>
          </cell>
          <cell r="C16" t="str">
            <v>V_KEYWORD_ISSR_208018115_RD_EXP</v>
          </cell>
        </row>
        <row r="17">
          <cell r="A17" t="str">
            <v>Vector|||208018115|||ISSR|||OTH_OP_INC_EXP|||False|||</v>
          </cell>
          <cell r="C17" t="str">
            <v>V_KEYWORD_ISSR_208018115_OTH_OP_INC_EXP</v>
          </cell>
        </row>
        <row r="18">
          <cell r="A18" t="str">
            <v>Vector|||208018115|||ISSR|||TOT_OPS_EXP_DDA|||False|||</v>
          </cell>
          <cell r="C18" t="str">
            <v>V_KEYWORD_ISSR_208018115_TOT_OPS_EXP_DDA</v>
          </cell>
        </row>
        <row r="19">
          <cell r="A19" t="str">
            <v>Vector|||208018115|||ISSR|||TOT_OPS_EXP|||False|||</v>
          </cell>
          <cell r="C19" t="str">
            <v>V_KEYWORD_ISSR_208018115_TOT_OPS_EXP</v>
          </cell>
        </row>
        <row r="20">
          <cell r="A20" t="str">
            <v>Vector|||208018115|||ISSR|||EBITDA_CALC|||False|||</v>
          </cell>
          <cell r="C20" t="str">
            <v>V_KEYWORD_ISSR_208018115_EBITDA_CALC</v>
          </cell>
        </row>
        <row r="21">
          <cell r="A21" t="str">
            <v>Vector|||208018115|||ISSR|||DEPREC|||False|||</v>
          </cell>
          <cell r="C21" t="str">
            <v>V_KEYWORD_ISSR_208018115_DEPREC</v>
          </cell>
        </row>
        <row r="22">
          <cell r="A22" t="str">
            <v>Vector|||208018115|||ISSR|||GOODWILL_AMORT|||False|||</v>
          </cell>
          <cell r="C22" t="str">
            <v>V_KEYWORD_ISSR_208018115_GOODWILL_AMORT</v>
          </cell>
        </row>
        <row r="23">
          <cell r="A23" t="str">
            <v>Vector|||208018115|||ISSR|||EBIT|||False|||</v>
          </cell>
          <cell r="C23" t="str">
            <v>V_KEYWORD_ISSR_208018115_EBIT</v>
          </cell>
        </row>
        <row r="24">
          <cell r="A24" t="str">
            <v>Vector|||208018115|||ISSR|||INT_INC_IND|||False|||</v>
          </cell>
          <cell r="C24" t="str">
            <v>V_KEYWORD_ISSR_208018115_INT_INC_IND</v>
          </cell>
        </row>
        <row r="25">
          <cell r="A25" t="str">
            <v>Vector|||208018115|||ISSR|||INT_EXP_IND|||False|||</v>
          </cell>
          <cell r="C25" t="str">
            <v>V_KEYWORD_ISSR_208018115_INT_EXP_IND</v>
          </cell>
        </row>
        <row r="26">
          <cell r="A26" t="str">
            <v>Vector|||208018115|||ISSR|||NET_INT_EXP|||False|||</v>
          </cell>
          <cell r="C26" t="str">
            <v>V_KEYWORD_ISSR_208018115_NET_INT_EXP</v>
          </cell>
        </row>
        <row r="27">
          <cell r="A27" t="str">
            <v>Vector|||208018115|||ISSR|||ASSOCIATE|||False|||</v>
          </cell>
          <cell r="C27" t="str">
            <v>V_KEYWORD_ISSR_208018115_ASSOCIATE</v>
          </cell>
        </row>
        <row r="28">
          <cell r="A28" t="str">
            <v>Vector|||208018115|||ISSR|||PROFIT_ON_DISP|||False|||</v>
          </cell>
          <cell r="C28" t="str">
            <v>V_KEYWORD_ISSR_208018115_PROFIT_ON_DISP</v>
          </cell>
        </row>
        <row r="29">
          <cell r="A29" t="str">
            <v>Vector|||208018115|||ISSR|||OTH_COST_INC|||False|||</v>
          </cell>
          <cell r="C29" t="str">
            <v>V_KEYWORD_ISSR_208018115_OTH_COST_INC</v>
          </cell>
        </row>
        <row r="30">
          <cell r="A30" t="str">
            <v>Vector|||208018115|||ISSR|||PT_PROF|||False|||</v>
          </cell>
          <cell r="C30" t="str">
            <v>V_KEYWORD_ISSR_208018115_PT_PROF</v>
          </cell>
        </row>
        <row r="32">
          <cell r="A32" t="str">
            <v>Vector|||208018115|||ISSR|||CONTRIB_MARGIN_RATIO|||False|||</v>
          </cell>
          <cell r="C32" t="str">
            <v>V_KEYWORD_ISSR_208018115_CONTRIB_MARGIN_RATIO</v>
          </cell>
        </row>
        <row r="33">
          <cell r="A33" t="str">
            <v>Vector|||208018115|||ISSR|||LEASE_PAY|||False|||</v>
          </cell>
          <cell r="C33" t="str">
            <v>V_KEYWORD_ISSR_208018115_LEASE_PAY</v>
          </cell>
        </row>
        <row r="34">
          <cell r="A34" t="str">
            <v>Vector|||208018115|||ISSR|||LEASE_DEEM_INT|||False|||</v>
          </cell>
          <cell r="C34" t="str">
            <v>V_KEYWORD_ISSR_208018115_LEASE_DEEM_INT</v>
          </cell>
        </row>
        <row r="35">
          <cell r="A35" t="str">
            <v>Vector|||208018115|||ISSR|||LEASE_DEEM_DEPR|||False|||</v>
          </cell>
          <cell r="C35" t="str">
            <v>V_KEYWORD_ISSR_208018115_LEASE_DEEM_DEPR</v>
          </cell>
        </row>
        <row r="36">
          <cell r="A36" t="str">
            <v>Vector|||208018115|||ISSR|||NET_INT_CH|||False|||</v>
          </cell>
          <cell r="C36" t="str">
            <v>V_KEYWORD_ISSR_208018115_NET_INT_CH</v>
          </cell>
        </row>
        <row r="37">
          <cell r="A37" t="str">
            <v>Vector|||208018115|||ISSR|||ASSOCIATE_OP|||False|||</v>
          </cell>
          <cell r="C37" t="str">
            <v>V_KEYWORD_ISSR_208018115_ASSOCIATE_OP</v>
          </cell>
        </row>
        <row r="39">
          <cell r="A39" t="str">
            <v>Vector|||208018115|||ISSR|||CASH_EQ|||False|||</v>
          </cell>
          <cell r="C39" t="str">
            <v>V_KEYWORD_ISSR_208018115_CASH_EQ</v>
          </cell>
        </row>
        <row r="40">
          <cell r="A40" t="str">
            <v>Vector|||208018115|||ISSR|||DEBTORS|||False|||</v>
          </cell>
          <cell r="C40" t="str">
            <v>V_KEYWORD_ISSR_208018115_DEBTORS</v>
          </cell>
        </row>
        <row r="41">
          <cell r="A41" t="str">
            <v>Vector|||208018115|||ISSR|||STOCKS|||False|||</v>
          </cell>
          <cell r="C41" t="str">
            <v>V_KEYWORD_ISSR_208018115_STOCKS</v>
          </cell>
        </row>
        <row r="42">
          <cell r="A42" t="str">
            <v>Vector|||208018115|||ISSR|||OTH_CUR_ASS|||False|||</v>
          </cell>
          <cell r="C42" t="str">
            <v>V_KEYWORD_ISSR_208018115_OTH_CUR_ASS</v>
          </cell>
        </row>
        <row r="43">
          <cell r="A43" t="str">
            <v>Vector|||208018115|||ISSR|||CUR_ASS|||False|||</v>
          </cell>
          <cell r="C43" t="str">
            <v>V_KEYWORD_ISSR_208018115_CUR_ASS</v>
          </cell>
        </row>
        <row r="44">
          <cell r="A44" t="str">
            <v>Vector|||208018115|||ISSR|||GR_FIX_ASS|||False|||</v>
          </cell>
          <cell r="C44" t="str">
            <v>V_KEYWORD_ISSR_208018115_GR_FIX_ASS</v>
          </cell>
        </row>
        <row r="45">
          <cell r="A45" t="str">
            <v>Vector|||208018115|||ISSR|||ACC_DDA|||False|||</v>
          </cell>
          <cell r="C45" t="str">
            <v>V_KEYWORD_ISSR_208018115_ACC_DDA</v>
          </cell>
        </row>
        <row r="46">
          <cell r="A46" t="str">
            <v>Vector|||208018115|||ISSR|||NET_FIX_ASS|||False|||</v>
          </cell>
          <cell r="C46" t="str">
            <v>V_KEYWORD_ISSR_208018115_NET_FIX_ASS</v>
          </cell>
        </row>
        <row r="47">
          <cell r="A47" t="str">
            <v>Vector|||208018115|||ISSR|||GR_INTANG|||False|||</v>
          </cell>
          <cell r="C47" t="str">
            <v>V_KEYWORD_ISSR_208018115_GR_INTANG</v>
          </cell>
        </row>
        <row r="48">
          <cell r="A48" t="str">
            <v>Vector|||208018115|||ISSR|||ACC_AMORT|||False|||</v>
          </cell>
          <cell r="C48" t="str">
            <v>V_KEYWORD_ISSR_208018115_ACC_AMORT</v>
          </cell>
        </row>
        <row r="49">
          <cell r="A49" t="str">
            <v>Vector|||208018115|||ISSR|||NET_INTANG|||False|||</v>
          </cell>
          <cell r="C49" t="str">
            <v>V_KEYWORD_ISSR_208018115_NET_INTANG</v>
          </cell>
        </row>
        <row r="50">
          <cell r="A50" t="str">
            <v>Vector|||208018115|||ISSR|||FIX_ASS_INV|||False|||</v>
          </cell>
          <cell r="C50" t="str">
            <v>V_KEYWORD_ISSR_208018115_FIX_ASS_INV</v>
          </cell>
        </row>
        <row r="51">
          <cell r="A51" t="str">
            <v>Vector|||208018115|||ISSR|||INV_SECUR|||False|||</v>
          </cell>
          <cell r="C51" t="str">
            <v>V_KEYWORD_ISSR_208018115_INV_SECUR</v>
          </cell>
        </row>
        <row r="52">
          <cell r="A52" t="str">
            <v>Vector|||208018115|||ISSR|||OTH_LT_ASS|||False|||</v>
          </cell>
          <cell r="C52" t="str">
            <v>V_KEYWORD_ISSR_208018115_OTH_LT_ASS</v>
          </cell>
        </row>
        <row r="53">
          <cell r="A53" t="str">
            <v>Vector|||208018115|||ISSR|||TOT_ASSET|||False|||</v>
          </cell>
          <cell r="C53" t="str">
            <v>V_KEYWORD_ISSR_208018115_TOT_ASSET</v>
          </cell>
        </row>
        <row r="54">
          <cell r="A54" t="str">
            <v>Vector|||208018115|||ISSR|||ACC_PAY_GQ|||False|||</v>
          </cell>
          <cell r="C54" t="str">
            <v>V_KEYWORD_ISSR_208018115_ACC_PAY_GQ</v>
          </cell>
        </row>
        <row r="55">
          <cell r="A55" t="str">
            <v>Vector|||208018115|||ISSR|||SHORT_T_DEBT|||False|||</v>
          </cell>
          <cell r="C55" t="str">
            <v>V_KEYWORD_ISSR_208018115_SHORT_T_DEBT</v>
          </cell>
        </row>
        <row r="56">
          <cell r="A56" t="str">
            <v>Vector|||208018115|||ISSR|||OTH_CUR_LIABS|||False|||</v>
          </cell>
          <cell r="C56" t="str">
            <v>V_KEYWORD_ISSR_208018115_OTH_CUR_LIABS</v>
          </cell>
        </row>
        <row r="57">
          <cell r="A57" t="str">
            <v>Vector|||208018115|||ISSR|||SHORT_TERM_LIABS|||False|||</v>
          </cell>
          <cell r="C57" t="str">
            <v>V_KEYWORD_ISSR_208018115_SHORT_TERM_LIABS</v>
          </cell>
        </row>
        <row r="58">
          <cell r="A58" t="str">
            <v>Vector|||208018115|||ISSR|||LT_DEBT|||False|||</v>
          </cell>
          <cell r="C58" t="str">
            <v>V_KEYWORD_ISSR_208018115_LT_DEBT</v>
          </cell>
        </row>
        <row r="59">
          <cell r="A59" t="str">
            <v>Vector|||208018115|||ISSR|||OTH_LT_CRED_GQ|||False|||</v>
          </cell>
          <cell r="C59" t="str">
            <v>V_KEYWORD_ISSR_208018115_OTH_LT_CRED_GQ</v>
          </cell>
        </row>
        <row r="60">
          <cell r="A60" t="str">
            <v>Vector|||208018115|||ISSR|||TOT_LT_LIAB|||False|||</v>
          </cell>
          <cell r="C60" t="str">
            <v>V_KEYWORD_ISSR_208018115_TOT_LT_LIAB</v>
          </cell>
        </row>
        <row r="61">
          <cell r="A61" t="str">
            <v>Vector|||208018115|||ISSR|||TOT_LIAB|||False|||</v>
          </cell>
          <cell r="C61" t="str">
            <v>V_KEYWORD_ISSR_208018115_TOT_LIAB</v>
          </cell>
        </row>
        <row r="62">
          <cell r="A62" t="str">
            <v>Vector|||208018115|||ISSR|||PREF_SH|||False|||</v>
          </cell>
          <cell r="C62" t="str">
            <v>V_KEYWORD_ISSR_208018115_PREF_SH</v>
          </cell>
        </row>
        <row r="63">
          <cell r="A63" t="str">
            <v>Vector|||208018115|||ISSR|||ORD_SH_FUND|||False|||</v>
          </cell>
          <cell r="C63" t="str">
            <v>V_KEYWORD_ISSR_208018115_ORD_SH_FUND</v>
          </cell>
        </row>
        <row r="64">
          <cell r="A64" t="str">
            <v>Vector|||208018115|||ISSR|||MINORITIES|||False|||</v>
          </cell>
          <cell r="C64" t="str">
            <v>V_KEYWORD_ISSR_208018115_MINORITIES</v>
          </cell>
        </row>
        <row r="65">
          <cell r="A65" t="str">
            <v>Vector|||208018115|||ISSR|||EQ|||False|||</v>
          </cell>
          <cell r="C65" t="str">
            <v>V_KEYWORD_ISSR_208018115_EQ</v>
          </cell>
        </row>
        <row r="66">
          <cell r="A66" t="str">
            <v>Vector|||208018115|||ISSR|||TOT_LIAB_EQ|||False|||</v>
          </cell>
          <cell r="C66" t="str">
            <v>V_KEYWORD_ISSR_208018115_TOT_LIAB_EQ</v>
          </cell>
        </row>
        <row r="68">
          <cell r="A68" t="str">
            <v>Vector|||208018115|||ISSR|||TOT_USD_DEBT|||False|||</v>
          </cell>
          <cell r="C68" t="str">
            <v>V_KEYWORD_ISSR_208018115_TOT_USD_DEBT</v>
          </cell>
        </row>
        <row r="69">
          <cell r="A69" t="str">
            <v>Vector|||208018115|||ISSR|||TOT_PCT_USD_DEBT_HEDGED|||False|||</v>
          </cell>
          <cell r="C69" t="str">
            <v>V_KEYWORD_ISSR_208018115_TOT_PCT_USD_DEBT_HEDGED</v>
          </cell>
        </row>
        <row r="70">
          <cell r="A70" t="str">
            <v>Vector|||208018115|||ISSR|||FLOATING_PCT_LOCAL_DEBT|||False|||</v>
          </cell>
          <cell r="C70" t="str">
            <v>V_KEYWORD_ISSR_208018115_FLOATING_PCT_LOCAL_DEBT</v>
          </cell>
        </row>
        <row r="71">
          <cell r="A71" t="str">
            <v>Vector|||208018115|||ISSR|||FLOATING_PCT_LOCAL_DEBT_HEDGED|||False|||</v>
          </cell>
          <cell r="C71" t="str">
            <v>V_KEYWORD_ISSR_208018115_FLOATING_PCT_LOCAL_DEBT_HEDGED</v>
          </cell>
        </row>
        <row r="72">
          <cell r="A72" t="str">
            <v>Vector|||208018115|||ISSR|||NET_DEBT|||False|||</v>
          </cell>
          <cell r="C72" t="str">
            <v>V_KEYWORD_ISSR_208018115_NET_DEBT</v>
          </cell>
        </row>
        <row r="73">
          <cell r="A73" t="str">
            <v>Vector|||208018115|||ISSR|||CAP_LEASES|||False|||</v>
          </cell>
          <cell r="C73" t="str">
            <v>V_KEYWORD_ISSR_208018115_CAP_LEASES</v>
          </cell>
        </row>
        <row r="74">
          <cell r="A74" t="str">
            <v>Vector|||208018115|||ISSR|||DEF_INC_TAX|||False|||</v>
          </cell>
          <cell r="C74" t="str">
            <v>V_KEYWORD_ISSR_208018115_DEF_INC_TAX</v>
          </cell>
        </row>
        <row r="75">
          <cell r="A75" t="str">
            <v>Vector|||208018115|||ISSR|||MV_ASSOCIATES|||False|||</v>
          </cell>
          <cell r="C75" t="str">
            <v>V_KEYWORD_ISSR_208018115_MV_ASSOCIATES</v>
          </cell>
        </row>
        <row r="76">
          <cell r="A76" t="str">
            <v>Vector|||208018115|||ISSR|||NET_DEBT_ADJ|||False|||</v>
          </cell>
          <cell r="C76" t="str">
            <v>V_KEYWORD_ISSR_208018115_NET_DEBT_ADJ</v>
          </cell>
        </row>
        <row r="77">
          <cell r="A77" t="str">
            <v>Vector|||208018115|||ISSR|||CO_BOR_MARGIN|||False|||</v>
          </cell>
          <cell r="C77" t="str">
            <v>V_KEYWORD_ISSR_208018115_CO_BOR_MARGIN</v>
          </cell>
        </row>
        <row r="78">
          <cell r="A78" t="str">
            <v>Vector|||208018115|||ISSR|||UNF_PENS|||False|||</v>
          </cell>
          <cell r="C78" t="str">
            <v>V_KEYWORD_ISSR_208018115_UNF_PENS</v>
          </cell>
        </row>
        <row r="79">
          <cell r="A79" t="str">
            <v>Vector|||208018115|||ISSR|||UNF_PENS_OFF|||False|||</v>
          </cell>
          <cell r="C79" t="str">
            <v>V_KEYWORD_ISSR_208018115_UNF_PENS_OFF</v>
          </cell>
        </row>
        <row r="80">
          <cell r="A80" t="str">
            <v>Vector|||208018115|||ISSR|||UNF_PENS_LIAB_OTH|||False|||</v>
          </cell>
          <cell r="C80" t="str">
            <v>V_KEYWORD_ISSR_208018115_UNF_PENS_LIAB_OTH</v>
          </cell>
        </row>
        <row r="81">
          <cell r="A81" t="str">
            <v>Vector|||208018115|||ISSR|||ADJ_UNF_PENS_GOOD|||False|||</v>
          </cell>
          <cell r="C81" t="str">
            <v>V_KEYWORD_ISSR_208018115_ADJ_UNF_PENS_GOOD</v>
          </cell>
        </row>
        <row r="82">
          <cell r="A82" t="str">
            <v>Vector|||208018115|||ISSR|||OTH_GCI_ADJ|||False|||</v>
          </cell>
          <cell r="C82" t="str">
            <v>V_KEYWORD_ISSR_208018115_OTH_GCI_ADJ</v>
          </cell>
        </row>
        <row r="83">
          <cell r="A83" t="str">
            <v>Vector|||208018115|||ISSR|||GCI_INFL|||False|||</v>
          </cell>
          <cell r="C83" t="str">
            <v>V_KEYWORD_ISSR_208018115_GCI_INFL</v>
          </cell>
        </row>
        <row r="84">
          <cell r="A84" t="str">
            <v>Vector|||208018115|||ISSR|||BAL_MINO_INT|||False|||</v>
          </cell>
          <cell r="C84" t="str">
            <v>V_KEYWORD_ISSR_208018115_BAL_MINO_INT</v>
          </cell>
        </row>
        <row r="86">
          <cell r="A86" t="str">
            <v>Vector|||208018115|||ISSR|||CF_INC_MINORITY|||False|||</v>
          </cell>
          <cell r="C86" t="str">
            <v>V_KEYWORD_ISSR_208018115_CF_INC_MINORITY</v>
          </cell>
        </row>
        <row r="87">
          <cell r="A87" t="str">
            <v>Vector|||208018115|||ISSR|||DEPR_AMORT|||False|||</v>
          </cell>
          <cell r="C87" t="str">
            <v>V_KEYWORD_ISSR_208018115_DEPR_AMORT</v>
          </cell>
        </row>
        <row r="88">
          <cell r="A88" t="str">
            <v>Vector|||208018115|||ISSR|||WORK_CAP|||False|||</v>
          </cell>
          <cell r="C88" t="str">
            <v>V_KEYWORD_ISSR_208018115_WORK_CAP</v>
          </cell>
        </row>
        <row r="89">
          <cell r="A89" t="str">
            <v>Vector|||208018115|||ISSR|||OTH_OP_CF|||False|||</v>
          </cell>
          <cell r="C89" t="str">
            <v>V_KEYWORD_ISSR_208018115_OTH_OP_CF</v>
          </cell>
        </row>
        <row r="90">
          <cell r="A90" t="str">
            <v>Vector|||208018115|||ISSR|||CF_OPS|||False|||</v>
          </cell>
          <cell r="C90" t="str">
            <v>V_KEYWORD_ISSR_208018115_CF_OPS</v>
          </cell>
        </row>
        <row r="91">
          <cell r="A91" t="str">
            <v>Vector|||208018115|||ISSR|||CAPEX|||False|||</v>
          </cell>
          <cell r="C91" t="str">
            <v>V_KEYWORD_ISSR_208018115_CAPEX</v>
          </cell>
        </row>
        <row r="92">
          <cell r="A92" t="str">
            <v>Vector|||208018115|||ISSR|||ACQ|||False|||</v>
          </cell>
          <cell r="C92" t="str">
            <v>V_KEYWORD_ISSR_208018115_ACQ</v>
          </cell>
        </row>
        <row r="93">
          <cell r="A93" t="str">
            <v>Vector|||208018115|||ISSR|||DIVEST|||False|||</v>
          </cell>
          <cell r="C93" t="str">
            <v>V_KEYWORD_ISSR_208018115_DIVEST</v>
          </cell>
        </row>
        <row r="94">
          <cell r="A94" t="str">
            <v>Vector|||208018115|||ISSR|||OTH_INV_CF|||False|||</v>
          </cell>
          <cell r="C94" t="str">
            <v>V_KEYWORD_ISSR_208018115_OTH_INV_CF</v>
          </cell>
        </row>
        <row r="95">
          <cell r="A95" t="str">
            <v>Vector|||208018115|||ISSR|||CF_INV|||False|||</v>
          </cell>
          <cell r="C95" t="str">
            <v>V_KEYWORD_ISSR_208018115_CF_INV</v>
          </cell>
        </row>
        <row r="96">
          <cell r="A96" t="str">
            <v>Vector|||208018115|||ISSR|||DIV_PAID|||False|||</v>
          </cell>
          <cell r="C96" t="str">
            <v>V_KEYWORD_ISSR_208018115_DIV_PAID</v>
          </cell>
        </row>
        <row r="97">
          <cell r="A97" t="str">
            <v>Vector|||208018115|||ISSR|||SH_REPUR|||False|||</v>
          </cell>
          <cell r="C97" t="str">
            <v>V_KEYWORD_ISSR_208018115_SH_REPUR</v>
          </cell>
        </row>
        <row r="98">
          <cell r="A98" t="str">
            <v>Vector|||208018115|||ISSR|||CHG_LT_DEBT|||False|||</v>
          </cell>
          <cell r="C98" t="str">
            <v>V_KEYWORD_ISSR_208018115_CHG_LT_DEBT</v>
          </cell>
        </row>
        <row r="99">
          <cell r="A99" t="str">
            <v>Vector|||208018115|||ISSR|||OTH_FIN_CF|||False|||</v>
          </cell>
          <cell r="C99" t="str">
            <v>V_KEYWORD_ISSR_208018115_OTH_FIN_CF</v>
          </cell>
        </row>
        <row r="100">
          <cell r="A100" t="str">
            <v>Vector|||208018115|||ISSR|||CF_FIN|||False|||</v>
          </cell>
          <cell r="C100" t="str">
            <v>V_KEYWORD_ISSR_208018115_CF_FIN</v>
          </cell>
        </row>
        <row r="101">
          <cell r="A101" t="str">
            <v>Vector|||208018115|||ISSR|||TOT_CF|||False|||</v>
          </cell>
          <cell r="C101" t="str">
            <v>V_KEYWORD_ISSR_208018115_TOT_CF</v>
          </cell>
        </row>
        <row r="103">
          <cell r="A103" t="str">
            <v>Vector|||208018115|||ISSR|||ASSOC_JV_ADDBK|||False|||</v>
          </cell>
          <cell r="C103" t="str">
            <v>V_KEYWORD_ISSR_208018115_ASSOC_JV_ADDBK</v>
          </cell>
        </row>
        <row r="104">
          <cell r="A104" t="str">
            <v>Vector|||208018115|||ISSR|||PL_SALE_ASSETS|||False|||</v>
          </cell>
          <cell r="C104" t="str">
            <v>V_KEYWORD_ISSR_208018115_PL_SALE_ASSETS</v>
          </cell>
        </row>
        <row r="105">
          <cell r="A105" t="str">
            <v>Vector|||208018115|||ISSR|||OTH_NONCASH_ADJ|||False|||</v>
          </cell>
          <cell r="C105" t="str">
            <v>V_KEYWORD_ISSR_208018115_OTH_NONCASH_ADJ</v>
          </cell>
        </row>
        <row r="106">
          <cell r="A106" t="str">
            <v>Vector|||208018115|||ISSR|||OTH_DACF_ADJ|||False|||</v>
          </cell>
          <cell r="C106" t="str">
            <v>V_KEYWORD_ISSR_208018115_OTH_DACF_ADJ</v>
          </cell>
        </row>
        <row r="107">
          <cell r="A107" t="str">
            <v>Vector|||208018115|||ISSR|||CASH_INT_EXP|||False|||</v>
          </cell>
          <cell r="C107" t="str">
            <v>V_KEYWORD_ISSR_208018115_CASH_INT_EXP</v>
          </cell>
        </row>
        <row r="108">
          <cell r="A108" t="str">
            <v>Vector|||208018115|||ISSR|||CASH_TAX_EXP|||False|||</v>
          </cell>
          <cell r="C108" t="str">
            <v>V_KEYWORD_ISSR_208018115_CASH_TAX_EXP</v>
          </cell>
        </row>
        <row r="109">
          <cell r="A109" t="str">
            <v>Vector|||208018115|||ISSR|||DIVDS_ASSOC_JV|||False|||</v>
          </cell>
          <cell r="C109" t="str">
            <v>V_KEYWORD_ISSR_208018115_DIVDS_ASSOC_JV</v>
          </cell>
        </row>
        <row r="110">
          <cell r="A110" t="str">
            <v>Vector|||208018115|||ISSR|||CAPEX_MAINTENANCE|||False|||</v>
          </cell>
          <cell r="C110" t="str">
            <v>V_KEYWORD_ISSR_208018115_CAPEX_MAINTENANCE</v>
          </cell>
        </row>
        <row r="111">
          <cell r="A111" t="str">
            <v>Vector|||208018115|||ISSR|||CAPEX_EXPANSION|||False|||</v>
          </cell>
          <cell r="C111" t="str">
            <v>V_KEYWORD_ISSR_208018115_CAPEX_EXPANSION</v>
          </cell>
        </row>
        <row r="112">
          <cell r="A112" t="str">
            <v>Vector|||208018115|||ISSR|||NONPPE_CAPEX|||False|||</v>
          </cell>
          <cell r="C112" t="str">
            <v>V_KEYWORD_ISSR_208018115_NONPPE_CAPEX</v>
          </cell>
        </row>
        <row r="113">
          <cell r="A113" t="str">
            <v>Vector|||208018115|||ISSR|||DIVDS_PD_MINORITIES|||False|||</v>
          </cell>
          <cell r="C113" t="str">
            <v>V_KEYWORD_ISSR_208018115_DIVDS_PD_MINORITIES</v>
          </cell>
        </row>
        <row r="115">
          <cell r="A115" t="str">
            <v>Vector|||208018115|||ISSR|||EMPLOYEES|||False|||</v>
          </cell>
          <cell r="C115" t="str">
            <v>V_KEYWORD_ISSR_208018115_EMPLOYEES</v>
          </cell>
        </row>
        <row r="117">
          <cell r="A117" t="str">
            <v>Vector|||208018115|||ISSR|||SALES_CANADA|||False|||</v>
          </cell>
          <cell r="C117" t="str">
            <v>V_KEYWORD_ISSR_208018115_SALES_CANADA</v>
          </cell>
        </row>
        <row r="118">
          <cell r="A118" t="str">
            <v>Vector|||208018115|||ISSR|||SALES_US|||False|||</v>
          </cell>
          <cell r="C118" t="str">
            <v>V_KEYWORD_ISSR_208018115_SALES_US</v>
          </cell>
        </row>
        <row r="119">
          <cell r="A119" t="str">
            <v>Vector|||208018115|||ISSR|||SALES_OTH_NO_AMER|||False|||</v>
          </cell>
          <cell r="C119" t="str">
            <v>V_KEYWORD_ISSR_208018115_SALES_OTH_NO_AMER</v>
          </cell>
        </row>
        <row r="120">
          <cell r="A120" t="str">
            <v>Vector|||208018115|||ISSR|||SALES_ARGENTINA|||False|||</v>
          </cell>
          <cell r="C120" t="str">
            <v>V_KEYWORD_ISSR_208018115_SALES_ARGENTINA</v>
          </cell>
        </row>
        <row r="121">
          <cell r="A121" t="str">
            <v>Vector|||208018115|||ISSR|||SALES_BRAZIL|||False|||</v>
          </cell>
          <cell r="C121" t="str">
            <v>V_KEYWORD_ISSR_208018115_SALES_BRAZIL</v>
          </cell>
        </row>
        <row r="122">
          <cell r="A122" t="str">
            <v>Vector|||208018115|||ISSR|||SALES_CHILE|||False|||</v>
          </cell>
          <cell r="C122" t="str">
            <v>V_KEYWORD_ISSR_208018115_SALES_CHILE</v>
          </cell>
        </row>
        <row r="123">
          <cell r="A123" t="str">
            <v>Vector|||208018115|||ISSR|||SALES_COLOMBIA|||False|||</v>
          </cell>
          <cell r="C123" t="str">
            <v>V_KEYWORD_ISSR_208018115_SALES_COLOMBIA</v>
          </cell>
        </row>
        <row r="124">
          <cell r="A124" t="str">
            <v>Vector|||208018115|||ISSR|||SALES_MEXICO|||False|||</v>
          </cell>
          <cell r="C124" t="str">
            <v>V_KEYWORD_ISSR_208018115_SALES_MEXICO</v>
          </cell>
        </row>
        <row r="125">
          <cell r="A125" t="str">
            <v>Vector|||208018115|||ISSR|||SALES_VENEZUELA|||False|||</v>
          </cell>
          <cell r="C125" t="str">
            <v>V_KEYWORD_ISSR_208018115_SALES_VENEZUELA</v>
          </cell>
        </row>
        <row r="126">
          <cell r="A126" t="str">
            <v>Vector|||208018115|||ISSR|||SALES_OTH_LATAM|||False|||</v>
          </cell>
          <cell r="C126" t="str">
            <v>V_KEYWORD_ISSR_208018115_SALES_OTH_LATAM</v>
          </cell>
        </row>
        <row r="127">
          <cell r="A127" t="str">
            <v>Vector|||208018115|||ISSR|||SALES_AUSTRIA|||False|||</v>
          </cell>
          <cell r="C127" t="str">
            <v>V_KEYWORD_ISSR_208018115_SALES_AUSTRIA</v>
          </cell>
        </row>
        <row r="128">
          <cell r="A128" t="str">
            <v>Vector|||208018115|||ISSR|||SALES_BEL|||False|||</v>
          </cell>
          <cell r="C128" t="str">
            <v>V_KEYWORD_ISSR_208018115_SALES_BEL</v>
          </cell>
        </row>
        <row r="129">
          <cell r="A129" t="str">
            <v>Vector|||208018115|||ISSR|||SALES_FRA|||False|||</v>
          </cell>
          <cell r="C129" t="str">
            <v>V_KEYWORD_ISSR_208018115_SALES_FRA</v>
          </cell>
        </row>
        <row r="130">
          <cell r="A130" t="str">
            <v>Vector|||208018115|||ISSR|||SALES_GER|||False|||</v>
          </cell>
          <cell r="C130" t="str">
            <v>V_KEYWORD_ISSR_208018115_SALES_GER</v>
          </cell>
        </row>
        <row r="131">
          <cell r="A131" t="str">
            <v>Vector|||208018115|||ISSR|||SALES_GRE|||False|||</v>
          </cell>
          <cell r="C131" t="str">
            <v>V_KEYWORD_ISSR_208018115_SALES_GRE</v>
          </cell>
        </row>
        <row r="132">
          <cell r="A132" t="str">
            <v>Vector|||208018115|||ISSR|||SALES_IRE|||False|||</v>
          </cell>
          <cell r="C132" t="str">
            <v>V_KEYWORD_ISSR_208018115_SALES_IRE</v>
          </cell>
        </row>
        <row r="133">
          <cell r="A133" t="str">
            <v>Vector|||208018115|||ISSR|||SALES_ITA|||False|||</v>
          </cell>
          <cell r="C133" t="str">
            <v>V_KEYWORD_ISSR_208018115_SALES_ITA</v>
          </cell>
        </row>
        <row r="134">
          <cell r="A134" t="str">
            <v>Vector|||208018115|||ISSR|||SALES_NETH|||False|||</v>
          </cell>
          <cell r="C134" t="str">
            <v>V_KEYWORD_ISSR_208018115_SALES_NETH</v>
          </cell>
        </row>
        <row r="135">
          <cell r="A135" t="str">
            <v>Vector|||208018115|||ISSR|||SALES_NOR|||False|||</v>
          </cell>
          <cell r="C135" t="str">
            <v>V_KEYWORD_ISSR_208018115_SALES_NOR</v>
          </cell>
        </row>
        <row r="136">
          <cell r="A136" t="str">
            <v>Vector|||208018115|||ISSR|||SALES_POR|||False|||</v>
          </cell>
          <cell r="C136" t="str">
            <v>V_KEYWORD_ISSR_208018115_SALES_POR</v>
          </cell>
        </row>
        <row r="137">
          <cell r="A137" t="str">
            <v>Vector|||208018115|||ISSR|||SALES_SPA|||False|||</v>
          </cell>
          <cell r="C137" t="str">
            <v>V_KEYWORD_ISSR_208018115_SALES_SPA</v>
          </cell>
        </row>
        <row r="138">
          <cell r="A138" t="str">
            <v>Vector|||208018115|||ISSR|||SALES_SWE|||False|||</v>
          </cell>
          <cell r="C138" t="str">
            <v>V_KEYWORD_ISSR_208018115_SALES_SWE</v>
          </cell>
        </row>
        <row r="139">
          <cell r="A139" t="str">
            <v>Vector|||208018115|||ISSR|||SALES_SWIT|||False|||</v>
          </cell>
          <cell r="C139" t="str">
            <v>V_KEYWORD_ISSR_208018115_SALES_SWIT</v>
          </cell>
        </row>
        <row r="140">
          <cell r="A140" t="str">
            <v>Vector|||208018115|||ISSR|||SALES_UK|||False|||</v>
          </cell>
          <cell r="C140" t="str">
            <v>V_KEYWORD_ISSR_208018115_SALES_UK</v>
          </cell>
        </row>
        <row r="141">
          <cell r="A141" t="str">
            <v>Vector|||208018115|||ISSR|||SALES_OTH_WEST_EURO|||False|||</v>
          </cell>
          <cell r="C141" t="str">
            <v>V_KEYWORD_ISSR_208018115_SALES_OTH_WEST_EURO</v>
          </cell>
        </row>
        <row r="142">
          <cell r="A142" t="str">
            <v>Vector|||208018115|||ISSR|||SALES_POLAND|||False|||</v>
          </cell>
          <cell r="C142" t="str">
            <v>V_KEYWORD_ISSR_208018115_SALES_POLAND</v>
          </cell>
        </row>
        <row r="143">
          <cell r="A143" t="str">
            <v>Vector|||208018115|||ISSR|||SALES_RUSSIA|||False|||</v>
          </cell>
          <cell r="C143" t="str">
            <v>V_KEYWORD_ISSR_208018115_SALES_RUSSIA</v>
          </cell>
        </row>
        <row r="144">
          <cell r="A144" t="str">
            <v>Vector|||208018115|||ISSR|||SALES_TURKEY|||False|||</v>
          </cell>
          <cell r="C144" t="str">
            <v>V_KEYWORD_ISSR_208018115_SALES_TURKEY</v>
          </cell>
        </row>
        <row r="145">
          <cell r="A145" t="str">
            <v>Vector|||208018115|||ISSR|||SALES_OTH_CEE|||False|||</v>
          </cell>
          <cell r="C145" t="str">
            <v>V_KEYWORD_ISSR_208018115_SALES_OTH_CEE</v>
          </cell>
        </row>
        <row r="146">
          <cell r="A146" t="str">
            <v>Vector|||208018115|||ISSR|||SALES_SAUDI_ARABIA|||False|||</v>
          </cell>
          <cell r="C146" t="str">
            <v>V_KEYWORD_ISSR_208018115_SALES_SAUDI_ARABIA</v>
          </cell>
        </row>
        <row r="147">
          <cell r="A147" t="str">
            <v>Vector|||208018115|||ISSR|||SALES_UAE|||False|||</v>
          </cell>
          <cell r="C147" t="str">
            <v>V_KEYWORD_ISSR_208018115_SALES_UAE</v>
          </cell>
        </row>
        <row r="148">
          <cell r="A148" t="str">
            <v>Vector|||208018115|||ISSR|||SALES_OTH_ME|||False|||</v>
          </cell>
          <cell r="C148" t="str">
            <v>V_KEYWORD_ISSR_208018115_SALES_OTH_ME</v>
          </cell>
        </row>
        <row r="149">
          <cell r="A149" t="str">
            <v>Vector|||208018115|||ISSR|||SALES_NIGERIA|||False|||</v>
          </cell>
          <cell r="C149" t="str">
            <v>V_KEYWORD_ISSR_208018115_SALES_NIGERIA</v>
          </cell>
        </row>
        <row r="150">
          <cell r="A150" t="str">
            <v>Vector|||208018115|||ISSR|||SALES_SO_AFRICA|||False|||</v>
          </cell>
          <cell r="C150" t="str">
            <v>V_KEYWORD_ISSR_208018115_SALES_SO_AFRICA</v>
          </cell>
        </row>
        <row r="151">
          <cell r="A151" t="str">
            <v>Vector|||208018115|||ISSR|||SALES_OTH_AFRICA|||False|||</v>
          </cell>
          <cell r="C151" t="str">
            <v>V_KEYWORD_ISSR_208018115_SALES_OTH_AFRICA</v>
          </cell>
        </row>
        <row r="152">
          <cell r="A152" t="str">
            <v>Vector|||208018115|||ISSR|||SALES_HONG_KONG|||False|||</v>
          </cell>
          <cell r="C152" t="str">
            <v>V_KEYWORD_ISSR_208018115_SALES_HONG_KONG</v>
          </cell>
        </row>
        <row r="153">
          <cell r="A153" t="str">
            <v>Vector|||208018115|||ISSR|||SALES_JAPAN|||False|||</v>
          </cell>
          <cell r="C153" t="str">
            <v>V_KEYWORD_ISSR_208018115_SALES_JAPAN</v>
          </cell>
        </row>
        <row r="154">
          <cell r="A154" t="str">
            <v>Vector|||208018115|||ISSR|||SALES_SINGAPORE|||False|||</v>
          </cell>
          <cell r="C154" t="str">
            <v>V_KEYWORD_ISSR_208018115_SALES_SINGAPORE</v>
          </cell>
        </row>
        <row r="155">
          <cell r="A155" t="str">
            <v>Vector|||208018115|||ISSR|||SALES_SK|||False|||</v>
          </cell>
          <cell r="C155" t="str">
            <v>V_KEYWORD_ISSR_208018115_SALES_SK</v>
          </cell>
        </row>
        <row r="156">
          <cell r="A156" t="str">
            <v>Vector|||208018115|||ISSR|||SALES_TAIWAN|||False|||</v>
          </cell>
          <cell r="C156" t="str">
            <v>V_KEYWORD_ISSR_208018115_SALES_TAIWAN</v>
          </cell>
        </row>
        <row r="157">
          <cell r="A157" t="str">
            <v>Vector|||208018115|||ISSR|||SALES_OTH_DEV_ASIA|||False|||</v>
          </cell>
          <cell r="C157" t="str">
            <v>V_KEYWORD_ISSR_208018115_SALES_OTH_DEV_ASIA</v>
          </cell>
        </row>
        <row r="158">
          <cell r="A158" t="str">
            <v>Vector|||208018115|||ISSR|||SALES_CHINA|||False|||</v>
          </cell>
          <cell r="C158" t="str">
            <v>V_KEYWORD_ISSR_208018115_SALES_CHINA</v>
          </cell>
        </row>
        <row r="159">
          <cell r="A159" t="str">
            <v>Vector|||208018115|||ISSR|||SALES_INDIA|||False|||</v>
          </cell>
          <cell r="C159" t="str">
            <v>V_KEYWORD_ISSR_208018115_SALES_INDIA</v>
          </cell>
        </row>
        <row r="160">
          <cell r="A160" t="str">
            <v>Vector|||208018115|||ISSR|||SALES_INDONESIA|||False|||</v>
          </cell>
          <cell r="C160" t="str">
            <v>V_KEYWORD_ISSR_208018115_SALES_INDONESIA</v>
          </cell>
        </row>
        <row r="161">
          <cell r="A161" t="str">
            <v>Vector|||208018115|||ISSR|||SALES_THAILAND|||False|||</v>
          </cell>
          <cell r="C161" t="str">
            <v>V_KEYWORD_ISSR_208018115_SALES_THAILAND</v>
          </cell>
        </row>
        <row r="162">
          <cell r="A162" t="str">
            <v>Vector|||208018115|||ISSR|||SALES_OTH_EMERG_ASIA|||False|||</v>
          </cell>
          <cell r="C162" t="str">
            <v>V_KEYWORD_ISSR_208018115_SALES_OTH_EMERG_ASIA</v>
          </cell>
        </row>
        <row r="163">
          <cell r="A163" t="str">
            <v>Vector|||208018115|||ISSR|||SALES_AUSTRA|||False|||</v>
          </cell>
          <cell r="C163" t="str">
            <v>V_KEYWORD_ISSR_208018115_SALES_AUSTRA</v>
          </cell>
        </row>
        <row r="164">
          <cell r="A164" t="str">
            <v>Vector|||208018115|||ISSR|||SALES_NZ|||False|||</v>
          </cell>
          <cell r="C164" t="str">
            <v>V_KEYWORD_ISSR_208018115_SALES_NZ</v>
          </cell>
        </row>
        <row r="165">
          <cell r="A165" t="str">
            <v>Vector|||208018115|||ISSR|||SALES_OTHER|||False|||</v>
          </cell>
          <cell r="C165" t="str">
            <v>V_KEYWORD_ISSR_208018115_SALES_OTHER</v>
          </cell>
        </row>
        <row r="166">
          <cell r="A166" t="str">
            <v>Vector|||208018115|||ISSR|||COGS_PCT_US|||False|||</v>
          </cell>
          <cell r="C166" t="str">
            <v>V_KEYWORD_ISSR_208018115_COGS_PCT_US</v>
          </cell>
        </row>
        <row r="167">
          <cell r="A167" t="str">
            <v>Vector|||208018115|||ISSR|||COGS_PCT_ROW|||False|||</v>
          </cell>
          <cell r="C167" t="str">
            <v>V_KEYWORD_ISSR_208018115_COGS_PCT_ROW</v>
          </cell>
        </row>
        <row r="168">
          <cell r="A168" t="str">
            <v>Vector|||208018115|||ISSR|||SGA_PCT_US|||False|||</v>
          </cell>
          <cell r="C168" t="str">
            <v>V_KEYWORD_ISSR_208018115_SGA_PCT_US</v>
          </cell>
        </row>
        <row r="169">
          <cell r="A169" t="str">
            <v>Vector|||208018115|||ISSR|||SGA_PCT_ROW|||False|||</v>
          </cell>
          <cell r="C169" t="str">
            <v>V_KEYWORD_ISSR_208018115_SGA_PCT_ROW</v>
          </cell>
        </row>
        <row r="170">
          <cell r="A170" t="str">
            <v>Vector|||208018115|||ISSR|||SALES_CONS|||False|||</v>
          </cell>
          <cell r="C170" t="str">
            <v>V_KEYWORD_ISSR_208018115_SALES_CONS</v>
          </cell>
        </row>
        <row r="171">
          <cell r="A171" t="str">
            <v>Vector|||208018115|||ISSR|||SALES_IND|||False|||</v>
          </cell>
          <cell r="C171" t="str">
            <v>V_KEYWORD_ISSR_208018115_SALES_IND</v>
          </cell>
        </row>
        <row r="172">
          <cell r="A172" t="str">
            <v>Vector|||208018115|||ISSR|||SALES_GOV|||False|||</v>
          </cell>
          <cell r="C172" t="str">
            <v>V_KEYWORD_ISSR_208018115_SALES_GOV</v>
          </cell>
        </row>
        <row r="173">
          <cell r="A173" t="str">
            <v>Vector|||208018115|||ISSR|||SALES_FINAN|||False|||</v>
          </cell>
          <cell r="C173" t="str">
            <v>V_KEYWORD_ISSR_208018115_SALES_FINAN</v>
          </cell>
        </row>
        <row r="174">
          <cell r="A174" t="str">
            <v>Vector|||208018115|||ISSR|||SALES_OIL_GAS|||False|||</v>
          </cell>
          <cell r="C174" t="str">
            <v>V_KEYWORD_ISSR_208018115_SALES_OIL_GAS</v>
          </cell>
        </row>
        <row r="176">
          <cell r="A176" t="str">
            <v>Vector|||208018115|||ISSR|||EXP_OIL_PETRO_FUEL|||False|||</v>
          </cell>
          <cell r="C176" t="str">
            <v>V_KEYWORD_ISSR_208018115_EXP_OIL_PETRO_FUEL</v>
          </cell>
        </row>
        <row r="177">
          <cell r="A177" t="str">
            <v>Vector|||208018115|||ISSR|||EXP_OIL_DERIV_NGLS_PLASTICS|||False|||</v>
          </cell>
          <cell r="C177" t="str">
            <v>V_KEYWORD_ISSR_208018115_EXP_OIL_DERIV_NGLS_PLASTICS</v>
          </cell>
        </row>
        <row r="178">
          <cell r="A178" t="str">
            <v>Vector|||208018115|||ISSR|||EXP_PAPER_PULP|||False|||</v>
          </cell>
          <cell r="C178" t="str">
            <v>V_KEYWORD_ISSR_208018115_EXP_PAPER_PULP</v>
          </cell>
        </row>
        <row r="179">
          <cell r="A179" t="str">
            <v>Vector|||208018115|||ISSR|||EXP_GLASS|||False|||</v>
          </cell>
          <cell r="C179" t="str">
            <v>V_KEYWORD_ISSR_208018115_EXP_GLASS</v>
          </cell>
        </row>
        <row r="180">
          <cell r="A180" t="str">
            <v>Vector|||208018115|||ISSR|||EXP_WATER|||False|||</v>
          </cell>
          <cell r="C180" t="str">
            <v>V_KEYWORD_ISSR_208018115_EXP_WATER</v>
          </cell>
        </row>
        <row r="181">
          <cell r="A181" t="str">
            <v>Vector|||208018115|||ISSR|||EXP_OTH_COMMODITY|||False|||</v>
          </cell>
          <cell r="C181" t="str">
            <v>V_KEYWORD_ISSR_208018115_EXP_OTH_COMMODITY</v>
          </cell>
        </row>
        <row r="182">
          <cell r="A182" t="str">
            <v>Vector|||208018115|||ISSR|||EXP_OTH_COST|||False|||</v>
          </cell>
          <cell r="C182" t="str">
            <v>V_KEYWORD_ISSR_208018115_EXP_OTH_COST</v>
          </cell>
        </row>
        <row r="184">
          <cell r="A184" t="str">
            <v>Vector|||208018115|||ISSR|||SALES_FX_GPB|||False|||</v>
          </cell>
          <cell r="C184" t="str">
            <v>V_KEYWORD_ISSR_208018115_SALES_FX_GPB</v>
          </cell>
        </row>
        <row r="185">
          <cell r="A185" t="str">
            <v>Vector|||208018115|||ISSR|||SALES_FX_EUR|||False|||</v>
          </cell>
          <cell r="C185" t="str">
            <v>V_KEYWORD_ISSR_208018115_SALES_FX_EUR</v>
          </cell>
        </row>
        <row r="186">
          <cell r="A186" t="str">
            <v>Vector|||208018115|||ISSR|||SALES_FX_RUB|||False|||</v>
          </cell>
          <cell r="C186" t="str">
            <v>V_KEYWORD_ISSR_208018115_SALES_FX_RUB</v>
          </cell>
        </row>
        <row r="187">
          <cell r="A187" t="str">
            <v>Vector|||208018115|||ISSR|||SALES_FX_USD|||False|||</v>
          </cell>
          <cell r="C187" t="str">
            <v>V_KEYWORD_ISSR_208018115_SALES_FX_USD</v>
          </cell>
        </row>
        <row r="188">
          <cell r="A188" t="str">
            <v>Vector|||208018115|||ISSR|||SALES_FX_BRL|||False|||</v>
          </cell>
          <cell r="C188" t="str">
            <v>V_KEYWORD_ISSR_208018115_SALES_FX_BRL</v>
          </cell>
        </row>
        <row r="189">
          <cell r="A189" t="str">
            <v>Vector|||208018115|||ISSR|||SALES_FX_YEN|||False|||</v>
          </cell>
          <cell r="C189" t="str">
            <v>V_KEYWORD_ISSR_208018115_SALES_FX_YEN</v>
          </cell>
        </row>
        <row r="190">
          <cell r="A190" t="str">
            <v>Vector|||208018115|||ISSR|||SALES_FX_CNY|||False|||</v>
          </cell>
          <cell r="C190" t="str">
            <v>V_KEYWORD_ISSR_208018115_SALES_FX_CNY</v>
          </cell>
        </row>
        <row r="191">
          <cell r="A191" t="str">
            <v>Vector|||208018115|||ISSR|||SALES_FX_INR|||False|||</v>
          </cell>
          <cell r="C191" t="str">
            <v>V_KEYWORD_ISSR_208018115_SALES_FX_INR</v>
          </cell>
        </row>
        <row r="192">
          <cell r="A192" t="str">
            <v>Vector|||208018115|||ISSR|||SALES_FX_KRW|||False|||</v>
          </cell>
          <cell r="C192" t="str">
            <v>V_KEYWORD_ISSR_208018115_SALES_FX_KRW</v>
          </cell>
        </row>
        <row r="193">
          <cell r="A193" t="str">
            <v>Vector|||208018115|||ISSR|||SALES_FX_TWD|||False|||</v>
          </cell>
          <cell r="C193" t="str">
            <v>V_KEYWORD_ISSR_208018115_SALES_FX_TWD</v>
          </cell>
        </row>
        <row r="194">
          <cell r="A194" t="str">
            <v>Vector|||208018115|||ISSR|||SALES_FX_OTH|||False|||</v>
          </cell>
          <cell r="C194" t="str">
            <v>V_KEYWORD_ISSR_208018115_SALES_FX_OTH</v>
          </cell>
        </row>
        <row r="196">
          <cell r="A196" t="str">
            <v>Vector|||208018115|||ISSR|||SALES_TOT_AM|||False|||</v>
          </cell>
          <cell r="C196" t="str">
            <v>V_KEYWORD_ISSR_208018115_SALES_TOT_AM</v>
          </cell>
        </row>
        <row r="197">
          <cell r="A197" t="str">
            <v>Vector|||208018115|||ISSR|||SALES_OTH_AM|||False|||</v>
          </cell>
          <cell r="C197" t="str">
            <v>V_KEYWORD_ISSR_208018115_SALES_OTH_AM</v>
          </cell>
        </row>
        <row r="198">
          <cell r="A198" t="str">
            <v>Vector|||208018115|||ISSR|||SALES_TOT_EMEA|||False|||</v>
          </cell>
          <cell r="C198" t="str">
            <v>V_KEYWORD_ISSR_208018115_SALES_TOT_EMEA</v>
          </cell>
        </row>
        <row r="199">
          <cell r="A199" t="str">
            <v>Vector|||208018115|||ISSR|||SALES_EU_EX_UK|||False|||</v>
          </cell>
          <cell r="C199" t="str">
            <v>V_KEYWORD_ISSR_208018115_SALES_EU_EX_UK</v>
          </cell>
        </row>
        <row r="200">
          <cell r="A200" t="str">
            <v>Vector|||208018115|||ISSR|||SALES_CEE|||False|||</v>
          </cell>
          <cell r="C200" t="str">
            <v>V_KEYWORD_ISSR_208018115_SALES_CEE</v>
          </cell>
        </row>
        <row r="201">
          <cell r="A201" t="str">
            <v>Vector|||208018115|||ISSR|||SALES_ME|||False|||</v>
          </cell>
          <cell r="C201" t="str">
            <v>V_KEYWORD_ISSR_208018115_SALES_ME</v>
          </cell>
        </row>
        <row r="202">
          <cell r="A202" t="str">
            <v>Vector|||208018115|||ISSR|||SALES_TOT_AFRICA|||False|||</v>
          </cell>
          <cell r="C202" t="str">
            <v>V_KEYWORD_ISSR_208018115_SALES_TOT_AFRICA</v>
          </cell>
        </row>
        <row r="203">
          <cell r="A203" t="str">
            <v>Vector|||208018115|||ISSR|||SALES_OTH_EMEA|||False|||</v>
          </cell>
          <cell r="C203" t="str">
            <v>V_KEYWORD_ISSR_208018115_SALES_OTH_EMEA</v>
          </cell>
        </row>
        <row r="204">
          <cell r="A204" t="str">
            <v>Vector|||208018115|||ISSR|||SALES_TOT_ASIA|||False|||</v>
          </cell>
          <cell r="C204" t="str">
            <v>V_KEYWORD_ISSR_208018115_SALES_TOT_ASIA</v>
          </cell>
        </row>
        <row r="205">
          <cell r="A205" t="str">
            <v>Vector|||208018115|||ISSR|||SALES_OTH_AEJ|||False|||</v>
          </cell>
          <cell r="C205" t="str">
            <v>V_KEYWORD_ISSR_208018115_SALES_OTH_AEJ</v>
          </cell>
        </row>
        <row r="211">
          <cell r="A211" t="str">
            <v>Scalar|||200019572|||EQTY|||PUB_CURRENCY_ISO|||False|||</v>
          </cell>
          <cell r="C211" t="str">
            <v>V_KEYWORD_EQTY_200019572_PUB_CURRENCY_ISO</v>
          </cell>
          <cell r="E211" t="str">
            <v>ERROR</v>
          </cell>
        </row>
        <row r="212">
          <cell r="A212" t="str">
            <v>Scalar|||200019572|||EQTY|||PRICE_CURRENCY_ISO|||False|||</v>
          </cell>
          <cell r="C212" t="str">
            <v>V_KEYWORD_EQTY_200019572_PRICE_CURRENCY_ISO</v>
          </cell>
          <cell r="E212" t="str">
            <v>ERROR</v>
          </cell>
        </row>
        <row r="213">
          <cell r="A213" t="str">
            <v>Scalar|||200019572|||EQTY|||CURRENCY_ISO|||False|||</v>
          </cell>
          <cell r="C213" t="str">
            <v>V_KEYWORD_EQTY_200019572_CURRENCY_ISO</v>
          </cell>
        </row>
        <row r="215">
          <cell r="A215" t="str">
            <v>Scalar|||200019572|||EQTY|||AEJ_LIST|||False|||</v>
          </cell>
          <cell r="C215" t="str">
            <v>V_KEYWORD_EQTY_200019572_AEJ_LIST</v>
          </cell>
        </row>
        <row r="216">
          <cell r="A216" t="str">
            <v>Scalar|||200019572|||EQTY|||AEJ_CONVICTION|||False|||</v>
          </cell>
          <cell r="C216" t="str">
            <v>V_KEYWORD_EQTY_200019572_AEJ_CONVICTION</v>
          </cell>
        </row>
        <row r="217">
          <cell r="A217" t="str">
            <v>Scalar|||200019572|||EQTY|||LEGAL_RATING|||False|||</v>
          </cell>
          <cell r="C217" t="str">
            <v>V_KEYWORD_EQTY_200019572_LEGAL_RATING</v>
          </cell>
        </row>
        <row r="218">
          <cell r="A218" t="str">
            <v>Scalar|||200019572|||EQTY|||TARGET_PRICE|||False|||</v>
          </cell>
          <cell r="C218" t="str">
            <v>V_KEYWORD_EQTY_200019572_TARGET_PRICE</v>
          </cell>
          <cell r="E218" t="str">
            <v>ERROR</v>
          </cell>
        </row>
        <row r="219">
          <cell r="A219" t="str">
            <v>Scalar|||200019572|||EQTY|||TP_PERIOD|||False|||</v>
          </cell>
          <cell r="C219" t="str">
            <v>V_KEYWORD_EQTY_200019572_TP_PERIOD</v>
          </cell>
          <cell r="E219" t="str">
            <v>ERROR</v>
          </cell>
        </row>
        <row r="220">
          <cell r="A220" t="str">
            <v>Scalar|||200019572|||EQTY|||TARGET_PRICE_FUNDAMENTAL|||False|||</v>
          </cell>
          <cell r="C220" t="str">
            <v>V_KEYWORD_EQTY_200019572_TARGET_PRICE_FUNDAMENTAL</v>
          </cell>
        </row>
        <row r="221">
          <cell r="A221" t="str">
            <v>Scalar|||200019572|||EQTY|||TARGET_PRICE_MA|||False|||</v>
          </cell>
          <cell r="C221" t="str">
            <v>V_KEYWORD_EQTY_200019572_TARGET_PRICE_MA</v>
          </cell>
        </row>
        <row r="222">
          <cell r="A222" t="str">
            <v>Scalar|||200019572|||EQTY|||NUM_SH|||False|||</v>
          </cell>
          <cell r="C222" t="str">
            <v>V_KEYWORD_EQTY_200019572_NUM_SH</v>
          </cell>
        </row>
        <row r="223">
          <cell r="A223" t="str">
            <v>Scalar|||200019572|||EQTY|||FREE_FLOAT|||False|||</v>
          </cell>
          <cell r="C223" t="str">
            <v>V_KEYWORD_EQTY_200019572_FREE_FLOAT</v>
          </cell>
        </row>
        <row r="224">
          <cell r="A224" t="str">
            <v>Scalar|||200019572|||EQTY|||FOREIGN_HOLDNG|||False|||</v>
          </cell>
          <cell r="C224" t="str">
            <v>V_KEYWORD_EQTY_200019572_FOREIGN_HOLDNG</v>
          </cell>
        </row>
        <row r="225">
          <cell r="A225" t="str">
            <v>Scalar|||200019572|||EQTY|||CATALYST1_DATE|||True|||</v>
          </cell>
          <cell r="C225" t="str">
            <v>V_KEYWORD_EQTY_200019572_CATALYST1_DATE</v>
          </cell>
        </row>
        <row r="226">
          <cell r="A226" t="str">
            <v>Scalar|||200019572|||EQTY|||CATALYST1_EVENT|||False|||</v>
          </cell>
          <cell r="C226" t="str">
            <v>V_KEYWORD_EQTY_200019572_CATALYST1_EVENT</v>
          </cell>
        </row>
        <row r="227">
          <cell r="A227" t="str">
            <v>Scalar|||200019572|||EQTY|||CATALYST2_DATE|||True|||</v>
          </cell>
          <cell r="C227" t="str">
            <v>V_KEYWORD_EQTY_200019572_CATALYST2_DATE</v>
          </cell>
        </row>
        <row r="228">
          <cell r="A228" t="str">
            <v>Scalar|||200019572|||EQTY|||CATALYST2_EVENT|||False|||</v>
          </cell>
          <cell r="C228" t="str">
            <v>V_KEYWORD_EQTY_200019572_CATALYST2_EVENT</v>
          </cell>
        </row>
        <row r="229">
          <cell r="A229" t="str">
            <v>Scalar|||200019572|||EQTY|||CATALYST3_DATE|||True|||</v>
          </cell>
          <cell r="C229" t="str">
            <v>V_KEYWORD_EQTY_200019572_CATALYST3_DATE</v>
          </cell>
        </row>
        <row r="230">
          <cell r="A230" t="str">
            <v>Scalar|||200019572|||EQTY|||CATALYST3_EVENT|||False|||</v>
          </cell>
          <cell r="C230" t="str">
            <v>V_KEYWORD_EQTY_200019572_CATALYST3_EVENT</v>
          </cell>
        </row>
        <row r="231">
          <cell r="A231" t="str">
            <v>Scalar|||200019572|||EQTY|||CATALYST4_DATE|||True|||</v>
          </cell>
          <cell r="C231" t="str">
            <v>V_KEYWORD_EQTY_200019572_CATALYST4_DATE</v>
          </cell>
        </row>
        <row r="232">
          <cell r="A232" t="str">
            <v>Scalar|||200019572|||EQTY|||CATALYST4_EVENT|||False|||</v>
          </cell>
          <cell r="C232" t="str">
            <v>V_KEYWORD_EQTY_200019572_CATALYST4_EVENT</v>
          </cell>
        </row>
        <row r="233">
          <cell r="A233" t="str">
            <v>Scalar|||200019572|||EQTY|||CATALYST5_DATE|||True|||</v>
          </cell>
          <cell r="C233" t="str">
            <v>V_KEYWORD_EQTY_200019572_CATALYST5_DATE</v>
          </cell>
        </row>
        <row r="234">
          <cell r="A234" t="str">
            <v>Scalar|||200019572|||EQTY|||CATALYST5_EVENT|||False|||</v>
          </cell>
          <cell r="C234" t="str">
            <v>V_KEYWORD_EQTY_200019572_CATALYST5_EVENT</v>
          </cell>
        </row>
        <row r="235">
          <cell r="A235" t="str">
            <v>Scalar|||200019572|||EQTY|||PRI_TARG_MULT|||False|||</v>
          </cell>
          <cell r="C235" t="str">
            <v>V_KEYWORD_EQTY_200019572_PRI_TARG_MULT</v>
          </cell>
        </row>
        <row r="236">
          <cell r="A236" t="str">
            <v>Scalar|||200019572|||EQTY|||PRI_TARG_METH|||False|||</v>
          </cell>
          <cell r="C236" t="str">
            <v>V_KEYWORD_EQTY_200019572_PRI_TARG_METH</v>
          </cell>
        </row>
        <row r="238">
          <cell r="A238" t="str">
            <v>Vector|||200019572|||EQTY|||BVPS_PUB|||False|||</v>
          </cell>
          <cell r="C238" t="str">
            <v>V_KEYWORD_EQTY_200019572_BVPS_PUB</v>
          </cell>
        </row>
        <row r="239">
          <cell r="A239" t="str">
            <v>Vector|||200019572|||EQTY|||DPS_PUB|||False|||</v>
          </cell>
          <cell r="C239" t="str">
            <v>V_KEYWORD_EQTY_200019572_DPS_PUB</v>
          </cell>
        </row>
        <row r="240">
          <cell r="A240" t="str">
            <v>Vector|||200019572|||EQTY|||DPS_SPECIAL_PUB|||False|||</v>
          </cell>
          <cell r="C240" t="str">
            <v>V_KEYWORD_EQTY_200019572_DPS_SPECIAL_PUB</v>
          </cell>
        </row>
        <row r="241">
          <cell r="A241" t="str">
            <v>Vector|||200019572|||EQTY|||EBITDA_PUB|||False|||</v>
          </cell>
          <cell r="C241" t="str">
            <v>V_KEYWORD_EQTY_200019572_EBITDA_PUB</v>
          </cell>
        </row>
        <row r="242">
          <cell r="A242" t="str">
            <v>Vector|||200019572|||EQTY|||EPS_PUB|||False|||</v>
          </cell>
          <cell r="C242" t="str">
            <v>V_KEYWORD_EQTY_200019572_EPS_PUB</v>
          </cell>
          <cell r="F242" t="str">
            <v>ERROR</v>
          </cell>
          <cell r="G242" t="str">
            <v>ERROR</v>
          </cell>
          <cell r="H242" t="str">
            <v>ERROR</v>
          </cell>
          <cell r="I242" t="str">
            <v>ERROR</v>
          </cell>
          <cell r="J242" t="str">
            <v>ERROR</v>
          </cell>
          <cell r="K242" t="str">
            <v>ERROR</v>
          </cell>
          <cell r="L242" t="str">
            <v>ERROR</v>
          </cell>
          <cell r="M242" t="str">
            <v>ERROR</v>
          </cell>
          <cell r="N242" t="str">
            <v>ERROR</v>
          </cell>
          <cell r="O242" t="str">
            <v>ERROR</v>
          </cell>
          <cell r="P242" t="str">
            <v>ERROR</v>
          </cell>
          <cell r="Q242" t="str">
            <v>ERROR</v>
          </cell>
          <cell r="R242" t="str">
            <v>ERROR</v>
          </cell>
          <cell r="S242" t="str">
            <v>ERROR</v>
          </cell>
          <cell r="T242" t="str">
            <v>ERROR</v>
          </cell>
          <cell r="U242" t="str">
            <v>ERROR</v>
          </cell>
          <cell r="V242" t="str">
            <v>ERROR</v>
          </cell>
          <cell r="W242" t="str">
            <v>ERROR</v>
          </cell>
          <cell r="X242" t="str">
            <v>ERROR</v>
          </cell>
          <cell r="Y242" t="str">
            <v>ERROR</v>
          </cell>
          <cell r="Z242" t="str">
            <v>ERROR</v>
          </cell>
          <cell r="AA242" t="str">
            <v>ERROR</v>
          </cell>
          <cell r="AB242" t="str">
            <v>ERROR</v>
          </cell>
          <cell r="AC242" t="str">
            <v>ERROR</v>
          </cell>
          <cell r="AD242" t="str">
            <v>ERROR</v>
          </cell>
          <cell r="AE242" t="str">
            <v>ERROR</v>
          </cell>
          <cell r="AF242" t="str">
            <v>ERROR</v>
          </cell>
          <cell r="AG242" t="str">
            <v>ERROR</v>
          </cell>
          <cell r="AH242" t="str">
            <v>ERROR</v>
          </cell>
          <cell r="AI242" t="str">
            <v>ERROR</v>
          </cell>
          <cell r="AJ242" t="str">
            <v>ERROR</v>
          </cell>
          <cell r="AK242" t="str">
            <v>ERROR</v>
          </cell>
          <cell r="AL242" t="str">
            <v>ERROR</v>
          </cell>
          <cell r="AM242" t="str">
            <v>ERROR</v>
          </cell>
          <cell r="AN242" t="str">
            <v>ERROR</v>
          </cell>
          <cell r="AO242" t="str">
            <v>ERROR</v>
          </cell>
          <cell r="AP242" t="str">
            <v>ERROR</v>
          </cell>
          <cell r="AQ242" t="str">
            <v>ERROR</v>
          </cell>
          <cell r="AR242" t="str">
            <v>ERROR</v>
          </cell>
          <cell r="AS242" t="str">
            <v>ERROR</v>
          </cell>
          <cell r="AT242" t="str">
            <v>ERROR</v>
          </cell>
          <cell r="AU242" t="str">
            <v>ERROR</v>
          </cell>
          <cell r="AV242" t="str">
            <v>ERROR</v>
          </cell>
          <cell r="AW242" t="str">
            <v>ERROR</v>
          </cell>
          <cell r="AX242" t="str">
            <v>ERROR</v>
          </cell>
          <cell r="AY242" t="str">
            <v>ERROR</v>
          </cell>
          <cell r="AZ242" t="str">
            <v>ERROR</v>
          </cell>
          <cell r="BA242" t="str">
            <v>ERROR</v>
          </cell>
          <cell r="BB242" t="str">
            <v>ERROR</v>
          </cell>
          <cell r="BC242" t="str">
            <v>ERROR</v>
          </cell>
          <cell r="BD242" t="str">
            <v>ERROR</v>
          </cell>
          <cell r="BE242" t="str">
            <v>ERROR</v>
          </cell>
          <cell r="BF242" t="str">
            <v>ERROR</v>
          </cell>
          <cell r="BG242" t="str">
            <v>ERROR</v>
          </cell>
          <cell r="BH242" t="str">
            <v>ERROR</v>
          </cell>
        </row>
        <row r="243">
          <cell r="A243" t="str">
            <v>Vector|||200019572|||EQTY|||EV_ADJ_PUB|||False|||</v>
          </cell>
          <cell r="C243" t="str">
            <v>V_KEYWORD_EQTY_200019572_EV_ADJ_PUB</v>
          </cell>
        </row>
        <row r="244">
          <cell r="A244" t="str">
            <v>Vector|||200019572|||EQTY|||NET_DEBT_PUB|||False|||</v>
          </cell>
          <cell r="C244" t="str">
            <v>V_KEYWORD_EQTY_200019572_NET_DEBT_PUB</v>
          </cell>
        </row>
        <row r="245">
          <cell r="A245" t="str">
            <v>Vector|||200019572|||EQTY|||NI_PUB|||False|||</v>
          </cell>
          <cell r="C245" t="str">
            <v>V_KEYWORD_EQTY_200019572_NI_PUB</v>
          </cell>
        </row>
        <row r="246">
          <cell r="A246" t="str">
            <v>Vector|||200019572|||EQTY|||EBIT_PUB|||False|||</v>
          </cell>
          <cell r="C246" t="str">
            <v>V_KEYWORD_EQTY_200019572_EBIT_PUB</v>
          </cell>
        </row>
        <row r="247">
          <cell r="A247" t="str">
            <v>Vector|||200019572|||EQTY|||PTP_PUB|||False|||</v>
          </cell>
          <cell r="C247" t="str">
            <v>V_KEYWORD_EQTY_200019572_PTP_PUB</v>
          </cell>
        </row>
        <row r="248">
          <cell r="A248" t="str">
            <v>Vector|||200019572|||EQTY|||REVS_PUB|||False|||</v>
          </cell>
          <cell r="C248" t="str">
            <v>V_KEYWORD_EQTY_200019572_REVS_PUB</v>
          </cell>
        </row>
        <row r="249">
          <cell r="A249" t="str">
            <v>Vector|||200019572|||EQTY|||EQ_PUB|||False|||</v>
          </cell>
          <cell r="C249" t="str">
            <v>V_KEYWORD_EQTY_200019572_EQ_PUB</v>
          </cell>
        </row>
        <row r="250">
          <cell r="A250" t="str">
            <v>Vector|||200019572|||EQTY|||EPS_CONS_PUB|||False|||</v>
          </cell>
          <cell r="C250" t="str">
            <v>V_KEYWORD_EQTY_200019572_EPS_CONS_PUB</v>
          </cell>
        </row>
        <row r="252">
          <cell r="A252" t="str">
            <v>Vector|||200019572|||EQTY|||PROV_INC_TAX|||False|||</v>
          </cell>
          <cell r="C252" t="str">
            <v>V_KEYWORD_EQTY_200019572_PROV_INC_TAX</v>
          </cell>
        </row>
        <row r="253">
          <cell r="A253" t="str">
            <v>Vector|||200019572|||EQTY|||INC_MINORITY|||False|||</v>
          </cell>
          <cell r="C253" t="str">
            <v>V_KEYWORD_EQTY_200019572_INC_MINORITY</v>
          </cell>
        </row>
        <row r="254">
          <cell r="A254" t="str">
            <v>Vector|||200019572|||EQTY|||NI_PRE_PREF|||False|||</v>
          </cell>
          <cell r="C254" t="str">
            <v>V_KEYWORD_EQTY_200019572_NI_PRE_PREF</v>
          </cell>
        </row>
        <row r="255">
          <cell r="A255" t="str">
            <v>Vector|||200019572|||EQTY|||PREF_DIV|||False|||</v>
          </cell>
          <cell r="C255" t="str">
            <v>V_KEYWORD_EQTY_200019572_PREF_DIV</v>
          </cell>
        </row>
        <row r="256">
          <cell r="A256" t="str">
            <v>Vector|||200019572|||EQTY|||NET_EARNING|||False|||</v>
          </cell>
          <cell r="C256" t="str">
            <v>V_KEYWORD_EQTY_200019572_NET_EARNING</v>
          </cell>
        </row>
        <row r="257">
          <cell r="A257" t="str">
            <v>Vector|||200019572|||EQTY|||TAX_EXC|||False|||</v>
          </cell>
          <cell r="C257" t="str">
            <v>V_KEYWORD_EQTY_200019572_TAX_EXC</v>
          </cell>
        </row>
        <row r="258">
          <cell r="A258" t="str">
            <v>Vector|||200019572|||EQTY|||NET_INC|||False|||</v>
          </cell>
          <cell r="C258" t="str">
            <v>V_KEYWORD_EQTY_200019572_NET_INC</v>
          </cell>
        </row>
        <row r="259">
          <cell r="A259" t="str">
            <v>Vector|||200019572|||EQTY|||EPS|||False|||</v>
          </cell>
          <cell r="C259" t="str">
            <v>V_KEYWORD_EQTY_200019572_EPS</v>
          </cell>
        </row>
        <row r="260">
          <cell r="A260" t="str">
            <v>Vector|||200019572|||EQTY|||EPS_FUL_DIL|||False|||</v>
          </cell>
          <cell r="C260" t="str">
            <v>V_KEYWORD_EQTY_200019572_EPS_FUL_DIL</v>
          </cell>
        </row>
        <row r="261">
          <cell r="A261" t="str">
            <v>Vector|||200019572|||EQTY|||EPS_POST_BASIC|||False|||</v>
          </cell>
          <cell r="C261" t="str">
            <v>V_KEYWORD_EQTY_200019572_EPS_POST_BASIC</v>
          </cell>
        </row>
        <row r="262">
          <cell r="A262" t="str">
            <v>Vector|||200019572|||EQTY|||FULLY_DIL_EPS|||False|||</v>
          </cell>
          <cell r="C262" t="str">
            <v>V_KEYWORD_EQTY_200019572_FULLY_DIL_EPS</v>
          </cell>
        </row>
        <row r="263">
          <cell r="A263" t="str">
            <v>Vector|||200019572|||EQTY|||COMMON_DIV_PAID|||False|||</v>
          </cell>
          <cell r="C263" t="str">
            <v>V_KEYWORD_EQTY_200019572_COMMON_DIV_PAID</v>
          </cell>
        </row>
        <row r="264">
          <cell r="A264" t="str">
            <v>Vector|||200019572|||EQTY|||DPS|||False|||</v>
          </cell>
          <cell r="C264" t="str">
            <v>V_KEYWORD_EQTY_200019572_DPS</v>
          </cell>
        </row>
        <row r="265">
          <cell r="A265" t="str">
            <v>Vector|||200019572|||EQTY|||SH|||False|||</v>
          </cell>
          <cell r="C265" t="str">
            <v>V_KEYWORD_EQTY_200019572_SH</v>
          </cell>
        </row>
        <row r="266">
          <cell r="A266" t="str">
            <v>Vector|||200019572|||EQTY|||DILUTE_SHARES|||False|||</v>
          </cell>
          <cell r="C266" t="str">
            <v>V_KEYWORD_EQTY_200019572_DILUTE_SHARES</v>
          </cell>
        </row>
        <row r="267">
          <cell r="A267" t="str">
            <v>Vector|||200019572|||EQTY|||NON_OP_ADD|||False|||</v>
          </cell>
          <cell r="C267" t="str">
            <v>V_KEYWORD_EQTY_200019572_NON_OP_ADD</v>
          </cell>
        </row>
        <row r="269">
          <cell r="A269" t="str">
            <v>Vector|||200019572|||EQTY|||MARGIN_TAX_RATE|||False|||</v>
          </cell>
          <cell r="C269" t="str">
            <v>V_KEYWORD_EQTY_200019572_MARGIN_TAX_RATE</v>
          </cell>
        </row>
        <row r="270">
          <cell r="A270" t="str">
            <v>Vector|||200019572|||EQTY|||NI_CONS|||False|||</v>
          </cell>
          <cell r="C270" t="str">
            <v>V_KEYWORD_EQTY_200019572_NI_CONS</v>
          </cell>
        </row>
        <row r="272">
          <cell r="A272" t="str">
            <v>Vector|||200019572|||EQTY|||BVPS|||False|||</v>
          </cell>
          <cell r="C272" t="str">
            <v>V_KEYWORD_EQTY_200019572_BVPS</v>
          </cell>
        </row>
        <row r="274">
          <cell r="A274" t="str">
            <v>Vector|||200019572|||EQTY|||CF_NI_PRE_PREF|||False|||</v>
          </cell>
          <cell r="C274" t="str">
            <v>V_KEYWORD_EQTY_200019572_CF_NI_PRE_PREF</v>
          </cell>
        </row>
        <row r="276">
          <cell r="A276" t="str">
            <v>Scalar|||200019572|||EQTY|||BETA_ANALYST|||False|||</v>
          </cell>
          <cell r="C276" t="str">
            <v>V_KEYWORD_EQTY_200019572_BETA_ANALYST</v>
          </cell>
        </row>
        <row r="277">
          <cell r="A277" t="str">
            <v>Scalar|||200019572|||EQTY|||MKT_EQ_RISK_PREM|||False|||</v>
          </cell>
          <cell r="C277" t="str">
            <v>V_KEYWORD_EQTY_200019572_MKT_EQ_RISK_PREM</v>
          </cell>
        </row>
        <row r="278">
          <cell r="A278" t="str">
            <v>Scalar|||200019572|||EQTY|||RISK_FR_RATE|||False|||</v>
          </cell>
          <cell r="C278" t="str">
            <v>V_KEYWORD_EQTY_200019572_RISK_FR_RATE</v>
          </cell>
        </row>
      </sheetData>
      <sheetData sheetId="17">
        <row r="1">
          <cell r="A1" t="str">
            <v>Issuer: Dongxu Optoelectronic Technology Co.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>
            <v>2015</v>
          </cell>
          <cell r="AJ1" t="str">
            <v>2016 Q1</v>
          </cell>
          <cell r="AK1" t="str">
            <v>2016 Q2</v>
          </cell>
          <cell r="AL1" t="str">
            <v>2016 Q3</v>
          </cell>
          <cell r="AM1" t="str">
            <v>2016 Q4</v>
          </cell>
          <cell r="AN1">
            <v>2016</v>
          </cell>
          <cell r="AO1" t="str">
            <v>2017 Q1</v>
          </cell>
          <cell r="AP1" t="str">
            <v>2017 Q2</v>
          </cell>
          <cell r="AQ1" t="str">
            <v>2017 Q3</v>
          </cell>
          <cell r="AR1" t="str">
            <v>2017 Q4</v>
          </cell>
          <cell r="AS1">
            <v>2017</v>
          </cell>
          <cell r="AT1" t="str">
            <v>2018 Q1</v>
          </cell>
          <cell r="AU1" t="str">
            <v>2018 Q2</v>
          </cell>
          <cell r="AV1" t="str">
            <v>2018 Q3</v>
          </cell>
          <cell r="AW1" t="str">
            <v>2018 Q4</v>
          </cell>
          <cell r="AX1">
            <v>2018</v>
          </cell>
          <cell r="AY1" t="str">
            <v>2019 Q1</v>
          </cell>
          <cell r="AZ1" t="str">
            <v>2019 Q2</v>
          </cell>
          <cell r="BA1" t="str">
            <v>2019 Q3</v>
          </cell>
          <cell r="BB1" t="str">
            <v>2019 Q4</v>
          </cell>
          <cell r="BC1">
            <v>2019</v>
          </cell>
          <cell r="BD1" t="str">
            <v>2020 Q1</v>
          </cell>
          <cell r="BE1" t="str">
            <v>2020 Q2</v>
          </cell>
          <cell r="BF1" t="str">
            <v>2020 Q3</v>
          </cell>
          <cell r="BG1" t="str">
            <v>2020 Q4</v>
          </cell>
          <cell r="BH1">
            <v>2020</v>
          </cell>
        </row>
        <row r="4">
          <cell r="A4" t="str">
            <v>Issuer: Dongxu Optoelectronic Technology Co.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Dongxu Optoelectronic Technology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e">
            <v>#NAME?</v>
          </cell>
        </row>
        <row r="12">
          <cell r="B12" t="str">
            <v>Compensation &amp; benfits expense</v>
          </cell>
          <cell r="C12" t="str">
            <v>PERSONNEL</v>
          </cell>
          <cell r="D12" t="e">
            <v>#NAME?</v>
          </cell>
        </row>
        <row r="13">
          <cell r="B13" t="str">
            <v>Cost of goods sold, COGS</v>
          </cell>
          <cell r="C13" t="str">
            <v>COST_GD_SD</v>
          </cell>
          <cell r="D13" t="e">
            <v>#NAME?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e">
            <v>#NAME?</v>
          </cell>
        </row>
        <row r="15">
          <cell r="B15" t="str">
            <v>Total operating expense</v>
          </cell>
          <cell r="C15" t="str">
            <v>OP_COST</v>
          </cell>
          <cell r="D15" t="e">
            <v>#NAME?</v>
          </cell>
        </row>
        <row r="16">
          <cell r="B16" t="str">
            <v>R&amp;D expense</v>
          </cell>
          <cell r="C16" t="str">
            <v>RD_EXP</v>
          </cell>
          <cell r="D16" t="e">
            <v>#NAME?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e">
            <v>#NAME?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e">
            <v>#NAME?</v>
          </cell>
        </row>
        <row r="19">
          <cell r="B19" t="str">
            <v>Total operating expense (excl. D&amp;A)</v>
          </cell>
          <cell r="C19" t="str">
            <v>TOT_OPS_EXP</v>
          </cell>
          <cell r="D19" t="e">
            <v>#NAME?</v>
          </cell>
        </row>
        <row r="20">
          <cell r="B20" t="str">
            <v>EBITDA</v>
          </cell>
          <cell r="C20" t="str">
            <v>EBITDA_CALC</v>
          </cell>
          <cell r="D20" t="e">
            <v>#NAME?</v>
          </cell>
        </row>
        <row r="21">
          <cell r="B21" t="str">
            <v>Depreciation</v>
          </cell>
          <cell r="C21" t="str">
            <v>DEPREC</v>
          </cell>
          <cell r="D21" t="e">
            <v>#NAME?</v>
          </cell>
        </row>
        <row r="22">
          <cell r="B22" t="str">
            <v>Amortization</v>
          </cell>
          <cell r="C22" t="str">
            <v>GOODWILL_AMORT</v>
          </cell>
          <cell r="D22" t="e">
            <v>#NAME?</v>
          </cell>
        </row>
        <row r="23">
          <cell r="B23" t="str">
            <v>EBIT, operating profit</v>
          </cell>
          <cell r="C23" t="str">
            <v>EBIT</v>
          </cell>
          <cell r="D23" t="e">
            <v>#NAME?</v>
          </cell>
        </row>
        <row r="24">
          <cell r="B24" t="str">
            <v>Interest income</v>
          </cell>
          <cell r="C24" t="str">
            <v>INT_INC_IND</v>
          </cell>
          <cell r="D24" t="e">
            <v>#NAME?</v>
          </cell>
        </row>
        <row r="25">
          <cell r="B25" t="str">
            <v>Interest expense</v>
          </cell>
          <cell r="C25" t="str">
            <v>INT_EXP_IND</v>
          </cell>
          <cell r="D25" t="e">
            <v>#NAME?</v>
          </cell>
        </row>
        <row r="26">
          <cell r="B26" t="str">
            <v>Net interest income/(expense)</v>
          </cell>
          <cell r="C26" t="str">
            <v>NET_INT_EXP</v>
          </cell>
          <cell r="D26" t="e">
            <v>#NAME?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e">
            <v>#NAME?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e">
            <v>#NAME?</v>
          </cell>
        </row>
        <row r="29">
          <cell r="B29" t="str">
            <v>Other non-ops income/(expense)</v>
          </cell>
          <cell r="C29" t="str">
            <v>OTH_COST_INC</v>
          </cell>
          <cell r="D29" t="e">
            <v>#NAME?</v>
          </cell>
        </row>
        <row r="30">
          <cell r="B30" t="str">
            <v>Pre-tax profit</v>
          </cell>
          <cell r="C30" t="str">
            <v>PT_PROF</v>
          </cell>
          <cell r="D30" t="e">
            <v>#NAME?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e">
            <v>#NAME?</v>
          </cell>
        </row>
        <row r="33">
          <cell r="B33" t="str">
            <v>Lease payments</v>
          </cell>
          <cell r="C33" t="str">
            <v>LEASE_PAY</v>
          </cell>
          <cell r="D33" t="e">
            <v>#NAME?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e">
            <v>#NAME?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e">
            <v>#NAME?</v>
          </cell>
        </row>
        <row r="36">
          <cell r="B36" t="str">
            <v>Gross interest charge</v>
          </cell>
          <cell r="C36" t="str">
            <v>NET_INT_CH</v>
          </cell>
          <cell r="D36" t="e">
            <v>#NAME?</v>
          </cell>
        </row>
        <row r="37">
          <cell r="B37" t="str">
            <v>Income from associates (operating)</v>
          </cell>
          <cell r="C37" t="str">
            <v>ASSOCIATE_OP</v>
          </cell>
          <cell r="D37" t="e">
            <v>#NAME?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e">
            <v>#NAME?</v>
          </cell>
        </row>
        <row r="40">
          <cell r="B40" t="str">
            <v>Accounts receivable</v>
          </cell>
          <cell r="C40" t="str">
            <v>DEBTORS</v>
          </cell>
          <cell r="D40" t="e">
            <v>#NAME?</v>
          </cell>
        </row>
        <row r="41">
          <cell r="B41" t="str">
            <v>Inventory</v>
          </cell>
          <cell r="C41" t="str">
            <v>STOCKS</v>
          </cell>
          <cell r="D41" t="e">
            <v>#NAME?</v>
          </cell>
        </row>
        <row r="42">
          <cell r="B42" t="str">
            <v>Other current assets</v>
          </cell>
          <cell r="C42" t="str">
            <v>OTH_CUR_ASS</v>
          </cell>
          <cell r="D42" t="e">
            <v>#NAME?</v>
          </cell>
        </row>
        <row r="43">
          <cell r="B43" t="str">
            <v>Total current assets</v>
          </cell>
          <cell r="C43" t="str">
            <v>CUR_ASS</v>
          </cell>
          <cell r="D43" t="e">
            <v>#NAME?</v>
          </cell>
        </row>
        <row r="44">
          <cell r="B44" t="str">
            <v>Gross fixed assets, PP&amp;E</v>
          </cell>
          <cell r="C44" t="str">
            <v>GR_FIX_ASS</v>
          </cell>
          <cell r="D44" t="e">
            <v>#NAME?</v>
          </cell>
        </row>
        <row r="45">
          <cell r="B45" t="str">
            <v>Accumulated depreciation</v>
          </cell>
          <cell r="C45" t="str">
            <v>ACC_DDA</v>
          </cell>
          <cell r="D45" t="e">
            <v>#NAME?</v>
          </cell>
        </row>
        <row r="46">
          <cell r="B46" t="str">
            <v>Net PP&amp;E</v>
          </cell>
          <cell r="C46" t="str">
            <v>NET_FIX_ASS</v>
          </cell>
          <cell r="D46" t="e">
            <v>#NAME?</v>
          </cell>
        </row>
        <row r="47">
          <cell r="B47" t="str">
            <v>Gross intangibles</v>
          </cell>
          <cell r="C47" t="str">
            <v>GR_INTANG</v>
          </cell>
          <cell r="D47" t="e">
            <v>#NAME?</v>
          </cell>
        </row>
        <row r="48">
          <cell r="B48" t="str">
            <v>Accumulated amortization</v>
          </cell>
          <cell r="C48" t="str">
            <v>ACC_AMORT</v>
          </cell>
          <cell r="D48" t="e">
            <v>#NAME?</v>
          </cell>
        </row>
        <row r="49">
          <cell r="B49" t="str">
            <v>Net intangible assets</v>
          </cell>
          <cell r="C49" t="str">
            <v>NET_INTANG</v>
          </cell>
          <cell r="D49" t="e">
            <v>#NAME?</v>
          </cell>
        </row>
        <row r="50">
          <cell r="B50" t="str">
            <v>Equity method investments</v>
          </cell>
          <cell r="C50" t="str">
            <v>FIX_ASS_INV</v>
          </cell>
          <cell r="D50" t="e">
            <v>#NAME?</v>
          </cell>
        </row>
        <row r="51">
          <cell r="B51" t="str">
            <v>Investments in securities</v>
          </cell>
          <cell r="C51" t="str">
            <v>INV_SECUR</v>
          </cell>
          <cell r="D51" t="e">
            <v>#NAME?</v>
          </cell>
        </row>
        <row r="52">
          <cell r="B52" t="str">
            <v>Other long-term assets</v>
          </cell>
          <cell r="C52" t="str">
            <v>OTH_LT_ASS</v>
          </cell>
          <cell r="D52" t="e">
            <v>#NAME?</v>
          </cell>
        </row>
        <row r="53">
          <cell r="B53" t="str">
            <v>Total assets</v>
          </cell>
          <cell r="C53" t="str">
            <v>TOT_ASSET</v>
          </cell>
          <cell r="D53" t="e">
            <v>#NAME?</v>
          </cell>
        </row>
        <row r="54">
          <cell r="B54" t="str">
            <v>Accounts payable</v>
          </cell>
          <cell r="C54" t="str">
            <v>ACC_PAY_GQ</v>
          </cell>
          <cell r="D54" t="e">
            <v>#NAME?</v>
          </cell>
        </row>
        <row r="55">
          <cell r="B55" t="str">
            <v>Short-term debt</v>
          </cell>
          <cell r="C55" t="str">
            <v>SHORT_T_DEBT</v>
          </cell>
          <cell r="D55" t="e">
            <v>#NAME?</v>
          </cell>
        </row>
        <row r="56">
          <cell r="B56" t="str">
            <v>Other current liabilities</v>
          </cell>
          <cell r="C56" t="str">
            <v>OTH_CUR_LIABS</v>
          </cell>
          <cell r="D56" t="e">
            <v>#NAME?</v>
          </cell>
        </row>
        <row r="57">
          <cell r="B57" t="str">
            <v>Total current liabilities</v>
          </cell>
          <cell r="C57" t="str">
            <v>SHORT_TERM_LIABS</v>
          </cell>
          <cell r="D57" t="e">
            <v>#NAME?</v>
          </cell>
        </row>
        <row r="58">
          <cell r="B58" t="str">
            <v>Long-term  debt</v>
          </cell>
          <cell r="C58" t="str">
            <v>LT_DEBT</v>
          </cell>
          <cell r="D58" t="e">
            <v>#NAME?</v>
          </cell>
        </row>
        <row r="59">
          <cell r="B59" t="str">
            <v>Other long-term liabilities</v>
          </cell>
          <cell r="C59" t="str">
            <v>OTH_LT_CRED_GQ</v>
          </cell>
          <cell r="D59" t="e">
            <v>#NAME?</v>
          </cell>
        </row>
        <row r="60">
          <cell r="B60" t="str">
            <v>Total long-term liabilities</v>
          </cell>
          <cell r="C60" t="str">
            <v>TOT_LT_LIAB</v>
          </cell>
          <cell r="D60" t="e">
            <v>#NAME?</v>
          </cell>
        </row>
        <row r="61">
          <cell r="B61" t="str">
            <v>Total liabilities</v>
          </cell>
          <cell r="C61" t="str">
            <v>TOT_LIAB</v>
          </cell>
          <cell r="D61" t="e">
            <v>#NAME?</v>
          </cell>
        </row>
        <row r="62">
          <cell r="B62" t="str">
            <v>Preferred shares</v>
          </cell>
          <cell r="C62" t="str">
            <v>PREF_SH</v>
          </cell>
          <cell r="D62" t="e">
            <v>#NAME?</v>
          </cell>
        </row>
        <row r="63">
          <cell r="B63" t="str">
            <v>Total common equity</v>
          </cell>
          <cell r="C63" t="str">
            <v>ORD_SH_FUND</v>
          </cell>
          <cell r="D63" t="e">
            <v>#NAME?</v>
          </cell>
        </row>
        <row r="64">
          <cell r="B64" t="str">
            <v>Minority interest</v>
          </cell>
          <cell r="C64" t="str">
            <v>MINORITIES</v>
          </cell>
          <cell r="D64" t="e">
            <v>#NAME?</v>
          </cell>
        </row>
        <row r="65">
          <cell r="B65" t="str">
            <v>Total shareholders' equity</v>
          </cell>
          <cell r="C65" t="str">
            <v>EQ</v>
          </cell>
          <cell r="D65" t="e">
            <v>#NAME?</v>
          </cell>
        </row>
        <row r="66">
          <cell r="B66" t="str">
            <v>Total liabilities and equity</v>
          </cell>
          <cell r="C66" t="str">
            <v>TOT_LIAB_EQ</v>
          </cell>
          <cell r="D66" t="e">
            <v>#NAME?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</row>
        <row r="69">
          <cell r="B69" t="str">
            <v>% US$ debt hedged (principal)</v>
          </cell>
          <cell r="C69" t="str">
            <v>TOT_PCT_USD_DEBT_HEDGED</v>
          </cell>
        </row>
        <row r="70">
          <cell r="B70" t="str">
            <v>% Floating debt (local currency debt)</v>
          </cell>
          <cell r="C70" t="str">
            <v>FLOATING_PCT_LOCAL_DEBT</v>
          </cell>
        </row>
        <row r="71">
          <cell r="B71" t="str">
            <v>% floating debt hedged (rates)</v>
          </cell>
          <cell r="C71" t="str">
            <v>FLOATING_PCT_LOCAL_DEBT_HEDGED</v>
          </cell>
        </row>
        <row r="72">
          <cell r="B72" t="str">
            <v>Net debt</v>
          </cell>
          <cell r="C72" t="str">
            <v>NET_DEBT</v>
          </cell>
          <cell r="D72" t="e">
            <v>#NAME?</v>
          </cell>
        </row>
        <row r="73">
          <cell r="B73" t="str">
            <v>Capitalized leases</v>
          </cell>
          <cell r="C73" t="str">
            <v>CAP_LEASES</v>
          </cell>
          <cell r="D73" t="e">
            <v>#NAME?</v>
          </cell>
        </row>
        <row r="74">
          <cell r="B74" t="str">
            <v>Deferred income taxes</v>
          </cell>
          <cell r="C74" t="str">
            <v>DEF_INC_TAX</v>
          </cell>
          <cell r="D74" t="e">
            <v>#NAME?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e">
            <v>#NAME?</v>
          </cell>
        </row>
        <row r="76">
          <cell r="B76" t="str">
            <v>Net debt adjustment</v>
          </cell>
          <cell r="C76" t="str">
            <v>NET_DEBT_ADJ</v>
          </cell>
          <cell r="D76" t="e">
            <v>#NAME?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 t="e">
            <v>#NAME?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e">
            <v>#NAME?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e">
            <v>#NAME?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e">
            <v>#NAME?</v>
          </cell>
        </row>
        <row r="82">
          <cell r="B82" t="str">
            <v>Other GCI adjustments</v>
          </cell>
          <cell r="C82" t="str">
            <v>OTH_GCI_ADJ</v>
          </cell>
          <cell r="D82" t="e">
            <v>#NAME?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 t="e">
            <v>#NAME?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e">
            <v>#NAME?</v>
          </cell>
        </row>
        <row r="87">
          <cell r="B87" t="str">
            <v>Depreciation &amp; amortization add-back</v>
          </cell>
          <cell r="C87" t="str">
            <v>DEPR_AMORT</v>
          </cell>
          <cell r="D87" t="e">
            <v>#NAME?</v>
          </cell>
        </row>
        <row r="88">
          <cell r="B88" t="str">
            <v>(Increase)/decrease in working capital</v>
          </cell>
          <cell r="C88" t="str">
            <v>WORK_CAP</v>
          </cell>
          <cell r="D88" t="e">
            <v>#NAME?</v>
          </cell>
        </row>
        <row r="89">
          <cell r="B89" t="str">
            <v>Other operating cash flow items</v>
          </cell>
          <cell r="C89" t="str">
            <v>OTH_OP_CF</v>
          </cell>
          <cell r="D89" t="e">
            <v>#NAME?</v>
          </cell>
        </row>
        <row r="90">
          <cell r="B90" t="str">
            <v>Cash flow from operating activities</v>
          </cell>
          <cell r="C90" t="str">
            <v>CF_OPS</v>
          </cell>
          <cell r="D90" t="e">
            <v>#NAME?</v>
          </cell>
        </row>
        <row r="91">
          <cell r="B91" t="str">
            <v>Capital expenditures, Capex</v>
          </cell>
          <cell r="C91" t="str">
            <v>CAPEX</v>
          </cell>
          <cell r="D91" t="e">
            <v>#NAME?</v>
          </cell>
        </row>
        <row r="92">
          <cell r="B92" t="str">
            <v>Acquisitions</v>
          </cell>
          <cell r="C92" t="str">
            <v>ACQ</v>
          </cell>
          <cell r="D92" t="e">
            <v>#NAME?</v>
          </cell>
        </row>
        <row r="93">
          <cell r="B93" t="str">
            <v>Divestitures</v>
          </cell>
          <cell r="C93" t="str">
            <v>DIVEST</v>
          </cell>
          <cell r="D93" t="e">
            <v>#NAME?</v>
          </cell>
        </row>
        <row r="94">
          <cell r="B94" t="str">
            <v>Other investing cash flow items</v>
          </cell>
          <cell r="C94" t="str">
            <v>OTH_INV_CF</v>
          </cell>
          <cell r="D94" t="e">
            <v>#NAME?</v>
          </cell>
        </row>
        <row r="95">
          <cell r="B95" t="str">
            <v>Cash flow from investing</v>
          </cell>
          <cell r="C95" t="str">
            <v>CF_INV</v>
          </cell>
          <cell r="D95" t="e">
            <v>#NAME?</v>
          </cell>
        </row>
        <row r="96">
          <cell r="B96" t="str">
            <v>Dividends paid</v>
          </cell>
          <cell r="C96" t="str">
            <v>DIV_PAID</v>
          </cell>
          <cell r="D96" t="e">
            <v>#NAME?</v>
          </cell>
        </row>
        <row r="97">
          <cell r="B97" t="str">
            <v>Common stock issuance/(repurchase)</v>
          </cell>
          <cell r="C97" t="str">
            <v>SH_REPUR</v>
          </cell>
          <cell r="D97" t="e">
            <v>#NAME?</v>
          </cell>
        </row>
        <row r="98">
          <cell r="B98" t="str">
            <v>Increase/(decrease) in total debt</v>
          </cell>
          <cell r="C98" t="str">
            <v>CHG_LT_DEBT</v>
          </cell>
          <cell r="D98" t="e">
            <v>#NAME?</v>
          </cell>
        </row>
        <row r="99">
          <cell r="B99" t="str">
            <v>Other financing cash flow items</v>
          </cell>
          <cell r="C99" t="str">
            <v>OTH_FIN_CF</v>
          </cell>
          <cell r="D99" t="e">
            <v>#NAME?</v>
          </cell>
        </row>
        <row r="100">
          <cell r="B100" t="str">
            <v>Cash flow from financing</v>
          </cell>
          <cell r="C100" t="str">
            <v>CF_FIN</v>
          </cell>
          <cell r="D100" t="e">
            <v>#NAME?</v>
          </cell>
        </row>
        <row r="101">
          <cell r="B101" t="str">
            <v>Total cash flow</v>
          </cell>
          <cell r="C101" t="str">
            <v>TOT_CF</v>
          </cell>
          <cell r="D101" t="e">
            <v>#NAME?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e">
            <v>#NAME?</v>
          </cell>
        </row>
        <row r="104">
          <cell r="B104" t="str">
            <v>Profit/(loss) on sale of assets</v>
          </cell>
          <cell r="C104" t="str">
            <v>PL_SALE_ASSETS</v>
          </cell>
          <cell r="D104" t="e">
            <v>#NAME?</v>
          </cell>
        </row>
        <row r="105">
          <cell r="B105" t="str">
            <v>Other non-cash adjustments</v>
          </cell>
          <cell r="C105" t="str">
            <v>OTH_NONCASH_ADJ</v>
          </cell>
          <cell r="D105" t="e">
            <v>#NAME?</v>
          </cell>
        </row>
        <row r="106">
          <cell r="B106" t="str">
            <v>Other DACF adjustments</v>
          </cell>
          <cell r="C106" t="str">
            <v>OTH_DACF_ADJ</v>
          </cell>
          <cell r="D106" t="e">
            <v>#NAME?</v>
          </cell>
        </row>
        <row r="107">
          <cell r="B107" t="str">
            <v>Cash interest expense</v>
          </cell>
          <cell r="C107" t="str">
            <v>CASH_INT_EXP</v>
          </cell>
          <cell r="D107" t="e">
            <v>#NAME?</v>
          </cell>
        </row>
        <row r="108">
          <cell r="B108" t="str">
            <v>Cash tax expense</v>
          </cell>
          <cell r="C108" t="str">
            <v>CASH_TAX_EXP</v>
          </cell>
          <cell r="D108" t="e">
            <v>#NAME?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e">
            <v>#NAME?</v>
          </cell>
        </row>
        <row r="110">
          <cell r="B110" t="str">
            <v>Capex maintenance</v>
          </cell>
          <cell r="C110" t="str">
            <v>CAPEX_MAINTENANCE</v>
          </cell>
          <cell r="D110" t="e">
            <v>#NAME?</v>
          </cell>
        </row>
        <row r="111">
          <cell r="B111" t="str">
            <v>Capex expansion</v>
          </cell>
          <cell r="C111" t="str">
            <v>CAPEX_EXPANSION</v>
          </cell>
          <cell r="D111" t="e">
            <v>#NAME?</v>
          </cell>
        </row>
        <row r="112">
          <cell r="B112" t="str">
            <v>Non-PP&amp;E capex</v>
          </cell>
          <cell r="C112" t="str">
            <v>NONPPE_CAPEX</v>
          </cell>
          <cell r="D112" t="e">
            <v>#NAME?</v>
          </cell>
        </row>
        <row r="113">
          <cell r="B113" t="str">
            <v>Dividends paid to minorities</v>
          </cell>
          <cell r="C113" t="str">
            <v>DIVDS_PD_MINORITIES</v>
          </cell>
          <cell r="D113" t="e">
            <v>#NAME?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4">
          <cell r="B174" t="str">
            <v>Sales - % Industry Sub-Segment: Oil &amp; Gas</v>
          </cell>
          <cell r="C174" t="str">
            <v>SALES_OIL_GAS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3">
          <cell r="A183" t="str">
            <v>FX Exposure - Sales</v>
          </cell>
        </row>
        <row r="184">
          <cell r="B184" t="str">
            <v>Sales - % FX: British Pounds/Pence</v>
          </cell>
          <cell r="C184" t="str">
            <v>SALES_FX_GPB</v>
          </cell>
        </row>
        <row r="185">
          <cell r="B185" t="str">
            <v>Sales - % FX: Euro</v>
          </cell>
          <cell r="C185" t="str">
            <v>SALES_FX_EUR</v>
          </cell>
        </row>
        <row r="186">
          <cell r="B186" t="str">
            <v>Sales - % FX: New Russian Ruble</v>
          </cell>
          <cell r="C186" t="str">
            <v>SALES_FX_RUB</v>
          </cell>
        </row>
        <row r="187">
          <cell r="B187" t="str">
            <v>Sales - % FX: U.S. Dollar</v>
          </cell>
          <cell r="C187" t="str">
            <v>SALES_FX_USD</v>
          </cell>
        </row>
        <row r="188">
          <cell r="B188" t="str">
            <v>Sales - % FX: Brazilian Real</v>
          </cell>
          <cell r="C188" t="str">
            <v>SALES_FX_BRL</v>
          </cell>
        </row>
        <row r="189">
          <cell r="B189" t="str">
            <v>Sales - % FX: Japanese Yen</v>
          </cell>
          <cell r="C189" t="str">
            <v>SALES_FX_YEN</v>
          </cell>
        </row>
        <row r="190">
          <cell r="B190" t="str">
            <v>Sales - % FX: Chinese Renminbi</v>
          </cell>
          <cell r="C190" t="str">
            <v>SALES_FX_CNY</v>
          </cell>
        </row>
        <row r="191">
          <cell r="B191" t="str">
            <v>Sales - % FX: Indian Rupee</v>
          </cell>
          <cell r="C191" t="str">
            <v>SALES_FX_INR</v>
          </cell>
        </row>
        <row r="192">
          <cell r="B192" t="str">
            <v>Sales - % FX: South Korean Won</v>
          </cell>
          <cell r="C192" t="str">
            <v>SALES_FX_KRW</v>
          </cell>
        </row>
        <row r="193">
          <cell r="B193" t="str">
            <v>Sales - % FX: Taiwan Dollar</v>
          </cell>
          <cell r="C193" t="str">
            <v>SALES_FX_TWD</v>
          </cell>
        </row>
        <row r="194">
          <cell r="B194" t="str">
            <v>Sales - % FX: Other Currency</v>
          </cell>
          <cell r="C194" t="str">
            <v>SALES_FX_OTH</v>
          </cell>
        </row>
        <row r="195">
          <cell r="A195" t="str">
            <v>Items to be removed</v>
          </cell>
        </row>
        <row r="196">
          <cell r="B196" t="str">
            <v>Sales - Total % Americas</v>
          </cell>
          <cell r="C196" t="str">
            <v>SALES_TOT_AM</v>
          </cell>
        </row>
        <row r="197">
          <cell r="B197" t="str">
            <v>Sales - % Other Americas</v>
          </cell>
          <cell r="C197" t="str">
            <v>SALES_OTH_AM</v>
          </cell>
        </row>
        <row r="198">
          <cell r="B198" t="str">
            <v>Sales - Total % EMEA</v>
          </cell>
          <cell r="C198" t="str">
            <v>SALES_TOT_EMEA</v>
          </cell>
        </row>
        <row r="199">
          <cell r="B199" t="str">
            <v>Sales - % Western Europe-Ex UK</v>
          </cell>
          <cell r="C199" t="str">
            <v>SALES_EU_EX_UK</v>
          </cell>
        </row>
        <row r="200">
          <cell r="B200" t="str">
            <v>Sales - % Central &amp; Eastern Europe</v>
          </cell>
          <cell r="C200" t="str">
            <v>SALES_CEE</v>
          </cell>
        </row>
        <row r="201">
          <cell r="B201" t="str">
            <v>Sales - % Middle East</v>
          </cell>
          <cell r="C201" t="str">
            <v>SALES_ME</v>
          </cell>
        </row>
        <row r="202">
          <cell r="B202" t="str">
            <v>Sales - % Total Africa</v>
          </cell>
          <cell r="C202" t="str">
            <v>SALES_TOT_AFRICA</v>
          </cell>
        </row>
        <row r="203">
          <cell r="B203" t="str">
            <v>Sales - % Other EMEA</v>
          </cell>
          <cell r="C203" t="str">
            <v>SALES_OTH_EMEA</v>
          </cell>
        </row>
        <row r="204">
          <cell r="B204" t="str">
            <v>Sales - Total % Asia (incl Australia &amp; New Zealand)</v>
          </cell>
          <cell r="C204" t="str">
            <v>SALES_TOT_ASIA</v>
          </cell>
        </row>
        <row r="205">
          <cell r="B205" t="str">
            <v>Sales - % Other Asia</v>
          </cell>
          <cell r="C205" t="str">
            <v>SALES_OTH_AEJ</v>
          </cell>
        </row>
        <row r="206">
          <cell r="A206" t="str">
            <v>Security: Dongxu Optoelectronic Technology Co.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000413.SZ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Dongxu Optoelectronic Technology Co.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</row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e">
            <v>#NAME?</v>
          </cell>
        </row>
        <row r="219">
          <cell r="B219" t="str">
            <v>Target price period</v>
          </cell>
          <cell r="C219" t="str">
            <v>TP_PERIOD</v>
          </cell>
        </row>
        <row r="220">
          <cell r="B220" t="str">
            <v>Fundamental value</v>
          </cell>
          <cell r="C220" t="str">
            <v>TARGET_PRICE_FUNDAMENTAL</v>
          </cell>
          <cell r="D220" t="e">
            <v>#NAME?</v>
          </cell>
        </row>
        <row r="221">
          <cell r="B221" t="str">
            <v>M&amp;A value</v>
          </cell>
          <cell r="C221" t="str">
            <v>TARGET_PRICE_MA</v>
          </cell>
          <cell r="D221" t="e">
            <v>#NAME?</v>
          </cell>
        </row>
        <row r="222">
          <cell r="B222" t="str">
            <v>Current shares outstanding (mn)</v>
          </cell>
          <cell r="C222" t="str">
            <v>NUM_SH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37">
          <cell r="A237" t="str">
            <v>Publishing Items</v>
          </cell>
        </row>
        <row r="238">
          <cell r="B238" t="str">
            <v>Book value per share, BVPS (Pub)</v>
          </cell>
          <cell r="C238" t="str">
            <v>BVPS_PUB</v>
          </cell>
          <cell r="D238" t="e">
            <v>#NAME?</v>
          </cell>
        </row>
        <row r="239">
          <cell r="B239" t="str">
            <v>DPS, dividend per share (Pub)</v>
          </cell>
          <cell r="C239" t="str">
            <v>DPS_PUB</v>
          </cell>
          <cell r="D239" t="e">
            <v>#NAME?</v>
          </cell>
        </row>
        <row r="240">
          <cell r="B240" t="str">
            <v>Special dividend per share</v>
          </cell>
          <cell r="C240" t="str">
            <v>DPS_SPECIAL_PUB</v>
          </cell>
          <cell r="D240" t="e">
            <v>#NAME?</v>
          </cell>
        </row>
        <row r="241">
          <cell r="B241" t="str">
            <v>EBITDA (Pub)</v>
          </cell>
          <cell r="C241" t="str">
            <v>EBITDA_PUB</v>
          </cell>
          <cell r="D241" t="e">
            <v>#NAME?</v>
          </cell>
        </row>
        <row r="242">
          <cell r="B242" t="str">
            <v>EPS (Pub)</v>
          </cell>
          <cell r="C242" t="str">
            <v>EPS_PUB</v>
          </cell>
          <cell r="D242" t="e">
            <v>#NAME?</v>
          </cell>
        </row>
        <row r="243">
          <cell r="B243" t="str">
            <v>EV adjustment (Pub)</v>
          </cell>
          <cell r="C243" t="str">
            <v>EV_ADJ_PUB</v>
          </cell>
          <cell r="D243" t="e">
            <v>#NAME?</v>
          </cell>
        </row>
        <row r="244">
          <cell r="B244" t="str">
            <v>Net debt (Pub)</v>
          </cell>
          <cell r="C244" t="str">
            <v>NET_DEBT_PUB</v>
          </cell>
          <cell r="D244" t="e">
            <v>#NAME?</v>
          </cell>
        </row>
        <row r="245">
          <cell r="B245" t="str">
            <v>Net income (Pub)</v>
          </cell>
          <cell r="C245" t="str">
            <v>NI_PUB</v>
          </cell>
          <cell r="D245" t="e">
            <v>#NAME?</v>
          </cell>
        </row>
        <row r="246">
          <cell r="B246" t="str">
            <v>EBIT, operating profit (Pub)</v>
          </cell>
          <cell r="C246" t="str">
            <v>EBIT_PUB</v>
          </cell>
          <cell r="D246" t="e">
            <v>#NAME?</v>
          </cell>
        </row>
        <row r="247">
          <cell r="B247" t="str">
            <v>Pre-tax profit (Pub)</v>
          </cell>
          <cell r="C247" t="str">
            <v>PTP_PUB</v>
          </cell>
          <cell r="D247" t="e">
            <v>#NAME?</v>
          </cell>
        </row>
        <row r="248">
          <cell r="B248" t="str">
            <v>Sales, revenue (Pub)</v>
          </cell>
          <cell r="C248" t="str">
            <v>REVS_PUB</v>
          </cell>
          <cell r="D248" t="e">
            <v>#NAME?</v>
          </cell>
        </row>
        <row r="249">
          <cell r="B249" t="str">
            <v>Total shareholders' equity (Pub)</v>
          </cell>
          <cell r="C249" t="str">
            <v>EQ_PUB</v>
          </cell>
          <cell r="D249" t="e">
            <v>#NAME?</v>
          </cell>
        </row>
        <row r="250">
          <cell r="B250" t="str">
            <v>EPS (consensus)</v>
          </cell>
          <cell r="C250" t="str">
            <v>EPS_CONS_PUB</v>
          </cell>
          <cell r="D250" t="e">
            <v>#NAME?</v>
          </cell>
        </row>
        <row r="251">
          <cell r="A251" t="str">
            <v>Income Statement</v>
          </cell>
        </row>
        <row r="252">
          <cell r="B252" t="str">
            <v>Provision for income tax</v>
          </cell>
          <cell r="C252" t="str">
            <v>PROV_INC_TAX</v>
          </cell>
          <cell r="D252" t="e">
            <v>#NAME?</v>
          </cell>
        </row>
        <row r="253">
          <cell r="B253" t="str">
            <v>Minority interest</v>
          </cell>
          <cell r="C253" t="str">
            <v>INC_MINORITY</v>
          </cell>
          <cell r="D253" t="e">
            <v>#NAME?</v>
          </cell>
        </row>
        <row r="254">
          <cell r="B254" t="str">
            <v>Net income (pre-preferred dividends)</v>
          </cell>
          <cell r="C254" t="str">
            <v>NI_PRE_PREF</v>
          </cell>
          <cell r="D254" t="e">
            <v>#NAME?</v>
          </cell>
        </row>
        <row r="255">
          <cell r="B255" t="str">
            <v>Preferred dividends</v>
          </cell>
          <cell r="C255" t="str">
            <v>PREF_DIV</v>
          </cell>
          <cell r="D255" t="e">
            <v>#NAME?</v>
          </cell>
        </row>
        <row r="256">
          <cell r="B256" t="str">
            <v>Net income (pre-exceptionals)</v>
          </cell>
          <cell r="C256" t="str">
            <v>NET_EARNING</v>
          </cell>
          <cell r="D256" t="e">
            <v>#NAME?</v>
          </cell>
        </row>
        <row r="257">
          <cell r="B257" t="str">
            <v>Post-tax exceptionals</v>
          </cell>
          <cell r="C257" t="str">
            <v>TAX_EXC</v>
          </cell>
          <cell r="D257" t="e">
            <v>#NAME?</v>
          </cell>
        </row>
        <row r="258">
          <cell r="B258" t="str">
            <v>Net income (post-exceptionals)</v>
          </cell>
          <cell r="C258" t="str">
            <v>NET_INC</v>
          </cell>
          <cell r="D258" t="e">
            <v>#NAME?</v>
          </cell>
        </row>
        <row r="259">
          <cell r="B259" t="str">
            <v>EPS (pre-exceptionals, basic)</v>
          </cell>
          <cell r="C259" t="str">
            <v>EPS</v>
          </cell>
          <cell r="D259" t="e">
            <v>#NAME?</v>
          </cell>
        </row>
        <row r="260">
          <cell r="B260" t="str">
            <v>EPS (pre-exceptionals, diluted)</v>
          </cell>
          <cell r="C260" t="str">
            <v>EPS_FUL_DIL</v>
          </cell>
          <cell r="D260" t="e">
            <v>#NAME?</v>
          </cell>
        </row>
        <row r="261">
          <cell r="B261" t="str">
            <v>EPS (post-exceptionals, basic)</v>
          </cell>
          <cell r="C261" t="str">
            <v>EPS_POST_BASIC</v>
          </cell>
          <cell r="D261" t="e">
            <v>#NAME?</v>
          </cell>
        </row>
        <row r="262">
          <cell r="B262" t="str">
            <v>EPS (post-exceptionals, diluted)</v>
          </cell>
          <cell r="C262" t="str">
            <v>FULLY_DIL_EPS</v>
          </cell>
          <cell r="D262" t="e">
            <v>#NAME?</v>
          </cell>
        </row>
        <row r="263">
          <cell r="B263" t="str">
            <v>Common dividends paid</v>
          </cell>
          <cell r="C263" t="str">
            <v>COMMON_DIV_PAID</v>
          </cell>
          <cell r="D263" t="e">
            <v>#NAME?</v>
          </cell>
        </row>
        <row r="264">
          <cell r="B264" t="str">
            <v>DPS, dividend per share</v>
          </cell>
          <cell r="C264" t="str">
            <v>DPS</v>
          </cell>
          <cell r="D264" t="e">
            <v>#NAME?</v>
          </cell>
        </row>
        <row r="265">
          <cell r="B265" t="str">
            <v>Weighted average shares outstanding, basic</v>
          </cell>
          <cell r="C265" t="str">
            <v>SH</v>
          </cell>
        </row>
        <row r="266">
          <cell r="B266" t="str">
            <v>Diluted average shares outstanding (mn)</v>
          </cell>
          <cell r="C266" t="str">
            <v>DILUTE_SHARES</v>
          </cell>
        </row>
        <row r="267">
          <cell r="B267" t="str">
            <v>Period-end shares outstanding</v>
          </cell>
          <cell r="C267" t="str">
            <v>NON_OP_ADD</v>
          </cell>
        </row>
        <row r="268">
          <cell r="A268" t="str">
            <v>Additional Income Statement Items</v>
          </cell>
        </row>
        <row r="269">
          <cell r="B269" t="str">
            <v>Marginal tax rate</v>
          </cell>
          <cell r="C269" t="str">
            <v>MARGIN_TAX_RATE</v>
          </cell>
        </row>
        <row r="270">
          <cell r="B270" t="str">
            <v>Net income (consensus) (Pub)</v>
          </cell>
          <cell r="C270" t="str">
            <v>NI_CONS</v>
          </cell>
          <cell r="D270" t="e">
            <v>#NAME?</v>
          </cell>
        </row>
        <row r="271">
          <cell r="A271" t="str">
            <v>Balance Sheet</v>
          </cell>
        </row>
        <row r="272">
          <cell r="B272" t="str">
            <v>BVPS, book value per share</v>
          </cell>
          <cell r="C272" t="str">
            <v>BVPS</v>
          </cell>
          <cell r="D272" t="e">
            <v>#NAME?</v>
          </cell>
        </row>
        <row r="273">
          <cell r="A273" t="str">
            <v>Cash Flow Statement</v>
          </cell>
        </row>
        <row r="274">
          <cell r="B274" t="str">
            <v>Net income (pre-preferred dividends)</v>
          </cell>
          <cell r="C274" t="str">
            <v>CF_NI_PRE_PREF</v>
          </cell>
          <cell r="D274" t="e">
            <v>#NAME?</v>
          </cell>
        </row>
        <row r="275">
          <cell r="A275" t="str">
            <v>Other Items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Valuation"/>
      <sheetName val="AFOSHEET"/>
      <sheetName val="Model"/>
      <sheetName val="Revenue"/>
      <sheetName val="Company Data"/>
      <sheetName val="Basic Data"/>
      <sheetName val="Raw Data"/>
      <sheetName val="Industry Data"/>
      <sheetName val="Ratios"/>
      <sheetName val="002230.SZ_Exchange_Sheet"/>
      <sheetName val="Act Vs Est"/>
      <sheetName val="Act Vs Est_output"/>
      <sheetName val="Market Data"/>
      <sheetName val="002230.SZ_Live_Sheet"/>
      <sheetName val="002230.SZ_Validation_Sheet"/>
      <sheetName val="002230.SZ_Annotation_Sheet"/>
      <sheetName val="exhibit"/>
      <sheetName val="First Take"/>
      <sheetName val="Sheet1"/>
      <sheetName val="Comment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Issuer: Anhui USTC iFLYTEK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  <cell r="BF2" t="str">
            <v>Estimate</v>
          </cell>
          <cell r="BG2" t="str">
            <v>Estimate</v>
          </cell>
          <cell r="BH2" t="str">
            <v>Estimate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41729</v>
          </cell>
          <cell r="AQ3">
            <v>41820</v>
          </cell>
          <cell r="AR3">
            <v>41912</v>
          </cell>
          <cell r="AS3">
            <v>42004</v>
          </cell>
          <cell r="AT3">
            <v>42004</v>
          </cell>
          <cell r="AU3">
            <v>42094</v>
          </cell>
          <cell r="AV3">
            <v>42185</v>
          </cell>
          <cell r="AW3">
            <v>42277</v>
          </cell>
          <cell r="AX3">
            <v>42369</v>
          </cell>
          <cell r="AY3">
            <v>42369</v>
          </cell>
          <cell r="AZ3">
            <v>42460</v>
          </cell>
          <cell r="BA3">
            <v>42551</v>
          </cell>
          <cell r="BB3">
            <v>42643</v>
          </cell>
          <cell r="BC3">
            <v>42735</v>
          </cell>
          <cell r="BD3">
            <v>42735</v>
          </cell>
          <cell r="BE3">
            <v>43100</v>
          </cell>
          <cell r="BF3">
            <v>43465</v>
          </cell>
          <cell r="BG3">
            <v>43830</v>
          </cell>
          <cell r="BH3">
            <v>44196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7">
          <cell r="E7" t="str">
            <v>CNY</v>
          </cell>
        </row>
        <row r="8">
          <cell r="A8" t="str">
            <v>Income Statement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81.567521810000002</v>
          </cell>
          <cell r="R9">
            <v>171.35527556</v>
          </cell>
          <cell r="S9">
            <v>205.81020808000002</v>
          </cell>
          <cell r="T9">
            <v>257.55214083999999</v>
          </cell>
          <cell r="U9">
            <v>307.12515289999999</v>
          </cell>
          <cell r="V9">
            <v>56.149818959999998</v>
          </cell>
          <cell r="W9">
            <v>100.95747109999999</v>
          </cell>
          <cell r="X9">
            <v>91.656234120000022</v>
          </cell>
          <cell r="Y9">
            <v>187.29381423999999</v>
          </cell>
          <cell r="Z9">
            <v>436.05733842000001</v>
          </cell>
          <cell r="AA9">
            <v>85.70098981999999</v>
          </cell>
          <cell r="AB9">
            <v>135.60514433000003</v>
          </cell>
          <cell r="AC9">
            <v>121.29126283999997</v>
          </cell>
          <cell r="AD9">
            <v>214.41613370000005</v>
          </cell>
          <cell r="AE9">
            <v>557.01353069000004</v>
          </cell>
          <cell r="AF9">
            <v>130.06769266000001</v>
          </cell>
          <cell r="AG9">
            <v>173.60203297000001</v>
          </cell>
          <cell r="AH9">
            <v>223.27271113999996</v>
          </cell>
          <cell r="AI9">
            <v>256.99824694000006</v>
          </cell>
          <cell r="AJ9">
            <v>783.94068371000003</v>
          </cell>
          <cell r="AK9">
            <v>173.04575912000001</v>
          </cell>
          <cell r="AL9">
            <v>246.05492519000001</v>
          </cell>
          <cell r="AM9">
            <v>338.35138807999999</v>
          </cell>
          <cell r="AN9">
            <v>496.25567838999996</v>
          </cell>
          <cell r="AO9">
            <v>1253.70775078</v>
          </cell>
          <cell r="AP9">
            <v>261.93893664000001</v>
          </cell>
          <cell r="AQ9">
            <v>385.75291031</v>
          </cell>
          <cell r="AR9">
            <v>457.65699877000009</v>
          </cell>
          <cell r="AS9">
            <v>669.86176722999994</v>
          </cell>
          <cell r="AT9">
            <v>1775.21061295</v>
          </cell>
          <cell r="AU9">
            <v>406.10641343999998</v>
          </cell>
          <cell r="AV9">
            <v>633.04558938000002</v>
          </cell>
          <cell r="AW9">
            <v>635.01307904999999</v>
          </cell>
          <cell r="AX9">
            <v>1002.5334304755005</v>
          </cell>
          <cell r="AY9">
            <v>2676.6985123455006</v>
          </cell>
          <cell r="AZ9">
            <v>646.72926008220531</v>
          </cell>
          <cell r="BA9">
            <v>1006.6765591764045</v>
          </cell>
          <cell r="BB9">
            <v>1013.9766353329485</v>
          </cell>
          <cell r="BC9">
            <v>1663.2285040570675</v>
          </cell>
          <cell r="BD9">
            <v>4330.6109586486264</v>
          </cell>
          <cell r="BE9">
            <v>6453.9801797084629</v>
          </cell>
          <cell r="BF9">
            <v>8946.4943887941354</v>
          </cell>
          <cell r="BG9">
            <v>11371.52991188719</v>
          </cell>
          <cell r="BH9">
            <v>13437.821238788381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-38.670562320000002</v>
          </cell>
          <cell r="R11">
            <v>-100.84862429</v>
          </cell>
          <cell r="S11">
            <v>-118.43721120999999</v>
          </cell>
          <cell r="T11">
            <v>-132.51299926000002</v>
          </cell>
          <cell r="U11">
            <v>-136.15412576</v>
          </cell>
          <cell r="V11">
            <v>-19.886910180000001</v>
          </cell>
          <cell r="W11">
            <v>-41.114451759999994</v>
          </cell>
          <cell r="X11">
            <v>-32.557379420000004</v>
          </cell>
          <cell r="Y11">
            <v>-94.47910035999999</v>
          </cell>
          <cell r="Z11">
            <v>-188.03784171999999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-238.18190433000001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-362.68015957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-589.17146577999995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-787.58372898000005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-1245.4141329703252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-1954.2489210162801</v>
          </cell>
          <cell r="BE11">
            <v>-2796.4617434969814</v>
          </cell>
          <cell r="BF11">
            <v>-3872.2793556115025</v>
          </cell>
          <cell r="BG11">
            <v>-4893.2666538623635</v>
          </cell>
          <cell r="BH11">
            <v>-5783.6640597390906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-30.424841219999998</v>
          </cell>
          <cell r="R12">
            <v>-30.735141069999997</v>
          </cell>
          <cell r="S12">
            <v>-30.43567792</v>
          </cell>
          <cell r="T12">
            <v>-43.755671269999993</v>
          </cell>
          <cell r="U12">
            <v>-76.036322139999996</v>
          </cell>
          <cell r="V12">
            <v>-34.071344259999996</v>
          </cell>
          <cell r="W12">
            <v>-38.965258309999996</v>
          </cell>
          <cell r="X12">
            <v>-40.78135185</v>
          </cell>
          <cell r="Y12">
            <v>-50.034409610000012</v>
          </cell>
          <cell r="Z12">
            <v>-101.42310028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-138.3742732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-203.78864164999993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-265.26587710999996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-405.53417097999989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-609.35426075436067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-972.67648794664501</v>
          </cell>
          <cell r="BE12">
            <v>-1418.9502332083132</v>
          </cell>
          <cell r="BF12">
            <v>-1950.239745842206</v>
          </cell>
          <cell r="BG12">
            <v>-2457.7942038675965</v>
          </cell>
          <cell r="BH12">
            <v>-2879.6718769943277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-69.095403540000007</v>
          </cell>
          <cell r="R13">
            <v>-131.58376536</v>
          </cell>
          <cell r="S13">
            <v>-148.87288912999998</v>
          </cell>
          <cell r="T13">
            <v>-176.26867053000001</v>
          </cell>
          <cell r="U13">
            <v>-212.19044789999998</v>
          </cell>
          <cell r="V13">
            <v>-53.958254439999997</v>
          </cell>
          <cell r="W13">
            <v>-80.07971006999999</v>
          </cell>
          <cell r="X13">
            <v>-73.338731270000011</v>
          </cell>
          <cell r="Y13">
            <v>-144.51350997</v>
          </cell>
          <cell r="Z13">
            <v>-289.46094199999999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-376.55617753000001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-566.46880121999993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-854.43734288999985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-1193.1178999599999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-1854.7683937246859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-2926.9254089629248</v>
          </cell>
          <cell r="BE13">
            <v>-4215.4119767052944</v>
          </cell>
          <cell r="BF13">
            <v>-5822.5191014537086</v>
          </cell>
          <cell r="BG13">
            <v>-7351.0608577299599</v>
          </cell>
          <cell r="BH13">
            <v>-8663.3359367334178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-16.365500000000001</v>
          </cell>
          <cell r="T14">
            <v>-21.283100000000001</v>
          </cell>
          <cell r="U14">
            <v>-45.167140360000005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-62.429263749999997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-75.96649124999999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-103.22157700000002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-192.09591624000001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-315.2086432000001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-432.5029577679972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-713.73824161284415</v>
          </cell>
          <cell r="BE14">
            <v>-1084.9696634104605</v>
          </cell>
          <cell r="BF14">
            <v>-1473.9031172588716</v>
          </cell>
          <cell r="BG14">
            <v>-1835.950709140754</v>
          </cell>
          <cell r="BH14">
            <v>-2126.1654387183976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-69.095403540000007</v>
          </cell>
          <cell r="R16">
            <v>-131.58376536</v>
          </cell>
          <cell r="S16">
            <v>-165.23838912999997</v>
          </cell>
          <cell r="T16">
            <v>-197.55177052999997</v>
          </cell>
          <cell r="U16">
            <v>-257.35758826</v>
          </cell>
          <cell r="V16">
            <v>-53.958254439999997</v>
          </cell>
          <cell r="W16">
            <v>-80.07971006999999</v>
          </cell>
          <cell r="X16">
            <v>-73.338731270000011</v>
          </cell>
          <cell r="Y16">
            <v>-171.75622530999999</v>
          </cell>
          <cell r="Z16">
            <v>-351.89020575000001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-452.52266878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-669.69037822000007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-1046.5332591299998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-1508.3265431599998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-2287.2713514926836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-3640.6636505757683</v>
          </cell>
          <cell r="BE16">
            <v>-5300.3816401157546</v>
          </cell>
          <cell r="BF16">
            <v>-7296.4222187125797</v>
          </cell>
          <cell r="BG16">
            <v>-9187.0115668707149</v>
          </cell>
          <cell r="BH16">
            <v>-10789.501375451815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-69.095403540000007</v>
          </cell>
          <cell r="R17">
            <v>-131.58376536</v>
          </cell>
          <cell r="S17">
            <v>-165.23838912999997</v>
          </cell>
          <cell r="T17">
            <v>-185.61078011999999</v>
          </cell>
          <cell r="U17">
            <v>-238.45604829000001</v>
          </cell>
          <cell r="V17">
            <v>-53.958254439999997</v>
          </cell>
          <cell r="W17">
            <v>-80.07971006999999</v>
          </cell>
          <cell r="X17">
            <v>-73.338731270000011</v>
          </cell>
          <cell r="Y17">
            <v>-144.51350997</v>
          </cell>
          <cell r="Z17">
            <v>-324.64749040999999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-406.22062713000003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-607.15638615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-915.12744895999981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-1313.8429241399999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-2029.3042280513077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-3286.8513111308303</v>
          </cell>
          <cell r="BE17">
            <v>-4813.675121807787</v>
          </cell>
          <cell r="BF17">
            <v>-6639.2321004009918</v>
          </cell>
          <cell r="BG17">
            <v>-8330.5181056683632</v>
          </cell>
          <cell r="BH17">
            <v>-9701.193717420043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12.472118269999996</v>
          </cell>
          <cell r="R18">
            <v>39.771510199999994</v>
          </cell>
          <cell r="S18">
            <v>40.571818950000051</v>
          </cell>
          <cell r="T18">
            <v>71.941360720000006</v>
          </cell>
          <cell r="U18">
            <v>68.669104609999977</v>
          </cell>
          <cell r="V18">
            <v>2.19156452</v>
          </cell>
          <cell r="W18">
            <v>20.877761030000002</v>
          </cell>
          <cell r="X18">
            <v>18.317502850000011</v>
          </cell>
          <cell r="Y18">
            <v>42.780304269999988</v>
          </cell>
          <cell r="Z18">
            <v>111.40984801000002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150.79290356000001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176.78429756000003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338.58030182000016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461.36768881000012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647.39428429419286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1043.7596475177961</v>
          </cell>
          <cell r="BE18">
            <v>1640.3050579006758</v>
          </cell>
          <cell r="BF18">
            <v>2307.2622883931435</v>
          </cell>
          <cell r="BG18">
            <v>3041.0118062188267</v>
          </cell>
          <cell r="BH18">
            <v>3736.6275213683384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-7.91606656</v>
          </cell>
          <cell r="U19">
            <v>-7.3222759499999999</v>
          </cell>
          <cell r="V19">
            <v>0</v>
          </cell>
          <cell r="W19">
            <v>0</v>
          </cell>
          <cell r="X19">
            <v>0</v>
          </cell>
          <cell r="Y19">
            <v>-9.6905041000000001</v>
          </cell>
          <cell r="Z19">
            <v>-9.6905041000000001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-19.952591579999996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-26.314714800000001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-40.333606700000004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-60.02650955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-85.082873395041872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-117.51367973374826</v>
          </cell>
          <cell r="BE19">
            <v>-157.79047965116095</v>
          </cell>
          <cell r="BF19">
            <v>-202.45577510312108</v>
          </cell>
          <cell r="BG19">
            <v>-245.0349732657634</v>
          </cell>
          <cell r="BH19">
            <v>-295.35112754175191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-4.0249238500000004</v>
          </cell>
          <cell r="U20">
            <v>-11.57926402</v>
          </cell>
          <cell r="V20">
            <v>0</v>
          </cell>
          <cell r="W20">
            <v>0</v>
          </cell>
          <cell r="X20">
            <v>0</v>
          </cell>
          <cell r="Y20">
            <v>-17.552211240000002</v>
          </cell>
          <cell r="Z20">
            <v>-17.552211240000002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-26.34945007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-36.219277269999992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-91.072203469999991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-134.45710947000001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-172.88425004633359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-236.29865971119008</v>
          </cell>
          <cell r="BE20">
            <v>-328.91603865680645</v>
          </cell>
          <cell r="BF20">
            <v>-454.73434320846718</v>
          </cell>
          <cell r="BG20">
            <v>-611.45848793658865</v>
          </cell>
          <cell r="BH20">
            <v>-792.95653049002055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12.472118269999996</v>
          </cell>
          <cell r="R21">
            <v>39.771510199999994</v>
          </cell>
          <cell r="S21">
            <v>40.571818950000051</v>
          </cell>
          <cell r="T21">
            <v>60.000370310000022</v>
          </cell>
          <cell r="U21">
            <v>49.767564639999989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84.167132670000001</v>
          </cell>
          <cell r="AA21">
            <v>12.648045909999986</v>
          </cell>
          <cell r="AB21">
            <v>26.953563280000026</v>
          </cell>
          <cell r="AC21">
            <v>19.65236462</v>
          </cell>
          <cell r="AD21">
            <v>45.236888100000002</v>
          </cell>
          <cell r="AE21">
            <v>104.49086191000004</v>
          </cell>
          <cell r="AF21">
            <v>17.949241840000006</v>
          </cell>
          <cell r="AG21">
            <v>24.095082220000023</v>
          </cell>
          <cell r="AH21">
            <v>26.14764686999996</v>
          </cell>
          <cell r="AI21">
            <v>46.058334560000077</v>
          </cell>
          <cell r="AJ21">
            <v>114.25030548999996</v>
          </cell>
          <cell r="AK21">
            <v>22.08792960000001</v>
          </cell>
          <cell r="AL21">
            <v>29.530183860000015</v>
          </cell>
          <cell r="AM21">
            <v>37.521235820000001</v>
          </cell>
          <cell r="AN21">
            <v>118.03514237</v>
          </cell>
          <cell r="AO21">
            <v>207.17449165000016</v>
          </cell>
          <cell r="AP21">
            <v>24.546475390000012</v>
          </cell>
          <cell r="AQ21">
            <v>33.33592895999999</v>
          </cell>
          <cell r="AR21">
            <v>46.099997580000149</v>
          </cell>
          <cell r="AS21">
            <v>162.90166785999983</v>
          </cell>
          <cell r="AT21">
            <v>266.88406979000024</v>
          </cell>
          <cell r="AU21">
            <v>28.643835369999977</v>
          </cell>
          <cell r="AV21">
            <v>51.454069019999935</v>
          </cell>
          <cell r="AW21">
            <v>49.543852130000062</v>
          </cell>
          <cell r="AX21">
            <v>259.78540433281717</v>
          </cell>
          <cell r="AY21">
            <v>389.427160852817</v>
          </cell>
          <cell r="AZ21">
            <v>19.290565981452005</v>
          </cell>
          <cell r="BA21">
            <v>144.9839051934473</v>
          </cell>
          <cell r="BB21">
            <v>140.02929976475633</v>
          </cell>
          <cell r="BC21">
            <v>385.64353713320065</v>
          </cell>
          <cell r="BD21">
            <v>689.94730807285805</v>
          </cell>
          <cell r="BE21">
            <v>1153.5985395927082</v>
          </cell>
          <cell r="BF21">
            <v>1650.0721700815557</v>
          </cell>
          <cell r="BG21">
            <v>2184.518345016475</v>
          </cell>
          <cell r="BH21">
            <v>2648.3198633365664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1.0295775199999999</v>
          </cell>
          <cell r="U22">
            <v>5.7287251599999998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2.4427254300000003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2.9356787599999996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12.71050816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19.974768530000002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41.807006389999998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17.623270639800001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48.725401139625809</v>
          </cell>
          <cell r="BE22">
            <v>40.770380471914514</v>
          </cell>
          <cell r="BF22">
            <v>40.770380471914514</v>
          </cell>
          <cell r="BG22">
            <v>40.770380471914514</v>
          </cell>
          <cell r="BH22">
            <v>40.770380471914514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-1.4890466100000002</v>
          </cell>
          <cell r="R23">
            <v>-3.8333374900000003</v>
          </cell>
          <cell r="S23">
            <v>-2.8954402099999998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-1.4890466100000002</v>
          </cell>
          <cell r="R24">
            <v>-3.8333374900000003</v>
          </cell>
          <cell r="S24">
            <v>-2.8954402099999998</v>
          </cell>
          <cell r="T24">
            <v>1.0295775199999999</v>
          </cell>
          <cell r="U24">
            <v>5.7287251599999998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2.4427254300000003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2.9356787599999996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12.71050816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19.974768530000002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41.807006389999998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17.623270639800001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48.725401139625809</v>
          </cell>
          <cell r="BE24">
            <v>40.770380471914514</v>
          </cell>
          <cell r="BF24">
            <v>40.770380471914514</v>
          </cell>
          <cell r="BG24">
            <v>40.770380471914514</v>
          </cell>
          <cell r="BH24">
            <v>40.770380471914514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8.9049110000007703E-2</v>
          </cell>
          <cell r="R27">
            <v>1.3006776399999986</v>
          </cell>
          <cell r="S27">
            <v>17.680467789999984</v>
          </cell>
          <cell r="T27">
            <v>16.459418629999949</v>
          </cell>
          <cell r="U27">
            <v>31.898788729999989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25.373073470000033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36.312044589999971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75.72993014000015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93.434732069999882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125.05815384999974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156.09123779910044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183.5496394229817</v>
          </cell>
          <cell r="BE27">
            <v>211.36018587110033</v>
          </cell>
          <cell r="BF27">
            <v>335.54268653642197</v>
          </cell>
          <cell r="BG27">
            <v>404.68353751235503</v>
          </cell>
          <cell r="BH27">
            <v>464.81304088863948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11.072120770000003</v>
          </cell>
          <cell r="R28">
            <v>37.238850349999993</v>
          </cell>
          <cell r="S28">
            <v>55.356846530000034</v>
          </cell>
          <cell r="T28">
            <v>77.489366459999971</v>
          </cell>
          <cell r="U28">
            <v>87.395078529999978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111.98293157000003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143.73858526000001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202.69074379000011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320.58399225000005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433.74923002999998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563.14166929171745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922.22234863546555</v>
          </cell>
          <cell r="BE28">
            <v>1405.7291059357231</v>
          </cell>
          <cell r="BF28">
            <v>2026.3852370898921</v>
          </cell>
          <cell r="BG28">
            <v>2629.9722630007445</v>
          </cell>
          <cell r="BH28">
            <v>3153.9032846971204</v>
          </cell>
        </row>
        <row r="29">
          <cell r="A29" t="str">
            <v>Additional Income Statement Items</v>
          </cell>
          <cell r="B29">
            <v>0</v>
          </cell>
          <cell r="C29">
            <v>0</v>
          </cell>
          <cell r="D29">
            <v>0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-1.4890466100000002</v>
          </cell>
          <cell r="R34">
            <v>-3.8333374900000003</v>
          </cell>
          <cell r="S34">
            <v>-2.8954402099999998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</row>
        <row r="36">
          <cell r="A36" t="str">
            <v>Balance Sheet</v>
          </cell>
          <cell r="B36">
            <v>0</v>
          </cell>
          <cell r="C36">
            <v>0</v>
          </cell>
          <cell r="D36">
            <v>0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44.511241200000001</v>
          </cell>
          <cell r="R37">
            <v>73.23962453</v>
          </cell>
          <cell r="S37">
            <v>93.23248341</v>
          </cell>
          <cell r="T37">
            <v>355.00052118000002</v>
          </cell>
          <cell r="U37">
            <v>366.29073161000002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306.12261293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659.07535571000005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529.10201397000003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1754.69009448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1067.0087636799999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3045.3375712266129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2548.148779494657</v>
          </cell>
          <cell r="BE37">
            <v>1996.3761240733927</v>
          </cell>
          <cell r="BF37">
            <v>1608.0657238370538</v>
          </cell>
          <cell r="BG37">
            <v>1630.1785055393289</v>
          </cell>
          <cell r="BH37">
            <v>2018.7550889146382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72.470230810000004</v>
          </cell>
          <cell r="R38">
            <v>88.466526849999994</v>
          </cell>
          <cell r="S38">
            <v>101.7836132</v>
          </cell>
          <cell r="T38">
            <v>113.09061826</v>
          </cell>
          <cell r="U38">
            <v>142.67497501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193.40666041000003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312.80662601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475.29767036999993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788.22821091999992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1288.8555792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1906.6954402769029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3025.5051786513191</v>
          </cell>
          <cell r="BE38">
            <v>4420.5490513301147</v>
          </cell>
          <cell r="BF38">
            <v>6005.2015167780637</v>
          </cell>
          <cell r="BG38">
            <v>7477.1962212469552</v>
          </cell>
          <cell r="BH38">
            <v>8651.7784895373843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12.327531800000001</v>
          </cell>
          <cell r="R39">
            <v>22.52821625</v>
          </cell>
          <cell r="S39">
            <v>6.4795394900000005</v>
          </cell>
          <cell r="T39">
            <v>9.7786412699999996</v>
          </cell>
          <cell r="U39">
            <v>36.212879960000002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36.512838039999998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51.329430739999999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88.066010419999998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121.68747478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180.64697163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307.08841634884732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481.86959696291837</v>
          </cell>
          <cell r="BE39">
            <v>689.53851209514619</v>
          </cell>
          <cell r="BF39">
            <v>954.80860823297326</v>
          </cell>
          <cell r="BG39">
            <v>1206.5589009523635</v>
          </cell>
          <cell r="BH39">
            <v>1426.108946237036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2.6934295899999956</v>
          </cell>
          <cell r="R40">
            <v>0.35519549000001405</v>
          </cell>
          <cell r="S40">
            <v>1.2419850199999942</v>
          </cell>
          <cell r="T40">
            <v>32.062683209999953</v>
          </cell>
          <cell r="U40">
            <v>20.267582859999926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11.213221679999968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8.6320113100000171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13.097969280000086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17.419040780000046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28.034688019999578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28.034688020000317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28.034688020000488</v>
          </cell>
          <cell r="BE40">
            <v>28.034688020000203</v>
          </cell>
          <cell r="BF40">
            <v>28.034688019999976</v>
          </cell>
          <cell r="BG40">
            <v>28.034688019998839</v>
          </cell>
          <cell r="BH40">
            <v>28.034688019999976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132.0024334</v>
          </cell>
          <cell r="R41">
            <v>184.58956312000001</v>
          </cell>
          <cell r="S41">
            <v>202.73762112</v>
          </cell>
          <cell r="T41">
            <v>509.93246391999998</v>
          </cell>
          <cell r="U41">
            <v>565.44616943999995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547.25533306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1031.8434237700001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1105.56366404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2682.0248209599999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2564.5460025299994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5287.1561158723634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6083.5582431288949</v>
          </cell>
          <cell r="BE41">
            <v>7134.498375518654</v>
          </cell>
          <cell r="BF41">
            <v>8596.110536868091</v>
          </cell>
          <cell r="BG41">
            <v>10341.968315758646</v>
          </cell>
          <cell r="BH41">
            <v>12124.677212709059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26.727039640000001</v>
          </cell>
          <cell r="R42">
            <v>27.86299683</v>
          </cell>
          <cell r="S42">
            <v>46.526115539999999</v>
          </cell>
          <cell r="T42">
            <v>69.099430030000008</v>
          </cell>
          <cell r="U42">
            <v>111.1161614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226.73777235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243.78371622000003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343.66951596000001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663.81153130999996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961.86862831000008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1363.3734051618253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1883.0467201996603</v>
          </cell>
          <cell r="BE42">
            <v>2528.4447381705063</v>
          </cell>
          <cell r="BF42">
            <v>3244.1642892740369</v>
          </cell>
          <cell r="BG42">
            <v>3926.4560839872684</v>
          </cell>
          <cell r="BH42">
            <v>4732.7253583145712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-23.196250600000003</v>
          </cell>
          <cell r="U43">
            <v>-29.509659129999999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-38.425759970000001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-55.887049009999998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-80.666196200000002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-134.20652748999998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-195.05128316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-280.13415655504184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-397.64783628879013</v>
          </cell>
          <cell r="BE43">
            <v>-555.43831593995105</v>
          </cell>
          <cell r="BF43">
            <v>-757.89409104307219</v>
          </cell>
          <cell r="BG43">
            <v>-1002.9290643088356</v>
          </cell>
          <cell r="BH43">
            <v>-1298.2801918505875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26.727039640000001</v>
          </cell>
          <cell r="R44">
            <v>27.86299683</v>
          </cell>
          <cell r="S44">
            <v>46.526115539999999</v>
          </cell>
          <cell r="T44">
            <v>45.903179430000009</v>
          </cell>
          <cell r="U44">
            <v>81.606502269999993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188.31201238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187.89666721000003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263.00331976000001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529.60500381999998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766.81734515000005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1083.2392486067833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1485.3988839108702</v>
          </cell>
          <cell r="BE44">
            <v>1973.0064222305552</v>
          </cell>
          <cell r="BF44">
            <v>2486.2701982309645</v>
          </cell>
          <cell r="BG44">
            <v>2923.5270196784327</v>
          </cell>
          <cell r="BH44">
            <v>3434.4451664639837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5.40807532</v>
          </cell>
          <cell r="R45">
            <v>5.6337620800000003</v>
          </cell>
          <cell r="S45">
            <v>19.301997239999999</v>
          </cell>
          <cell r="T45">
            <v>47.149565350000003</v>
          </cell>
          <cell r="U45">
            <v>86.708309159999999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134.99300958000001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216.35611690000002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498.54782094000001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1177.4373886800001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1585.5327940399998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1897.5133813474772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2412.3595154671593</v>
          </cell>
          <cell r="BE45">
            <v>3164.2974386372293</v>
          </cell>
          <cell r="BF45">
            <v>4185.7855837175102</v>
          </cell>
          <cell r="BG45">
            <v>5458.1907115571476</v>
          </cell>
          <cell r="BH45">
            <v>6931.7290769345236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-9.0888122200000012</v>
          </cell>
          <cell r="U46">
            <v>-12.57681816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-29.702264120000002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-54.020726840000002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-70.81440662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-161.04180102000001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-293.32787704999998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-466.21212709633357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-702.51078680752369</v>
          </cell>
          <cell r="BE46">
            <v>-1031.4268254643302</v>
          </cell>
          <cell r="BF46">
            <v>-1486.1611686727974</v>
          </cell>
          <cell r="BG46">
            <v>-2097.6196566093859</v>
          </cell>
          <cell r="BH46">
            <v>-2890.5761870994065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5.40807532</v>
          </cell>
          <cell r="R47">
            <v>5.6337620800000003</v>
          </cell>
          <cell r="S47">
            <v>19.301997239999999</v>
          </cell>
          <cell r="T47">
            <v>38.060753130000002</v>
          </cell>
          <cell r="U47">
            <v>74.131490999999997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105.29074546000001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162.33539006000001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427.73341432000001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1016.3955876600002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1292.2049169899997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1431.3012542511437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1709.8487286596355</v>
          </cell>
          <cell r="BE47">
            <v>2132.8706131728991</v>
          </cell>
          <cell r="BF47">
            <v>2699.6244150447128</v>
          </cell>
          <cell r="BG47">
            <v>3360.5710549477617</v>
          </cell>
          <cell r="BH47">
            <v>4041.1528898351171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2.4887962000000003</v>
          </cell>
          <cell r="R49">
            <v>0.22942704999999999</v>
          </cell>
          <cell r="S49">
            <v>0</v>
          </cell>
          <cell r="T49">
            <v>0.42038601000000003</v>
          </cell>
          <cell r="U49">
            <v>2.7288515699999998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14.68380477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36.321705399999999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38.455062660000003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55.58502489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166.74107865000002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166.74107865000002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166.74107865000002</v>
          </cell>
          <cell r="BE49">
            <v>166.74107865000002</v>
          </cell>
          <cell r="BF49">
            <v>166.74107865000002</v>
          </cell>
          <cell r="BG49">
            <v>166.74107865000002</v>
          </cell>
          <cell r="BH49">
            <v>166.74107865000002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1.0842075399999986</v>
          </cell>
          <cell r="R50">
            <v>1.1294158899999989</v>
          </cell>
          <cell r="S50">
            <v>1.9231614500000092</v>
          </cell>
          <cell r="T50">
            <v>2.4096135899999864</v>
          </cell>
          <cell r="U50">
            <v>4.3064922099999059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9.5321660700001534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12.806070439999914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18.625509180000286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43.917002429999457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379.58656434000017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379.58656434000062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379.58656433999926</v>
          </cell>
          <cell r="BE50">
            <v>379.58656433999926</v>
          </cell>
          <cell r="BF50">
            <v>379.58656433999971</v>
          </cell>
          <cell r="BG50">
            <v>379.58656433999926</v>
          </cell>
          <cell r="BH50">
            <v>379.58656434000153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167.7105521</v>
          </cell>
          <cell r="R51">
            <v>219.44516497000001</v>
          </cell>
          <cell r="S51">
            <v>270.48889535000001</v>
          </cell>
          <cell r="T51">
            <v>596.72639607999997</v>
          </cell>
          <cell r="U51">
            <v>728.21950648999984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865.07406174000016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1431.20325688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1853.3809699600004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4327.5274397599997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5169.8959076599995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8348.0242617202912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9825.1334986893999</v>
          </cell>
          <cell r="BE51">
            <v>11786.703053912108</v>
          </cell>
          <cell r="BF51">
            <v>14328.332793133768</v>
          </cell>
          <cell r="BG51">
            <v>17172.39403337484</v>
          </cell>
          <cell r="BH51">
            <v>20146.602911998161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21.16937948</v>
          </cell>
          <cell r="R52">
            <v>20.30004787</v>
          </cell>
          <cell r="S52">
            <v>39.475269909999994</v>
          </cell>
          <cell r="T52">
            <v>34.494775160000003</v>
          </cell>
          <cell r="U52">
            <v>59.117944750000007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122.00855874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175.75753794000002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276.07101305000003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605.23643172999994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899.48564320999992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1422.3657640927277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2231.9136150632885</v>
          </cell>
          <cell r="BE52">
            <v>3193.7901933540525</v>
          </cell>
          <cell r="BF52">
            <v>4422.4627283526142</v>
          </cell>
          <cell r="BG52">
            <v>5588.5145180026984</v>
          </cell>
          <cell r="BH52">
            <v>6605.4218687611865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40</v>
          </cell>
          <cell r="R53">
            <v>48</v>
          </cell>
          <cell r="S53">
            <v>43</v>
          </cell>
          <cell r="T53">
            <v>5</v>
          </cell>
          <cell r="U53">
            <v>38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19.8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9.5413701399999997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9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9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9</v>
          </cell>
          <cell r="BE53">
            <v>9</v>
          </cell>
          <cell r="BF53">
            <v>9</v>
          </cell>
          <cell r="BG53">
            <v>9</v>
          </cell>
          <cell r="BH53">
            <v>9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2.4278052599999995</v>
          </cell>
          <cell r="R54">
            <v>4.4886693699999967</v>
          </cell>
          <cell r="S54">
            <v>4.2448171300000013</v>
          </cell>
          <cell r="T54">
            <v>8.0259425899999997</v>
          </cell>
          <cell r="U54">
            <v>8.8355894500000005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27.824096419999986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36.714711809999983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50.506101300000012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99.265276750000027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167.4343895400001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165.14426284389583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269.39760795020675</v>
          </cell>
          <cell r="BE54">
            <v>413.40463684330962</v>
          </cell>
          <cell r="BF54">
            <v>561.40136249964326</v>
          </cell>
          <cell r="BG54">
            <v>727.45065366772269</v>
          </cell>
          <cell r="BH54">
            <v>871.58624810394213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63.597184740000003</v>
          </cell>
          <cell r="R55">
            <v>72.788717239999997</v>
          </cell>
          <cell r="S55">
            <v>86.720087039999996</v>
          </cell>
          <cell r="T55">
            <v>47.520717750000003</v>
          </cell>
          <cell r="U55">
            <v>105.95353420000001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169.63265515999998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212.47224975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326.57711435000004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714.04307861999996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1075.92003275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1596.5100269366235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2510.3112230134952</v>
          </cell>
          <cell r="BE55">
            <v>3616.1948301973621</v>
          </cell>
          <cell r="BF55">
            <v>4992.8640908522575</v>
          </cell>
          <cell r="BG55">
            <v>6324.9651716704211</v>
          </cell>
          <cell r="BH55">
            <v>7486.0081168651286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3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3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10.576555150000001</v>
          </cell>
          <cell r="R57">
            <v>16.81056444</v>
          </cell>
          <cell r="S57">
            <v>11.78301098</v>
          </cell>
          <cell r="T57">
            <v>18.80762593</v>
          </cell>
          <cell r="U57">
            <v>23.229388649999997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33.977243979999997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32.946100909999998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41.07175762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152.43179019999999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192.55668764999999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192.55668764999999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192.55668764999999</v>
          </cell>
          <cell r="BE57">
            <v>192.55668764999999</v>
          </cell>
          <cell r="BF57">
            <v>192.55668764999999</v>
          </cell>
          <cell r="BG57">
            <v>192.55668764999999</v>
          </cell>
          <cell r="BH57">
            <v>192.55668764999999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10.576555150000001</v>
          </cell>
          <cell r="R58">
            <v>19.81056444</v>
          </cell>
          <cell r="S58">
            <v>11.78301098</v>
          </cell>
          <cell r="T58">
            <v>18.80762593</v>
          </cell>
          <cell r="U58">
            <v>23.229388649999997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33.977243979999997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32.946100909999998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44.07175762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152.43179019999999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192.55668764999999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192.55668764999999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192.55668764999999</v>
          </cell>
          <cell r="BE58">
            <v>192.55668764999999</v>
          </cell>
          <cell r="BF58">
            <v>192.55668764999999</v>
          </cell>
          <cell r="BG58">
            <v>192.55668764999999</v>
          </cell>
          <cell r="BH58">
            <v>192.55668764999999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74.173739890000007</v>
          </cell>
          <cell r="R59">
            <v>92.59928167999999</v>
          </cell>
          <cell r="S59">
            <v>98.503098019999996</v>
          </cell>
          <cell r="T59">
            <v>66.328343680000003</v>
          </cell>
          <cell r="U59">
            <v>129.18292285000001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203.60989913999998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245.41835065999999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370.64887197000007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866.47486881999998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1268.4767204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1789.0667145866234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2702.8679106634954</v>
          </cell>
          <cell r="BE59">
            <v>3808.7515178473623</v>
          </cell>
          <cell r="BF59">
            <v>5185.4207785022572</v>
          </cell>
          <cell r="BG59">
            <v>6517.5218593204208</v>
          </cell>
          <cell r="BH59">
            <v>7678.5648045151283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91.491114980000006</v>
          </cell>
          <cell r="R61">
            <v>126.84588329</v>
          </cell>
          <cell r="S61">
            <v>169.38517163</v>
          </cell>
          <cell r="T61">
            <v>530.39805239999998</v>
          </cell>
          <cell r="U61">
            <v>583.87641056000007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652.86585320000006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1176.5634750499999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1344.5112634699999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3310.5569594300005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3706.6276464299999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6353.9325407136666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6892.9033174859051</v>
          </cell>
          <cell r="BE61">
            <v>7724.2520014047459</v>
          </cell>
          <cell r="BF61">
            <v>8856.078885898567</v>
          </cell>
          <cell r="BG61">
            <v>10325.036149430609</v>
          </cell>
          <cell r="BH61">
            <v>12086.632347121038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2.04569723</v>
          </cell>
          <cell r="R62">
            <v>0</v>
          </cell>
          <cell r="S62">
            <v>2.6006257000000002</v>
          </cell>
          <cell r="T62">
            <v>0</v>
          </cell>
          <cell r="U62">
            <v>15.16017308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8.5983093999999998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9.2214311700000007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138.22083452000001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150.49561151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194.79154083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205.02500642000001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229.36227054</v>
          </cell>
          <cell r="BE62">
            <v>253.69953465999998</v>
          </cell>
          <cell r="BF62">
            <v>286.83312873294369</v>
          </cell>
          <cell r="BG62">
            <v>329.83602462381134</v>
          </cell>
          <cell r="BH62">
            <v>381.40576036199292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93.536812210000008</v>
          </cell>
          <cell r="R63">
            <v>126.84588329</v>
          </cell>
          <cell r="S63">
            <v>171.98579733</v>
          </cell>
          <cell r="T63">
            <v>530.39805239999998</v>
          </cell>
          <cell r="U63">
            <v>599.03658364000012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661.46416260000001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1185.7849062199998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1482.7320979899998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3461.0525709400004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3901.4191872599999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6558.9575471336666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7122.2655880259053</v>
          </cell>
          <cell r="BE63">
            <v>7977.9515360647456</v>
          </cell>
          <cell r="BF63">
            <v>9142.9120146315108</v>
          </cell>
          <cell r="BG63">
            <v>10654.872174054421</v>
          </cell>
          <cell r="BH63">
            <v>12468.038107483031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167.71055210000003</v>
          </cell>
          <cell r="R64">
            <v>219.44516497000001</v>
          </cell>
          <cell r="S64">
            <v>270.48889535000001</v>
          </cell>
          <cell r="T64">
            <v>596.72639607999997</v>
          </cell>
          <cell r="U64">
            <v>728.21950649000019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865.07406173999993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1431.2032568799998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1853.3809699599999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4327.5274397600006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5169.8959076600004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8348.0242617202894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9825.1334986893999</v>
          </cell>
          <cell r="BE64">
            <v>11786.703053912108</v>
          </cell>
          <cell r="BF64">
            <v>14328.332793133768</v>
          </cell>
          <cell r="BG64">
            <v>17172.39403337484</v>
          </cell>
          <cell r="BH64">
            <v>20146.602911998161</v>
          </cell>
        </row>
        <row r="65">
          <cell r="A65" t="str">
            <v>Additional Balance Sheet Items</v>
          </cell>
          <cell r="B65">
            <v>0</v>
          </cell>
          <cell r="C65">
            <v>0</v>
          </cell>
          <cell r="D65">
            <v>0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-4.5112412000000006</v>
          </cell>
          <cell r="R66">
            <v>-22.23962453</v>
          </cell>
          <cell r="S66">
            <v>-50.23248341</v>
          </cell>
          <cell r="T66">
            <v>-350.00052118000002</v>
          </cell>
          <cell r="U66">
            <v>-328.29073161000002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-286.32261292999999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-659.07535571000005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-526.10201397000003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-1745.1487243399999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-1058.0087636799999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-3036.3375712266129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-2539.148779494657</v>
          </cell>
          <cell r="BE66">
            <v>-1987.3761240733927</v>
          </cell>
          <cell r="BF66">
            <v>-1599.0657238370538</v>
          </cell>
          <cell r="BG66">
            <v>-1621.1785055393289</v>
          </cell>
          <cell r="BH66">
            <v>-2009.7550889146382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</row>
        <row r="71">
          <cell r="B71" t="str">
            <v>Company borrowing margin</v>
          </cell>
          <cell r="C71" t="str">
            <v>CO_BOR_MARGIN</v>
          </cell>
          <cell r="F71" t="e">
            <v>#VALUE!</v>
          </cell>
          <cell r="G71" t="e">
            <v>#VALUE!</v>
          </cell>
          <cell r="H71" t="e">
            <v>#VALUE!</v>
          </cell>
          <cell r="I71" t="e">
            <v>#VALUE!</v>
          </cell>
          <cell r="J71" t="e">
            <v>#VALUE!</v>
          </cell>
          <cell r="K71" t="e">
            <v>#VALUE!</v>
          </cell>
          <cell r="L71" t="e">
            <v>#VALUE!</v>
          </cell>
          <cell r="M71" t="e">
            <v>#VALUE!</v>
          </cell>
          <cell r="N71" t="e">
            <v>#VALUE!</v>
          </cell>
          <cell r="O71" t="e">
            <v>#VALUE!</v>
          </cell>
          <cell r="P71" t="e">
            <v>#VALUE!</v>
          </cell>
          <cell r="Q71">
            <v>3.7226165250000005E-2</v>
          </cell>
          <cell r="R71">
            <v>7.5163480196078436E-2</v>
          </cell>
          <cell r="S71">
            <v>6.7335818837209294E-2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 t="e">
            <v>#VALUE!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-5.40807532</v>
          </cell>
          <cell r="R75">
            <v>-5.6337620800000003</v>
          </cell>
          <cell r="S75">
            <v>-19.301997239999999</v>
          </cell>
          <cell r="T75">
            <v>-38.060753130000002</v>
          </cell>
          <cell r="U75">
            <v>-74.131490999999997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-105.29074546000001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-162.33539006000001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-427.73341432000001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-1016.3955876600002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-1292.2049169899997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-1431.3012542511437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-1709.8487286596355</v>
          </cell>
          <cell r="BE75">
            <v>-2132.8706131728991</v>
          </cell>
          <cell r="BF75">
            <v>-2699.6244150447128</v>
          </cell>
          <cell r="BG75">
            <v>-3360.5710549477617</v>
          </cell>
          <cell r="BH75">
            <v>-4041.1528898351171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4.5112412000000006</v>
          </cell>
          <cell r="R76">
            <v>22.23962453</v>
          </cell>
          <cell r="S76">
            <v>66.597983409999998</v>
          </cell>
          <cell r="T76">
            <v>387.64912118000001</v>
          </cell>
          <cell r="U76">
            <v>411.10647197000003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431.56761703999996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880.28685107000001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834.16958633000002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2224.0291129399998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1806.93065512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4155.33315668461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4295.9161153154982</v>
          </cell>
          <cell r="BE76">
            <v>4725.8915463046951</v>
          </cell>
          <cell r="BF76">
            <v>5619.388347087227</v>
          </cell>
          <cell r="BG76">
            <v>7162.2431947302557</v>
          </cell>
          <cell r="BH76">
            <v>9244.482259055967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1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1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1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1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1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1</v>
          </cell>
          <cell r="BE77">
            <v>1</v>
          </cell>
          <cell r="BF77">
            <v>1</v>
          </cell>
          <cell r="BG77">
            <v>1</v>
          </cell>
          <cell r="BH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2.04569723</v>
          </cell>
          <cell r="R78">
            <v>0</v>
          </cell>
          <cell r="S78">
            <v>2.6006257000000002</v>
          </cell>
          <cell r="T78">
            <v>0</v>
          </cell>
          <cell r="U78">
            <v>15.16017308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8.5983093999999998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9.2214311700000007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138.22083452000001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150.49561151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194.79154083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205.02500642000001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229.36227054</v>
          </cell>
          <cell r="BE78">
            <v>253.69953465999998</v>
          </cell>
          <cell r="BF78">
            <v>286.83312873294369</v>
          </cell>
          <cell r="BG78">
            <v>329.83602462381134</v>
          </cell>
          <cell r="BH78">
            <v>381.40576036199292</v>
          </cell>
        </row>
        <row r="79">
          <cell r="A79" t="str">
            <v>Cash Flow Statement</v>
          </cell>
          <cell r="B79">
            <v>0</v>
          </cell>
          <cell r="C79">
            <v>0</v>
          </cell>
          <cell r="D79">
            <v>0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-5.49276E-2</v>
          </cell>
          <cell r="R80">
            <v>0</v>
          </cell>
          <cell r="S80">
            <v>5.9096219999999998E-2</v>
          </cell>
          <cell r="T80">
            <v>0.19837819000000001</v>
          </cell>
          <cell r="U80">
            <v>-0.21912482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-2.4884029999999998E-2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-3.808748E-2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-0.66809665000000007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-0.54761555000000006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9.0566635600000005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10.23346559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24.33726412</v>
          </cell>
          <cell r="BE80">
            <v>24.33726412</v>
          </cell>
          <cell r="BF80">
            <v>33.133594072943708</v>
          </cell>
          <cell r="BG80">
            <v>43.002895890867663</v>
          </cell>
          <cell r="BH80">
            <v>51.569735738181599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11.940990410000001</v>
          </cell>
          <cell r="U81">
            <v>18.901539970000002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27.242715340000004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46.302041649999993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62.533992069999996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131.40581017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194.48361901999999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257.96712344137546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353.81233944493835</v>
          </cell>
          <cell r="BE81">
            <v>486.70651830796737</v>
          </cell>
          <cell r="BF81">
            <v>657.19011831158832</v>
          </cell>
          <cell r="BG81">
            <v>856.49346120235202</v>
          </cell>
          <cell r="BH81">
            <v>1088.3076580317725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21.906812449999983</v>
          </cell>
          <cell r="T82">
            <v>-19.586601589999987</v>
          </cell>
          <cell r="U82">
            <v>-31.395425849999995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11.858970509999963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-80.467579099999952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-98.914148929999925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-17.386586230000091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-265.33765364999999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-221.40118491302258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-484.04306801792632</v>
          </cell>
          <cell r="BE82">
            <v>-640.83620952025944</v>
          </cell>
          <cell r="BF82">
            <v>-621.25002658721428</v>
          </cell>
          <cell r="BG82">
            <v>-557.69320753819761</v>
          </cell>
          <cell r="BH82">
            <v>-377.22496281661347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28.538741668233079</v>
          </cell>
          <cell r="R83">
            <v>25.448631793745726</v>
          </cell>
          <cell r="S83">
            <v>53.473207684914691</v>
          </cell>
          <cell r="T83">
            <v>67.753403193642228</v>
          </cell>
          <cell r="U83">
            <v>78.606939548451052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49.551686285761591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150.51985815951286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197.71329325217692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179.82603584743663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478.79525630263322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483.57328481333269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799.07335233810568</v>
          </cell>
          <cell r="BE83">
            <v>1234.8117446547483</v>
          </cell>
          <cell r="BF83">
            <v>1682.4064438743183</v>
          </cell>
          <cell r="BG83">
            <v>2184.4436992111951</v>
          </cell>
          <cell r="BH83">
            <v>2619.8482262815078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28.629321539999999</v>
          </cell>
          <cell r="R84">
            <v>25.650367489999997</v>
          </cell>
          <cell r="S84">
            <v>75.68401652</v>
          </cell>
          <cell r="T84">
            <v>60.881253749999999</v>
          </cell>
          <cell r="U84">
            <v>66.526996249999996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89.336357239999998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117.53648731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162.0594782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296.06878043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420.07525039999996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535.31417170591578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698.5405307294568</v>
          </cell>
          <cell r="BE84">
            <v>1111.0265041298585</v>
          </cell>
          <cell r="BF84">
            <v>1758.3675432507823</v>
          </cell>
          <cell r="BG84">
            <v>2534.276677214787</v>
          </cell>
          <cell r="BH84">
            <v>3391.9004872077112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-9.7096433100000006</v>
          </cell>
          <cell r="R85">
            <v>-5.9845536199999998</v>
          </cell>
          <cell r="S85">
            <v>-31.41783427</v>
          </cell>
          <cell r="T85">
            <v>-52.627736890000001</v>
          </cell>
          <cell r="U85">
            <v>-76.923779030000006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-96.577825629999992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-138.98453274000002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-278.34613254000004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-342.94307997999999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-580.17809428999999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-713.48536415930266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-1034.5194491575171</v>
          </cell>
          <cell r="BE85">
            <v>-1397.335941140916</v>
          </cell>
          <cell r="BF85">
            <v>-1737.2076961838115</v>
          </cell>
          <cell r="BG85">
            <v>-1954.6969225528687</v>
          </cell>
          <cell r="BH85">
            <v>-2279.8076397046793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 t="str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 t="str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 t="str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 t="str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 t="str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 t="str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 t="str">
            <v>0</v>
          </cell>
          <cell r="BE86" t="str">
            <v>0</v>
          </cell>
          <cell r="BF86" t="str">
            <v>0</v>
          </cell>
          <cell r="BG86" t="str">
            <v>0</v>
          </cell>
          <cell r="BH86" t="str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2.5000000000000001E-2</v>
          </cell>
          <cell r="R87">
            <v>0.23023809000000001</v>
          </cell>
          <cell r="S87">
            <v>1.5900999999999998E-2</v>
          </cell>
          <cell r="T87">
            <v>2.1100000000000001E-2</v>
          </cell>
          <cell r="U87">
            <v>3.3730243999999998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5.5449999999999999E-2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8.1820000000000004E-2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0.13931870000000002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0.36365673999999998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5.8266999999999999E-2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-1.7224529299999989</v>
          </cell>
          <cell r="R88">
            <v>1.8683718899999995</v>
          </cell>
          <cell r="S88">
            <v>-2.9144779000000018</v>
          </cell>
          <cell r="T88">
            <v>-4.0631474100000089</v>
          </cell>
          <cell r="U88">
            <v>4.0314680000000269E-2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-2.3085505800000088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2.9336705899999846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12.489043529999993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-374.38072346000001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-537.97519733000001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-11.40709624</v>
          </cell>
          <cell r="R89">
            <v>-3.8859436400000003</v>
          </cell>
          <cell r="S89">
            <v>-34.316411170000002</v>
          </cell>
          <cell r="T89">
            <v>-56.669784300000011</v>
          </cell>
          <cell r="U89">
            <v>-73.510439950000006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-98.830926210000001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-135.96904215000004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-265.71777031000005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-716.9601467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-1118.09502462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-713.48536415930266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-1034.5194491575171</v>
          </cell>
          <cell r="BE89">
            <v>-1397.335941140916</v>
          </cell>
          <cell r="BF89">
            <v>-1737.2076961838115</v>
          </cell>
          <cell r="BG89">
            <v>-1954.6969225528687</v>
          </cell>
          <cell r="BH89">
            <v>-2279.8076397046793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-19.685089380000001</v>
          </cell>
          <cell r="U90">
            <v>-20.100000000000001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-26.8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-32.1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-32.1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-37.799999999999997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-70.3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-163.5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-161.20987330389576</v>
          </cell>
          <cell r="BE90">
            <v>-265.46321841020682</v>
          </cell>
          <cell r="BF90">
            <v>-409.47024730330963</v>
          </cell>
          <cell r="BG90">
            <v>-557.46697295964339</v>
          </cell>
          <cell r="BH90">
            <v>-723.51626412772248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12.02</v>
          </cell>
          <cell r="R91">
            <v>0</v>
          </cell>
          <cell r="S91">
            <v>0</v>
          </cell>
          <cell r="T91">
            <v>321.52</v>
          </cell>
          <cell r="U91">
            <v>12.08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1.35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425.95997814999998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10.797499999999999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1740.8142656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124.10967932999999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2320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11</v>
          </cell>
          <cell r="S92">
            <v>-8</v>
          </cell>
          <cell r="T92">
            <v>-38</v>
          </cell>
          <cell r="U92">
            <v>33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-18.2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-19.8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3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-19.65237166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-18.922849239999998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-1.6819461400000009</v>
          </cell>
          <cell r="R93">
            <v>-4.0360405200000002</v>
          </cell>
          <cell r="S93">
            <v>-13.367902579999999</v>
          </cell>
          <cell r="T93">
            <v>-6.2457409400000188</v>
          </cell>
          <cell r="U93">
            <v>-6.7043920099999994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-6.9980710799999954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-2.6973552699999566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-8.0283325300000001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-36.860205319999949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-24.545885730000002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10.338053859999999</v>
          </cell>
          <cell r="R94">
            <v>6.9639594799999998</v>
          </cell>
          <cell r="S94">
            <v>-21.367902579999999</v>
          </cell>
          <cell r="T94">
            <v>257.58916967999994</v>
          </cell>
          <cell r="U94">
            <v>18.275607989999997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-50.648071079999994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371.36262288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-26.330832530000002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1646.5016886200001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10.340944359999995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2156.5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-161.20987330389576</v>
          </cell>
          <cell r="BE94">
            <v>-265.46321841020682</v>
          </cell>
          <cell r="BF94">
            <v>-409.47024730330963</v>
          </cell>
          <cell r="BG94">
            <v>-557.46697295964339</v>
          </cell>
          <cell r="BH94">
            <v>-723.51626412772248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27.560279159999997</v>
          </cell>
          <cell r="R95">
            <v>28.728383329999996</v>
          </cell>
          <cell r="S95">
            <v>19.999702769999999</v>
          </cell>
          <cell r="T95">
            <v>261.80063912999992</v>
          </cell>
          <cell r="U95">
            <v>11.292164289999988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-60.142640049999997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352.93006803999998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-129.98912464000006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1225.6103223500002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-687.67882986000006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1978.328807546613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-497.18879173195603</v>
          </cell>
          <cell r="BE95">
            <v>-551.77265542126429</v>
          </cell>
          <cell r="BF95">
            <v>-388.31040023633886</v>
          </cell>
          <cell r="BG95">
            <v>22.112781702274901</v>
          </cell>
          <cell r="BH95">
            <v>388.57658337530938</v>
          </cell>
        </row>
        <row r="96">
          <cell r="A96" t="str">
            <v>Additional Cash Flow Items</v>
          </cell>
          <cell r="B96">
            <v>0</v>
          </cell>
          <cell r="C96">
            <v>0</v>
          </cell>
          <cell r="D96">
            <v>0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15.833513503007703</v>
          </cell>
          <cell r="T100">
            <v>20.163519542772949</v>
          </cell>
          <cell r="U100">
            <v>46.074403600914671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58.433136932575216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72.782843681094263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103.88252515924179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184.0965644062328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319.44445101332906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398.60961673755725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685.04664337458178</v>
          </cell>
          <cell r="BE100">
            <v>1013.0006197228628</v>
          </cell>
          <cell r="BF100">
            <v>1287.278517434911</v>
          </cell>
          <cell r="BG100">
            <v>1595.0216014725524</v>
          </cell>
          <cell r="BH100">
            <v>1841.7409484173338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</row>
        <row r="108">
          <cell r="A108" t="str">
            <v>Other Items</v>
          </cell>
          <cell r="B108">
            <v>0</v>
          </cell>
          <cell r="C108">
            <v>0</v>
          </cell>
          <cell r="D108">
            <v>0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1.6679999999999999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2.2749999999999999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2.597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2.8047600000000004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3.0291408000000004</v>
          </cell>
          <cell r="BE109">
            <v>3.2714720640000006</v>
          </cell>
          <cell r="BF109">
            <v>3.5331898291200008</v>
          </cell>
          <cell r="BG109">
            <v>3.8158450154496011</v>
          </cell>
          <cell r="BH109">
            <v>4.1211126166855694</v>
          </cell>
        </row>
        <row r="110">
          <cell r="A110" t="str">
            <v>Geographical Breakdown</v>
          </cell>
          <cell r="B110">
            <v>0</v>
          </cell>
          <cell r="C110">
            <v>0</v>
          </cell>
          <cell r="D110">
            <v>0</v>
          </cell>
        </row>
        <row r="111">
          <cell r="B111" t="str">
            <v>Sales - Total %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</row>
        <row r="113">
          <cell r="A113">
            <v>0</v>
          </cell>
          <cell r="B113" t="str">
            <v>Sales - % Canada</v>
          </cell>
          <cell r="C113" t="str">
            <v>SALES_CANADA</v>
          </cell>
          <cell r="D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</row>
        <row r="114">
          <cell r="B114" t="str">
            <v>Sales - % Brazil</v>
          </cell>
          <cell r="C114" t="str">
            <v>SALES_BRAZIL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</row>
        <row r="116">
          <cell r="B116" t="str">
            <v>Sales - Total % EMEA</v>
          </cell>
          <cell r="C116" t="str">
            <v>SALES_TOT_EMEA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</row>
        <row r="117">
          <cell r="B117" t="str">
            <v>Sales - % UK</v>
          </cell>
          <cell r="C117" t="str">
            <v>SALES_UK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</row>
        <row r="119">
          <cell r="A119">
            <v>0</v>
          </cell>
          <cell r="B119" t="str">
            <v>Sales - % Austria</v>
          </cell>
          <cell r="C119" t="str">
            <v>SALES_AUSTRIA</v>
          </cell>
          <cell r="D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</row>
        <row r="120">
          <cell r="A120">
            <v>0</v>
          </cell>
          <cell r="B120" t="str">
            <v>Sales - % Belgium</v>
          </cell>
          <cell r="C120" t="str">
            <v>SALES_BEL</v>
          </cell>
          <cell r="D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</row>
        <row r="121">
          <cell r="A121">
            <v>0</v>
          </cell>
          <cell r="B121" t="str">
            <v>Sales - % Denmark</v>
          </cell>
          <cell r="C121" t="str">
            <v>SALES_DEN</v>
          </cell>
          <cell r="D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</row>
        <row r="122">
          <cell r="A122">
            <v>0</v>
          </cell>
          <cell r="B122" t="str">
            <v>Sales - % Finland</v>
          </cell>
          <cell r="C122" t="str">
            <v>SALES_FIN</v>
          </cell>
          <cell r="D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</row>
        <row r="123">
          <cell r="A123">
            <v>0</v>
          </cell>
          <cell r="B123" t="str">
            <v>Sales - % France</v>
          </cell>
          <cell r="C123" t="str">
            <v>SALES_FRA</v>
          </cell>
          <cell r="D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</row>
        <row r="124">
          <cell r="A124">
            <v>0</v>
          </cell>
          <cell r="B124" t="str">
            <v>Sales - % Germany</v>
          </cell>
          <cell r="C124" t="str">
            <v>SALES_GER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</row>
        <row r="125">
          <cell r="A125">
            <v>0</v>
          </cell>
          <cell r="B125" t="str">
            <v>Sales - % Greece</v>
          </cell>
          <cell r="C125" t="str">
            <v>SALES_GRE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</row>
        <row r="126">
          <cell r="A126">
            <v>0</v>
          </cell>
          <cell r="B126" t="str">
            <v>Sales - % Iceland</v>
          </cell>
          <cell r="C126" t="str">
            <v>SALES_ICE</v>
          </cell>
          <cell r="D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</row>
        <row r="127">
          <cell r="A127">
            <v>0</v>
          </cell>
          <cell r="B127" t="str">
            <v>Sales - % Ireland</v>
          </cell>
          <cell r="C127" t="str">
            <v>SALES_IRE</v>
          </cell>
          <cell r="D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</row>
        <row r="128">
          <cell r="A128">
            <v>0</v>
          </cell>
          <cell r="B128" t="str">
            <v>Sales - % Italy</v>
          </cell>
          <cell r="C128" t="str">
            <v>SALES_ITA</v>
          </cell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</row>
        <row r="129">
          <cell r="A129">
            <v>0</v>
          </cell>
          <cell r="B129" t="str">
            <v>Sales - % Netherlands</v>
          </cell>
          <cell r="C129" t="str">
            <v>SALES_NETH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</row>
        <row r="130">
          <cell r="A130">
            <v>0</v>
          </cell>
          <cell r="B130" t="str">
            <v>Sales - % Norway</v>
          </cell>
          <cell r="C130" t="str">
            <v>SALES_NOR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</row>
        <row r="131">
          <cell r="A131">
            <v>0</v>
          </cell>
          <cell r="B131" t="str">
            <v>Sales - % Portugal</v>
          </cell>
          <cell r="C131" t="str">
            <v>SALES_POR</v>
          </cell>
          <cell r="D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</row>
        <row r="132">
          <cell r="A132">
            <v>0</v>
          </cell>
          <cell r="B132" t="str">
            <v>Sales - % Spain</v>
          </cell>
          <cell r="C132" t="str">
            <v>SALES_SPA</v>
          </cell>
          <cell r="D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</row>
        <row r="133">
          <cell r="A133">
            <v>0</v>
          </cell>
          <cell r="B133" t="str">
            <v>Sales - % Sweden</v>
          </cell>
          <cell r="C133" t="str">
            <v>SALES_SWE</v>
          </cell>
          <cell r="D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</row>
        <row r="134">
          <cell r="A134">
            <v>0</v>
          </cell>
          <cell r="B134" t="str">
            <v>Sales - % Switzerland</v>
          </cell>
          <cell r="C134" t="str">
            <v>SALES_SWIT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</row>
        <row r="136">
          <cell r="B136" t="str">
            <v>Sales - % Middle East</v>
          </cell>
          <cell r="C136" t="str">
            <v>SALES_ME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</row>
        <row r="137">
          <cell r="B137" t="str">
            <v>Sales - % Total Africa</v>
          </cell>
          <cell r="C137" t="str">
            <v>SALES_TOT_AFRICA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</row>
        <row r="138">
          <cell r="B138" t="str">
            <v>Sales - % Russia</v>
          </cell>
          <cell r="C138" t="str">
            <v>SALES_RUSSIA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</row>
        <row r="139">
          <cell r="B139" t="str">
            <v>Sales - % Other EMEA</v>
          </cell>
          <cell r="C139" t="str">
            <v>SALES_OTH_EMEA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</row>
        <row r="141">
          <cell r="B141" t="str">
            <v>Sales - % Japan</v>
          </cell>
          <cell r="C141" t="str">
            <v>SALES_JAPAN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</row>
        <row r="142">
          <cell r="B142" t="str">
            <v>Sales - % China</v>
          </cell>
          <cell r="C142" t="str">
            <v>SALES_CHINA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1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1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1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1</v>
          </cell>
          <cell r="BE142">
            <v>1</v>
          </cell>
          <cell r="BF142">
            <v>1</v>
          </cell>
          <cell r="BG142">
            <v>1</v>
          </cell>
          <cell r="BH142">
            <v>1</v>
          </cell>
        </row>
        <row r="143">
          <cell r="B143" t="str">
            <v>Sales - % India</v>
          </cell>
          <cell r="C143" t="str">
            <v>SALES_INDIA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</row>
        <row r="144">
          <cell r="B144" t="str">
            <v>Sales - % South Korea</v>
          </cell>
          <cell r="C144" t="str">
            <v>SALES_SK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</row>
        <row r="145">
          <cell r="B145" t="str">
            <v>Sales - % Taiwan</v>
          </cell>
          <cell r="C145" t="str">
            <v>SALES_TAIWAN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</row>
        <row r="146">
          <cell r="A146">
            <v>0</v>
          </cell>
          <cell r="B146" t="str">
            <v>Sales - % Australia</v>
          </cell>
          <cell r="C146" t="str">
            <v>SALES_AUSTRA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</row>
        <row r="147">
          <cell r="A147">
            <v>0</v>
          </cell>
          <cell r="B147" t="str">
            <v>Sales - % New Zealand</v>
          </cell>
          <cell r="C147" t="str">
            <v>SALES_NZ</v>
          </cell>
          <cell r="D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</row>
        <row r="148">
          <cell r="B148" t="str">
            <v>Sales - % Other Asia</v>
          </cell>
          <cell r="C148" t="str">
            <v>SALES_OTH_AEJ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</row>
        <row r="149">
          <cell r="B149" t="str">
            <v>Sales - % Others</v>
          </cell>
          <cell r="C149" t="str">
            <v>SALES_OTHER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</row>
        <row r="150">
          <cell r="A150">
            <v>0</v>
          </cell>
          <cell r="B150" t="str">
            <v>Operating Profit - % Total Americas</v>
          </cell>
          <cell r="C150" t="str">
            <v>OP_TOT_AM</v>
          </cell>
          <cell r="D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</row>
        <row r="151">
          <cell r="A151">
            <v>0</v>
          </cell>
          <cell r="B151" t="str">
            <v>Operating Profit - % United States</v>
          </cell>
          <cell r="C151" t="str">
            <v>OP_US</v>
          </cell>
          <cell r="D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</row>
        <row r="152">
          <cell r="A152">
            <v>0</v>
          </cell>
          <cell r="B152" t="str">
            <v>Operating Profit - % Canada</v>
          </cell>
          <cell r="C152" t="str">
            <v>OP_CANADA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</row>
        <row r="153">
          <cell r="A153">
            <v>0</v>
          </cell>
          <cell r="B153" t="str">
            <v>Operating Profit - % Brazil</v>
          </cell>
          <cell r="C153" t="str">
            <v>OP_BRAZIL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</row>
        <row r="154">
          <cell r="A154">
            <v>0</v>
          </cell>
          <cell r="B154" t="str">
            <v>Operating Profit - % Other Americas</v>
          </cell>
          <cell r="C154" t="str">
            <v>OP_OTH_AM</v>
          </cell>
          <cell r="D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</row>
        <row r="155">
          <cell r="A155">
            <v>0</v>
          </cell>
          <cell r="B155" t="str">
            <v>Operating Profit - Total % EMEA</v>
          </cell>
          <cell r="C155" t="str">
            <v>OP_TOT_EMEA</v>
          </cell>
          <cell r="D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</row>
        <row r="156">
          <cell r="A156">
            <v>0</v>
          </cell>
          <cell r="B156" t="str">
            <v>Operating Profit - % UK</v>
          </cell>
          <cell r="C156" t="str">
            <v>OP_UK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</row>
        <row r="157">
          <cell r="A157">
            <v>0</v>
          </cell>
          <cell r="B157" t="str">
            <v>Operating Profit - % Europe-Ex UK</v>
          </cell>
          <cell r="C157" t="str">
            <v>OP_EU_EX_UK</v>
          </cell>
          <cell r="D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</row>
        <row r="158">
          <cell r="A158">
            <v>0</v>
          </cell>
          <cell r="B158" t="str">
            <v>Operating Profit - % Austria</v>
          </cell>
          <cell r="C158" t="str">
            <v>OP_AUSTRIA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</row>
        <row r="159">
          <cell r="A159">
            <v>0</v>
          </cell>
          <cell r="B159" t="str">
            <v>Operating Profit - % Belgium</v>
          </cell>
          <cell r="C159" t="str">
            <v>OP_BEL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</row>
        <row r="160">
          <cell r="A160">
            <v>0</v>
          </cell>
          <cell r="B160" t="str">
            <v>Operating Profit - % Denmark</v>
          </cell>
          <cell r="C160" t="str">
            <v>OP_DEN</v>
          </cell>
          <cell r="D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</row>
        <row r="161">
          <cell r="A161">
            <v>0</v>
          </cell>
          <cell r="B161" t="str">
            <v>Operating Profit - % Finland</v>
          </cell>
          <cell r="C161" t="str">
            <v>OP_FIN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</row>
        <row r="162">
          <cell r="A162">
            <v>0</v>
          </cell>
          <cell r="B162" t="str">
            <v>Operating Profit - % France</v>
          </cell>
          <cell r="C162" t="str">
            <v>OP_FRA</v>
          </cell>
          <cell r="D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</row>
        <row r="163">
          <cell r="A163">
            <v>0</v>
          </cell>
          <cell r="B163" t="str">
            <v>Operating Profit - % Germany</v>
          </cell>
          <cell r="C163" t="str">
            <v>OP_GER</v>
          </cell>
          <cell r="D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</row>
        <row r="164">
          <cell r="A164">
            <v>0</v>
          </cell>
          <cell r="B164" t="str">
            <v>Operating Profit - % Greece</v>
          </cell>
          <cell r="C164" t="str">
            <v>OP_GRE</v>
          </cell>
          <cell r="D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</row>
        <row r="165">
          <cell r="A165">
            <v>0</v>
          </cell>
          <cell r="B165" t="str">
            <v>Operating Profit - % Iceland</v>
          </cell>
          <cell r="C165" t="str">
            <v>OP_ICE</v>
          </cell>
          <cell r="D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</row>
        <row r="166">
          <cell r="A166">
            <v>0</v>
          </cell>
          <cell r="B166" t="str">
            <v>Operating Profit - % Ireland</v>
          </cell>
          <cell r="C166" t="str">
            <v>OP_IRE</v>
          </cell>
          <cell r="D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</row>
        <row r="167">
          <cell r="A167">
            <v>0</v>
          </cell>
          <cell r="B167" t="str">
            <v>Operating Profit - % Italy</v>
          </cell>
          <cell r="C167" t="str">
            <v>OP_ITA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</row>
        <row r="168">
          <cell r="A168">
            <v>0</v>
          </cell>
          <cell r="B168" t="str">
            <v>Operating Profit - % Netherlands</v>
          </cell>
          <cell r="C168" t="str">
            <v>OP_NETH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</row>
        <row r="169">
          <cell r="A169">
            <v>0</v>
          </cell>
          <cell r="B169" t="str">
            <v>Operating Profit - % Norway</v>
          </cell>
          <cell r="C169" t="str">
            <v>OP_NOR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</row>
        <row r="170">
          <cell r="A170">
            <v>0</v>
          </cell>
          <cell r="B170" t="str">
            <v>Operating Profit - % Portugal</v>
          </cell>
          <cell r="C170" t="str">
            <v>OP_POR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</row>
        <row r="171">
          <cell r="A171">
            <v>0</v>
          </cell>
          <cell r="B171" t="str">
            <v>Operating Profit - % Spain</v>
          </cell>
          <cell r="C171" t="str">
            <v>OP_SPA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</row>
        <row r="172">
          <cell r="A172">
            <v>0</v>
          </cell>
          <cell r="B172" t="str">
            <v>Operating Profit - % Sweden</v>
          </cell>
          <cell r="C172" t="str">
            <v>OP_SWE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</row>
        <row r="173">
          <cell r="A173">
            <v>0</v>
          </cell>
          <cell r="B173" t="str">
            <v>Operating Profit - % Switzerland</v>
          </cell>
          <cell r="C173" t="str">
            <v>OP_SWIT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</row>
        <row r="174">
          <cell r="A174">
            <v>0</v>
          </cell>
          <cell r="B174" t="str">
            <v>Operating Profit - % Central &amp; Eastern Europe</v>
          </cell>
          <cell r="C174" t="str">
            <v>OP_CEE</v>
          </cell>
          <cell r="D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</row>
        <row r="175">
          <cell r="A175">
            <v>0</v>
          </cell>
          <cell r="B175" t="str">
            <v>Operating Profit - % Middle East</v>
          </cell>
          <cell r="C175" t="str">
            <v>OP_ME</v>
          </cell>
          <cell r="D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</row>
        <row r="176">
          <cell r="A176">
            <v>0</v>
          </cell>
          <cell r="B176" t="str">
            <v>Operating Profit - % Russia</v>
          </cell>
          <cell r="C176" t="str">
            <v>OP_RUSSIA</v>
          </cell>
          <cell r="D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</row>
        <row r="177">
          <cell r="A177">
            <v>0</v>
          </cell>
          <cell r="B177" t="str">
            <v>Operating Profit - % Other EMEA</v>
          </cell>
          <cell r="C177" t="str">
            <v>OP_OTH_EMEA</v>
          </cell>
          <cell r="D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</row>
        <row r="178">
          <cell r="A178">
            <v>0</v>
          </cell>
          <cell r="B178" t="str">
            <v>Operating Profit - Total % Asia (incl Australia &amp; New Zealand)</v>
          </cell>
          <cell r="C178" t="str">
            <v>OP_TOT_ASIA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</row>
        <row r="179">
          <cell r="A179">
            <v>0</v>
          </cell>
          <cell r="B179" t="str">
            <v>Operating Profit - % Japan</v>
          </cell>
          <cell r="C179" t="str">
            <v>OP_JAPAN</v>
          </cell>
          <cell r="D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</row>
        <row r="180">
          <cell r="A180">
            <v>0</v>
          </cell>
          <cell r="B180" t="str">
            <v>Operating Profit - % Greater China (incl HK)</v>
          </cell>
          <cell r="C180" t="str">
            <v>OP_CHINA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1</v>
          </cell>
          <cell r="AA180">
            <v>1</v>
          </cell>
          <cell r="AB180">
            <v>1</v>
          </cell>
          <cell r="AC180">
            <v>1</v>
          </cell>
          <cell r="AD180">
            <v>1</v>
          </cell>
          <cell r="AE180">
            <v>1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1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1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1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1</v>
          </cell>
          <cell r="BE180">
            <v>1</v>
          </cell>
          <cell r="BF180">
            <v>1</v>
          </cell>
          <cell r="BG180">
            <v>1</v>
          </cell>
          <cell r="BH180">
            <v>1</v>
          </cell>
        </row>
        <row r="181">
          <cell r="A181">
            <v>0</v>
          </cell>
          <cell r="B181" t="str">
            <v>Operating Profit - % India</v>
          </cell>
          <cell r="C181" t="str">
            <v>OP_INDIA</v>
          </cell>
          <cell r="D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</row>
        <row r="182">
          <cell r="A182">
            <v>0</v>
          </cell>
          <cell r="B182" t="str">
            <v>Operating Profit - % South Korea</v>
          </cell>
          <cell r="C182" t="str">
            <v>OP_SK</v>
          </cell>
          <cell r="D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</row>
        <row r="183">
          <cell r="A183">
            <v>0</v>
          </cell>
          <cell r="B183" t="str">
            <v>Operating Profit - % Australia</v>
          </cell>
          <cell r="C183" t="str">
            <v>OP_AUSTRA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</row>
        <row r="184">
          <cell r="A184">
            <v>0</v>
          </cell>
          <cell r="B184" t="str">
            <v>Operating Profit - % New Zealand</v>
          </cell>
          <cell r="C184" t="str">
            <v>OP_NZ</v>
          </cell>
          <cell r="D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</row>
        <row r="185">
          <cell r="A185">
            <v>0</v>
          </cell>
          <cell r="B185" t="str">
            <v>Operating Profit - % Other AEJ (incl Taiwan)</v>
          </cell>
          <cell r="C185" t="str">
            <v>OP_OTH_AEJ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</row>
        <row r="186">
          <cell r="A186">
            <v>0</v>
          </cell>
          <cell r="B186" t="str">
            <v>Operating Profit - % Others</v>
          </cell>
          <cell r="C186" t="str">
            <v>OP_OTHER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</row>
        <row r="187">
          <cell r="B187" t="str">
            <v>Sales -% Consumer (C)</v>
          </cell>
          <cell r="C187" t="str">
            <v>SALES_CONS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</row>
        <row r="188">
          <cell r="B188" t="str">
            <v>Sales -% Industry (I)</v>
          </cell>
          <cell r="C188" t="str">
            <v>SALES_IND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</row>
        <row r="189">
          <cell r="B189" t="str">
            <v>Sales -% Government (G)</v>
          </cell>
          <cell r="C189" t="str">
            <v>SALES_GOV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</row>
        <row r="190">
          <cell r="B190" t="str">
            <v>Sales - % Industry Sub-Segment: Financial Services</v>
          </cell>
          <cell r="C190" t="str">
            <v>SALES_FINAN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</row>
        <row r="191">
          <cell r="A191">
            <v>0</v>
          </cell>
          <cell r="B191" t="str">
            <v>Operating Profit - % Consumer (C)</v>
          </cell>
          <cell r="C191" t="str">
            <v>OP_CONS</v>
          </cell>
          <cell r="D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</row>
        <row r="192">
          <cell r="A192">
            <v>0</v>
          </cell>
          <cell r="B192" t="str">
            <v>Operating Profit - % Industry (I)</v>
          </cell>
          <cell r="C192" t="str">
            <v>OP_IND</v>
          </cell>
          <cell r="D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</row>
        <row r="193">
          <cell r="A193">
            <v>0</v>
          </cell>
          <cell r="B193" t="str">
            <v>Operating Profit - % Government (G)</v>
          </cell>
          <cell r="C193" t="str">
            <v>OP_GOV</v>
          </cell>
          <cell r="D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</row>
        <row r="207">
          <cell r="A207" t="str">
            <v>Reference Data</v>
          </cell>
          <cell r="B207">
            <v>0</v>
          </cell>
          <cell r="C207">
            <v>0</v>
          </cell>
          <cell r="D207">
            <v>0</v>
          </cell>
        </row>
        <row r="211">
          <cell r="E211" t="str">
            <v>CNY</v>
          </cell>
        </row>
        <row r="212">
          <cell r="E212" t="str">
            <v>CNY</v>
          </cell>
        </row>
        <row r="213">
          <cell r="E213" t="str">
            <v>CNY</v>
          </cell>
        </row>
        <row r="214">
          <cell r="A214" t="str">
            <v>General Information</v>
          </cell>
          <cell r="B214">
            <v>0</v>
          </cell>
          <cell r="C214">
            <v>0</v>
          </cell>
          <cell r="D214">
            <v>0</v>
          </cell>
        </row>
        <row r="215">
          <cell r="B215" t="str">
            <v>Asia Pacific Investment List</v>
          </cell>
          <cell r="C215" t="str">
            <v>AEJ_LIST</v>
          </cell>
          <cell r="E215" t="str">
            <v>Buy</v>
          </cell>
        </row>
        <row r="216">
          <cell r="B216" t="str">
            <v>Asia Pacific Conviction List</v>
          </cell>
          <cell r="C216" t="str">
            <v>AEJ_CONVICTION</v>
          </cell>
          <cell r="E216">
            <v>0</v>
          </cell>
        </row>
        <row r="217">
          <cell r="B217" t="str">
            <v>Legal rating</v>
          </cell>
          <cell r="C217" t="str">
            <v>LEGAL_RATING</v>
          </cell>
          <cell r="E217">
            <v>0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37.700000000000003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Current shares outstanding (mn)</v>
          </cell>
          <cell r="C220" t="str">
            <v>NUM_SH</v>
          </cell>
          <cell r="E220">
            <v>1285.83521</v>
          </cell>
        </row>
        <row r="221">
          <cell r="B221" t="str">
            <v>Free float</v>
          </cell>
          <cell r="C221" t="str">
            <v>FREE_FLOAT</v>
          </cell>
          <cell r="E221">
            <v>0</v>
          </cell>
        </row>
        <row r="222">
          <cell r="B222" t="str">
            <v>Foreign ownership</v>
          </cell>
          <cell r="C222" t="str">
            <v>FOREIGN_HOLDNG</v>
          </cell>
          <cell r="E222">
            <v>0</v>
          </cell>
        </row>
        <row r="223">
          <cell r="B223" t="str">
            <v>SH Guangxin</v>
          </cell>
          <cell r="C223" t="str">
            <v>ACT1</v>
          </cell>
          <cell r="E223">
            <v>7.4700000000000003E-2</v>
          </cell>
        </row>
        <row r="224">
          <cell r="B224" t="str">
            <v>Liu Qingfeng</v>
          </cell>
          <cell r="C224" t="str">
            <v>ACT2</v>
          </cell>
          <cell r="E224">
            <v>6.8000000000000005E-2</v>
          </cell>
        </row>
        <row r="225">
          <cell r="B225" t="str">
            <v>USTC AM</v>
          </cell>
          <cell r="C225" t="str">
            <v>ACT3</v>
          </cell>
          <cell r="E225">
            <v>5.7700000000000001E-2</v>
          </cell>
        </row>
        <row r="226">
          <cell r="B226" t="str">
            <v>Catalyst 1 date</v>
          </cell>
          <cell r="C226" t="str">
            <v>CATALYST1_DATE</v>
          </cell>
          <cell r="E226">
            <v>0</v>
          </cell>
        </row>
        <row r="227">
          <cell r="B227" t="str">
            <v>Catalyst 1 description</v>
          </cell>
          <cell r="C227" t="str">
            <v>CATALYST1_EVENT</v>
          </cell>
          <cell r="E227">
            <v>0</v>
          </cell>
        </row>
        <row r="228">
          <cell r="B228" t="str">
            <v>Catalyst 2 date</v>
          </cell>
          <cell r="C228" t="str">
            <v>CATALYST2_DATE</v>
          </cell>
          <cell r="E228">
            <v>0</v>
          </cell>
        </row>
        <row r="229">
          <cell r="B229" t="str">
            <v>Catalyst 2 description</v>
          </cell>
          <cell r="C229" t="str">
            <v>CATALYST2_EVENT</v>
          </cell>
          <cell r="E229">
            <v>0</v>
          </cell>
        </row>
        <row r="230">
          <cell r="B230" t="str">
            <v>Catalyst 3 date</v>
          </cell>
          <cell r="C230" t="str">
            <v>CATALYST3_DATE</v>
          </cell>
          <cell r="E230">
            <v>0</v>
          </cell>
        </row>
        <row r="231">
          <cell r="B231" t="str">
            <v>Catalyst 3 description</v>
          </cell>
          <cell r="C231" t="str">
            <v>CATALYST3_EVENT</v>
          </cell>
          <cell r="E231">
            <v>0</v>
          </cell>
        </row>
        <row r="232">
          <cell r="B232" t="str">
            <v>Catalyst 4 date</v>
          </cell>
          <cell r="C232" t="str">
            <v>CATALYST4_DATE</v>
          </cell>
          <cell r="E232">
            <v>0</v>
          </cell>
        </row>
        <row r="233">
          <cell r="B233" t="str">
            <v>Catalyst 4 description</v>
          </cell>
          <cell r="C233" t="str">
            <v>CATALYST4_EVENT</v>
          </cell>
          <cell r="E233">
            <v>0</v>
          </cell>
        </row>
        <row r="234">
          <cell r="B234" t="str">
            <v>Catalyst 5 date</v>
          </cell>
          <cell r="C234" t="str">
            <v>CATALYST5_DATE</v>
          </cell>
          <cell r="E234">
            <v>0</v>
          </cell>
        </row>
        <row r="235">
          <cell r="B235" t="str">
            <v>Catalyst 5 description</v>
          </cell>
          <cell r="C235" t="str">
            <v>CATALYST5_EVENT</v>
          </cell>
          <cell r="E235">
            <v>0</v>
          </cell>
        </row>
        <row r="236">
          <cell r="B236" t="str">
            <v>Target price multiple</v>
          </cell>
          <cell r="C236" t="str">
            <v>PRI_TARG_MULT</v>
          </cell>
          <cell r="E236">
            <v>60.260988107552201</v>
          </cell>
        </row>
        <row r="237">
          <cell r="B237" t="str">
            <v>Target price methodology</v>
          </cell>
          <cell r="C237" t="str">
            <v>PRI_TARG_METH</v>
          </cell>
          <cell r="E237" t="str">
            <v>Long-term growth discounted PE</v>
          </cell>
        </row>
        <row r="238">
          <cell r="A238" t="str">
            <v>Publishing Items</v>
          </cell>
          <cell r="B238">
            <v>0</v>
          </cell>
          <cell r="C238">
            <v>0</v>
          </cell>
          <cell r="D238">
            <v>0</v>
          </cell>
        </row>
        <row r="239">
          <cell r="B239" t="str">
            <v>Book value per share, BVPS (Pub)</v>
          </cell>
          <cell r="C239" t="str">
            <v>BVPS_PUB</v>
          </cell>
          <cell r="D239" t="str">
            <v>CNY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7.1153063991769211E-2</v>
          </cell>
          <cell r="R239">
            <v>9.864863110258118E-2</v>
          </cell>
          <cell r="S239">
            <v>0.13173163272609403</v>
          </cell>
          <cell r="T239">
            <v>0.41249302264790216</v>
          </cell>
          <cell r="U239">
            <v>0.45408338955036087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0.50773679871466582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0.91501886548121503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1.0456326386255981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2.5746354849234536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2.8826614931706529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4.9414827742301961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5.3606428443392096</v>
          </cell>
          <cell r="BE239">
            <v>6.0071865674021678</v>
          </cell>
          <cell r="BF239">
            <v>6.8874135791464033</v>
          </cell>
          <cell r="BG239">
            <v>8.0298284485697113</v>
          </cell>
          <cell r="BH239">
            <v>9.3998299728633494</v>
          </cell>
        </row>
        <row r="240">
          <cell r="B240" t="str">
            <v>DPS, dividend per share (Pub)</v>
          </cell>
          <cell r="C240" t="str">
            <v>DPS_PUB</v>
          </cell>
          <cell r="D240" t="str">
            <v>CNY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2.8461060625850246E-2</v>
          </cell>
          <cell r="T240">
            <v>2.1793404461963744E-2</v>
          </cell>
          <cell r="U240">
            <v>2.9057872615951656E-2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3.4804392200449556E-2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3.3292004056110165E-2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3.9203668379596698E-2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5.8845347391562157E-2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0.13574312093340693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0.12537366534230757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0.20645197482981262</v>
          </cell>
          <cell r="BE240">
            <v>0.3184469083742929</v>
          </cell>
          <cell r="BF240">
            <v>0.43354464757551897</v>
          </cell>
          <cell r="BG240">
            <v>0.56268195061148041</v>
          </cell>
          <cell r="BH240">
            <v>0.67477687017447785</v>
          </cell>
        </row>
        <row r="241">
          <cell r="B241" t="str">
            <v>Special dividend per share</v>
          </cell>
          <cell r="C241" t="str">
            <v>DPS_SPECIAL_PUB</v>
          </cell>
          <cell r="D241" t="str">
            <v>CNY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</row>
        <row r="242">
          <cell r="B242" t="str">
            <v>EBITDA (Pub)</v>
          </cell>
          <cell r="C242" t="str">
            <v>EBITDA_PUB</v>
          </cell>
          <cell r="D242" t="str">
            <v>CNY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12.472118269999996</v>
          </cell>
          <cell r="R242">
            <v>39.771510199999994</v>
          </cell>
          <cell r="S242">
            <v>40.571818950000051</v>
          </cell>
          <cell r="T242">
            <v>71.941360720000006</v>
          </cell>
          <cell r="U242">
            <v>68.669104609999977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111.40984801000002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150.79290356000001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176.78429756000003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338.58030182000016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461.36768881000012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647.39428429419286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1043.7596475177961</v>
          </cell>
          <cell r="BE242">
            <v>1640.3050579006758</v>
          </cell>
          <cell r="BF242">
            <v>2307.2622883931435</v>
          </cell>
          <cell r="BG242">
            <v>3041.0118062188267</v>
          </cell>
          <cell r="BH242">
            <v>3736.6275213683384</v>
          </cell>
        </row>
        <row r="243">
          <cell r="B243" t="str">
            <v>EPS (Pub)</v>
          </cell>
          <cell r="C243" t="str">
            <v>EPS_PUB</v>
          </cell>
          <cell r="D243" t="str">
            <v>CNY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1.5881484741801542E-2</v>
          </cell>
          <cell r="R243">
            <v>5.5900602081714351E-2</v>
          </cell>
          <cell r="S243">
            <v>7.7348799308523036E-2</v>
          </cell>
          <cell r="T243">
            <v>8.0811796242292303E-2</v>
          </cell>
          <cell r="U243">
            <v>8.7032511690812955E-2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0.10966012048906519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0.13906468178623463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0.18917831382161421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0.24536145510585727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0.31549114553001895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0.39486133587527955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0.62561204493882594</v>
          </cell>
          <cell r="BE243">
            <v>0.96499063143725117</v>
          </cell>
          <cell r="BF243">
            <v>1.3137716593197544</v>
          </cell>
          <cell r="BG243">
            <v>1.7050968200347889</v>
          </cell>
          <cell r="BH243">
            <v>2.0447783944681146</v>
          </cell>
        </row>
        <row r="244">
          <cell r="B244" t="str">
            <v>EV adjustment (Pub)</v>
          </cell>
          <cell r="C244" t="str">
            <v>EV_ADJ_PUB</v>
          </cell>
          <cell r="D244" t="str">
            <v>CNY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</row>
        <row r="245">
          <cell r="B245" t="str">
            <v>Net debt (Pub)</v>
          </cell>
          <cell r="C245" t="str">
            <v>NET_DEBT_PUB</v>
          </cell>
          <cell r="D245" t="str">
            <v>CNY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-4.5112412000000006</v>
          </cell>
          <cell r="R245">
            <v>-22.23962453</v>
          </cell>
          <cell r="S245">
            <v>-50.23248341</v>
          </cell>
          <cell r="T245">
            <v>-350.00052118000002</v>
          </cell>
          <cell r="U245">
            <v>-328.29073161000002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-286.32261292999999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-659.07535571000005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-526.10201397000003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-1745.1487243399999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-1058.0087636799999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-3036.3375712266129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-2539.148779494657</v>
          </cell>
          <cell r="BE245">
            <v>-1987.3761240733927</v>
          </cell>
          <cell r="BF245">
            <v>-1599.0657238370538</v>
          </cell>
          <cell r="BG245">
            <v>-1621.1785055393289</v>
          </cell>
          <cell r="BH245">
            <v>-2009.7550889146382</v>
          </cell>
        </row>
        <row r="246">
          <cell r="B246" t="str">
            <v>Net income (Pub)</v>
          </cell>
          <cell r="C246" t="str">
            <v>NI_PUB</v>
          </cell>
          <cell r="D246" t="str">
            <v>CNY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9.9858428500000027</v>
          </cell>
          <cell r="R246">
            <v>35.148768309999994</v>
          </cell>
          <cell r="S246">
            <v>53.49828834000003</v>
          </cell>
          <cell r="T246">
            <v>69.872748859999973</v>
          </cell>
          <cell r="U246">
            <v>80.269858159999984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101.13924264000003</v>
          </cell>
          <cell r="AA246">
            <v>14.520532709999987</v>
          </cell>
          <cell r="AB246">
            <v>25.594970610000026</v>
          </cell>
          <cell r="AC246">
            <v>29.574224519999998</v>
          </cell>
          <cell r="AD246">
            <v>62.939174069999993</v>
          </cell>
          <cell r="AE246">
            <v>132.62890191</v>
          </cell>
          <cell r="AF246">
            <v>19.859722680000004</v>
          </cell>
          <cell r="AG246">
            <v>38.557491630000015</v>
          </cell>
          <cell r="AH246">
            <v>41.247854119999957</v>
          </cell>
          <cell r="AI246">
            <v>82.739807450000072</v>
          </cell>
          <cell r="AJ246">
            <v>182.40487588000011</v>
          </cell>
          <cell r="AK246">
            <v>34.320470540000009</v>
          </cell>
          <cell r="AL246">
            <v>48.174532520000014</v>
          </cell>
          <cell r="AM246">
            <v>57.774514350000004</v>
          </cell>
          <cell r="AN246">
            <v>138.71664989999999</v>
          </cell>
          <cell r="AO246">
            <v>278.98616731000004</v>
          </cell>
          <cell r="AP246">
            <v>50.896334140000015</v>
          </cell>
          <cell r="AQ246">
            <v>65.898005099999992</v>
          </cell>
          <cell r="AR246">
            <v>81.289577330000157</v>
          </cell>
          <cell r="AS246">
            <v>181.34596997999978</v>
          </cell>
          <cell r="AT246">
            <v>379.42988654999999</v>
          </cell>
          <cell r="AU246">
            <v>66.586553259999988</v>
          </cell>
          <cell r="AV246">
            <v>76.505739879999936</v>
          </cell>
          <cell r="AW246">
            <v>80.555723180000072</v>
          </cell>
          <cell r="AX246">
            <v>264.86675126756256</v>
          </cell>
          <cell r="AY246">
            <v>488.51476758756291</v>
          </cell>
          <cell r="AZ246">
            <v>69.318754831092619</v>
          </cell>
          <cell r="BA246">
            <v>164.09721515648008</v>
          </cell>
          <cell r="BB246">
            <v>182.38464336231053</v>
          </cell>
          <cell r="BC246">
            <v>388.63338183256104</v>
          </cell>
          <cell r="BD246">
            <v>804.43399518244473</v>
          </cell>
          <cell r="BE246">
            <v>1240.8189312221505</v>
          </cell>
          <cell r="BF246">
            <v>1689.2938574534646</v>
          </cell>
          <cell r="BG246">
            <v>2192.4735276597648</v>
          </cell>
          <cell r="BH246">
            <v>2629.248056254371</v>
          </cell>
        </row>
        <row r="247">
          <cell r="B247" t="str">
            <v>EBIT, operating profit (Pub)</v>
          </cell>
          <cell r="C247" t="str">
            <v>EBIT_PUB</v>
          </cell>
          <cell r="D247" t="str">
            <v>CNY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12.472118269999996</v>
          </cell>
          <cell r="R247">
            <v>39.771510199999994</v>
          </cell>
          <cell r="S247">
            <v>40.571818950000051</v>
          </cell>
          <cell r="T247">
            <v>60.000370310000022</v>
          </cell>
          <cell r="U247">
            <v>49.767564639999989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84.167132670000001</v>
          </cell>
          <cell r="AA247">
            <v>12.648045909999986</v>
          </cell>
          <cell r="AB247">
            <v>26.953563280000026</v>
          </cell>
          <cell r="AC247">
            <v>19.65236462</v>
          </cell>
          <cell r="AD247">
            <v>45.236888100000002</v>
          </cell>
          <cell r="AE247">
            <v>104.49086191000004</v>
          </cell>
          <cell r="AF247">
            <v>17.949241840000006</v>
          </cell>
          <cell r="AG247">
            <v>24.095082220000023</v>
          </cell>
          <cell r="AH247">
            <v>26.14764686999996</v>
          </cell>
          <cell r="AI247">
            <v>46.058334560000077</v>
          </cell>
          <cell r="AJ247">
            <v>114.25030548999996</v>
          </cell>
          <cell r="AK247">
            <v>22.08792960000001</v>
          </cell>
          <cell r="AL247">
            <v>29.530183860000015</v>
          </cell>
          <cell r="AM247">
            <v>37.521235820000001</v>
          </cell>
          <cell r="AN247">
            <v>118.03514237</v>
          </cell>
          <cell r="AO247">
            <v>207.17449165000016</v>
          </cell>
          <cell r="AP247">
            <v>24.546475390000012</v>
          </cell>
          <cell r="AQ247">
            <v>33.33592895999999</v>
          </cell>
          <cell r="AR247">
            <v>46.099997580000149</v>
          </cell>
          <cell r="AS247">
            <v>162.90166785999983</v>
          </cell>
          <cell r="AT247">
            <v>266.88406979000024</v>
          </cell>
          <cell r="AU247">
            <v>28.643835369999977</v>
          </cell>
          <cell r="AV247">
            <v>51.454069019999935</v>
          </cell>
          <cell r="AW247">
            <v>49.543852130000062</v>
          </cell>
          <cell r="AX247">
            <v>259.78540433281717</v>
          </cell>
          <cell r="AY247">
            <v>389.427160852817</v>
          </cell>
          <cell r="AZ247">
            <v>19.290565981452005</v>
          </cell>
          <cell r="BA247">
            <v>144.9839051934473</v>
          </cell>
          <cell r="BB247">
            <v>140.02929976475633</v>
          </cell>
          <cell r="BC247">
            <v>385.64353713320065</v>
          </cell>
          <cell r="BD247">
            <v>689.94730807285805</v>
          </cell>
          <cell r="BE247">
            <v>1153.5985395927082</v>
          </cell>
          <cell r="BF247">
            <v>1650.0721700815557</v>
          </cell>
          <cell r="BG247">
            <v>2184.518345016475</v>
          </cell>
          <cell r="BH247">
            <v>2648.3198633365664</v>
          </cell>
        </row>
        <row r="248">
          <cell r="B248" t="str">
            <v>Pre-tax profit (Pub)</v>
          </cell>
          <cell r="C248" t="str">
            <v>PTP_PUB</v>
          </cell>
          <cell r="D248" t="str">
            <v>CNY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11.072120770000003</v>
          </cell>
          <cell r="R248">
            <v>37.238850349999993</v>
          </cell>
          <cell r="S248">
            <v>55.356846530000034</v>
          </cell>
          <cell r="T248">
            <v>77.489366459999971</v>
          </cell>
          <cell r="U248">
            <v>87.395078529999978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111.98293157000003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143.73858526000001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202.69074379000011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320.58399225000005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433.74923002999998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563.14166929171745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922.22234863546555</v>
          </cell>
          <cell r="BE248">
            <v>1405.7291059357231</v>
          </cell>
          <cell r="BF248">
            <v>2026.3852370898921</v>
          </cell>
          <cell r="BG248">
            <v>2629.9722630007445</v>
          </cell>
          <cell r="BH248">
            <v>3153.9032846971204</v>
          </cell>
        </row>
        <row r="249">
          <cell r="B249" t="str">
            <v>Sales, revenue (Pub)</v>
          </cell>
          <cell r="C249" t="str">
            <v>REVS_PUB</v>
          </cell>
          <cell r="D249" t="str">
            <v>CNY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81.567521810000002</v>
          </cell>
          <cell r="R249">
            <v>171.35527556</v>
          </cell>
          <cell r="S249">
            <v>205.81020808000002</v>
          </cell>
          <cell r="T249">
            <v>257.55214083999999</v>
          </cell>
          <cell r="U249">
            <v>307.12515289999999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436.05733842000001</v>
          </cell>
          <cell r="AA249">
            <v>85.70098981999999</v>
          </cell>
          <cell r="AB249">
            <v>135.60514433000003</v>
          </cell>
          <cell r="AC249">
            <v>121.29126283999997</v>
          </cell>
          <cell r="AD249">
            <v>214.41613370000005</v>
          </cell>
          <cell r="AE249">
            <v>557.01353069000004</v>
          </cell>
          <cell r="AF249">
            <v>130.06769266000001</v>
          </cell>
          <cell r="AG249">
            <v>173.60203297000001</v>
          </cell>
          <cell r="AH249">
            <v>223.27271113999996</v>
          </cell>
          <cell r="AI249">
            <v>256.99824694000006</v>
          </cell>
          <cell r="AJ249">
            <v>783.94068371000003</v>
          </cell>
          <cell r="AK249">
            <v>173.04575912000001</v>
          </cell>
          <cell r="AL249">
            <v>246.05492519000001</v>
          </cell>
          <cell r="AM249">
            <v>338.35138807999999</v>
          </cell>
          <cell r="AN249">
            <v>496.25567838999996</v>
          </cell>
          <cell r="AO249">
            <v>1253.70775078</v>
          </cell>
          <cell r="AP249">
            <v>261.93893664000001</v>
          </cell>
          <cell r="AQ249">
            <v>385.75291031</v>
          </cell>
          <cell r="AR249">
            <v>457.65699877000009</v>
          </cell>
          <cell r="AS249">
            <v>669.86176722999994</v>
          </cell>
          <cell r="AT249">
            <v>1775.21061295</v>
          </cell>
          <cell r="AU249">
            <v>406.10641343999998</v>
          </cell>
          <cell r="AV249">
            <v>633.04558938000002</v>
          </cell>
          <cell r="AW249">
            <v>635.01307904999999</v>
          </cell>
          <cell r="AX249">
            <v>1002.5334304755005</v>
          </cell>
          <cell r="AY249">
            <v>2676.6985123455006</v>
          </cell>
          <cell r="AZ249">
            <v>646.72926008220531</v>
          </cell>
          <cell r="BA249">
            <v>1006.6765591764045</v>
          </cell>
          <cell r="BB249">
            <v>1013.9766353329485</v>
          </cell>
          <cell r="BC249">
            <v>1663.2285040570675</v>
          </cell>
          <cell r="BD249">
            <v>4330.6109586486264</v>
          </cell>
          <cell r="BE249">
            <v>6453.9801797084629</v>
          </cell>
          <cell r="BF249">
            <v>8946.4943887941354</v>
          </cell>
          <cell r="BG249">
            <v>11371.52991188719</v>
          </cell>
          <cell r="BH249">
            <v>13437.821238788381</v>
          </cell>
        </row>
        <row r="250">
          <cell r="B250" t="str">
            <v>Total shareholders' equity (Pub)</v>
          </cell>
          <cell r="C250" t="str">
            <v>EQ_PUB</v>
          </cell>
          <cell r="D250" t="str">
            <v>CNY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93.536812210000008</v>
          </cell>
          <cell r="R250">
            <v>126.84588329</v>
          </cell>
          <cell r="S250">
            <v>171.98579733</v>
          </cell>
          <cell r="T250">
            <v>530.39805239999998</v>
          </cell>
          <cell r="U250">
            <v>599.03658364000012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661.46416260000001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1185.7849062199998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1482.7320979899998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3461.0525709400004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3901.4191872599999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6558.9575471336666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7122.2655880259053</v>
          </cell>
          <cell r="BE250">
            <v>7977.9515360647456</v>
          </cell>
          <cell r="BF250">
            <v>9142.9120146315108</v>
          </cell>
          <cell r="BG250">
            <v>10654.872174054421</v>
          </cell>
          <cell r="BH250">
            <v>12468.038107483031</v>
          </cell>
        </row>
        <row r="251">
          <cell r="B251" t="str">
            <v>EPS (consensus)</v>
          </cell>
          <cell r="C251" t="str">
            <v>EPS_CONS_PUB</v>
          </cell>
          <cell r="D251" t="str">
            <v>CNY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</row>
        <row r="252">
          <cell r="A252" t="str">
            <v>Income Statement</v>
          </cell>
          <cell r="B252">
            <v>0</v>
          </cell>
          <cell r="C252">
            <v>0</v>
          </cell>
          <cell r="D252">
            <v>0</v>
          </cell>
        </row>
        <row r="253">
          <cell r="B253" t="str">
            <v>Provision for income tax</v>
          </cell>
          <cell r="C253" t="str">
            <v>PROV_INC_TAX</v>
          </cell>
          <cell r="D253" t="str">
            <v>CNY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-1.14120552</v>
          </cell>
          <cell r="R253">
            <v>-2.09008204</v>
          </cell>
          <cell r="S253">
            <v>-1.7994619700000001</v>
          </cell>
          <cell r="T253">
            <v>-7.41823941</v>
          </cell>
          <cell r="U253">
            <v>-7.3443451900000003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-10.868572960000002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-11.147770830000001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-20.953964559999999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-42.145440489999999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-45.262679920000004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-64.393436114154554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-93.451089333020803</v>
          </cell>
          <cell r="BE253">
            <v>-140.57291059357237</v>
          </cell>
          <cell r="BF253">
            <v>-303.95778556348381</v>
          </cell>
          <cell r="BG253">
            <v>-394.49583945011165</v>
          </cell>
          <cell r="BH253">
            <v>-473.08549270456803</v>
          </cell>
        </row>
        <row r="254">
          <cell r="B254" t="str">
            <v>Minority interest</v>
          </cell>
          <cell r="C254" t="str">
            <v>INC_MINORITY</v>
          </cell>
          <cell r="D254" t="str">
            <v>CNY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5.49276E-2</v>
          </cell>
          <cell r="R254">
            <v>0</v>
          </cell>
          <cell r="S254">
            <v>-5.9096219999999998E-2</v>
          </cell>
          <cell r="T254">
            <v>-0.19837819000000001</v>
          </cell>
          <cell r="U254">
            <v>0.21912482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2.4884029999999998E-2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3.808748E-2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0.66809665000000007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0.54761555000000006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-9.0566635600000005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-10.23346559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-24.33726412</v>
          </cell>
          <cell r="BE254">
            <v>-24.33726412</v>
          </cell>
          <cell r="BF254">
            <v>-33.133594072943708</v>
          </cell>
          <cell r="BG254">
            <v>-43.002895890867663</v>
          </cell>
          <cell r="BH254">
            <v>-51.569735738181599</v>
          </cell>
        </row>
        <row r="255">
          <cell r="B255" t="str">
            <v>Net income (pre-preferred dividends)</v>
          </cell>
          <cell r="C255" t="str">
            <v>NI_PRE_PREF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9.9858428500000027</v>
          </cell>
          <cell r="R255">
            <v>35.148768309999994</v>
          </cell>
          <cell r="S255">
            <v>53.49828834000003</v>
          </cell>
          <cell r="T255">
            <v>69.872748859999973</v>
          </cell>
          <cell r="U255">
            <v>80.269858159999984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101.13924264000003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132.62890191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182.40487588000011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278.98616731000004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379.42988654999999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488.51476758756291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804.43399518244473</v>
          </cell>
          <cell r="BE255">
            <v>1240.8189312221505</v>
          </cell>
          <cell r="BF255">
            <v>1689.2938574534646</v>
          </cell>
          <cell r="BG255">
            <v>2192.4735276597648</v>
          </cell>
          <cell r="BH255">
            <v>2629.248056254371</v>
          </cell>
        </row>
        <row r="256">
          <cell r="B256" t="str">
            <v>Preferred dividends</v>
          </cell>
          <cell r="C256" t="str">
            <v>PREF_DIV</v>
          </cell>
          <cell r="D256" t="str">
            <v>CNY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</row>
        <row r="257">
          <cell r="B257" t="str">
            <v>Net income (pre-exceptionals)</v>
          </cell>
          <cell r="C257" t="str">
            <v>NET_EARNING</v>
          </cell>
          <cell r="D257" t="str">
            <v>CNY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9.9858428500000027</v>
          </cell>
          <cell r="R257">
            <v>35.148768309999994</v>
          </cell>
          <cell r="S257">
            <v>53.49828834000003</v>
          </cell>
          <cell r="T257">
            <v>69.872748859999973</v>
          </cell>
          <cell r="U257">
            <v>80.269858159999984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101.13924264000003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132.62890191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182.40487588000011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278.98616731000004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379.42988654999999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488.51476758756291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804.43399518244473</v>
          </cell>
          <cell r="BE257">
            <v>1240.8189312221505</v>
          </cell>
          <cell r="BF257">
            <v>1689.2938574534646</v>
          </cell>
          <cell r="BG257">
            <v>2192.4735276597648</v>
          </cell>
          <cell r="BH257">
            <v>2629.248056254371</v>
          </cell>
        </row>
        <row r="258">
          <cell r="B258" t="str">
            <v>Post-tax exceptionals</v>
          </cell>
          <cell r="C258" t="str">
            <v>TAX_EXC</v>
          </cell>
          <cell r="D258" t="str">
            <v>CNY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</row>
        <row r="259">
          <cell r="B259" t="str">
            <v>Net income (post-exceptionals)</v>
          </cell>
          <cell r="C259" t="str">
            <v>NET_INC</v>
          </cell>
          <cell r="D259" t="str">
            <v>CNY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9.9858428500000027</v>
          </cell>
          <cell r="R259">
            <v>35.148768309999994</v>
          </cell>
          <cell r="S259">
            <v>53.49828834000003</v>
          </cell>
          <cell r="T259">
            <v>69.872748859999973</v>
          </cell>
          <cell r="U259">
            <v>80.269858159999984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101.13924264000003</v>
          </cell>
          <cell r="AA259">
            <v>14.520532709999987</v>
          </cell>
          <cell r="AB259">
            <v>25.594970610000026</v>
          </cell>
          <cell r="AC259">
            <v>29.574224519999998</v>
          </cell>
          <cell r="AD259">
            <v>62.939174069999993</v>
          </cell>
          <cell r="AE259">
            <v>132.62890191</v>
          </cell>
          <cell r="AF259">
            <v>19.859722680000004</v>
          </cell>
          <cell r="AG259">
            <v>38.557491630000015</v>
          </cell>
          <cell r="AH259">
            <v>41.247854119999957</v>
          </cell>
          <cell r="AI259">
            <v>82.739807450000072</v>
          </cell>
          <cell r="AJ259">
            <v>182.40487588000011</v>
          </cell>
          <cell r="AK259">
            <v>34.320470540000009</v>
          </cell>
          <cell r="AL259">
            <v>48.174532520000014</v>
          </cell>
          <cell r="AM259">
            <v>57.774514350000004</v>
          </cell>
          <cell r="AN259">
            <v>138.71664989999999</v>
          </cell>
          <cell r="AO259">
            <v>278.98616731000004</v>
          </cell>
          <cell r="AP259">
            <v>50.896334140000015</v>
          </cell>
          <cell r="AQ259">
            <v>65.898005099999992</v>
          </cell>
          <cell r="AR259">
            <v>81.289577330000157</v>
          </cell>
          <cell r="AS259">
            <v>181.34596997999978</v>
          </cell>
          <cell r="AT259">
            <v>379.42988654999999</v>
          </cell>
          <cell r="AU259">
            <v>66.586553259999988</v>
          </cell>
          <cell r="AV259">
            <v>76.505739879999936</v>
          </cell>
          <cell r="AW259">
            <v>80.555723180000072</v>
          </cell>
          <cell r="AX259">
            <v>264.86675126756256</v>
          </cell>
          <cell r="AY259">
            <v>488.51476758756291</v>
          </cell>
          <cell r="AZ259">
            <v>69.318754831092619</v>
          </cell>
          <cell r="BA259">
            <v>164.09721515648008</v>
          </cell>
          <cell r="BB259">
            <v>182.38464336231053</v>
          </cell>
          <cell r="BC259">
            <v>388.63338183256104</v>
          </cell>
          <cell r="BD259">
            <v>804.43399518244473</v>
          </cell>
          <cell r="BE259">
            <v>1240.8189312221505</v>
          </cell>
          <cell r="BF259">
            <v>1689.2938574534646</v>
          </cell>
          <cell r="BG259">
            <v>2192.4735276597648</v>
          </cell>
          <cell r="BH259">
            <v>2629.248056254371</v>
          </cell>
        </row>
        <row r="260">
          <cell r="B260" t="str">
            <v>EPS (pre-exceptionals, basic)</v>
          </cell>
          <cell r="C260" t="str">
            <v>EPS</v>
          </cell>
          <cell r="D260" t="str">
            <v>CNY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1.5881484741801542E-2</v>
          </cell>
          <cell r="R260">
            <v>5.5900602081714351E-2</v>
          </cell>
          <cell r="S260">
            <v>7.7348799308523036E-2</v>
          </cell>
          <cell r="T260">
            <v>8.0811796242292303E-2</v>
          </cell>
          <cell r="U260">
            <v>8.7032511690812955E-2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0.10966012048906519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0.13906468178623463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0.18917831382161421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0.24536145510585727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0.31549114553001895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0.39486133587527955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0.62561204493882594</v>
          </cell>
          <cell r="BE260">
            <v>0.96499063143725117</v>
          </cell>
          <cell r="BF260">
            <v>1.3137716593197544</v>
          </cell>
          <cell r="BG260">
            <v>1.7050968200347889</v>
          </cell>
          <cell r="BH260">
            <v>2.0447783944681146</v>
          </cell>
        </row>
        <row r="261">
          <cell r="B261" t="str">
            <v>EPS (pre-exceptionals, diluted)</v>
          </cell>
          <cell r="C261" t="str">
            <v>EPS_FUL_DIL</v>
          </cell>
          <cell r="D261" t="str">
            <v>CNY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1.5881484741801542E-2</v>
          </cell>
          <cell r="R261">
            <v>5.5900602081714351E-2</v>
          </cell>
          <cell r="S261">
            <v>7.7348799308523036E-2</v>
          </cell>
          <cell r="T261">
            <v>7.5759456555979862E-2</v>
          </cell>
          <cell r="U261">
            <v>8.7032511690812955E-2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0.10966012048906519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0.13755395452788649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0.18917831388415399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0.23352827784918115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0.31501527202266377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0.39486133587527955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0.62561204493882594</v>
          </cell>
          <cell r="BE261">
            <v>0.96499063143725117</v>
          </cell>
          <cell r="BF261">
            <v>1.3137716593197544</v>
          </cell>
          <cell r="BG261">
            <v>1.7050968200347889</v>
          </cell>
          <cell r="BH261">
            <v>2.0447783944681146</v>
          </cell>
        </row>
        <row r="262">
          <cell r="B262" t="str">
            <v>EPS (post-exceptionals, basic)</v>
          </cell>
          <cell r="C262" t="str">
            <v>EPS_POST_BASIC</v>
          </cell>
          <cell r="D262" t="str">
            <v>CNY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1.5881484741801542E-2</v>
          </cell>
          <cell r="R262">
            <v>5.5900602081714351E-2</v>
          </cell>
          <cell r="S262">
            <v>7.7348799308523036E-2</v>
          </cell>
          <cell r="T262">
            <v>8.0811796242292303E-2</v>
          </cell>
          <cell r="U262">
            <v>8.7032511690812955E-2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0.10966012048906519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0.13906468178623463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0.18917831382161421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0.24536145510585727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0.31549114553001895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0.39486133587527955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0.62561204493882594</v>
          </cell>
          <cell r="BE262">
            <v>0.96499063143725117</v>
          </cell>
          <cell r="BF262">
            <v>1.3137716593197544</v>
          </cell>
          <cell r="BG262">
            <v>1.7050968200347889</v>
          </cell>
          <cell r="BH262">
            <v>2.0447783944681146</v>
          </cell>
        </row>
        <row r="263">
          <cell r="B263" t="str">
            <v>EPS (post-exceptionals, diluted)</v>
          </cell>
          <cell r="C263" t="str">
            <v>FULLY_DIL_EPS</v>
          </cell>
          <cell r="D263" t="str">
            <v>CNY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1.5881484741801542E-2</v>
          </cell>
          <cell r="R263">
            <v>5.5900602081714351E-2</v>
          </cell>
          <cell r="S263">
            <v>7.7348799308523036E-2</v>
          </cell>
          <cell r="T263">
            <v>7.5759456555979862E-2</v>
          </cell>
          <cell r="U263">
            <v>8.7032511690812955E-2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0.10966012048906519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0.13755395452788649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0.18917831388415399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0.23352827784918115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0.31501527202266377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0.39486133587527955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0.62561204493882594</v>
          </cell>
          <cell r="BE263">
            <v>0.96499063143725117</v>
          </cell>
          <cell r="BF263">
            <v>1.3137716593197544</v>
          </cell>
          <cell r="BG263">
            <v>1.7050968200347889</v>
          </cell>
          <cell r="BH263">
            <v>2.0447783944681146</v>
          </cell>
        </row>
        <row r="264">
          <cell r="B264" t="str">
            <v>Common dividends paid</v>
          </cell>
          <cell r="C264" t="str">
            <v>COMMON_DIV_PAID</v>
          </cell>
          <cell r="D264" t="str">
            <v>CNY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-19.685089380000001</v>
          </cell>
          <cell r="T264">
            <v>-20.100000000000001</v>
          </cell>
          <cell r="U264">
            <v>-26.8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-32.1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-32.1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-37.799999999999997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-70.3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-163.5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-161.20987330389576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-265.46321841020682</v>
          </cell>
          <cell r="BE264">
            <v>-409.47024730330963</v>
          </cell>
          <cell r="BF264">
            <v>-557.46697295964339</v>
          </cell>
          <cell r="BG264">
            <v>-723.51626412772248</v>
          </cell>
          <cell r="BH264">
            <v>-867.65185856394248</v>
          </cell>
        </row>
        <row r="265">
          <cell r="B265" t="str">
            <v>DPS, dividend per share</v>
          </cell>
          <cell r="C265" t="str">
            <v>DPS</v>
          </cell>
          <cell r="D265" t="str">
            <v>CNY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2.8461060625850246E-2</v>
          </cell>
          <cell r="T265">
            <v>2.1793404461963744E-2</v>
          </cell>
          <cell r="U265">
            <v>2.9057872615951656E-2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3.4804392200449556E-2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3.3292004056110165E-2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3.9203668379596698E-2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5.8845347391562157E-2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0.13574312093340693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0.12537366534230757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0.20645197482981262</v>
          </cell>
          <cell r="BE265">
            <v>0.3184469083742929</v>
          </cell>
          <cell r="BF265">
            <v>0.43354464757551897</v>
          </cell>
          <cell r="BG265">
            <v>0.56268195061148041</v>
          </cell>
          <cell r="BH265">
            <v>0.67477687017447785</v>
          </cell>
        </row>
        <row r="266">
          <cell r="B266" t="str">
            <v>Weighted average shares outstanding, basic</v>
          </cell>
          <cell r="C266" t="str">
            <v>SH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628.77262499999995</v>
          </cell>
          <cell r="R266">
            <v>628.77262499999995</v>
          </cell>
          <cell r="S266">
            <v>691.64988749999998</v>
          </cell>
          <cell r="T266">
            <v>864.63551249999989</v>
          </cell>
          <cell r="U266">
            <v>922.2973874999999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922.2973874999999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953.72096068124984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964.19548411874985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1137.0415422000001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1202.6641378874999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1237.1805573333334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1285.83521</v>
          </cell>
          <cell r="BE266">
            <v>1285.83521</v>
          </cell>
          <cell r="BF266">
            <v>1285.83521</v>
          </cell>
          <cell r="BG266">
            <v>1285.83521</v>
          </cell>
          <cell r="BH266">
            <v>1285.83521</v>
          </cell>
        </row>
        <row r="267">
          <cell r="B267" t="str">
            <v>Diluted average shares outstanding (mn)</v>
          </cell>
          <cell r="C267" t="str">
            <v>DILUTE_SHARES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628.77262499999995</v>
          </cell>
          <cell r="R267">
            <v>628.77262499999995</v>
          </cell>
          <cell r="S267">
            <v>691.64988749999998</v>
          </cell>
          <cell r="T267">
            <v>922.2973874999999</v>
          </cell>
          <cell r="U267">
            <v>922.2973874999999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922.2973874999999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964.19548507499985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964.19548379999992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1194.6568950000001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1204.4809260000002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1237.1805573333334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1285.83521</v>
          </cell>
          <cell r="BE267">
            <v>1285.83521</v>
          </cell>
          <cell r="BF267">
            <v>1285.83521</v>
          </cell>
          <cell r="BG267">
            <v>1285.83521</v>
          </cell>
          <cell r="BH267">
            <v>1285.83521</v>
          </cell>
        </row>
        <row r="268">
          <cell r="B268" t="str">
            <v>Period-end shares outstanding</v>
          </cell>
          <cell r="C268" t="str">
            <v>NON_OP_ADD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628.77262499999995</v>
          </cell>
          <cell r="R268">
            <v>628.77262499999995</v>
          </cell>
          <cell r="S268">
            <v>691.64988749999998</v>
          </cell>
          <cell r="T268">
            <v>922.2973874999999</v>
          </cell>
          <cell r="U268">
            <v>922.2973874999999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922.2973874999999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964.19548507499985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964.19548379999992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1194.6568950000001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1204.4809260000002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1285.83521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1285.83521</v>
          </cell>
          <cell r="BE268">
            <v>1285.83521</v>
          </cell>
          <cell r="BF268">
            <v>1285.83521</v>
          </cell>
          <cell r="BG268">
            <v>1285.83521</v>
          </cell>
          <cell r="BH268">
            <v>1285.83521</v>
          </cell>
        </row>
        <row r="269">
          <cell r="A269" t="str">
            <v>Additional Income Statement Items</v>
          </cell>
          <cell r="B269">
            <v>0</v>
          </cell>
          <cell r="C269">
            <v>0</v>
          </cell>
          <cell r="D269">
            <v>0</v>
          </cell>
        </row>
        <row r="270">
          <cell r="B270" t="str">
            <v>Marginal tax rate</v>
          </cell>
          <cell r="C270" t="str">
            <v>MARGIN_TAX_RATE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5.6126384685772135E-2</v>
          </cell>
          <cell r="S270">
            <v>3.250658378859788E-2</v>
          </cell>
          <cell r="T270">
            <v>9.5732353339464935E-2</v>
          </cell>
          <cell r="U270">
            <v>8.4036141548621851E-2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9.7055620956003508E-2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7.7555868591829211E-2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0.10337899091094942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0.13146458185327559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0.10435218505602752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0.11434677919526783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0.1013324926155742</v>
          </cell>
          <cell r="BE270">
            <v>0.10000000000000005</v>
          </cell>
          <cell r="BF270">
            <v>0.15</v>
          </cell>
          <cell r="BG270">
            <v>0.15</v>
          </cell>
          <cell r="BH270">
            <v>0.15</v>
          </cell>
        </row>
        <row r="271">
          <cell r="B271" t="str">
            <v>Net income (consensus) (Pub)</v>
          </cell>
          <cell r="C271" t="str">
            <v>NI_CONS</v>
          </cell>
          <cell r="D271" t="str">
            <v>CNY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0.94387361531422787</v>
          </cell>
          <cell r="S271">
            <v>0.96749341621140217</v>
          </cell>
          <cell r="T271">
            <v>0.90426764666053505</v>
          </cell>
          <cell r="U271">
            <v>0.91596385845137818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</row>
        <row r="272">
          <cell r="A272" t="str">
            <v>Balance Sheet</v>
          </cell>
          <cell r="B272">
            <v>0</v>
          </cell>
          <cell r="C272">
            <v>0</v>
          </cell>
          <cell r="D272">
            <v>0</v>
          </cell>
        </row>
        <row r="273">
          <cell r="B273" t="str">
            <v>BVPS, book value per share</v>
          </cell>
          <cell r="C273" t="str">
            <v>BVPS</v>
          </cell>
          <cell r="D273" t="str">
            <v>CNY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0.14550747176692053</v>
          </cell>
          <cell r="R273">
            <v>0.20173569625426999</v>
          </cell>
          <cell r="S273">
            <v>0.24490016508533013</v>
          </cell>
          <cell r="T273">
            <v>0.57508354635776304</v>
          </cell>
          <cell r="U273">
            <v>0.63306740154893926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0.70786913423844011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1.2202540804870923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1.3944384578230276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2.7711361925634725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3.0773651673667097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4.9414827742301961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5.3606428443392096</v>
          </cell>
          <cell r="BE273">
            <v>6.0071865674021678</v>
          </cell>
          <cell r="BF273">
            <v>6.8874135791464033</v>
          </cell>
          <cell r="BG273">
            <v>8.0298284485697113</v>
          </cell>
          <cell r="BH273">
            <v>9.3998299728633494</v>
          </cell>
        </row>
        <row r="274">
          <cell r="A274" t="str">
            <v>Cash Flow Statement</v>
          </cell>
          <cell r="B274">
            <v>0</v>
          </cell>
          <cell r="C274">
            <v>0</v>
          </cell>
          <cell r="D274">
            <v>0</v>
          </cell>
        </row>
        <row r="275">
          <cell r="B275" t="str">
            <v>Net income (pre-preferred dividends)</v>
          </cell>
          <cell r="C275" t="str">
            <v>CF_NI_PRE_PREF</v>
          </cell>
          <cell r="D275" t="str">
            <v>CNY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9.9858428500000027</v>
          </cell>
          <cell r="R275">
            <v>35.148768309999994</v>
          </cell>
          <cell r="S275">
            <v>53.49828834000003</v>
          </cell>
          <cell r="T275">
            <v>69.872748859999973</v>
          </cell>
          <cell r="U275">
            <v>80.269858159999984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101.13924264000003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132.62890191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182.40487588000011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278.98616731000004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379.42988654999999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488.51476758756291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804.43399518244473</v>
          </cell>
          <cell r="BE275">
            <v>1240.8189312221505</v>
          </cell>
          <cell r="BF275">
            <v>1689.2938574534646</v>
          </cell>
          <cell r="BG275">
            <v>2192.4735276597648</v>
          </cell>
          <cell r="BH275">
            <v>2629.248056254371</v>
          </cell>
        </row>
        <row r="276">
          <cell r="A276" t="str">
            <v>Other Items</v>
          </cell>
          <cell r="B276">
            <v>0</v>
          </cell>
          <cell r="C276">
            <v>0</v>
          </cell>
          <cell r="D276">
            <v>0</v>
          </cell>
        </row>
        <row r="277">
          <cell r="B277" t="str">
            <v>Beta</v>
          </cell>
          <cell r="C277" t="str">
            <v>BETA_ANALYST</v>
          </cell>
          <cell r="E277">
            <v>0</v>
          </cell>
        </row>
        <row r="278">
          <cell r="B278" t="str">
            <v>Market equity risk premium</v>
          </cell>
          <cell r="C278" t="str">
            <v>MKT_EQ_RISK_PREM</v>
          </cell>
          <cell r="E278">
            <v>0</v>
          </cell>
        </row>
        <row r="279">
          <cell r="B279" t="str">
            <v>Risk-free rate</v>
          </cell>
          <cell r="C279" t="str">
            <v>RISK_FR_RATE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Z279">
            <v>0</v>
          </cell>
          <cell r="AE279">
            <v>0</v>
          </cell>
          <cell r="AJ279">
            <v>0</v>
          </cell>
          <cell r="AO279">
            <v>0</v>
          </cell>
          <cell r="AT279">
            <v>0</v>
          </cell>
          <cell r="AY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</row>
      </sheetData>
      <sheetData sheetId="12" refreshError="1"/>
      <sheetData sheetId="13" refreshError="1"/>
      <sheetData sheetId="14" refreshError="1"/>
      <sheetData sheetId="15" refreshError="1">
        <row r="1">
          <cell r="A1" t="str">
            <v>Issuer: Anhui USTC iFLYTEK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  <cell r="BF2" t="str">
            <v>Estimate</v>
          </cell>
          <cell r="BG2" t="str">
            <v>Estimate</v>
          </cell>
          <cell r="BH2" t="str">
            <v>Estimate</v>
          </cell>
        </row>
        <row r="3"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41729</v>
          </cell>
          <cell r="AQ3">
            <v>41820</v>
          </cell>
          <cell r="AR3">
            <v>41912</v>
          </cell>
          <cell r="AS3">
            <v>42004</v>
          </cell>
          <cell r="AT3">
            <v>42004</v>
          </cell>
          <cell r="AU3">
            <v>42094</v>
          </cell>
          <cell r="AV3">
            <v>42185</v>
          </cell>
          <cell r="AW3">
            <v>42277</v>
          </cell>
          <cell r="AX3">
            <v>42369</v>
          </cell>
          <cell r="AY3">
            <v>42369</v>
          </cell>
          <cell r="AZ3">
            <v>42460</v>
          </cell>
          <cell r="BA3">
            <v>42551</v>
          </cell>
          <cell r="BB3">
            <v>42643</v>
          </cell>
          <cell r="BC3">
            <v>42735</v>
          </cell>
          <cell r="BD3">
            <v>42735</v>
          </cell>
          <cell r="BE3">
            <v>43100</v>
          </cell>
          <cell r="BF3">
            <v>43465</v>
          </cell>
          <cell r="BG3">
            <v>43830</v>
          </cell>
          <cell r="BH3">
            <v>44196</v>
          </cell>
        </row>
        <row r="5">
          <cell r="A5" t="str">
            <v>Reference Data</v>
          </cell>
        </row>
        <row r="7"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81.567521810000002</v>
          </cell>
          <cell r="R9">
            <v>171.35527556</v>
          </cell>
          <cell r="S9">
            <v>205.81020808</v>
          </cell>
          <cell r="T9">
            <v>257.55214083999999</v>
          </cell>
          <cell r="U9">
            <v>307.12515289999999</v>
          </cell>
          <cell r="V9">
            <v>56.149818959999998</v>
          </cell>
          <cell r="W9">
            <v>100.95747110000001</v>
          </cell>
          <cell r="X9">
            <v>91.656234119999993</v>
          </cell>
          <cell r="Y9">
            <v>187.29381423999999</v>
          </cell>
          <cell r="Z9">
            <v>436.05733842000001</v>
          </cell>
          <cell r="AA9">
            <v>85.700989820000004</v>
          </cell>
          <cell r="AB9">
            <v>135.60514433</v>
          </cell>
          <cell r="AC9">
            <v>121.29126284</v>
          </cell>
          <cell r="AD9">
            <v>214.41613369999999</v>
          </cell>
          <cell r="AE9">
            <v>557.01353069000004</v>
          </cell>
          <cell r="AF9">
            <v>130.06769266000001</v>
          </cell>
          <cell r="AG9">
            <v>173.60203297000001</v>
          </cell>
          <cell r="AH9">
            <v>223.27271114000001</v>
          </cell>
          <cell r="AI9">
            <v>256.99824694</v>
          </cell>
          <cell r="AJ9">
            <v>783.94068371000003</v>
          </cell>
          <cell r="AK9">
            <v>173.04575912000001</v>
          </cell>
          <cell r="AL9">
            <v>246.05492519000001</v>
          </cell>
          <cell r="AM9">
            <v>338.35138807999999</v>
          </cell>
          <cell r="AN9">
            <v>496.25567839000001</v>
          </cell>
          <cell r="AO9">
            <v>1253.70775078</v>
          </cell>
          <cell r="AP9">
            <v>261.93893664000001</v>
          </cell>
          <cell r="AQ9">
            <v>385.75291031</v>
          </cell>
          <cell r="AR9">
            <v>457.65699876999997</v>
          </cell>
          <cell r="AS9">
            <v>669.86176723000005</v>
          </cell>
          <cell r="AT9">
            <v>1775.21061295</v>
          </cell>
          <cell r="AU9">
            <v>406.10641343999998</v>
          </cell>
          <cell r="AV9">
            <v>633.04558938000002</v>
          </cell>
          <cell r="AW9">
            <v>635.01307904999999</v>
          </cell>
          <cell r="AX9">
            <v>1002.5334304755</v>
          </cell>
          <cell r="AY9">
            <v>2676.6985123455001</v>
          </cell>
          <cell r="AZ9">
            <v>646.72926008220497</v>
          </cell>
          <cell r="BA9">
            <v>1006.6765591764</v>
          </cell>
          <cell r="BB9">
            <v>1013.97663533295</v>
          </cell>
          <cell r="BC9">
            <v>1663.22850405707</v>
          </cell>
          <cell r="BD9">
            <v>4330.61095864863</v>
          </cell>
          <cell r="BE9">
            <v>6453.9801797084601</v>
          </cell>
          <cell r="BF9">
            <v>8946.4943887941408</v>
          </cell>
          <cell r="BG9">
            <v>11371.529911887201</v>
          </cell>
          <cell r="BH9">
            <v>13437.8212387884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-38.670562320000002</v>
          </cell>
          <cell r="R11">
            <v>-100.84862429</v>
          </cell>
          <cell r="S11">
            <v>-118.43721121</v>
          </cell>
          <cell r="T11">
            <v>-132.51299925999999</v>
          </cell>
          <cell r="U11">
            <v>-136.15412576</v>
          </cell>
          <cell r="V11">
            <v>-19.886910180000001</v>
          </cell>
          <cell r="W11">
            <v>-41.114451760000001</v>
          </cell>
          <cell r="X11">
            <v>-32.557379419999997</v>
          </cell>
          <cell r="Y11">
            <v>-94.479100360000004</v>
          </cell>
          <cell r="Z11">
            <v>-188.03784171999999</v>
          </cell>
          <cell r="AE11">
            <v>-238.18190433000001</v>
          </cell>
          <cell r="AJ11">
            <v>-362.68015957</v>
          </cell>
          <cell r="AO11">
            <v>-589.17146577999995</v>
          </cell>
          <cell r="AT11">
            <v>-787.58372898000005</v>
          </cell>
          <cell r="AY11">
            <v>-1245.41413297033</v>
          </cell>
          <cell r="BD11">
            <v>-1954.2489210162801</v>
          </cell>
          <cell r="BE11">
            <v>-2796.46174349698</v>
          </cell>
          <cell r="BF11">
            <v>-3872.2793556114998</v>
          </cell>
          <cell r="BG11">
            <v>-4893.2666538623598</v>
          </cell>
          <cell r="BH11">
            <v>-5783.6640597390897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-30.424841220000001</v>
          </cell>
          <cell r="R12">
            <v>-30.735141070000001</v>
          </cell>
          <cell r="S12">
            <v>-30.43567792</v>
          </cell>
          <cell r="T12">
            <v>-43.755671270000001</v>
          </cell>
          <cell r="U12">
            <v>-76.036322139999996</v>
          </cell>
          <cell r="V12">
            <v>-34.071344259999996</v>
          </cell>
          <cell r="W12">
            <v>-38.965258310000003</v>
          </cell>
          <cell r="X12">
            <v>-40.78135185</v>
          </cell>
          <cell r="Y12">
            <v>-50.034409609999997</v>
          </cell>
          <cell r="Z12">
            <v>-101.42310028</v>
          </cell>
          <cell r="AE12">
            <v>-138.3742732</v>
          </cell>
          <cell r="AJ12">
            <v>-203.78864164999999</v>
          </cell>
          <cell r="AO12">
            <v>-265.26587711000002</v>
          </cell>
          <cell r="AT12">
            <v>-405.53417098</v>
          </cell>
          <cell r="AY12">
            <v>-609.35426075436101</v>
          </cell>
          <cell r="BD12">
            <v>-972.67648794664501</v>
          </cell>
          <cell r="BE12">
            <v>-1418.95023320831</v>
          </cell>
          <cell r="BF12">
            <v>-1950.2397458422099</v>
          </cell>
          <cell r="BG12">
            <v>-2457.7942038676001</v>
          </cell>
          <cell r="BH12">
            <v>-2879.67187699433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-69.095403540000007</v>
          </cell>
          <cell r="R13">
            <v>-131.58376536</v>
          </cell>
          <cell r="S13">
            <v>-148.87288913</v>
          </cell>
          <cell r="T13">
            <v>-176.26867053000001</v>
          </cell>
          <cell r="U13">
            <v>-212.19044790000001</v>
          </cell>
          <cell r="V13">
            <v>-53.958254439999997</v>
          </cell>
          <cell r="W13">
            <v>-80.079710070000004</v>
          </cell>
          <cell r="X13">
            <v>-73.338731269999997</v>
          </cell>
          <cell r="Y13">
            <v>-144.51350997</v>
          </cell>
          <cell r="Z13">
            <v>-289.46094199999999</v>
          </cell>
          <cell r="AE13">
            <v>-376.55617753000001</v>
          </cell>
          <cell r="AJ13">
            <v>-566.46880122000005</v>
          </cell>
          <cell r="AO13">
            <v>-854.43734288999997</v>
          </cell>
          <cell r="AT13">
            <v>-1193.1178999599999</v>
          </cell>
          <cell r="AY13">
            <v>-1854.76839372469</v>
          </cell>
          <cell r="BD13">
            <v>-2926.9254089629198</v>
          </cell>
          <cell r="BE13">
            <v>-4215.4119767052898</v>
          </cell>
          <cell r="BF13">
            <v>-5822.5191014537104</v>
          </cell>
          <cell r="BG13">
            <v>-7351.0608577299599</v>
          </cell>
          <cell r="BH13">
            <v>-8663.3359367334197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Q14">
            <v>0</v>
          </cell>
          <cell r="R14">
            <v>0</v>
          </cell>
          <cell r="S14">
            <v>-16.365500000000001</v>
          </cell>
          <cell r="T14">
            <v>-21.283100000000001</v>
          </cell>
          <cell r="U14">
            <v>-45.167140359999998</v>
          </cell>
          <cell r="Z14">
            <v>-62.429263749999997</v>
          </cell>
          <cell r="AE14">
            <v>-75.966491250000004</v>
          </cell>
          <cell r="AJ14">
            <v>-103.221577</v>
          </cell>
          <cell r="AO14">
            <v>-192.09591624000001</v>
          </cell>
          <cell r="AT14">
            <v>-315.20864319999998</v>
          </cell>
          <cell r="AY14">
            <v>-432.50295776799697</v>
          </cell>
          <cell r="BD14">
            <v>-713.73824161284404</v>
          </cell>
          <cell r="BE14">
            <v>-1084.96966341046</v>
          </cell>
          <cell r="BF14">
            <v>-1473.90311725887</v>
          </cell>
          <cell r="BG14">
            <v>-1835.95070914075</v>
          </cell>
          <cell r="BH14">
            <v>-2126.1654387183999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Z15">
            <v>0</v>
          </cell>
          <cell r="AE15">
            <v>0</v>
          </cell>
          <cell r="AJ15">
            <v>0</v>
          </cell>
          <cell r="AO15">
            <v>0</v>
          </cell>
          <cell r="AT15">
            <v>0</v>
          </cell>
          <cell r="AY15">
            <v>0</v>
          </cell>
          <cell r="BD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-69.095403540000007</v>
          </cell>
          <cell r="R16">
            <v>-131.58376536</v>
          </cell>
          <cell r="S16">
            <v>-165.23838913</v>
          </cell>
          <cell r="T16">
            <v>-197.55177053</v>
          </cell>
          <cell r="U16">
            <v>-257.35758826</v>
          </cell>
          <cell r="V16">
            <v>-53.958254439999997</v>
          </cell>
          <cell r="W16">
            <v>-80.079710070000004</v>
          </cell>
          <cell r="X16">
            <v>-73.338731269999997</v>
          </cell>
          <cell r="Y16">
            <v>-171.75622530999999</v>
          </cell>
          <cell r="Z16">
            <v>-351.89020575000001</v>
          </cell>
          <cell r="AE16">
            <v>-452.52266878</v>
          </cell>
          <cell r="AJ16">
            <v>-669.69037821999996</v>
          </cell>
          <cell r="AO16">
            <v>-1046.53325913</v>
          </cell>
          <cell r="AT16">
            <v>-1508.32654316</v>
          </cell>
          <cell r="AY16">
            <v>-2287.27135149268</v>
          </cell>
          <cell r="BD16">
            <v>-3640.6636505757701</v>
          </cell>
          <cell r="BE16">
            <v>-5300.3816401157501</v>
          </cell>
          <cell r="BF16">
            <v>-7296.4222187125797</v>
          </cell>
          <cell r="BG16">
            <v>-9187.0115668707094</v>
          </cell>
          <cell r="BH16">
            <v>-10789.5013754518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-69.095403540000007</v>
          </cell>
          <cell r="R17">
            <v>-131.58376536</v>
          </cell>
          <cell r="S17">
            <v>-165.23838913</v>
          </cell>
          <cell r="T17">
            <v>-185.61078011999999</v>
          </cell>
          <cell r="U17">
            <v>-238.45604829000001</v>
          </cell>
          <cell r="V17">
            <v>-53.958254439999997</v>
          </cell>
          <cell r="W17">
            <v>-80.079710070000004</v>
          </cell>
          <cell r="X17">
            <v>-73.338731269999997</v>
          </cell>
          <cell r="Y17">
            <v>-144.51350997</v>
          </cell>
          <cell r="Z17">
            <v>-324.64749040999999</v>
          </cell>
          <cell r="AE17">
            <v>-406.22062713000003</v>
          </cell>
          <cell r="AJ17">
            <v>-607.15638615</v>
          </cell>
          <cell r="AO17">
            <v>-915.12744896000004</v>
          </cell>
          <cell r="AT17">
            <v>-1313.8429241399999</v>
          </cell>
          <cell r="AY17">
            <v>-2029.30422805131</v>
          </cell>
          <cell r="BD17">
            <v>-3286.8513111308298</v>
          </cell>
          <cell r="BE17">
            <v>-4813.6751218077898</v>
          </cell>
          <cell r="BF17">
            <v>-6639.23210040099</v>
          </cell>
          <cell r="BG17">
            <v>-8330.5181056683596</v>
          </cell>
          <cell r="BH17">
            <v>-9701.1937174200393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12.472118269999999</v>
          </cell>
          <cell r="R18">
            <v>39.771510200000002</v>
          </cell>
          <cell r="S18">
            <v>40.571818950000001</v>
          </cell>
          <cell r="T18">
            <v>71.941360720000006</v>
          </cell>
          <cell r="U18">
            <v>68.669104610000005</v>
          </cell>
          <cell r="V18">
            <v>2.19156452</v>
          </cell>
          <cell r="W18">
            <v>20.877761029999998</v>
          </cell>
          <cell r="X18">
            <v>18.31750285</v>
          </cell>
          <cell r="Y18">
            <v>42.780304270000002</v>
          </cell>
          <cell r="Z18">
            <v>111.40984801</v>
          </cell>
          <cell r="AE18">
            <v>150.79290356000001</v>
          </cell>
          <cell r="AJ18">
            <v>176.78429756</v>
          </cell>
          <cell r="AO18">
            <v>338.58030181999999</v>
          </cell>
          <cell r="AT18">
            <v>461.36768881</v>
          </cell>
          <cell r="AY18">
            <v>647.39428429419297</v>
          </cell>
          <cell r="BD18">
            <v>1043.7596475178</v>
          </cell>
          <cell r="BE18">
            <v>1640.3050579006799</v>
          </cell>
          <cell r="BF18">
            <v>2307.2622883931399</v>
          </cell>
          <cell r="BG18">
            <v>3041.0118062188299</v>
          </cell>
          <cell r="BH18">
            <v>3736.6275213683398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-7.91606656</v>
          </cell>
          <cell r="U19">
            <v>-7.3222759499999999</v>
          </cell>
          <cell r="Y19">
            <v>-9.6905041000000001</v>
          </cell>
          <cell r="Z19">
            <v>-9.6905041000000001</v>
          </cell>
          <cell r="AE19">
            <v>-19.95259158</v>
          </cell>
          <cell r="AJ19">
            <v>-26.314714800000001</v>
          </cell>
          <cell r="AO19">
            <v>-40.333606699999997</v>
          </cell>
          <cell r="AT19">
            <v>-60.02650955</v>
          </cell>
          <cell r="AY19">
            <v>-85.082873395042</v>
          </cell>
          <cell r="BD19">
            <v>-117.51367973374801</v>
          </cell>
          <cell r="BE19">
            <v>-157.79047965116101</v>
          </cell>
          <cell r="BF19">
            <v>-202.455775103121</v>
          </cell>
          <cell r="BG19">
            <v>-245.034973265763</v>
          </cell>
          <cell r="BH19">
            <v>-295.35112754175202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-4.0249238500000004</v>
          </cell>
          <cell r="U20">
            <v>-11.57926402</v>
          </cell>
          <cell r="Y20">
            <v>-17.552211239999998</v>
          </cell>
          <cell r="Z20">
            <v>-17.552211239999998</v>
          </cell>
          <cell r="AE20">
            <v>-26.34945007</v>
          </cell>
          <cell r="AJ20">
            <v>-36.219277269999999</v>
          </cell>
          <cell r="AO20">
            <v>-91.072203470000005</v>
          </cell>
          <cell r="AT20">
            <v>-134.45710947000001</v>
          </cell>
          <cell r="AY20">
            <v>-172.88425004633399</v>
          </cell>
          <cell r="BD20">
            <v>-236.29865971119</v>
          </cell>
          <cell r="BE20">
            <v>-328.91603865680599</v>
          </cell>
          <cell r="BF20">
            <v>-454.73434320846701</v>
          </cell>
          <cell r="BG20">
            <v>-611.45848793658899</v>
          </cell>
          <cell r="BH20">
            <v>-792.95653049002101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12.472118269999999</v>
          </cell>
          <cell r="R21">
            <v>39.771510200000002</v>
          </cell>
          <cell r="S21">
            <v>40.571818950000001</v>
          </cell>
          <cell r="T21">
            <v>60.000370310000001</v>
          </cell>
          <cell r="U21">
            <v>49.767564640000003</v>
          </cell>
          <cell r="Z21">
            <v>84.167132670000001</v>
          </cell>
          <cell r="AA21">
            <v>12.64804591</v>
          </cell>
          <cell r="AB21">
            <v>26.953563280000001</v>
          </cell>
          <cell r="AC21">
            <v>19.65236462</v>
          </cell>
          <cell r="AD21">
            <v>45.236888100000002</v>
          </cell>
          <cell r="AE21">
            <v>104.49086191000001</v>
          </cell>
          <cell r="AF21">
            <v>17.949241839999999</v>
          </cell>
          <cell r="AG21">
            <v>24.095082219999998</v>
          </cell>
          <cell r="AH21">
            <v>26.147646869999999</v>
          </cell>
          <cell r="AI21">
            <v>46.058334559999999</v>
          </cell>
          <cell r="AJ21">
            <v>114.25030549</v>
          </cell>
          <cell r="AK21">
            <v>22.087929599999999</v>
          </cell>
          <cell r="AL21">
            <v>29.530183860000001</v>
          </cell>
          <cell r="AM21">
            <v>37.521235820000001</v>
          </cell>
          <cell r="AN21">
            <v>118.03514237</v>
          </cell>
          <cell r="AO21">
            <v>207.17449164999999</v>
          </cell>
          <cell r="AP21">
            <v>24.546475390000001</v>
          </cell>
          <cell r="AQ21">
            <v>33.335928959999997</v>
          </cell>
          <cell r="AR21">
            <v>46.09999758</v>
          </cell>
          <cell r="AS21">
            <v>162.90166786</v>
          </cell>
          <cell r="AT21">
            <v>266.88406979000001</v>
          </cell>
          <cell r="AU21">
            <v>28.643835370000001</v>
          </cell>
          <cell r="AV21">
            <v>51.454069019999999</v>
          </cell>
          <cell r="AW21">
            <v>49.543852129999998</v>
          </cell>
          <cell r="AX21">
            <v>259.785404332817</v>
          </cell>
          <cell r="AY21">
            <v>389.427160852817</v>
          </cell>
          <cell r="AZ21">
            <v>19.290565981452001</v>
          </cell>
          <cell r="BA21">
            <v>144.98390519344699</v>
          </cell>
          <cell r="BB21">
            <v>140.02929976475599</v>
          </cell>
          <cell r="BC21">
            <v>385.64353713320099</v>
          </cell>
          <cell r="BD21">
            <v>689.94730807285805</v>
          </cell>
          <cell r="BE21">
            <v>1153.59853959271</v>
          </cell>
          <cell r="BF21">
            <v>1650.07217008156</v>
          </cell>
          <cell r="BG21">
            <v>2184.51834501648</v>
          </cell>
          <cell r="BH21">
            <v>2648.3198633365701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1.0295775199999999</v>
          </cell>
          <cell r="U22">
            <v>5.7287251599999998</v>
          </cell>
          <cell r="Z22">
            <v>2.4427254299999999</v>
          </cell>
          <cell r="AE22">
            <v>2.9356787600000001</v>
          </cell>
          <cell r="AJ22">
            <v>12.71050816</v>
          </cell>
          <cell r="AO22">
            <v>19.974768529999999</v>
          </cell>
          <cell r="AT22">
            <v>41.807006389999998</v>
          </cell>
          <cell r="AY22">
            <v>17.623270639800001</v>
          </cell>
          <cell r="BD22">
            <v>48.724924742144999</v>
          </cell>
          <cell r="BE22">
            <v>40.768559220333003</v>
          </cell>
          <cell r="BF22">
            <v>40.768559220333003</v>
          </cell>
          <cell r="BG22">
            <v>40.768559220333003</v>
          </cell>
          <cell r="BH22">
            <v>40.768559220333003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-1.4890466099999999</v>
          </cell>
          <cell r="R23">
            <v>-3.8333374899999999</v>
          </cell>
          <cell r="S23">
            <v>-2.8954402099999998</v>
          </cell>
          <cell r="T23">
            <v>0</v>
          </cell>
          <cell r="U23">
            <v>0</v>
          </cell>
          <cell r="Z23">
            <v>0</v>
          </cell>
          <cell r="AE23">
            <v>0</v>
          </cell>
          <cell r="AJ23">
            <v>0</v>
          </cell>
          <cell r="AO23">
            <v>0</v>
          </cell>
          <cell r="AT23">
            <v>0</v>
          </cell>
          <cell r="AY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-1.4890466099999999</v>
          </cell>
          <cell r="R24">
            <v>-3.8333374899999999</v>
          </cell>
          <cell r="S24">
            <v>-2.8954402099999998</v>
          </cell>
          <cell r="T24">
            <v>1.0295775199999999</v>
          </cell>
          <cell r="U24">
            <v>5.7287251599999998</v>
          </cell>
          <cell r="Z24">
            <v>2.4427254299999999</v>
          </cell>
          <cell r="AE24">
            <v>2.9356787600000001</v>
          </cell>
          <cell r="AJ24">
            <v>12.71050816</v>
          </cell>
          <cell r="AO24">
            <v>19.974768529999999</v>
          </cell>
          <cell r="AT24">
            <v>41.807006389999998</v>
          </cell>
          <cell r="AY24">
            <v>17.623270639800001</v>
          </cell>
          <cell r="BD24">
            <v>48.724924742144999</v>
          </cell>
          <cell r="BE24">
            <v>40.768559220333003</v>
          </cell>
          <cell r="BF24">
            <v>40.768559220333003</v>
          </cell>
          <cell r="BG24">
            <v>40.768559220333003</v>
          </cell>
          <cell r="BH24">
            <v>40.768559220333003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Z25">
            <v>0</v>
          </cell>
          <cell r="AE25">
            <v>0</v>
          </cell>
          <cell r="AJ25">
            <v>0</v>
          </cell>
          <cell r="AO25">
            <v>0</v>
          </cell>
          <cell r="AT25">
            <v>0</v>
          </cell>
          <cell r="AY25">
            <v>0</v>
          </cell>
          <cell r="BD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E26">
            <v>0</v>
          </cell>
          <cell r="AJ26">
            <v>0</v>
          </cell>
          <cell r="AO26">
            <v>0</v>
          </cell>
          <cell r="AT26">
            <v>0</v>
          </cell>
          <cell r="AY26">
            <v>0</v>
          </cell>
          <cell r="BD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8.9049110000000001E-2</v>
          </cell>
          <cell r="R27">
            <v>1.30067764</v>
          </cell>
          <cell r="S27">
            <v>17.680467790000002</v>
          </cell>
          <cell r="T27">
            <v>16.459418629999998</v>
          </cell>
          <cell r="U27">
            <v>31.89878873</v>
          </cell>
          <cell r="Z27">
            <v>25.373073470000001</v>
          </cell>
          <cell r="AE27">
            <v>36.312044589999999</v>
          </cell>
          <cell r="AJ27">
            <v>75.729930139999993</v>
          </cell>
          <cell r="AO27">
            <v>93.434732069999995</v>
          </cell>
          <cell r="AT27">
            <v>125.05815385</v>
          </cell>
          <cell r="AY27">
            <v>156.09123779910001</v>
          </cell>
          <cell r="BD27">
            <v>183.54963942298201</v>
          </cell>
          <cell r="BE27">
            <v>211.36018587109999</v>
          </cell>
          <cell r="BF27">
            <v>335.54268653642202</v>
          </cell>
          <cell r="BG27">
            <v>404.68353751235497</v>
          </cell>
          <cell r="BH27">
            <v>464.81304088863902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11.07212077</v>
          </cell>
          <cell r="R28">
            <v>37.23885035</v>
          </cell>
          <cell r="S28">
            <v>55.356846529999999</v>
          </cell>
          <cell r="T28">
            <v>77.489366459999999</v>
          </cell>
          <cell r="U28">
            <v>87.395078530000006</v>
          </cell>
          <cell r="Z28">
            <v>111.98293157000001</v>
          </cell>
          <cell r="AE28">
            <v>143.73858526000001</v>
          </cell>
          <cell r="AJ28">
            <v>202.69074379</v>
          </cell>
          <cell r="AO28">
            <v>320.58399224999999</v>
          </cell>
          <cell r="AT28">
            <v>433.74923002999998</v>
          </cell>
          <cell r="AY28">
            <v>563.14166929171699</v>
          </cell>
          <cell r="BD28">
            <v>922.22187223798505</v>
          </cell>
          <cell r="BE28">
            <v>1405.7272846841399</v>
          </cell>
          <cell r="BF28">
            <v>2026.3834158383099</v>
          </cell>
          <cell r="BG28">
            <v>2629.9704417491598</v>
          </cell>
          <cell r="BH28">
            <v>3153.9014634455398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O31">
            <v>0</v>
          </cell>
          <cell r="AT31">
            <v>0</v>
          </cell>
          <cell r="AY31">
            <v>0</v>
          </cell>
          <cell r="BD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-1.4890466099999999</v>
          </cell>
          <cell r="R34">
            <v>-3.8333374899999999</v>
          </cell>
          <cell r="S34">
            <v>-2.8954402099999998</v>
          </cell>
          <cell r="T34">
            <v>0</v>
          </cell>
          <cell r="U34">
            <v>0</v>
          </cell>
          <cell r="Z34">
            <v>0</v>
          </cell>
          <cell r="AE34">
            <v>0</v>
          </cell>
          <cell r="AJ34">
            <v>0</v>
          </cell>
          <cell r="AO34">
            <v>0</v>
          </cell>
          <cell r="AT34">
            <v>0</v>
          </cell>
          <cell r="AY34">
            <v>0</v>
          </cell>
          <cell r="BD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44.511241200000001</v>
          </cell>
          <cell r="R37">
            <v>73.23962453</v>
          </cell>
          <cell r="S37">
            <v>93.23248341</v>
          </cell>
          <cell r="T37">
            <v>355.00052118000002</v>
          </cell>
          <cell r="U37">
            <v>366.29073161000002</v>
          </cell>
          <cell r="Z37">
            <v>306.12261293</v>
          </cell>
          <cell r="AE37">
            <v>659.07535571000005</v>
          </cell>
          <cell r="AJ37">
            <v>529.10201397000003</v>
          </cell>
          <cell r="AO37">
            <v>1754.69009448</v>
          </cell>
          <cell r="AT37">
            <v>1067.0087636799999</v>
          </cell>
          <cell r="AY37">
            <v>3045.3077963840501</v>
          </cell>
          <cell r="BD37">
            <v>2548.0349512707899</v>
          </cell>
          <cell r="BE37">
            <v>1996.15106409082</v>
          </cell>
          <cell r="BF37">
            <v>1607.8860457027499</v>
          </cell>
          <cell r="BG37">
            <v>1629.9990095751</v>
          </cell>
          <cell r="BH37">
            <v>2018.5761412551301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72.470230810000004</v>
          </cell>
          <cell r="R38">
            <v>88.466526849999994</v>
          </cell>
          <cell r="S38">
            <v>101.7836132</v>
          </cell>
          <cell r="T38">
            <v>113.09061826</v>
          </cell>
          <cell r="U38">
            <v>142.67497501</v>
          </cell>
          <cell r="Z38">
            <v>193.40666041</v>
          </cell>
          <cell r="AE38">
            <v>312.80662601</v>
          </cell>
          <cell r="AJ38">
            <v>475.29767036999999</v>
          </cell>
          <cell r="AO38">
            <v>788.22821092000004</v>
          </cell>
          <cell r="AT38">
            <v>1288.8555792</v>
          </cell>
          <cell r="AY38">
            <v>1906.6954402768999</v>
          </cell>
          <cell r="BD38">
            <v>3025.50517865132</v>
          </cell>
          <cell r="BE38">
            <v>4420.5490513301102</v>
          </cell>
          <cell r="BF38">
            <v>6005.2015167780601</v>
          </cell>
          <cell r="BG38">
            <v>7477.1962212469598</v>
          </cell>
          <cell r="BH38">
            <v>8651.7784895373807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12.327531799999999</v>
          </cell>
          <cell r="R39">
            <v>22.52821625</v>
          </cell>
          <cell r="S39">
            <v>6.4795394899999996</v>
          </cell>
          <cell r="T39">
            <v>9.7786412699999996</v>
          </cell>
          <cell r="U39">
            <v>36.212879960000002</v>
          </cell>
          <cell r="Z39">
            <v>36.512838039999998</v>
          </cell>
          <cell r="AE39">
            <v>51.329430739999999</v>
          </cell>
          <cell r="AJ39">
            <v>88.066010419999998</v>
          </cell>
          <cell r="AO39">
            <v>121.68747478</v>
          </cell>
          <cell r="AT39">
            <v>180.64697163</v>
          </cell>
          <cell r="AY39">
            <v>307.08841634884698</v>
          </cell>
          <cell r="BD39">
            <v>481.86959696291802</v>
          </cell>
          <cell r="BE39">
            <v>689.53851209514596</v>
          </cell>
          <cell r="BF39">
            <v>954.80860823297303</v>
          </cell>
          <cell r="BG39">
            <v>1206.5589009523601</v>
          </cell>
          <cell r="BH39">
            <v>1426.1089462370401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2.69342959</v>
          </cell>
          <cell r="R40">
            <v>0.35519549</v>
          </cell>
          <cell r="S40">
            <v>1.24198502</v>
          </cell>
          <cell r="T40">
            <v>32.062683210000003</v>
          </cell>
          <cell r="U40">
            <v>20.267582860000001</v>
          </cell>
          <cell r="Z40">
            <v>11.21322168</v>
          </cell>
          <cell r="AE40">
            <v>8.6320113099999993</v>
          </cell>
          <cell r="AJ40">
            <v>13.097969279999999</v>
          </cell>
          <cell r="AO40">
            <v>17.41904078</v>
          </cell>
          <cell r="AT40">
            <v>28.034688020000001</v>
          </cell>
          <cell r="AY40">
            <v>28.034688020000001</v>
          </cell>
          <cell r="BD40">
            <v>28.034688020000999</v>
          </cell>
          <cell r="BE40">
            <v>28.034688020000999</v>
          </cell>
          <cell r="BF40">
            <v>28.034688019998999</v>
          </cell>
          <cell r="BG40">
            <v>28.034688019998999</v>
          </cell>
          <cell r="BH40">
            <v>28.034688020000001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132.0024334</v>
          </cell>
          <cell r="R41">
            <v>184.58956312000001</v>
          </cell>
          <cell r="S41">
            <v>202.73762112</v>
          </cell>
          <cell r="T41">
            <v>509.93246391999998</v>
          </cell>
          <cell r="U41">
            <v>565.44616943999995</v>
          </cell>
          <cell r="Z41">
            <v>547.25533306</v>
          </cell>
          <cell r="AE41">
            <v>1031.8434237700001</v>
          </cell>
          <cell r="AJ41">
            <v>1105.56366404</v>
          </cell>
          <cell r="AO41">
            <v>2682.0248209599999</v>
          </cell>
          <cell r="AT41">
            <v>2564.5460025299999</v>
          </cell>
          <cell r="AY41">
            <v>5287.1263410297997</v>
          </cell>
          <cell r="BD41">
            <v>6083.4444149050296</v>
          </cell>
          <cell r="BE41">
            <v>7134.2733155360802</v>
          </cell>
          <cell r="BF41">
            <v>8595.9308587337891</v>
          </cell>
          <cell r="BG41">
            <v>10341.788819794399</v>
          </cell>
          <cell r="BH41">
            <v>12124.4982650496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26.727039640000001</v>
          </cell>
          <cell r="R42">
            <v>27.86299683</v>
          </cell>
          <cell r="S42">
            <v>46.526115539999999</v>
          </cell>
          <cell r="T42">
            <v>69.099430029999994</v>
          </cell>
          <cell r="U42">
            <v>111.1161614</v>
          </cell>
          <cell r="Z42">
            <v>226.73777235</v>
          </cell>
          <cell r="AE42">
            <v>243.78371622</v>
          </cell>
          <cell r="AJ42">
            <v>343.66951596000001</v>
          </cell>
          <cell r="AO42">
            <v>663.81153130999996</v>
          </cell>
          <cell r="AT42">
            <v>961.86862830999996</v>
          </cell>
          <cell r="AY42">
            <v>1363.3734051618301</v>
          </cell>
          <cell r="BD42">
            <v>1883.0467201996601</v>
          </cell>
          <cell r="BE42">
            <v>2528.4447381705099</v>
          </cell>
          <cell r="BF42">
            <v>3244.1642892740401</v>
          </cell>
          <cell r="BG42">
            <v>3926.4560839872702</v>
          </cell>
          <cell r="BH42">
            <v>4732.7253583145703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-23.196250599999999</v>
          </cell>
          <cell r="U43">
            <v>-29.509659129999999</v>
          </cell>
          <cell r="Z43">
            <v>-38.425759970000001</v>
          </cell>
          <cell r="AE43">
            <v>-55.887049009999998</v>
          </cell>
          <cell r="AJ43">
            <v>-80.666196200000002</v>
          </cell>
          <cell r="AO43">
            <v>-134.20652749000001</v>
          </cell>
          <cell r="AT43">
            <v>-195.05128316</v>
          </cell>
          <cell r="AY43">
            <v>-280.13415655504201</v>
          </cell>
          <cell r="BD43">
            <v>-397.64783628879002</v>
          </cell>
          <cell r="BE43">
            <v>-555.43831593995105</v>
          </cell>
          <cell r="BF43">
            <v>-757.89409104307197</v>
          </cell>
          <cell r="BG43">
            <v>-1002.92906430884</v>
          </cell>
          <cell r="BH43">
            <v>-1298.28019185059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26.727039640000001</v>
          </cell>
          <cell r="R44">
            <v>27.86299683</v>
          </cell>
          <cell r="S44">
            <v>46.526115539999999</v>
          </cell>
          <cell r="T44">
            <v>45.903179430000002</v>
          </cell>
          <cell r="U44">
            <v>81.606502269999993</v>
          </cell>
          <cell r="Z44">
            <v>188.31201238</v>
          </cell>
          <cell r="AE44">
            <v>187.89666721</v>
          </cell>
          <cell r="AJ44">
            <v>263.00331976000001</v>
          </cell>
          <cell r="AO44">
            <v>529.60500381999998</v>
          </cell>
          <cell r="AT44">
            <v>766.81734515000005</v>
          </cell>
          <cell r="AY44">
            <v>1083.2392486067799</v>
          </cell>
          <cell r="BD44">
            <v>1485.3988839108699</v>
          </cell>
          <cell r="BE44">
            <v>1973.00642223056</v>
          </cell>
          <cell r="BF44">
            <v>2486.27019823096</v>
          </cell>
          <cell r="BG44">
            <v>2923.52701967843</v>
          </cell>
          <cell r="BH44">
            <v>3434.4451664639801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5.40807532</v>
          </cell>
          <cell r="R45">
            <v>5.6337620800000003</v>
          </cell>
          <cell r="S45">
            <v>19.301997239999999</v>
          </cell>
          <cell r="T45">
            <v>47.149565350000003</v>
          </cell>
          <cell r="U45">
            <v>86.708309159999999</v>
          </cell>
          <cell r="Z45">
            <v>134.99300958000001</v>
          </cell>
          <cell r="AE45">
            <v>216.35611689999999</v>
          </cell>
          <cell r="AJ45">
            <v>498.54782094000001</v>
          </cell>
          <cell r="AO45">
            <v>1177.4373886799999</v>
          </cell>
          <cell r="AT45">
            <v>1585.53279404</v>
          </cell>
          <cell r="AY45">
            <v>1897.5133813474799</v>
          </cell>
          <cell r="BD45">
            <v>2412.3595154671598</v>
          </cell>
          <cell r="BE45">
            <v>3164.2974386372298</v>
          </cell>
          <cell r="BF45">
            <v>4185.7855837175102</v>
          </cell>
          <cell r="BG45">
            <v>5458.1907115571503</v>
          </cell>
          <cell r="BH45">
            <v>6931.72907693452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-9.0888122199999994</v>
          </cell>
          <cell r="U46">
            <v>-12.57681816</v>
          </cell>
          <cell r="Z46">
            <v>-29.702264119999999</v>
          </cell>
          <cell r="AE46">
            <v>-54.020726840000002</v>
          </cell>
          <cell r="AJ46">
            <v>-70.81440662</v>
          </cell>
          <cell r="AO46">
            <v>-161.04180102000001</v>
          </cell>
          <cell r="AT46">
            <v>-293.32787704999998</v>
          </cell>
          <cell r="AY46">
            <v>-466.21212709633397</v>
          </cell>
          <cell r="BD46">
            <v>-702.51078680752403</v>
          </cell>
          <cell r="BE46">
            <v>-1031.42682546433</v>
          </cell>
          <cell r="BF46">
            <v>-1486.1611686727999</v>
          </cell>
          <cell r="BG46">
            <v>-2097.6196566093899</v>
          </cell>
          <cell r="BH46">
            <v>-2890.5761870994102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5.40807532</v>
          </cell>
          <cell r="R47">
            <v>5.6337620800000003</v>
          </cell>
          <cell r="S47">
            <v>19.301997239999999</v>
          </cell>
          <cell r="T47">
            <v>38.060753130000002</v>
          </cell>
          <cell r="U47">
            <v>74.131490999999997</v>
          </cell>
          <cell r="Z47">
            <v>105.29074546</v>
          </cell>
          <cell r="AE47">
            <v>162.33539006000001</v>
          </cell>
          <cell r="AJ47">
            <v>427.73341432000001</v>
          </cell>
          <cell r="AO47">
            <v>1016.39558766</v>
          </cell>
          <cell r="AT47">
            <v>1292.2049169899999</v>
          </cell>
          <cell r="AY47">
            <v>1431.3012542511401</v>
          </cell>
          <cell r="BD47">
            <v>1709.8487286596401</v>
          </cell>
          <cell r="BE47">
            <v>2132.8706131729</v>
          </cell>
          <cell r="BF47">
            <v>2699.6244150447101</v>
          </cell>
          <cell r="BG47">
            <v>3360.5710549477599</v>
          </cell>
          <cell r="BH47">
            <v>4041.1528898351198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2.4887961999999999</v>
          </cell>
          <cell r="R49">
            <v>0.22942704999999999</v>
          </cell>
          <cell r="S49">
            <v>0</v>
          </cell>
          <cell r="T49">
            <v>0.42038600999999998</v>
          </cell>
          <cell r="U49">
            <v>2.7288515699999998</v>
          </cell>
          <cell r="Z49">
            <v>14.68380477</v>
          </cell>
          <cell r="AE49">
            <v>36.321705399999999</v>
          </cell>
          <cell r="AJ49">
            <v>38.455062660000003</v>
          </cell>
          <cell r="AO49">
            <v>55.58502489</v>
          </cell>
          <cell r="AT49">
            <v>166.74107864999999</v>
          </cell>
          <cell r="AY49">
            <v>166.74107864999999</v>
          </cell>
          <cell r="BD49">
            <v>166.74107864999999</v>
          </cell>
          <cell r="BE49">
            <v>166.74107864999999</v>
          </cell>
          <cell r="BF49">
            <v>166.74107864999999</v>
          </cell>
          <cell r="BG49">
            <v>166.74107864999999</v>
          </cell>
          <cell r="BH49">
            <v>166.74107864999999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1.08420754</v>
          </cell>
          <cell r="R50">
            <v>1.12941589</v>
          </cell>
          <cell r="S50">
            <v>1.9231614500000001</v>
          </cell>
          <cell r="T50">
            <v>2.4096135900000002</v>
          </cell>
          <cell r="U50">
            <v>4.30649221</v>
          </cell>
          <cell r="Z50">
            <v>9.5321660700000006</v>
          </cell>
          <cell r="AE50">
            <v>12.806070439999999</v>
          </cell>
          <cell r="AJ50">
            <v>18.625509180000002</v>
          </cell>
          <cell r="AO50">
            <v>43.917002429999997</v>
          </cell>
          <cell r="AT50">
            <v>379.58656434</v>
          </cell>
          <cell r="AY50">
            <v>379.58656434</v>
          </cell>
          <cell r="BD50">
            <v>379.58656434</v>
          </cell>
          <cell r="BE50">
            <v>379.58656434</v>
          </cell>
          <cell r="BF50">
            <v>379.58656434000102</v>
          </cell>
          <cell r="BG50">
            <v>379.58656434000102</v>
          </cell>
          <cell r="BH50">
            <v>379.58656433999801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167.7105521</v>
          </cell>
          <cell r="R51">
            <v>219.44516497000001</v>
          </cell>
          <cell r="S51">
            <v>270.48889535000001</v>
          </cell>
          <cell r="T51">
            <v>596.72639607999997</v>
          </cell>
          <cell r="U51">
            <v>728.21950648999996</v>
          </cell>
          <cell r="Z51">
            <v>865.07406174000005</v>
          </cell>
          <cell r="AE51">
            <v>1431.20325688</v>
          </cell>
          <cell r="AJ51">
            <v>1853.3809699599999</v>
          </cell>
          <cell r="AO51">
            <v>4327.5274397599997</v>
          </cell>
          <cell r="AT51">
            <v>5169.8959076600004</v>
          </cell>
          <cell r="AY51">
            <v>8347.9944868777293</v>
          </cell>
          <cell r="BD51">
            <v>9825.0196704655391</v>
          </cell>
          <cell r="BE51">
            <v>11786.4779939295</v>
          </cell>
          <cell r="BF51">
            <v>14328.153114999501</v>
          </cell>
          <cell r="BG51">
            <v>17172.2145374106</v>
          </cell>
          <cell r="BH51">
            <v>20146.423964338701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21.16937948</v>
          </cell>
          <cell r="R52">
            <v>20.30004787</v>
          </cell>
          <cell r="S52">
            <v>39.475269910000002</v>
          </cell>
          <cell r="T52">
            <v>34.494775160000003</v>
          </cell>
          <cell r="U52">
            <v>59.117944749999999</v>
          </cell>
          <cell r="Z52">
            <v>122.00855874</v>
          </cell>
          <cell r="AE52">
            <v>175.75753793999999</v>
          </cell>
          <cell r="AJ52">
            <v>276.07101304999998</v>
          </cell>
          <cell r="AO52">
            <v>605.23643173000005</v>
          </cell>
          <cell r="AT52">
            <v>899.48564321000003</v>
          </cell>
          <cell r="AY52">
            <v>1422.3657640927299</v>
          </cell>
          <cell r="BD52">
            <v>2231.9136150632899</v>
          </cell>
          <cell r="BE52">
            <v>3193.7901933540502</v>
          </cell>
          <cell r="BF52">
            <v>4422.4627283526097</v>
          </cell>
          <cell r="BG52">
            <v>5588.5145180027002</v>
          </cell>
          <cell r="BH52">
            <v>6605.4218687611901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40</v>
          </cell>
          <cell r="R53">
            <v>48</v>
          </cell>
          <cell r="S53">
            <v>43</v>
          </cell>
          <cell r="T53">
            <v>5</v>
          </cell>
          <cell r="U53">
            <v>38</v>
          </cell>
          <cell r="Z53">
            <v>19.8</v>
          </cell>
          <cell r="AE53">
            <v>0</v>
          </cell>
          <cell r="AJ53">
            <v>0</v>
          </cell>
          <cell r="AO53">
            <v>9.5413701399999997</v>
          </cell>
          <cell r="AT53">
            <v>9</v>
          </cell>
          <cell r="AY53">
            <v>9</v>
          </cell>
          <cell r="BD53">
            <v>9</v>
          </cell>
          <cell r="BE53">
            <v>9</v>
          </cell>
          <cell r="BF53">
            <v>9</v>
          </cell>
          <cell r="BG53">
            <v>9</v>
          </cell>
          <cell r="BH53">
            <v>9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2.42780526</v>
          </cell>
          <cell r="R54">
            <v>4.4886693700000002</v>
          </cell>
          <cell r="S54">
            <v>4.2448171300000004</v>
          </cell>
          <cell r="T54">
            <v>8.0259425899999997</v>
          </cell>
          <cell r="U54">
            <v>8.8355894500000005</v>
          </cell>
          <cell r="Z54">
            <v>27.82409642</v>
          </cell>
          <cell r="AE54">
            <v>36.714711809999997</v>
          </cell>
          <cell r="AJ54">
            <v>50.506101299999997</v>
          </cell>
          <cell r="AO54">
            <v>99.265276749999998</v>
          </cell>
          <cell r="AT54">
            <v>167.43438954000001</v>
          </cell>
          <cell r="AY54">
            <v>165.134437145851</v>
          </cell>
          <cell r="BD54">
            <v>269.366627854022</v>
          </cell>
          <cell r="BE54">
            <v>413.35770693119503</v>
          </cell>
          <cell r="BF54">
            <v>561.39963226573195</v>
          </cell>
          <cell r="BG54">
            <v>727.44855729915002</v>
          </cell>
          <cell r="BH54">
            <v>871.58383391987695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63.597184740000003</v>
          </cell>
          <cell r="R55">
            <v>72.788717239999997</v>
          </cell>
          <cell r="S55">
            <v>86.720087039999996</v>
          </cell>
          <cell r="T55">
            <v>47.520717750000003</v>
          </cell>
          <cell r="U55">
            <v>105.95353420000001</v>
          </cell>
          <cell r="Z55">
            <v>169.63265516000001</v>
          </cell>
          <cell r="AE55">
            <v>212.47224975</v>
          </cell>
          <cell r="AJ55">
            <v>326.57711434999999</v>
          </cell>
          <cell r="AO55">
            <v>714.04307861999996</v>
          </cell>
          <cell r="AT55">
            <v>1075.92003275</v>
          </cell>
          <cell r="AY55">
            <v>1596.5002012385801</v>
          </cell>
          <cell r="BD55">
            <v>2510.2802429173098</v>
          </cell>
          <cell r="BE55">
            <v>3616.1479002852502</v>
          </cell>
          <cell r="BF55">
            <v>4992.8623606183501</v>
          </cell>
          <cell r="BG55">
            <v>6324.96307530185</v>
          </cell>
          <cell r="BH55">
            <v>7486.00570268106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3</v>
          </cell>
          <cell r="S56">
            <v>0</v>
          </cell>
          <cell r="T56">
            <v>0</v>
          </cell>
          <cell r="U56">
            <v>0</v>
          </cell>
          <cell r="Z56">
            <v>0</v>
          </cell>
          <cell r="AE56">
            <v>0</v>
          </cell>
          <cell r="AJ56">
            <v>3</v>
          </cell>
          <cell r="AO56">
            <v>0</v>
          </cell>
          <cell r="AT56">
            <v>0</v>
          </cell>
          <cell r="AY56">
            <v>0</v>
          </cell>
          <cell r="BD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10.576555150000001</v>
          </cell>
          <cell r="R57">
            <v>16.81056444</v>
          </cell>
          <cell r="S57">
            <v>11.78301098</v>
          </cell>
          <cell r="T57">
            <v>18.80762593</v>
          </cell>
          <cell r="U57">
            <v>23.229388650000001</v>
          </cell>
          <cell r="Z57">
            <v>33.977243979999997</v>
          </cell>
          <cell r="AE57">
            <v>32.946100909999998</v>
          </cell>
          <cell r="AJ57">
            <v>41.07175762</v>
          </cell>
          <cell r="AO57">
            <v>152.43179019999999</v>
          </cell>
          <cell r="AT57">
            <v>192.55668764999999</v>
          </cell>
          <cell r="AY57">
            <v>192.55668764999999</v>
          </cell>
          <cell r="BD57">
            <v>192.55668764999999</v>
          </cell>
          <cell r="BE57">
            <v>192.55668764999999</v>
          </cell>
          <cell r="BF57">
            <v>192.55668764999999</v>
          </cell>
          <cell r="BG57">
            <v>192.55668764999999</v>
          </cell>
          <cell r="BH57">
            <v>192.55668764999999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10.576555150000001</v>
          </cell>
          <cell r="R58">
            <v>19.81056444</v>
          </cell>
          <cell r="S58">
            <v>11.78301098</v>
          </cell>
          <cell r="T58">
            <v>18.80762593</v>
          </cell>
          <cell r="U58">
            <v>23.229388650000001</v>
          </cell>
          <cell r="Z58">
            <v>33.977243979999997</v>
          </cell>
          <cell r="AE58">
            <v>32.946100909999998</v>
          </cell>
          <cell r="AJ58">
            <v>44.07175762</v>
          </cell>
          <cell r="AO58">
            <v>152.43179019999999</v>
          </cell>
          <cell r="AT58">
            <v>192.55668764999999</v>
          </cell>
          <cell r="AY58">
            <v>192.55668764999999</v>
          </cell>
          <cell r="BD58">
            <v>192.55668764999999</v>
          </cell>
          <cell r="BE58">
            <v>192.55668764999999</v>
          </cell>
          <cell r="BF58">
            <v>192.55668764999999</v>
          </cell>
          <cell r="BG58">
            <v>192.55668764999999</v>
          </cell>
          <cell r="BH58">
            <v>192.55668764999999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74.173739889999993</v>
          </cell>
          <cell r="R59">
            <v>92.599281680000004</v>
          </cell>
          <cell r="S59">
            <v>98.503098019999996</v>
          </cell>
          <cell r="T59">
            <v>66.328343680000003</v>
          </cell>
          <cell r="U59">
            <v>129.18292285000001</v>
          </cell>
          <cell r="Z59">
            <v>203.60989914000001</v>
          </cell>
          <cell r="AE59">
            <v>245.41835065999999</v>
          </cell>
          <cell r="AJ59">
            <v>370.64887197000002</v>
          </cell>
          <cell r="AO59">
            <v>866.47486881999998</v>
          </cell>
          <cell r="AT59">
            <v>1268.4767204</v>
          </cell>
          <cell r="AY59">
            <v>1789.05688888858</v>
          </cell>
          <cell r="BD59">
            <v>2702.83693056731</v>
          </cell>
          <cell r="BE59">
            <v>3808.7045879352499</v>
          </cell>
          <cell r="BF59">
            <v>5185.4190482683498</v>
          </cell>
          <cell r="BG59">
            <v>6517.5197629518498</v>
          </cell>
          <cell r="BH59">
            <v>7678.5623903310598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Z60">
            <v>0</v>
          </cell>
          <cell r="AE60">
            <v>0</v>
          </cell>
          <cell r="AJ60">
            <v>0</v>
          </cell>
          <cell r="AO60">
            <v>0</v>
          </cell>
          <cell r="AT60">
            <v>0</v>
          </cell>
          <cell r="AY60">
            <v>0</v>
          </cell>
          <cell r="BD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91.491114980000006</v>
          </cell>
          <cell r="R61">
            <v>126.84588329</v>
          </cell>
          <cell r="S61">
            <v>169.38517163</v>
          </cell>
          <cell r="T61">
            <v>530.39805239999998</v>
          </cell>
          <cell r="U61">
            <v>583.87641055999995</v>
          </cell>
          <cell r="Z61">
            <v>652.86585319999995</v>
          </cell>
          <cell r="AE61">
            <v>1176.5634750500001</v>
          </cell>
          <cell r="AJ61">
            <v>1344.5112634699999</v>
          </cell>
          <cell r="AO61">
            <v>3310.55695943</v>
          </cell>
          <cell r="AT61">
            <v>3706.6276464299999</v>
          </cell>
          <cell r="AY61">
            <v>6353.9125915691502</v>
          </cell>
          <cell r="BD61">
            <v>6892.8204693582302</v>
          </cell>
          <cell r="BE61">
            <v>7724.0738713342898</v>
          </cell>
          <cell r="BF61">
            <v>8855.8972429289606</v>
          </cell>
          <cell r="BG61">
            <v>10324.8502501975</v>
          </cell>
          <cell r="BH61">
            <v>12086.441546362699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2.04569723</v>
          </cell>
          <cell r="R62">
            <v>0</v>
          </cell>
          <cell r="S62">
            <v>2.6006257000000002</v>
          </cell>
          <cell r="T62">
            <v>0</v>
          </cell>
          <cell r="U62">
            <v>15.16017308</v>
          </cell>
          <cell r="Z62">
            <v>8.5983093999999998</v>
          </cell>
          <cell r="AE62">
            <v>9.2214311700000007</v>
          </cell>
          <cell r="AJ62">
            <v>138.22083452000001</v>
          </cell>
          <cell r="AO62">
            <v>150.49561151</v>
          </cell>
          <cell r="AT62">
            <v>194.79154083</v>
          </cell>
          <cell r="AY62">
            <v>205.02500642000001</v>
          </cell>
          <cell r="BD62">
            <v>229.36227054</v>
          </cell>
          <cell r="BE62">
            <v>253.69953466000001</v>
          </cell>
          <cell r="BF62">
            <v>286.83682380216402</v>
          </cell>
          <cell r="BG62">
            <v>329.84452426122698</v>
          </cell>
          <cell r="BH62">
            <v>381.42002764485102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93.536812209999994</v>
          </cell>
          <cell r="R63">
            <v>126.84588329</v>
          </cell>
          <cell r="S63">
            <v>171.98579733</v>
          </cell>
          <cell r="T63">
            <v>530.39805239999998</v>
          </cell>
          <cell r="U63">
            <v>599.03658364</v>
          </cell>
          <cell r="Z63">
            <v>661.46416260000001</v>
          </cell>
          <cell r="AE63">
            <v>1185.78490622</v>
          </cell>
          <cell r="AJ63">
            <v>1482.7320979900001</v>
          </cell>
          <cell r="AO63">
            <v>3461.0525709399999</v>
          </cell>
          <cell r="AT63">
            <v>3901.4191872599999</v>
          </cell>
          <cell r="AY63">
            <v>6558.9375979891502</v>
          </cell>
          <cell r="BD63">
            <v>7122.1827398982296</v>
          </cell>
          <cell r="BE63">
            <v>7977.7734059942904</v>
          </cell>
          <cell r="BF63">
            <v>9142.73406673112</v>
          </cell>
          <cell r="BG63">
            <v>10654.6947744588</v>
          </cell>
          <cell r="BH63">
            <v>12467.8615740076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167.7105521</v>
          </cell>
          <cell r="R64">
            <v>219.44516497000001</v>
          </cell>
          <cell r="S64">
            <v>270.48889535000001</v>
          </cell>
          <cell r="T64">
            <v>596.72639607999997</v>
          </cell>
          <cell r="U64">
            <v>728.21950648999996</v>
          </cell>
          <cell r="Z64">
            <v>865.07406174000005</v>
          </cell>
          <cell r="AE64">
            <v>1431.20325688</v>
          </cell>
          <cell r="AJ64">
            <v>1853.3809699599999</v>
          </cell>
          <cell r="AO64">
            <v>4327.5274397599997</v>
          </cell>
          <cell r="AT64">
            <v>5169.8959076600004</v>
          </cell>
          <cell r="AY64">
            <v>8347.9944868777293</v>
          </cell>
          <cell r="BD64">
            <v>9825.0196704655391</v>
          </cell>
          <cell r="BE64">
            <v>11786.4779939295</v>
          </cell>
          <cell r="BF64">
            <v>14328.153114999501</v>
          </cell>
          <cell r="BG64">
            <v>17172.2145374106</v>
          </cell>
          <cell r="BH64">
            <v>20146.423964338701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-4.5112411999999997</v>
          </cell>
          <cell r="R66">
            <v>-22.23962453</v>
          </cell>
          <cell r="S66">
            <v>-50.23248341</v>
          </cell>
          <cell r="T66">
            <v>-350.00052118000002</v>
          </cell>
          <cell r="U66">
            <v>-328.29073161000002</v>
          </cell>
          <cell r="Z66">
            <v>-286.32261292999999</v>
          </cell>
          <cell r="AE66">
            <v>-659.07535571000005</v>
          </cell>
          <cell r="AJ66">
            <v>-526.10201397000003</v>
          </cell>
          <cell r="AO66">
            <v>-1745.1487243399999</v>
          </cell>
          <cell r="AT66">
            <v>-1058.0087636799999</v>
          </cell>
          <cell r="AY66">
            <v>-3036.3077963840501</v>
          </cell>
          <cell r="BD66">
            <v>-2539.0349512707899</v>
          </cell>
          <cell r="BE66">
            <v>-1987.15106409082</v>
          </cell>
          <cell r="BF66">
            <v>-1598.8860457027499</v>
          </cell>
          <cell r="BG66">
            <v>-1620.9990095751</v>
          </cell>
          <cell r="BH66">
            <v>-2009.5761412551301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Z67">
            <v>0</v>
          </cell>
          <cell r="AE67">
            <v>0</v>
          </cell>
          <cell r="AJ67">
            <v>0</v>
          </cell>
          <cell r="AO67">
            <v>0</v>
          </cell>
          <cell r="AT67">
            <v>0</v>
          </cell>
          <cell r="AY67">
            <v>0</v>
          </cell>
          <cell r="BD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Z69">
            <v>0</v>
          </cell>
          <cell r="AE69">
            <v>0</v>
          </cell>
          <cell r="AJ69">
            <v>0</v>
          </cell>
          <cell r="AO69">
            <v>0</v>
          </cell>
          <cell r="AT69">
            <v>0</v>
          </cell>
          <cell r="AY69">
            <v>0</v>
          </cell>
          <cell r="BD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Q71">
            <v>3.7226165249999998E-2</v>
          </cell>
          <cell r="R71">
            <v>7.5163480195999999E-2</v>
          </cell>
          <cell r="S71">
            <v>6.7335818837000003E-2</v>
          </cell>
          <cell r="T71">
            <v>0</v>
          </cell>
          <cell r="U71">
            <v>0</v>
          </cell>
          <cell r="Z71">
            <v>0</v>
          </cell>
          <cell r="AJ71">
            <v>0</v>
          </cell>
          <cell r="AO71">
            <v>0</v>
          </cell>
          <cell r="AT71">
            <v>0</v>
          </cell>
          <cell r="AY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Z72">
            <v>0</v>
          </cell>
          <cell r="AE72">
            <v>0</v>
          </cell>
          <cell r="AJ72">
            <v>0</v>
          </cell>
          <cell r="AO72">
            <v>0</v>
          </cell>
          <cell r="AT72">
            <v>0</v>
          </cell>
          <cell r="AY72">
            <v>0</v>
          </cell>
          <cell r="BD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Z74">
            <v>0</v>
          </cell>
          <cell r="AE74">
            <v>0</v>
          </cell>
          <cell r="AJ74">
            <v>0</v>
          </cell>
          <cell r="AO74">
            <v>0</v>
          </cell>
          <cell r="AT74">
            <v>0</v>
          </cell>
          <cell r="AY74">
            <v>0</v>
          </cell>
          <cell r="BD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-5.40807532</v>
          </cell>
          <cell r="R75">
            <v>-5.6337620800000003</v>
          </cell>
          <cell r="S75">
            <v>-19.301997239999999</v>
          </cell>
          <cell r="T75">
            <v>-38.060753130000002</v>
          </cell>
          <cell r="U75">
            <v>-74.131490999999997</v>
          </cell>
          <cell r="Z75">
            <v>-105.29074546</v>
          </cell>
          <cell r="AE75">
            <v>-162.33539006000001</v>
          </cell>
          <cell r="AJ75">
            <v>-427.73341432000001</v>
          </cell>
          <cell r="AO75">
            <v>-1016.39558766</v>
          </cell>
          <cell r="AT75">
            <v>-1292.2049169899999</v>
          </cell>
          <cell r="AY75">
            <v>-1431.3012542511401</v>
          </cell>
          <cell r="BD75">
            <v>-1709.8487286596401</v>
          </cell>
          <cell r="BE75">
            <v>-2132.8706131729</v>
          </cell>
          <cell r="BF75">
            <v>-2699.6244150447101</v>
          </cell>
          <cell r="BG75">
            <v>-3360.5710549477599</v>
          </cell>
          <cell r="BH75">
            <v>-4041.1528898351198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Q76">
            <v>4.5112411999999997</v>
          </cell>
          <cell r="R76">
            <v>22.23962453</v>
          </cell>
          <cell r="S76">
            <v>66.597983409999998</v>
          </cell>
          <cell r="T76">
            <v>387.64912118000001</v>
          </cell>
          <cell r="U76">
            <v>411.10647196999997</v>
          </cell>
          <cell r="Z76">
            <v>431.56761704000002</v>
          </cell>
          <cell r="AE76">
            <v>880.28685107000001</v>
          </cell>
          <cell r="AJ76">
            <v>834.16958633000002</v>
          </cell>
          <cell r="AO76">
            <v>2224.0291129399998</v>
          </cell>
          <cell r="AT76">
            <v>1806.93065512</v>
          </cell>
          <cell r="AY76">
            <v>4155.3033818420499</v>
          </cell>
          <cell r="BD76">
            <v>4295.8022870916402</v>
          </cell>
          <cell r="BE76">
            <v>4725.6664863221204</v>
          </cell>
          <cell r="BF76">
            <v>5619.2086689529297</v>
          </cell>
          <cell r="BG76">
            <v>7162.06369876602</v>
          </cell>
          <cell r="BH76">
            <v>9244.3033113964593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Z77">
            <v>1</v>
          </cell>
          <cell r="AE77">
            <v>1</v>
          </cell>
          <cell r="AJ77">
            <v>1</v>
          </cell>
          <cell r="AO77">
            <v>1</v>
          </cell>
          <cell r="AT77">
            <v>1</v>
          </cell>
          <cell r="AY77">
            <v>1</v>
          </cell>
          <cell r="BD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2.04569723</v>
          </cell>
          <cell r="R78">
            <v>0</v>
          </cell>
          <cell r="S78">
            <v>2.6006257000000002</v>
          </cell>
          <cell r="T78">
            <v>0</v>
          </cell>
          <cell r="U78">
            <v>15.16017308</v>
          </cell>
          <cell r="Z78">
            <v>8.5983093999999998</v>
          </cell>
          <cell r="AE78">
            <v>9.2214311700000007</v>
          </cell>
          <cell r="AJ78">
            <v>138.22083452000001</v>
          </cell>
          <cell r="AO78">
            <v>150.49561151</v>
          </cell>
          <cell r="AT78">
            <v>194.79154083</v>
          </cell>
          <cell r="AY78">
            <v>205.02500642000001</v>
          </cell>
          <cell r="BD78">
            <v>229.36227054</v>
          </cell>
          <cell r="BE78">
            <v>253.69953466000001</v>
          </cell>
          <cell r="BF78">
            <v>286.83682380216402</v>
          </cell>
          <cell r="BG78">
            <v>329.84452426122698</v>
          </cell>
          <cell r="BH78">
            <v>381.42002764485102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-5.49276E-2</v>
          </cell>
          <cell r="R80">
            <v>0</v>
          </cell>
          <cell r="S80">
            <v>5.9096219999999998E-2</v>
          </cell>
          <cell r="T80">
            <v>0.19837819000000001</v>
          </cell>
          <cell r="U80">
            <v>-0.21912482</v>
          </cell>
          <cell r="Z80">
            <v>-2.4884030000000001E-2</v>
          </cell>
          <cell r="AE80">
            <v>-3.808748E-2</v>
          </cell>
          <cell r="AJ80">
            <v>-0.66809664999999996</v>
          </cell>
          <cell r="AO80">
            <v>-0.54761554999999995</v>
          </cell>
          <cell r="AT80">
            <v>9.0566635600000005</v>
          </cell>
          <cell r="AY80">
            <v>10.23346559</v>
          </cell>
          <cell r="BD80">
            <v>24.33726412</v>
          </cell>
          <cell r="BE80">
            <v>24.33726412</v>
          </cell>
          <cell r="BF80">
            <v>33.137289142164001</v>
          </cell>
          <cell r="BG80">
            <v>43.007700459063003</v>
          </cell>
          <cell r="BH80">
            <v>51.575503383624003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11.940990409999999</v>
          </cell>
          <cell r="U81">
            <v>18.901539970000002</v>
          </cell>
          <cell r="Z81">
            <v>27.24271534</v>
          </cell>
          <cell r="AE81">
            <v>46.30204165</v>
          </cell>
          <cell r="AJ81">
            <v>62.533992069999996</v>
          </cell>
          <cell r="AO81">
            <v>131.40581017</v>
          </cell>
          <cell r="AT81">
            <v>194.48361901999999</v>
          </cell>
          <cell r="AY81">
            <v>257.96712344137501</v>
          </cell>
          <cell r="BD81">
            <v>353.812339444938</v>
          </cell>
          <cell r="BE81">
            <v>486.70651830796697</v>
          </cell>
          <cell r="BF81">
            <v>657.19011831158798</v>
          </cell>
          <cell r="BG81">
            <v>856.49346120235202</v>
          </cell>
          <cell r="BH81">
            <v>1088.30765803177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21.90681245</v>
          </cell>
          <cell r="T82">
            <v>-19.586601590000001</v>
          </cell>
          <cell r="U82">
            <v>-31.395425849999999</v>
          </cell>
          <cell r="Z82">
            <v>11.858970510000001</v>
          </cell>
          <cell r="AE82">
            <v>-80.467579099999995</v>
          </cell>
          <cell r="AJ82">
            <v>-98.914148929999996</v>
          </cell>
          <cell r="AO82">
            <v>-17.386586229999999</v>
          </cell>
          <cell r="AT82">
            <v>-265.33765364999999</v>
          </cell>
          <cell r="AY82">
            <v>-221.401184913023</v>
          </cell>
          <cell r="BD82">
            <v>-484.04306801792598</v>
          </cell>
          <cell r="BE82">
            <v>-640.83620952025899</v>
          </cell>
          <cell r="BF82">
            <v>-621.25002658721405</v>
          </cell>
          <cell r="BG82">
            <v>-557.69320753819795</v>
          </cell>
          <cell r="BH82">
            <v>-377.22496281661302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28.538741668233001</v>
          </cell>
          <cell r="R83">
            <v>25.448631793745999</v>
          </cell>
          <cell r="S83">
            <v>53.473207684915003</v>
          </cell>
          <cell r="T83">
            <v>67.753403193642001</v>
          </cell>
          <cell r="U83">
            <v>78.606939548450995</v>
          </cell>
          <cell r="Z83">
            <v>49.551686285761001</v>
          </cell>
          <cell r="AE83">
            <v>150.51985815951301</v>
          </cell>
          <cell r="AJ83">
            <v>197.71329325217701</v>
          </cell>
          <cell r="AO83">
            <v>179.826035847437</v>
          </cell>
          <cell r="AT83">
            <v>478.79525630263299</v>
          </cell>
          <cell r="AY83">
            <v>483.543525485315</v>
          </cell>
          <cell r="BD83">
            <v>798.97953769013202</v>
          </cell>
          <cell r="BE83">
            <v>1234.66967133244</v>
          </cell>
          <cell r="BF83">
            <v>1682.40134200583</v>
          </cell>
          <cell r="BG83">
            <v>2184.4374911538498</v>
          </cell>
          <cell r="BH83">
            <v>2619.8410589588502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28.629321539999999</v>
          </cell>
          <cell r="R84">
            <v>25.650367490000001</v>
          </cell>
          <cell r="S84">
            <v>75.68401652</v>
          </cell>
          <cell r="T84">
            <v>60.881253749999999</v>
          </cell>
          <cell r="U84">
            <v>66.526996249999996</v>
          </cell>
          <cell r="Z84">
            <v>89.336357239999998</v>
          </cell>
          <cell r="AE84">
            <v>117.53648731</v>
          </cell>
          <cell r="AJ84">
            <v>162.0594782</v>
          </cell>
          <cell r="AO84">
            <v>296.06878043</v>
          </cell>
          <cell r="AT84">
            <v>420.07525040000002</v>
          </cell>
          <cell r="AY84">
            <v>535.28439686335605</v>
          </cell>
          <cell r="BD84">
            <v>698.44665165010997</v>
          </cell>
          <cell r="BE84">
            <v>1110.88429227497</v>
          </cell>
          <cell r="BF84">
            <v>1758.3659951869399</v>
          </cell>
          <cell r="BG84">
            <v>2534.2751291509398</v>
          </cell>
          <cell r="BH84">
            <v>3391.8989391438699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-9.7096433100000006</v>
          </cell>
          <cell r="R85">
            <v>-5.9845536199999998</v>
          </cell>
          <cell r="S85">
            <v>-31.41783427</v>
          </cell>
          <cell r="T85">
            <v>-52.627736890000001</v>
          </cell>
          <cell r="U85">
            <v>-76.923779030000006</v>
          </cell>
          <cell r="Z85">
            <v>-96.577825630000007</v>
          </cell>
          <cell r="AE85">
            <v>-138.98453273999999</v>
          </cell>
          <cell r="AJ85">
            <v>-278.34613253999999</v>
          </cell>
          <cell r="AO85">
            <v>-342.94307997999999</v>
          </cell>
          <cell r="AT85">
            <v>-580.17809428999999</v>
          </cell>
          <cell r="AY85">
            <v>-713.485364159303</v>
          </cell>
          <cell r="BD85">
            <v>-1034.5194491575201</v>
          </cell>
          <cell r="BE85">
            <v>-1397.3359411409201</v>
          </cell>
          <cell r="BF85">
            <v>-1737.20769618381</v>
          </cell>
          <cell r="BG85">
            <v>-1954.6969225528701</v>
          </cell>
          <cell r="BH85">
            <v>-2279.8076397046798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Z86">
            <v>0</v>
          </cell>
          <cell r="AE86">
            <v>0</v>
          </cell>
          <cell r="AJ86">
            <v>0</v>
          </cell>
          <cell r="AO86">
            <v>0</v>
          </cell>
          <cell r="AT86">
            <v>0</v>
          </cell>
          <cell r="AY86">
            <v>0</v>
          </cell>
          <cell r="BD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2.5000000000000001E-2</v>
          </cell>
          <cell r="R87">
            <v>0.23023809000000001</v>
          </cell>
          <cell r="S87">
            <v>1.5900999999999998E-2</v>
          </cell>
          <cell r="T87">
            <v>2.1100000000000001E-2</v>
          </cell>
          <cell r="U87">
            <v>3.3730243999999998</v>
          </cell>
          <cell r="Z87">
            <v>5.5449999999999999E-2</v>
          </cell>
          <cell r="AE87">
            <v>8.1820000000000004E-2</v>
          </cell>
          <cell r="AJ87">
            <v>0.13931869999999999</v>
          </cell>
          <cell r="AO87">
            <v>0.36365673999999998</v>
          </cell>
          <cell r="AT87">
            <v>5.8266999999999999E-2</v>
          </cell>
          <cell r="AY87">
            <v>0</v>
          </cell>
          <cell r="BD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-1.72245293</v>
          </cell>
          <cell r="R88">
            <v>1.8683718899999999</v>
          </cell>
          <cell r="S88">
            <v>-2.9144779000000001</v>
          </cell>
          <cell r="T88">
            <v>-4.06314741</v>
          </cell>
          <cell r="U88">
            <v>4.0314679999999999E-2</v>
          </cell>
          <cell r="Z88">
            <v>-2.3085505799999999</v>
          </cell>
          <cell r="AE88">
            <v>2.9336705900000002</v>
          </cell>
          <cell r="AJ88">
            <v>12.48904353</v>
          </cell>
          <cell r="AO88">
            <v>-374.38072346000001</v>
          </cell>
          <cell r="AT88">
            <v>-537.97519733000001</v>
          </cell>
          <cell r="AY88">
            <v>0</v>
          </cell>
          <cell r="BD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-11.40709624</v>
          </cell>
          <cell r="R89">
            <v>-3.8859436399999998</v>
          </cell>
          <cell r="S89">
            <v>-34.316411170000002</v>
          </cell>
          <cell r="T89">
            <v>-56.669784300000003</v>
          </cell>
          <cell r="U89">
            <v>-73.510439950000006</v>
          </cell>
          <cell r="Z89">
            <v>-98.830926210000001</v>
          </cell>
          <cell r="AE89">
            <v>-135.96904215000001</v>
          </cell>
          <cell r="AJ89">
            <v>-265.71777030999999</v>
          </cell>
          <cell r="AO89">
            <v>-716.9601467</v>
          </cell>
          <cell r="AT89">
            <v>-1118.09502462</v>
          </cell>
          <cell r="AY89">
            <v>-713.485364159303</v>
          </cell>
          <cell r="BD89">
            <v>-1034.5194491575201</v>
          </cell>
          <cell r="BE89">
            <v>-1397.3359411409201</v>
          </cell>
          <cell r="BF89">
            <v>-1737.20769618381</v>
          </cell>
          <cell r="BG89">
            <v>-1954.6969225528701</v>
          </cell>
          <cell r="BH89">
            <v>-2279.8076397046798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-19.685089380000001</v>
          </cell>
          <cell r="U90">
            <v>-20.100000000000001</v>
          </cell>
          <cell r="Z90">
            <v>-26.8</v>
          </cell>
          <cell r="AE90">
            <v>-32.1</v>
          </cell>
          <cell r="AJ90">
            <v>-32.1</v>
          </cell>
          <cell r="AO90">
            <v>-37.799999999999997</v>
          </cell>
          <cell r="AT90">
            <v>-70.3</v>
          </cell>
          <cell r="AY90">
            <v>-163.5</v>
          </cell>
          <cell r="BD90">
            <v>-161.20004760585101</v>
          </cell>
          <cell r="BE90">
            <v>-265.43223831402202</v>
          </cell>
          <cell r="BF90">
            <v>-409.42331739119498</v>
          </cell>
          <cell r="BG90">
            <v>-557.46524272573197</v>
          </cell>
          <cell r="BH90">
            <v>-723.51416775914902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12.02</v>
          </cell>
          <cell r="R91">
            <v>0</v>
          </cell>
          <cell r="S91">
            <v>0</v>
          </cell>
          <cell r="T91">
            <v>321.52</v>
          </cell>
          <cell r="U91">
            <v>12.08</v>
          </cell>
          <cell r="Z91">
            <v>1.35</v>
          </cell>
          <cell r="AE91">
            <v>425.95997814999998</v>
          </cell>
          <cell r="AJ91">
            <v>10.797499999999999</v>
          </cell>
          <cell r="AO91">
            <v>1740.8142656</v>
          </cell>
          <cell r="AT91">
            <v>124.10967933000001</v>
          </cell>
          <cell r="AY91">
            <v>2320</v>
          </cell>
          <cell r="BD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11</v>
          </cell>
          <cell r="S92">
            <v>-8</v>
          </cell>
          <cell r="T92">
            <v>-38</v>
          </cell>
          <cell r="U92">
            <v>33</v>
          </cell>
          <cell r="Z92">
            <v>-18.2</v>
          </cell>
          <cell r="AE92">
            <v>-19.8</v>
          </cell>
          <cell r="AJ92">
            <v>3</v>
          </cell>
          <cell r="AO92">
            <v>-19.65237166</v>
          </cell>
          <cell r="AT92">
            <v>-18.922849240000001</v>
          </cell>
          <cell r="AY92">
            <v>0</v>
          </cell>
          <cell r="BD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-1.68194614</v>
          </cell>
          <cell r="R93">
            <v>-4.0360405200000002</v>
          </cell>
          <cell r="S93">
            <v>-13.367902580000001</v>
          </cell>
          <cell r="T93">
            <v>-6.2457409400000001</v>
          </cell>
          <cell r="U93">
            <v>-6.7043920100000003</v>
          </cell>
          <cell r="Z93">
            <v>-6.9980710799999999</v>
          </cell>
          <cell r="AE93">
            <v>-2.6973552700000001</v>
          </cell>
          <cell r="AJ93">
            <v>-8.0283325300000001</v>
          </cell>
          <cell r="AO93">
            <v>-36.860205319999999</v>
          </cell>
          <cell r="AT93">
            <v>-24.545885729999998</v>
          </cell>
          <cell r="AY93">
            <v>0</v>
          </cell>
          <cell r="BD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10.33805386</v>
          </cell>
          <cell r="R94">
            <v>6.9639594799999998</v>
          </cell>
          <cell r="S94">
            <v>-21.367902579999999</v>
          </cell>
          <cell r="T94">
            <v>257.58916968</v>
          </cell>
          <cell r="U94">
            <v>18.275607990000001</v>
          </cell>
          <cell r="Z94">
            <v>-50.648071080000001</v>
          </cell>
          <cell r="AE94">
            <v>371.36262288</v>
          </cell>
          <cell r="AJ94">
            <v>-26.330832529999999</v>
          </cell>
          <cell r="AO94">
            <v>1646.5016886200001</v>
          </cell>
          <cell r="AT94">
            <v>10.34094436</v>
          </cell>
          <cell r="AY94">
            <v>2156.5</v>
          </cell>
          <cell r="BD94">
            <v>-161.20004760585101</v>
          </cell>
          <cell r="BE94">
            <v>-265.43223831402202</v>
          </cell>
          <cell r="BF94">
            <v>-409.42331739119498</v>
          </cell>
          <cell r="BG94">
            <v>-557.46524272573197</v>
          </cell>
          <cell r="BH94">
            <v>-723.51416775914902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27.56027916</v>
          </cell>
          <cell r="R95">
            <v>28.72838333</v>
          </cell>
          <cell r="S95">
            <v>19.999702769999999</v>
          </cell>
          <cell r="T95">
            <v>261.80063912999998</v>
          </cell>
          <cell r="U95">
            <v>11.292164290000001</v>
          </cell>
          <cell r="Z95">
            <v>-60.142640049999997</v>
          </cell>
          <cell r="AE95">
            <v>352.93006803999998</v>
          </cell>
          <cell r="AJ95">
            <v>-129.98912464</v>
          </cell>
          <cell r="AO95">
            <v>1225.6103223499999</v>
          </cell>
          <cell r="AT95">
            <v>-687.67882985999995</v>
          </cell>
          <cell r="AY95">
            <v>1978.29903270405</v>
          </cell>
          <cell r="BD95">
            <v>-497.27284511325797</v>
          </cell>
          <cell r="BE95">
            <v>-551.88388717997202</v>
          </cell>
          <cell r="BF95">
            <v>-388.265018388069</v>
          </cell>
          <cell r="BG95">
            <v>22.112963872342</v>
          </cell>
          <cell r="BH95">
            <v>388.57713168003801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S100">
            <v>15.833513503008</v>
          </cell>
          <cell r="T100">
            <v>20.163519542772999</v>
          </cell>
          <cell r="U100">
            <v>46.074403600914998</v>
          </cell>
          <cell r="Z100">
            <v>58.433136932575003</v>
          </cell>
          <cell r="AE100">
            <v>72.782843681093993</v>
          </cell>
          <cell r="AJ100">
            <v>103.88252515924199</v>
          </cell>
          <cell r="AO100">
            <v>184.096564406233</v>
          </cell>
          <cell r="AT100">
            <v>319.444451013329</v>
          </cell>
          <cell r="AY100">
            <v>398.58581963370102</v>
          </cell>
          <cell r="BD100">
            <v>684.96896507122301</v>
          </cell>
          <cell r="BE100">
            <v>1012.88641389512</v>
          </cell>
          <cell r="BF100">
            <v>1287.27695636205</v>
          </cell>
          <cell r="BG100">
            <v>1595.0200408875701</v>
          </cell>
          <cell r="BH100">
            <v>1841.73939355936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Z109">
            <v>0</v>
          </cell>
          <cell r="AE109">
            <v>0</v>
          </cell>
          <cell r="AJ109">
            <v>1.6679999999999999</v>
          </cell>
          <cell r="AO109">
            <v>2.2749999999999999</v>
          </cell>
          <cell r="AT109">
            <v>2.597</v>
          </cell>
          <cell r="AY109">
            <v>2.8047599999999999</v>
          </cell>
          <cell r="BD109">
            <v>3.0291408</v>
          </cell>
          <cell r="BE109">
            <v>3.2714720640000001</v>
          </cell>
          <cell r="BF109">
            <v>3.5331898291199999</v>
          </cell>
          <cell r="BG109">
            <v>3.8158450154499999</v>
          </cell>
          <cell r="BH109">
            <v>4.1211126166860002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J111">
            <v>0</v>
          </cell>
          <cell r="AO111">
            <v>0</v>
          </cell>
          <cell r="AT111">
            <v>0</v>
          </cell>
          <cell r="AY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</row>
        <row r="112">
          <cell r="B112" t="str">
            <v>Sales - % United States</v>
          </cell>
          <cell r="C112" t="str">
            <v>SALES_US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J112">
            <v>0</v>
          </cell>
          <cell r="AO112">
            <v>0</v>
          </cell>
          <cell r="AT112">
            <v>0</v>
          </cell>
          <cell r="AY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</row>
        <row r="114">
          <cell r="B114" t="str">
            <v>Sales - % Brazil</v>
          </cell>
          <cell r="C114" t="str">
            <v>SALES_BRAZIL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J114">
            <v>0</v>
          </cell>
          <cell r="AO114">
            <v>0</v>
          </cell>
          <cell r="AT114">
            <v>0</v>
          </cell>
          <cell r="AY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J115">
            <v>0</v>
          </cell>
          <cell r="AO115">
            <v>0</v>
          </cell>
          <cell r="AT115">
            <v>0</v>
          </cell>
          <cell r="AY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</row>
        <row r="116">
          <cell r="B116" t="str">
            <v>Sales - Total % EMEA</v>
          </cell>
          <cell r="C116" t="str">
            <v>SALES_TOT_EMEA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J116">
            <v>0</v>
          </cell>
          <cell r="AO116">
            <v>0</v>
          </cell>
          <cell r="AT116">
            <v>0</v>
          </cell>
          <cell r="AY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</row>
        <row r="117">
          <cell r="B117" t="str">
            <v>Sales - % UK</v>
          </cell>
          <cell r="C117" t="str">
            <v>SALES_UK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J117">
            <v>0</v>
          </cell>
          <cell r="AO117">
            <v>0</v>
          </cell>
          <cell r="AT117">
            <v>0</v>
          </cell>
          <cell r="AY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J118">
            <v>0</v>
          </cell>
          <cell r="AO118">
            <v>0</v>
          </cell>
          <cell r="AT118">
            <v>0</v>
          </cell>
          <cell r="AY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J135">
            <v>0</v>
          </cell>
          <cell r="AO135">
            <v>0</v>
          </cell>
          <cell r="AT135">
            <v>0</v>
          </cell>
          <cell r="AY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</row>
        <row r="136">
          <cell r="B136" t="str">
            <v>Sales - % Middle East</v>
          </cell>
          <cell r="C136" t="str">
            <v>SALES_ME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J136">
            <v>0</v>
          </cell>
          <cell r="AO136">
            <v>0</v>
          </cell>
          <cell r="AT136">
            <v>0</v>
          </cell>
          <cell r="AY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J138">
            <v>0</v>
          </cell>
          <cell r="AO138">
            <v>0</v>
          </cell>
          <cell r="AT138">
            <v>0</v>
          </cell>
          <cell r="AY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</row>
        <row r="139">
          <cell r="B139" t="str">
            <v>Sales - % Other EMEA</v>
          </cell>
          <cell r="C139" t="str">
            <v>SALES_OTH_EMEA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J139">
            <v>0</v>
          </cell>
          <cell r="AO139">
            <v>0</v>
          </cell>
          <cell r="AT139">
            <v>0</v>
          </cell>
          <cell r="AY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J140">
            <v>0</v>
          </cell>
          <cell r="AO140">
            <v>0</v>
          </cell>
          <cell r="AT140">
            <v>0</v>
          </cell>
          <cell r="AY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</row>
        <row r="141">
          <cell r="B141" t="str">
            <v>Sales - % Japan</v>
          </cell>
          <cell r="C141" t="str">
            <v>SALES_JAPAN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J141">
            <v>0</v>
          </cell>
          <cell r="AO141">
            <v>0</v>
          </cell>
          <cell r="AT141">
            <v>0</v>
          </cell>
          <cell r="AY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</row>
        <row r="142">
          <cell r="B142" t="str">
            <v>Sales - % China</v>
          </cell>
          <cell r="C142" t="str">
            <v>SALES_CHINA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J142">
            <v>1</v>
          </cell>
          <cell r="AO142">
            <v>1</v>
          </cell>
          <cell r="AT142">
            <v>1</v>
          </cell>
          <cell r="AY142">
            <v>1</v>
          </cell>
          <cell r="BD142">
            <v>1</v>
          </cell>
          <cell r="BE142">
            <v>1</v>
          </cell>
          <cell r="BF142">
            <v>1</v>
          </cell>
          <cell r="BG142">
            <v>1</v>
          </cell>
          <cell r="BH142">
            <v>1</v>
          </cell>
        </row>
        <row r="143">
          <cell r="B143" t="str">
            <v>Sales - % India</v>
          </cell>
          <cell r="C143" t="str">
            <v>SALES_INDIA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J143">
            <v>0</v>
          </cell>
          <cell r="AO143">
            <v>0</v>
          </cell>
          <cell r="AT143">
            <v>0</v>
          </cell>
          <cell r="AY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</row>
        <row r="144">
          <cell r="B144" t="str">
            <v>Sales - % South Korea</v>
          </cell>
          <cell r="C144" t="str">
            <v>SALES_SK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J144">
            <v>0</v>
          </cell>
          <cell r="AO144">
            <v>0</v>
          </cell>
          <cell r="AT144">
            <v>0</v>
          </cell>
          <cell r="AY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</row>
        <row r="148">
          <cell r="B148" t="str">
            <v>Sales - % Other Asia</v>
          </cell>
          <cell r="C148" t="str">
            <v>SALES_OTH_AEJ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J148">
            <v>0</v>
          </cell>
          <cell r="AO148">
            <v>0</v>
          </cell>
          <cell r="AT148">
            <v>0</v>
          </cell>
          <cell r="AY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</row>
        <row r="149">
          <cell r="B149" t="str">
            <v>Sales - % Others</v>
          </cell>
          <cell r="C149" t="str">
            <v>SALES_OTHER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J149">
            <v>0</v>
          </cell>
          <cell r="AO149">
            <v>0</v>
          </cell>
          <cell r="AT149">
            <v>0</v>
          </cell>
          <cell r="AY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5">
          <cell r="C195" t="str">
            <v>SALES_FX_GPB</v>
          </cell>
        </row>
        <row r="205">
          <cell r="B205" t="str">
            <v>Sales - % FX: Other Currency</v>
          </cell>
          <cell r="C205" t="str">
            <v>SALES_FX_OTH</v>
          </cell>
        </row>
        <row r="207">
          <cell r="A207" t="str">
            <v>Reference Data</v>
          </cell>
        </row>
        <row r="211">
          <cell r="E211" t="str">
            <v>CNY</v>
          </cell>
        </row>
        <row r="212">
          <cell r="E212" t="str">
            <v>CNY</v>
          </cell>
        </row>
        <row r="213">
          <cell r="E213" t="str">
            <v>CNY</v>
          </cell>
        </row>
        <row r="214">
          <cell r="A214" t="str">
            <v>General Information</v>
          </cell>
        </row>
        <row r="215">
          <cell r="B215" t="str">
            <v>Asia Pacific Investment List</v>
          </cell>
          <cell r="C215" t="str">
            <v>AEJ_LIST</v>
          </cell>
          <cell r="E215" t="str">
            <v>Buy</v>
          </cell>
        </row>
        <row r="216">
          <cell r="B216" t="str">
            <v>Asia Pacific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37.700000000000003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Current shares outstanding (mn)</v>
          </cell>
          <cell r="C220" t="str">
            <v>NUM_SH</v>
          </cell>
          <cell r="E220">
            <v>1285.83521</v>
          </cell>
        </row>
        <row r="221">
          <cell r="B221" t="str">
            <v>Free float</v>
          </cell>
          <cell r="C221" t="str">
            <v>FREE_FLOAT</v>
          </cell>
        </row>
        <row r="222">
          <cell r="B222" t="str">
            <v>Foreign ownership</v>
          </cell>
          <cell r="C222" t="str">
            <v>FOREIGN_HOLDNG</v>
          </cell>
        </row>
        <row r="223">
          <cell r="B223" t="str">
            <v>SH Guangxin</v>
          </cell>
          <cell r="C223" t="str">
            <v>ACT1</v>
          </cell>
          <cell r="E223">
            <v>7.4700000000000003E-2</v>
          </cell>
        </row>
        <row r="224">
          <cell r="B224" t="str">
            <v>Liu Qingfeng</v>
          </cell>
          <cell r="C224" t="str">
            <v>ACT2</v>
          </cell>
          <cell r="E224">
            <v>6.8000000000000005E-2</v>
          </cell>
        </row>
        <row r="225">
          <cell r="B225" t="str">
            <v>USTC AM</v>
          </cell>
          <cell r="C225" t="str">
            <v>ACT3</v>
          </cell>
          <cell r="E225">
            <v>5.7700000000000001E-2</v>
          </cell>
        </row>
        <row r="226">
          <cell r="B226" t="str">
            <v>Catalyst 1 date</v>
          </cell>
          <cell r="C226" t="str">
            <v>CATALYST1_DATE</v>
          </cell>
        </row>
        <row r="227">
          <cell r="B227" t="str">
            <v>Catalyst 1 description</v>
          </cell>
          <cell r="C227" t="str">
            <v>CATALYST1_EVENT</v>
          </cell>
        </row>
        <row r="228">
          <cell r="B228" t="str">
            <v>Catalyst 2 date</v>
          </cell>
          <cell r="C228" t="str">
            <v>CATALYST2_DATE</v>
          </cell>
        </row>
        <row r="229">
          <cell r="B229" t="str">
            <v>Catalyst 2 description</v>
          </cell>
          <cell r="C229" t="str">
            <v>CATALYST2_EVENT</v>
          </cell>
        </row>
        <row r="230">
          <cell r="B230" t="str">
            <v>Catalyst 3 date</v>
          </cell>
          <cell r="C230" t="str">
            <v>CATALYST3_DATE</v>
          </cell>
        </row>
        <row r="231">
          <cell r="B231" t="str">
            <v>Catalyst 3 description</v>
          </cell>
          <cell r="C231" t="str">
            <v>CATALYST3_EVENT</v>
          </cell>
        </row>
        <row r="232">
          <cell r="B232" t="str">
            <v>Catalyst 4 date</v>
          </cell>
          <cell r="C232" t="str">
            <v>CATALYST4_DATE</v>
          </cell>
        </row>
        <row r="233">
          <cell r="B233" t="str">
            <v>Catalyst 4 description</v>
          </cell>
          <cell r="C233" t="str">
            <v>CATALYST4_EVENT</v>
          </cell>
        </row>
        <row r="234">
          <cell r="B234" t="str">
            <v>Catalyst 5 date</v>
          </cell>
          <cell r="C234" t="str">
            <v>CATALYST5_DATE</v>
          </cell>
        </row>
        <row r="235">
          <cell r="B235" t="str">
            <v>Catalyst 5 description</v>
          </cell>
          <cell r="C235" t="str">
            <v>CATALYST5_EVENT</v>
          </cell>
        </row>
        <row r="236">
          <cell r="B236" t="str">
            <v>Target price multiple</v>
          </cell>
          <cell r="C236" t="str">
            <v>PRI_TARG_MULT</v>
          </cell>
          <cell r="E236">
            <v>60.268021507938997</v>
          </cell>
        </row>
        <row r="237">
          <cell r="B237" t="str">
            <v>Target price methodology</v>
          </cell>
          <cell r="C237" t="str">
            <v>PRI_TARG_METH</v>
          </cell>
          <cell r="E237" t="str">
            <v>Long-term growth discounted PE</v>
          </cell>
        </row>
        <row r="238">
          <cell r="A238" t="str">
            <v>Publishing Items</v>
          </cell>
        </row>
        <row r="239">
          <cell r="B239" t="str">
            <v>Book value per share, BVPS (Pub)</v>
          </cell>
          <cell r="C239" t="str">
            <v>BVPS_PUB</v>
          </cell>
          <cell r="D239" t="str">
            <v>CNY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7.1153063991999999E-2</v>
          </cell>
          <cell r="R239">
            <v>9.8648631102999998E-2</v>
          </cell>
          <cell r="S239">
            <v>0.131731632726</v>
          </cell>
          <cell r="T239">
            <v>0.41249302264799997</v>
          </cell>
          <cell r="U239">
            <v>0.45408338954999999</v>
          </cell>
          <cell r="Z239">
            <v>0.50773679871499999</v>
          </cell>
          <cell r="AE239">
            <v>0.91501886548099998</v>
          </cell>
          <cell r="AJ239">
            <v>1.045632638626</v>
          </cell>
          <cell r="AO239">
            <v>2.5746354849230002</v>
          </cell>
          <cell r="AT239">
            <v>2.8826614931710002</v>
          </cell>
          <cell r="AY239">
            <v>4.9414672596880003</v>
          </cell>
          <cell r="BD239">
            <v>5.3605784129660004</v>
          </cell>
          <cell r="BE239">
            <v>6.0070480348209996</v>
          </cell>
          <cell r="BF239">
            <v>6.8872723145670003</v>
          </cell>
          <cell r="BG239">
            <v>8.0296838738749994</v>
          </cell>
          <cell r="BH239">
            <v>9.3996815862300007</v>
          </cell>
        </row>
        <row r="240">
          <cell r="B240" t="str">
            <v>DPS, dividend per share (Pub)</v>
          </cell>
          <cell r="C240" t="str">
            <v>DPS_PUB</v>
          </cell>
          <cell r="D240" t="str">
            <v>CNY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2.8461060627E-2</v>
          </cell>
          <cell r="T240">
            <v>2.1793404462E-2</v>
          </cell>
          <cell r="U240">
            <v>2.9057872615999999E-2</v>
          </cell>
          <cell r="Z240">
            <v>3.4804392199999999E-2</v>
          </cell>
          <cell r="AE240">
            <v>3.3292004056000003E-2</v>
          </cell>
          <cell r="AJ240">
            <v>3.9203668380000001E-2</v>
          </cell>
          <cell r="AO240">
            <v>5.8845347392000001E-2</v>
          </cell>
          <cell r="AT240">
            <v>0.13574312093300001</v>
          </cell>
          <cell r="AY240">
            <v>0.12536602385100001</v>
          </cell>
          <cell r="BD240">
            <v>0.20642788146499999</v>
          </cell>
          <cell r="BE240">
            <v>0.31841041076400001</v>
          </cell>
          <cell r="BF240">
            <v>0.43354330196500002</v>
          </cell>
          <cell r="BG240">
            <v>0.56268032025600001</v>
          </cell>
          <cell r="BH240">
            <v>0.67477499265200003</v>
          </cell>
        </row>
        <row r="241">
          <cell r="B241" t="str">
            <v>Special dividend per share</v>
          </cell>
          <cell r="C241" t="str">
            <v>DPS_SPECIAL_PUB</v>
          </cell>
          <cell r="D241" t="str">
            <v>CNY</v>
          </cell>
        </row>
        <row r="242">
          <cell r="B242" t="str">
            <v>EBITDA (Pub)</v>
          </cell>
          <cell r="C242" t="str">
            <v>EBITDA_PUB</v>
          </cell>
          <cell r="D242" t="str">
            <v>CNY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12.472118269999999</v>
          </cell>
          <cell r="R242">
            <v>39.771510200000002</v>
          </cell>
          <cell r="S242">
            <v>40.571818950000001</v>
          </cell>
          <cell r="T242">
            <v>71.941360720000006</v>
          </cell>
          <cell r="U242">
            <v>68.669104610000005</v>
          </cell>
          <cell r="Z242">
            <v>111.40984801</v>
          </cell>
          <cell r="AE242">
            <v>150.79290356000001</v>
          </cell>
          <cell r="AJ242">
            <v>176.78429756</v>
          </cell>
          <cell r="AO242">
            <v>338.58030181999999</v>
          </cell>
          <cell r="AT242">
            <v>461.36768881</v>
          </cell>
          <cell r="AY242">
            <v>647.39428429419297</v>
          </cell>
          <cell r="BD242">
            <v>1043.7596475178</v>
          </cell>
          <cell r="BE242">
            <v>1640.3050579006799</v>
          </cell>
          <cell r="BF242">
            <v>2307.2622883931399</v>
          </cell>
          <cell r="BG242">
            <v>3041.0118062188299</v>
          </cell>
          <cell r="BH242">
            <v>3736.6275213683398</v>
          </cell>
        </row>
        <row r="243">
          <cell r="B243" t="str">
            <v>EPS (Pub)</v>
          </cell>
          <cell r="C243" t="str">
            <v>EPS_PUB</v>
          </cell>
          <cell r="D243" t="str">
            <v>CNY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1.5881484743E-2</v>
          </cell>
          <cell r="R243">
            <v>5.5900602085000001E-2</v>
          </cell>
          <cell r="S243">
            <v>7.7348799312000005E-2</v>
          </cell>
          <cell r="T243">
            <v>8.0811796241999995E-2</v>
          </cell>
          <cell r="U243">
            <v>8.7032511694999995E-2</v>
          </cell>
          <cell r="Z243">
            <v>0.109660120495</v>
          </cell>
          <cell r="AE243">
            <v>0.13906468178600001</v>
          </cell>
          <cell r="AJ243">
            <v>0.189178313894</v>
          </cell>
          <cell r="AO243">
            <v>0.24536145510599999</v>
          </cell>
          <cell r="AT243">
            <v>0.31549114553000002</v>
          </cell>
          <cell r="AY243">
            <v>0.39483726918399997</v>
          </cell>
          <cell r="BD243">
            <v>0.62553903474399997</v>
          </cell>
          <cell r="BE243">
            <v>0.96488003261900002</v>
          </cell>
          <cell r="BF243">
            <v>1.3137675817109999</v>
          </cell>
          <cell r="BG243">
            <v>1.7050918795629999</v>
          </cell>
          <cell r="BH243">
            <v>2.0447727050069999</v>
          </cell>
        </row>
        <row r="244">
          <cell r="B244" t="str">
            <v>EV adjustment (Pub)</v>
          </cell>
          <cell r="C244" t="str">
            <v>EV_ADJ_PUB</v>
          </cell>
          <cell r="D244" t="str">
            <v>CNY</v>
          </cell>
        </row>
        <row r="245">
          <cell r="B245" t="str">
            <v>Net debt (Pub)</v>
          </cell>
          <cell r="C245" t="str">
            <v>NET_DEBT_PUB</v>
          </cell>
          <cell r="D245" t="str">
            <v>CNY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-4.5112411999999997</v>
          </cell>
          <cell r="R245">
            <v>-22.23962453</v>
          </cell>
          <cell r="S245">
            <v>-50.23248341</v>
          </cell>
          <cell r="T245">
            <v>-350.00052118000002</v>
          </cell>
          <cell r="U245">
            <v>-328.29073161000002</v>
          </cell>
          <cell r="Z245">
            <v>-286.32261292999999</v>
          </cell>
          <cell r="AE245">
            <v>-659.07535571000005</v>
          </cell>
          <cell r="AJ245">
            <v>-526.10201397000003</v>
          </cell>
          <cell r="AO245">
            <v>-1745.1487243399999</v>
          </cell>
          <cell r="AT245">
            <v>-1058.0087636799999</v>
          </cell>
          <cell r="AY245">
            <v>-3036.3077963840501</v>
          </cell>
          <cell r="BD245">
            <v>-2539.0349512707899</v>
          </cell>
          <cell r="BE245">
            <v>-1987.15106409082</v>
          </cell>
          <cell r="BF245">
            <v>-1598.8860457027499</v>
          </cell>
          <cell r="BG245">
            <v>-1620.9990095751</v>
          </cell>
          <cell r="BH245">
            <v>-2009.5761412551301</v>
          </cell>
        </row>
        <row r="246">
          <cell r="B246" t="str">
            <v>Net income (Pub)</v>
          </cell>
          <cell r="C246" t="str">
            <v>NI_PUB</v>
          </cell>
          <cell r="D246" t="str">
            <v>CNY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9.9858428499999992</v>
          </cell>
          <cell r="R246">
            <v>35.148768310000001</v>
          </cell>
          <cell r="S246">
            <v>53.498288340000002</v>
          </cell>
          <cell r="T246">
            <v>69.872748860000002</v>
          </cell>
          <cell r="U246">
            <v>80.269858159999998</v>
          </cell>
          <cell r="Z246">
            <v>101.13924264000001</v>
          </cell>
          <cell r="AA246">
            <v>14.520532709999999</v>
          </cell>
          <cell r="AB246">
            <v>25.594970610000001</v>
          </cell>
          <cell r="AC246">
            <v>29.574224520000001</v>
          </cell>
          <cell r="AD246">
            <v>62.93917407</v>
          </cell>
          <cell r="AE246">
            <v>132.62890191</v>
          </cell>
          <cell r="AF246">
            <v>19.859722680000001</v>
          </cell>
          <cell r="AG246">
            <v>38.557491630000001</v>
          </cell>
          <cell r="AH246">
            <v>41.24785412</v>
          </cell>
          <cell r="AI246">
            <v>82.739807450000001</v>
          </cell>
          <cell r="AJ246">
            <v>182.40487587999999</v>
          </cell>
          <cell r="AK246">
            <v>34.320470540000002</v>
          </cell>
          <cell r="AL246">
            <v>48.174532579999997</v>
          </cell>
          <cell r="AM246">
            <v>57.774514289999999</v>
          </cell>
          <cell r="AN246">
            <v>138.71664989999999</v>
          </cell>
          <cell r="AO246">
            <v>278.98616730999998</v>
          </cell>
          <cell r="AP246">
            <v>50.89633414</v>
          </cell>
          <cell r="AQ246">
            <v>65.898005100000006</v>
          </cell>
          <cell r="AR246">
            <v>81.28957733</v>
          </cell>
          <cell r="AS246">
            <v>181.34596998000001</v>
          </cell>
          <cell r="AT246">
            <v>379.42988654999999</v>
          </cell>
          <cell r="AU246">
            <v>66.586553260000002</v>
          </cell>
          <cell r="AV246">
            <v>76.505739879999993</v>
          </cell>
          <cell r="AW246">
            <v>80.555723180000001</v>
          </cell>
          <cell r="AX246">
            <v>264.83697642500198</v>
          </cell>
          <cell r="AY246">
            <v>488.48499274500301</v>
          </cell>
          <cell r="AZ246">
            <v>69.310269534585004</v>
          </cell>
          <cell r="BA246">
            <v>164.077778021201</v>
          </cell>
          <cell r="BB246">
            <v>182.36265141425901</v>
          </cell>
          <cell r="BC246">
            <v>388.58941713305302</v>
          </cell>
          <cell r="BD246">
            <v>804.34011610309801</v>
          </cell>
          <cell r="BE246">
            <v>1240.6767193672599</v>
          </cell>
          <cell r="BF246">
            <v>1689.2886143204</v>
          </cell>
          <cell r="BG246">
            <v>2192.4671750277298</v>
          </cell>
          <cell r="BH246">
            <v>2629.2407405450799</v>
          </cell>
        </row>
        <row r="247">
          <cell r="B247" t="str">
            <v>EBIT, operating profit (Pub)</v>
          </cell>
          <cell r="C247" t="str">
            <v>EBIT_PUB</v>
          </cell>
          <cell r="D247" t="str">
            <v>CNY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12.472118269999999</v>
          </cell>
          <cell r="R247">
            <v>39.771510200000002</v>
          </cell>
          <cell r="S247">
            <v>40.571818950000001</v>
          </cell>
          <cell r="T247">
            <v>60.000370310000001</v>
          </cell>
          <cell r="U247">
            <v>49.767564640000003</v>
          </cell>
          <cell r="Z247">
            <v>84.167132670000001</v>
          </cell>
          <cell r="AA247">
            <v>12.64804591</v>
          </cell>
          <cell r="AB247">
            <v>26.953563280000001</v>
          </cell>
          <cell r="AC247">
            <v>19.65236462</v>
          </cell>
          <cell r="AD247">
            <v>45.236888100000002</v>
          </cell>
          <cell r="AE247">
            <v>104.49086191000001</v>
          </cell>
          <cell r="AF247">
            <v>17.949241839999999</v>
          </cell>
          <cell r="AG247">
            <v>24.095082219999998</v>
          </cell>
          <cell r="AH247">
            <v>26.147646869999999</v>
          </cell>
          <cell r="AI247">
            <v>46.058334559999999</v>
          </cell>
          <cell r="AJ247">
            <v>114.25030549</v>
          </cell>
          <cell r="AK247">
            <v>22.087929599999999</v>
          </cell>
          <cell r="AL247">
            <v>29.530183860000001</v>
          </cell>
          <cell r="AM247">
            <v>37.521235820000001</v>
          </cell>
          <cell r="AN247">
            <v>118.03514237</v>
          </cell>
          <cell r="AO247">
            <v>207.17449164999999</v>
          </cell>
          <cell r="AP247">
            <v>24.546475390000001</v>
          </cell>
          <cell r="AQ247">
            <v>33.335928959999997</v>
          </cell>
          <cell r="AR247">
            <v>46.09999758</v>
          </cell>
          <cell r="AS247">
            <v>162.90166786</v>
          </cell>
          <cell r="AT247">
            <v>266.88406979000001</v>
          </cell>
          <cell r="AU247">
            <v>28.643835370000001</v>
          </cell>
          <cell r="AV247">
            <v>51.454069019999999</v>
          </cell>
          <cell r="AW247">
            <v>49.543852129999998</v>
          </cell>
          <cell r="AX247">
            <v>259.785404332817</v>
          </cell>
          <cell r="AY247">
            <v>389.427160852817</v>
          </cell>
          <cell r="AZ247">
            <v>19.290565981452001</v>
          </cell>
          <cell r="BA247">
            <v>144.98390519344699</v>
          </cell>
          <cell r="BB247">
            <v>140.02929976475599</v>
          </cell>
          <cell r="BC247">
            <v>385.64353713320099</v>
          </cell>
          <cell r="BD247">
            <v>689.94730807285805</v>
          </cell>
          <cell r="BE247">
            <v>1153.59853959271</v>
          </cell>
          <cell r="BF247">
            <v>1650.07217008156</v>
          </cell>
          <cell r="BG247">
            <v>2184.51834501648</v>
          </cell>
          <cell r="BH247">
            <v>2648.3198633365701</v>
          </cell>
        </row>
        <row r="248">
          <cell r="B248" t="str">
            <v>Pre-tax profit (Pub)</v>
          </cell>
          <cell r="C248" t="str">
            <v>PTP_PUB</v>
          </cell>
          <cell r="D248" t="str">
            <v>CNY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11.07212077</v>
          </cell>
          <cell r="R248">
            <v>37.23885035</v>
          </cell>
          <cell r="S248">
            <v>55.356846529999999</v>
          </cell>
          <cell r="T248">
            <v>77.489366459999999</v>
          </cell>
          <cell r="U248">
            <v>87.395078530000006</v>
          </cell>
          <cell r="Z248">
            <v>111.98293157000001</v>
          </cell>
          <cell r="AE248">
            <v>143.73858526000001</v>
          </cell>
          <cell r="AJ248">
            <v>202.69074379</v>
          </cell>
          <cell r="AO248">
            <v>320.58399224999999</v>
          </cell>
          <cell r="AT248">
            <v>433.74923002999998</v>
          </cell>
          <cell r="AY248">
            <v>563.14166929171699</v>
          </cell>
          <cell r="BD248">
            <v>922.22187223798505</v>
          </cell>
          <cell r="BE248">
            <v>1405.7272846841399</v>
          </cell>
          <cell r="BF248">
            <v>2026.3834158383099</v>
          </cell>
          <cell r="BG248">
            <v>2629.9704417491598</v>
          </cell>
          <cell r="BH248">
            <v>3153.9014634455398</v>
          </cell>
        </row>
        <row r="249">
          <cell r="B249" t="str">
            <v>Sales, revenue (Pub)</v>
          </cell>
          <cell r="C249" t="str">
            <v>REVS_PUB</v>
          </cell>
          <cell r="D249" t="str">
            <v>CNY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81.567521810000002</v>
          </cell>
          <cell r="R249">
            <v>171.35527556</v>
          </cell>
          <cell r="S249">
            <v>205.81020808</v>
          </cell>
          <cell r="T249">
            <v>257.55214083999999</v>
          </cell>
          <cell r="U249">
            <v>307.12515289999999</v>
          </cell>
          <cell r="Z249">
            <v>436.05733842000001</v>
          </cell>
          <cell r="AA249">
            <v>85.700989820000004</v>
          </cell>
          <cell r="AB249">
            <v>135.60514433</v>
          </cell>
          <cell r="AC249">
            <v>121.29126284</v>
          </cell>
          <cell r="AD249">
            <v>214.41613369999999</v>
          </cell>
          <cell r="AE249">
            <v>557.01353069000004</v>
          </cell>
          <cell r="AF249">
            <v>130.06769266000001</v>
          </cell>
          <cell r="AG249">
            <v>173.60203297000001</v>
          </cell>
          <cell r="AH249">
            <v>223.27271114000001</v>
          </cell>
          <cell r="AI249">
            <v>256.99824694</v>
          </cell>
          <cell r="AJ249">
            <v>783.94068371000003</v>
          </cell>
          <cell r="AK249">
            <v>173.04575912000001</v>
          </cell>
          <cell r="AL249">
            <v>246.05492519000001</v>
          </cell>
          <cell r="AM249">
            <v>338.35138807999999</v>
          </cell>
          <cell r="AN249">
            <v>496.25567839000001</v>
          </cell>
          <cell r="AO249">
            <v>1253.70775078</v>
          </cell>
          <cell r="AP249">
            <v>261.93893664000001</v>
          </cell>
          <cell r="AQ249">
            <v>385.75291031</v>
          </cell>
          <cell r="AR249">
            <v>457.65699876999997</v>
          </cell>
          <cell r="AS249">
            <v>669.86176723000005</v>
          </cell>
          <cell r="AT249">
            <v>1775.21061295</v>
          </cell>
          <cell r="AU249">
            <v>406.10641343999998</v>
          </cell>
          <cell r="AV249">
            <v>633.04558938000002</v>
          </cell>
          <cell r="AW249">
            <v>635.01307904999999</v>
          </cell>
          <cell r="AX249">
            <v>1002.5334304755</v>
          </cell>
          <cell r="AY249">
            <v>2676.6985123455001</v>
          </cell>
          <cell r="AZ249">
            <v>646.72926008220497</v>
          </cell>
          <cell r="BA249">
            <v>1006.6765591764</v>
          </cell>
          <cell r="BB249">
            <v>1013.97663533295</v>
          </cell>
          <cell r="BC249">
            <v>1663.22850405707</v>
          </cell>
          <cell r="BD249">
            <v>4330.61095864863</v>
          </cell>
          <cell r="BE249">
            <v>6453.9801797084601</v>
          </cell>
          <cell r="BF249">
            <v>8946.4943887941408</v>
          </cell>
          <cell r="BG249">
            <v>11371.529911887201</v>
          </cell>
          <cell r="BH249">
            <v>13437.8212387884</v>
          </cell>
        </row>
        <row r="250">
          <cell r="B250" t="str">
            <v>Total shareholders' equity (Pub)</v>
          </cell>
          <cell r="C250" t="str">
            <v>EQ_PUB</v>
          </cell>
          <cell r="D250" t="str">
            <v>CNY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93.536812209999994</v>
          </cell>
          <cell r="R250">
            <v>126.84588329</v>
          </cell>
          <cell r="S250">
            <v>171.98579733</v>
          </cell>
          <cell r="T250">
            <v>530.39805239999998</v>
          </cell>
          <cell r="U250">
            <v>599.03658364</v>
          </cell>
          <cell r="Z250">
            <v>661.46416260000001</v>
          </cell>
          <cell r="AE250">
            <v>1185.78490622</v>
          </cell>
          <cell r="AJ250">
            <v>1482.7320979900001</v>
          </cell>
          <cell r="AO250">
            <v>3461.0525709399999</v>
          </cell>
          <cell r="AT250">
            <v>3901.4191872599999</v>
          </cell>
          <cell r="AY250">
            <v>6558.9375979891502</v>
          </cell>
          <cell r="BD250">
            <v>7122.1827398982296</v>
          </cell>
          <cell r="BE250">
            <v>7977.7734059942904</v>
          </cell>
          <cell r="BF250">
            <v>9142.73406673112</v>
          </cell>
          <cell r="BG250">
            <v>10654.6947744588</v>
          </cell>
          <cell r="BH250">
            <v>12467.8615740076</v>
          </cell>
        </row>
        <row r="251">
          <cell r="B251" t="str">
            <v>EPS (consensus)</v>
          </cell>
          <cell r="C251" t="str">
            <v>EPS_CONS_PUB</v>
          </cell>
          <cell r="D251" t="str">
            <v>CNY</v>
          </cell>
        </row>
        <row r="252">
          <cell r="A252" t="str">
            <v>Income Statement</v>
          </cell>
        </row>
        <row r="253">
          <cell r="B253" t="str">
            <v>Provision for income tax</v>
          </cell>
          <cell r="C253" t="str">
            <v>PROV_INC_TAX</v>
          </cell>
          <cell r="D253" t="str">
            <v>CNY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-1.14120552</v>
          </cell>
          <cell r="R253">
            <v>-2.09008204</v>
          </cell>
          <cell r="S253">
            <v>-1.7994619700000001</v>
          </cell>
          <cell r="T253">
            <v>-7.41823941</v>
          </cell>
          <cell r="U253">
            <v>-7.3443451900000003</v>
          </cell>
          <cell r="Z253">
            <v>-10.86857296</v>
          </cell>
          <cell r="AE253">
            <v>-11.147770830000001</v>
          </cell>
          <cell r="AJ253">
            <v>-20.953964559999999</v>
          </cell>
          <cell r="AO253">
            <v>-42.145440489999999</v>
          </cell>
          <cell r="AT253">
            <v>-45.262679919999997</v>
          </cell>
          <cell r="AY253">
            <v>-64.423210956714996</v>
          </cell>
          <cell r="BD253">
            <v>-93.544492014886004</v>
          </cell>
          <cell r="BE253">
            <v>-140.71330119688301</v>
          </cell>
          <cell r="BF253">
            <v>-303.957512375747</v>
          </cell>
          <cell r="BG253">
            <v>-394.49556626237398</v>
          </cell>
          <cell r="BH253">
            <v>-473.08521951683099</v>
          </cell>
        </row>
        <row r="254">
          <cell r="B254" t="str">
            <v>Minority interest</v>
          </cell>
          <cell r="C254" t="str">
            <v>INC_MINORITY</v>
          </cell>
          <cell r="D254" t="str">
            <v>CNY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5.49276E-2</v>
          </cell>
          <cell r="R254">
            <v>0</v>
          </cell>
          <cell r="S254">
            <v>-5.9096219999999998E-2</v>
          </cell>
          <cell r="T254">
            <v>-0.19837819000000001</v>
          </cell>
          <cell r="U254">
            <v>0.21912482</v>
          </cell>
          <cell r="Z254">
            <v>2.4884030000000001E-2</v>
          </cell>
          <cell r="AE254">
            <v>3.808748E-2</v>
          </cell>
          <cell r="AJ254">
            <v>0.66809664999999996</v>
          </cell>
          <cell r="AO254">
            <v>0.54761554999999995</v>
          </cell>
          <cell r="AT254">
            <v>-9.0566635600000005</v>
          </cell>
          <cell r="AY254">
            <v>-10.23346559</v>
          </cell>
          <cell r="BD254">
            <v>-24.33726412</v>
          </cell>
          <cell r="BE254">
            <v>-24.33726412</v>
          </cell>
          <cell r="BF254">
            <v>-33.137289142164001</v>
          </cell>
          <cell r="BG254">
            <v>-43.007700459063003</v>
          </cell>
          <cell r="BH254">
            <v>-51.575503383624003</v>
          </cell>
        </row>
        <row r="255">
          <cell r="B255" t="str">
            <v>Net income (pre-preferred dividends)</v>
          </cell>
          <cell r="C255" t="str">
            <v>NI_PRE_PREF</v>
          </cell>
          <cell r="D255" t="str">
            <v>CNY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9.9858428499999992</v>
          </cell>
          <cell r="R255">
            <v>35.148768310000001</v>
          </cell>
          <cell r="S255">
            <v>53.498288340000002</v>
          </cell>
          <cell r="T255">
            <v>69.872748860000002</v>
          </cell>
          <cell r="U255">
            <v>80.269858159999998</v>
          </cell>
          <cell r="Z255">
            <v>101.13924264000001</v>
          </cell>
          <cell r="AE255">
            <v>132.62890191</v>
          </cell>
          <cell r="AJ255">
            <v>182.40487587999999</v>
          </cell>
          <cell r="AO255">
            <v>278.98616730999998</v>
          </cell>
          <cell r="AT255">
            <v>379.42988654999999</v>
          </cell>
          <cell r="AY255">
            <v>488.48499274500301</v>
          </cell>
          <cell r="BD255">
            <v>804.34011610309801</v>
          </cell>
          <cell r="BE255">
            <v>1240.6767193672599</v>
          </cell>
          <cell r="BF255">
            <v>1689.2886143204</v>
          </cell>
          <cell r="BG255">
            <v>2192.4671750277298</v>
          </cell>
          <cell r="BH255">
            <v>2629.2407405450799</v>
          </cell>
        </row>
        <row r="256">
          <cell r="B256" t="str">
            <v>Preferred dividends</v>
          </cell>
          <cell r="C256" t="str">
            <v>PREF_DIV</v>
          </cell>
          <cell r="D256" t="str">
            <v>CNY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Z256">
            <v>0</v>
          </cell>
          <cell r="AE256">
            <v>0</v>
          </cell>
          <cell r="AJ256">
            <v>0</v>
          </cell>
          <cell r="AO256">
            <v>0</v>
          </cell>
          <cell r="AT256">
            <v>0</v>
          </cell>
          <cell r="AY256">
            <v>0</v>
          </cell>
          <cell r="BD256">
            <v>0</v>
          </cell>
        </row>
        <row r="257">
          <cell r="B257" t="str">
            <v>Net income (pre-exceptionals)</v>
          </cell>
          <cell r="C257" t="str">
            <v>NET_EARNING</v>
          </cell>
          <cell r="D257" t="str">
            <v>CNY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9.9858428499999992</v>
          </cell>
          <cell r="R257">
            <v>35.148768310000001</v>
          </cell>
          <cell r="S257">
            <v>53.498288340000002</v>
          </cell>
          <cell r="T257">
            <v>69.872748860000002</v>
          </cell>
          <cell r="U257">
            <v>80.269858159999998</v>
          </cell>
          <cell r="Z257">
            <v>101.13924264000001</v>
          </cell>
          <cell r="AE257">
            <v>132.62890191</v>
          </cell>
          <cell r="AJ257">
            <v>182.40487587999999</v>
          </cell>
          <cell r="AO257">
            <v>278.98616730999998</v>
          </cell>
          <cell r="AT257">
            <v>379.42988654999999</v>
          </cell>
          <cell r="AY257">
            <v>488.48499274500301</v>
          </cell>
          <cell r="BD257">
            <v>804.34011610309801</v>
          </cell>
          <cell r="BE257">
            <v>1240.6767193672599</v>
          </cell>
          <cell r="BF257">
            <v>1689.2886143204</v>
          </cell>
          <cell r="BG257">
            <v>2192.4671750277298</v>
          </cell>
          <cell r="BH257">
            <v>2629.2407405450799</v>
          </cell>
        </row>
        <row r="258">
          <cell r="B258" t="str">
            <v>Post-tax exceptionals</v>
          </cell>
          <cell r="C258" t="str">
            <v>TAX_EXC</v>
          </cell>
          <cell r="D258" t="str">
            <v>CNY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Z258">
            <v>0</v>
          </cell>
          <cell r="AE258">
            <v>0</v>
          </cell>
          <cell r="AJ258">
            <v>0</v>
          </cell>
          <cell r="AO258">
            <v>0</v>
          </cell>
          <cell r="AT258">
            <v>0</v>
          </cell>
          <cell r="AY258">
            <v>0</v>
          </cell>
          <cell r="BD258">
            <v>0</v>
          </cell>
        </row>
        <row r="259">
          <cell r="B259" t="str">
            <v>Net income (post-exceptionals)</v>
          </cell>
          <cell r="C259" t="str">
            <v>NET_INC</v>
          </cell>
          <cell r="D259" t="str">
            <v>CNY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9.9858428499999992</v>
          </cell>
          <cell r="R259">
            <v>35.148768310000001</v>
          </cell>
          <cell r="S259">
            <v>53.498288340000002</v>
          </cell>
          <cell r="T259">
            <v>69.872748860000002</v>
          </cell>
          <cell r="U259">
            <v>80.269858159999998</v>
          </cell>
          <cell r="Z259">
            <v>101.13924264000001</v>
          </cell>
          <cell r="AA259">
            <v>14.520532709999999</v>
          </cell>
          <cell r="AB259">
            <v>25.594970610000001</v>
          </cell>
          <cell r="AC259">
            <v>29.574224520000001</v>
          </cell>
          <cell r="AD259">
            <v>62.93917407</v>
          </cell>
          <cell r="AE259">
            <v>132.62890191</v>
          </cell>
          <cell r="AF259">
            <v>19.859722680000001</v>
          </cell>
          <cell r="AG259">
            <v>38.557491630000001</v>
          </cell>
          <cell r="AH259">
            <v>41.24785412</v>
          </cell>
          <cell r="AI259">
            <v>82.739807450000001</v>
          </cell>
          <cell r="AJ259">
            <v>182.40487587999999</v>
          </cell>
          <cell r="AK259">
            <v>34.320470540000002</v>
          </cell>
          <cell r="AL259">
            <v>48.174532579999997</v>
          </cell>
          <cell r="AM259">
            <v>57.774514289999999</v>
          </cell>
          <cell r="AN259">
            <v>138.71664989999999</v>
          </cell>
          <cell r="AO259">
            <v>278.98616730999998</v>
          </cell>
          <cell r="AP259">
            <v>50.89633414</v>
          </cell>
          <cell r="AQ259">
            <v>65.898005100000006</v>
          </cell>
          <cell r="AR259">
            <v>81.28957733</v>
          </cell>
          <cell r="AS259">
            <v>181.34596998000001</v>
          </cell>
          <cell r="AT259">
            <v>379.42988654999999</v>
          </cell>
          <cell r="AU259">
            <v>66.586553260000002</v>
          </cell>
          <cell r="AV259">
            <v>76.505739879999993</v>
          </cell>
          <cell r="AW259">
            <v>80.555723180000001</v>
          </cell>
          <cell r="AX259">
            <v>264.83697642500198</v>
          </cell>
          <cell r="AY259">
            <v>488.48499274500301</v>
          </cell>
          <cell r="AZ259">
            <v>69.310269534585004</v>
          </cell>
          <cell r="BA259">
            <v>164.077778021201</v>
          </cell>
          <cell r="BB259">
            <v>182.36265141425901</v>
          </cell>
          <cell r="BC259">
            <v>388.58941713305302</v>
          </cell>
          <cell r="BD259">
            <v>804.34011610309801</v>
          </cell>
          <cell r="BE259">
            <v>1240.6767193672599</v>
          </cell>
          <cell r="BF259">
            <v>1689.2886143204</v>
          </cell>
          <cell r="BG259">
            <v>2192.4671750277298</v>
          </cell>
          <cell r="BH259">
            <v>2629.2407405450799</v>
          </cell>
        </row>
        <row r="260">
          <cell r="B260" t="str">
            <v>EPS (pre-exceptionals, basic)</v>
          </cell>
          <cell r="C260" t="str">
            <v>EPS</v>
          </cell>
          <cell r="D260" t="str">
            <v>CNY</v>
          </cell>
          <cell r="Q260">
            <v>1.5881484743E-2</v>
          </cell>
          <cell r="R260">
            <v>5.5900602085000001E-2</v>
          </cell>
          <cell r="S260">
            <v>7.7348799312000005E-2</v>
          </cell>
          <cell r="T260">
            <v>8.0811796241999995E-2</v>
          </cell>
          <cell r="U260">
            <v>8.7032511694999995E-2</v>
          </cell>
          <cell r="Z260">
            <v>0.109660120495</v>
          </cell>
          <cell r="AE260">
            <v>0.13906468178600001</v>
          </cell>
          <cell r="AJ260">
            <v>0.189178313894</v>
          </cell>
          <cell r="AO260">
            <v>0.24536145510599999</v>
          </cell>
          <cell r="AT260">
            <v>0.31549114553000002</v>
          </cell>
          <cell r="AY260">
            <v>0.39483726918399997</v>
          </cell>
          <cell r="BD260">
            <v>0.62553903474399997</v>
          </cell>
          <cell r="BE260">
            <v>0.96488003261900002</v>
          </cell>
          <cell r="BF260">
            <v>1.3137675817109999</v>
          </cell>
          <cell r="BG260">
            <v>1.7050918795629999</v>
          </cell>
          <cell r="BH260">
            <v>2.0447727050069999</v>
          </cell>
        </row>
        <row r="261">
          <cell r="B261" t="str">
            <v>EPS (pre-exceptionals, diluted)</v>
          </cell>
          <cell r="C261" t="str">
            <v>EPS_FUL_DIL</v>
          </cell>
          <cell r="D261" t="str">
            <v>CNY</v>
          </cell>
          <cell r="Q261">
            <v>1.5881484743E-2</v>
          </cell>
          <cell r="R261">
            <v>5.5900602085000001E-2</v>
          </cell>
          <cell r="S261">
            <v>7.7348799312000005E-2</v>
          </cell>
          <cell r="T261">
            <v>7.5759456559999994E-2</v>
          </cell>
          <cell r="U261">
            <v>8.7032511694999995E-2</v>
          </cell>
          <cell r="Z261">
            <v>0.109660120495</v>
          </cell>
          <cell r="AE261">
            <v>0.13755395453499999</v>
          </cell>
          <cell r="AJ261">
            <v>0.189178313894</v>
          </cell>
          <cell r="AO261">
            <v>0.233528277861</v>
          </cell>
          <cell r="AT261">
            <v>0.315015272023</v>
          </cell>
          <cell r="AY261">
            <v>0.39483726918399997</v>
          </cell>
          <cell r="BD261">
            <v>0.62553903474399997</v>
          </cell>
          <cell r="BE261">
            <v>0.96488003261900002</v>
          </cell>
          <cell r="BF261">
            <v>1.3137675817109999</v>
          </cell>
          <cell r="BG261">
            <v>1.7050918795629999</v>
          </cell>
          <cell r="BH261">
            <v>2.0447727050069999</v>
          </cell>
        </row>
        <row r="262">
          <cell r="B262" t="str">
            <v>EPS (post-exceptionals, basic)</v>
          </cell>
          <cell r="C262" t="str">
            <v>EPS_POST_BASIC</v>
          </cell>
          <cell r="D262" t="str">
            <v>CNY</v>
          </cell>
          <cell r="Q262">
            <v>1.5881484743E-2</v>
          </cell>
          <cell r="R262">
            <v>5.5900602085000001E-2</v>
          </cell>
          <cell r="S262">
            <v>7.7348799312000005E-2</v>
          </cell>
          <cell r="T262">
            <v>8.0811796241999995E-2</v>
          </cell>
          <cell r="U262">
            <v>8.7032511694999995E-2</v>
          </cell>
          <cell r="Z262">
            <v>0.109660120495</v>
          </cell>
          <cell r="AE262">
            <v>0.13906468178600001</v>
          </cell>
          <cell r="AJ262">
            <v>0.189178313894</v>
          </cell>
          <cell r="AO262">
            <v>0.24536145510599999</v>
          </cell>
          <cell r="AT262">
            <v>0.31549114553000002</v>
          </cell>
          <cell r="AY262">
            <v>0.39483726918399997</v>
          </cell>
          <cell r="BD262">
            <v>0.62553903474399997</v>
          </cell>
          <cell r="BE262">
            <v>0.96488003261900002</v>
          </cell>
          <cell r="BF262">
            <v>1.3137675817109999</v>
          </cell>
          <cell r="BG262">
            <v>1.7050918795629999</v>
          </cell>
          <cell r="BH262">
            <v>2.0447727050069999</v>
          </cell>
        </row>
        <row r="263">
          <cell r="B263" t="str">
            <v>EPS (post-exceptionals, diluted)</v>
          </cell>
          <cell r="C263" t="str">
            <v>FULLY_DIL_EPS</v>
          </cell>
          <cell r="D263" t="str">
            <v>CNY</v>
          </cell>
          <cell r="Q263">
            <v>1.5881484743E-2</v>
          </cell>
          <cell r="R263">
            <v>5.5900602085000001E-2</v>
          </cell>
          <cell r="S263">
            <v>7.7348799312000005E-2</v>
          </cell>
          <cell r="T263">
            <v>7.5759456559999994E-2</v>
          </cell>
          <cell r="U263">
            <v>8.7032511694999995E-2</v>
          </cell>
          <cell r="Z263">
            <v>0.109660120495</v>
          </cell>
          <cell r="AE263">
            <v>0.13755395453499999</v>
          </cell>
          <cell r="AJ263">
            <v>0.189178313894</v>
          </cell>
          <cell r="AO263">
            <v>0.233528277861</v>
          </cell>
          <cell r="AT263">
            <v>0.315015272023</v>
          </cell>
          <cell r="AY263">
            <v>0.39483726918399997</v>
          </cell>
          <cell r="BD263">
            <v>0.62553903474399997</v>
          </cell>
          <cell r="BE263">
            <v>0.96488003261900002</v>
          </cell>
          <cell r="BF263">
            <v>1.3137675817109999</v>
          </cell>
          <cell r="BG263">
            <v>1.7050918795629999</v>
          </cell>
          <cell r="BH263">
            <v>2.0447727050069999</v>
          </cell>
        </row>
        <row r="264">
          <cell r="B264" t="str">
            <v>Common dividends paid</v>
          </cell>
          <cell r="C264" t="str">
            <v>COMMON_DIV_PAID</v>
          </cell>
          <cell r="D264" t="str">
            <v>CNY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-19.685089380000001</v>
          </cell>
          <cell r="T264">
            <v>-20.100000000000001</v>
          </cell>
          <cell r="U264">
            <v>-26.8</v>
          </cell>
          <cell r="Z264">
            <v>-32.1</v>
          </cell>
          <cell r="AE264">
            <v>-32.1</v>
          </cell>
          <cell r="AJ264">
            <v>-37.799999999999997</v>
          </cell>
          <cell r="AO264">
            <v>-70.3</v>
          </cell>
          <cell r="AT264">
            <v>-163.5</v>
          </cell>
          <cell r="AY264">
            <v>-161.20004760585101</v>
          </cell>
          <cell r="BD264">
            <v>-265.43223831402202</v>
          </cell>
          <cell r="BE264">
            <v>-409.42331739119498</v>
          </cell>
          <cell r="BF264">
            <v>-557.46524272573197</v>
          </cell>
          <cell r="BG264">
            <v>-723.51416775914902</v>
          </cell>
          <cell r="BH264">
            <v>-867.64944437987799</v>
          </cell>
        </row>
        <row r="265">
          <cell r="B265" t="str">
            <v>DPS, dividend per share</v>
          </cell>
          <cell r="C265" t="str">
            <v>DPS</v>
          </cell>
          <cell r="D265" t="str">
            <v>CNY</v>
          </cell>
          <cell r="Q265">
            <v>0</v>
          </cell>
          <cell r="R265">
            <v>0</v>
          </cell>
          <cell r="S265">
            <v>2.8461060627E-2</v>
          </cell>
          <cell r="T265">
            <v>2.1793404462E-2</v>
          </cell>
          <cell r="U265">
            <v>2.9057872615999999E-2</v>
          </cell>
          <cell r="Z265">
            <v>3.4804392199999999E-2</v>
          </cell>
          <cell r="AE265">
            <v>3.3292004056000003E-2</v>
          </cell>
          <cell r="AJ265">
            <v>3.9203668380000001E-2</v>
          </cell>
          <cell r="AO265">
            <v>5.8845347392000001E-2</v>
          </cell>
          <cell r="AT265">
            <v>0.13574312093300001</v>
          </cell>
          <cell r="AY265">
            <v>0.12536602385100001</v>
          </cell>
          <cell r="BD265">
            <v>0.20642788146499999</v>
          </cell>
          <cell r="BE265">
            <v>0.31841041076400001</v>
          </cell>
          <cell r="BF265">
            <v>0.43354330196500002</v>
          </cell>
          <cell r="BG265">
            <v>0.56268032025600001</v>
          </cell>
          <cell r="BH265">
            <v>0.67477499265200003</v>
          </cell>
        </row>
        <row r="266">
          <cell r="B266" t="str">
            <v>Weighted average shares outstanding, basic</v>
          </cell>
          <cell r="C266" t="str">
            <v>SH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628.77262496856099</v>
          </cell>
          <cell r="R266">
            <v>628.77262496856099</v>
          </cell>
          <cell r="S266">
            <v>691.64988749999998</v>
          </cell>
          <cell r="T266">
            <v>864.6355125</v>
          </cell>
          <cell r="U266">
            <v>922.29738750000001</v>
          </cell>
          <cell r="Z266">
            <v>922.29738750000001</v>
          </cell>
          <cell r="AE266">
            <v>953.72096068124995</v>
          </cell>
          <cell r="AJ266">
            <v>964.19548375178999</v>
          </cell>
          <cell r="AO266">
            <v>1137.0415422000001</v>
          </cell>
          <cell r="AT266">
            <v>1202.6641378874999</v>
          </cell>
          <cell r="AY266">
            <v>1237.1805573333299</v>
          </cell>
          <cell r="BD266">
            <v>1285.83521</v>
          </cell>
          <cell r="BE266">
            <v>1285.83521</v>
          </cell>
          <cell r="BF266">
            <v>1285.83521</v>
          </cell>
          <cell r="BG266">
            <v>1285.83521</v>
          </cell>
          <cell r="BH266">
            <v>1285.83521</v>
          </cell>
        </row>
        <row r="267">
          <cell r="B267" t="str">
            <v>Diluted average shares outstanding (mn)</v>
          </cell>
          <cell r="C267" t="str">
            <v>DILUTE_SHARES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628.77262496856099</v>
          </cell>
          <cell r="R267">
            <v>628.77262496856099</v>
          </cell>
          <cell r="S267">
            <v>691.64988749999998</v>
          </cell>
          <cell r="T267">
            <v>922.29738750000001</v>
          </cell>
          <cell r="U267">
            <v>922.29738750000001</v>
          </cell>
          <cell r="Z267">
            <v>922.29738750000001</v>
          </cell>
          <cell r="AE267">
            <v>964.19548502679004</v>
          </cell>
          <cell r="AJ267">
            <v>964.19548375178999</v>
          </cell>
          <cell r="AO267">
            <v>1194.6568949402699</v>
          </cell>
          <cell r="AT267">
            <v>1204.480926</v>
          </cell>
          <cell r="AY267">
            <v>1237.1805573333299</v>
          </cell>
          <cell r="BD267">
            <v>1285.83521</v>
          </cell>
          <cell r="BE267">
            <v>1285.83521</v>
          </cell>
          <cell r="BF267">
            <v>1285.83521</v>
          </cell>
          <cell r="BG267">
            <v>1285.83521</v>
          </cell>
          <cell r="BH267">
            <v>1285.83521</v>
          </cell>
        </row>
        <row r="268">
          <cell r="B268" t="str">
            <v>Period-end shares outstanding</v>
          </cell>
          <cell r="C268" t="str">
            <v>NON_OP_ADD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628.77262496856099</v>
          </cell>
          <cell r="R268">
            <v>628.77262496856099</v>
          </cell>
          <cell r="S268">
            <v>691.64988749999998</v>
          </cell>
          <cell r="T268">
            <v>922.29738750000001</v>
          </cell>
          <cell r="U268">
            <v>922.29738750000001</v>
          </cell>
          <cell r="Z268">
            <v>922.29738750000001</v>
          </cell>
          <cell r="AE268">
            <v>964.19548502679004</v>
          </cell>
          <cell r="AJ268">
            <v>964.19548375178999</v>
          </cell>
          <cell r="AO268">
            <v>1194.6568949402699</v>
          </cell>
          <cell r="AT268">
            <v>1204.480926</v>
          </cell>
          <cell r="AY268">
            <v>1285.83521</v>
          </cell>
          <cell r="BD268">
            <v>1285.83521</v>
          </cell>
          <cell r="BE268">
            <v>1285.83521</v>
          </cell>
          <cell r="BF268">
            <v>1285.83521</v>
          </cell>
          <cell r="BG268">
            <v>1285.83521</v>
          </cell>
          <cell r="BH268">
            <v>1285.83521</v>
          </cell>
        </row>
        <row r="269">
          <cell r="A269" t="str">
            <v>Additional Income Statement Items</v>
          </cell>
        </row>
        <row r="270">
          <cell r="B270" t="str">
            <v>Marginal tax rate</v>
          </cell>
          <cell r="C270" t="str">
            <v>MARGIN_TAX_RATE</v>
          </cell>
          <cell r="Q270">
            <v>0</v>
          </cell>
          <cell r="R270">
            <v>5.6126384686000001E-2</v>
          </cell>
          <cell r="S270">
            <v>3.2506583789000003E-2</v>
          </cell>
          <cell r="T270">
            <v>9.5732353339000001E-2</v>
          </cell>
          <cell r="U270">
            <v>8.4036141549000007E-2</v>
          </cell>
          <cell r="Z270">
            <v>9.7055620955999997E-2</v>
          </cell>
          <cell r="AE270">
            <v>7.7555868592000005E-2</v>
          </cell>
          <cell r="AJ270">
            <v>0.103378990911</v>
          </cell>
          <cell r="AO270">
            <v>0.131464581853</v>
          </cell>
          <cell r="AT270">
            <v>0.104352185056</v>
          </cell>
          <cell r="AY270">
            <v>0.11439965193399999</v>
          </cell>
          <cell r="BD270">
            <v>0.101433825016</v>
          </cell>
          <cell r="BE270">
            <v>0.10009999999999999</v>
          </cell>
          <cell r="BF270">
            <v>0.15</v>
          </cell>
          <cell r="BG270">
            <v>0.15</v>
          </cell>
          <cell r="BH270">
            <v>0.15</v>
          </cell>
        </row>
        <row r="271">
          <cell r="B271" t="str">
            <v>Net income (consensus) (Pub)</v>
          </cell>
          <cell r="C271" t="str">
            <v>NI_CONS</v>
          </cell>
          <cell r="D271" t="str">
            <v>CNY</v>
          </cell>
          <cell r="R271">
            <v>0.94387361531400005</v>
          </cell>
          <cell r="S271">
            <v>0.96749341621100005</v>
          </cell>
          <cell r="T271">
            <v>0.90426764666100001</v>
          </cell>
          <cell r="U271">
            <v>0.91596385845100003</v>
          </cell>
        </row>
        <row r="272">
          <cell r="A272" t="str">
            <v>Balance Sheet</v>
          </cell>
        </row>
        <row r="273">
          <cell r="B273" t="str">
            <v>BVPS, book value per share</v>
          </cell>
          <cell r="C273" t="str">
            <v>BVPS</v>
          </cell>
          <cell r="D273" t="str">
            <v>CNY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0.145507471774</v>
          </cell>
          <cell r="R273">
            <v>0.20173569626400001</v>
          </cell>
          <cell r="S273">
            <v>0.244900165098</v>
          </cell>
          <cell r="T273">
            <v>0.57508354638699999</v>
          </cell>
          <cell r="U273">
            <v>0.63306740158100006</v>
          </cell>
          <cell r="Z273">
            <v>0.707869134274</v>
          </cell>
          <cell r="AE273">
            <v>1.220254080548</v>
          </cell>
          <cell r="AJ273">
            <v>1.394438457893</v>
          </cell>
          <cell r="AO273">
            <v>2.771136192702</v>
          </cell>
          <cell r="AT273">
            <v>3.0773651673670002</v>
          </cell>
          <cell r="AY273">
            <v>4.9414672596880003</v>
          </cell>
          <cell r="BD273">
            <v>5.3605784129660004</v>
          </cell>
          <cell r="BE273">
            <v>6.0070480348209996</v>
          </cell>
          <cell r="BF273">
            <v>6.8872723145670003</v>
          </cell>
          <cell r="BG273">
            <v>8.0296838738749994</v>
          </cell>
          <cell r="BH273">
            <v>9.3996815862300007</v>
          </cell>
        </row>
        <row r="274">
          <cell r="A274" t="str">
            <v>Cash Flow Statement</v>
          </cell>
        </row>
        <row r="275">
          <cell r="B275" t="str">
            <v>Net income (pre-preferred dividends)</v>
          </cell>
          <cell r="C275" t="str">
            <v>CF_NI_PRE_PREF</v>
          </cell>
          <cell r="D275" t="str">
            <v>CNY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9.9858428499999992</v>
          </cell>
          <cell r="R275">
            <v>35.148768310000001</v>
          </cell>
          <cell r="S275">
            <v>53.498288340000002</v>
          </cell>
          <cell r="T275">
            <v>69.872748860000002</v>
          </cell>
          <cell r="U275">
            <v>80.269858159999998</v>
          </cell>
          <cell r="Z275">
            <v>101.13924264000001</v>
          </cell>
          <cell r="AE275">
            <v>132.62890191</v>
          </cell>
          <cell r="AJ275">
            <v>182.40487587999999</v>
          </cell>
          <cell r="AO275">
            <v>278.98616730999998</v>
          </cell>
          <cell r="AT275">
            <v>379.42988654999999</v>
          </cell>
          <cell r="AY275">
            <v>488.48499274500301</v>
          </cell>
          <cell r="BD275">
            <v>804.34011610309801</v>
          </cell>
          <cell r="BE275">
            <v>1240.6767193672599</v>
          </cell>
          <cell r="BF275">
            <v>1689.2886143204</v>
          </cell>
          <cell r="BG275">
            <v>2192.4671750277298</v>
          </cell>
          <cell r="BH275">
            <v>2629.2407405450799</v>
          </cell>
        </row>
        <row r="276">
          <cell r="A276" t="str">
            <v>Other Items</v>
          </cell>
        </row>
        <row r="277">
          <cell r="B277" t="str">
            <v>Beta</v>
          </cell>
          <cell r="C277" t="str">
            <v>BETA_ANALYST</v>
          </cell>
        </row>
        <row r="278">
          <cell r="B278" t="str">
            <v>Market equity risk premium</v>
          </cell>
          <cell r="C278" t="str">
            <v>MKT_EQ_RISK_PREM</v>
          </cell>
        </row>
        <row r="279">
          <cell r="B279" t="str">
            <v>Risk-free rate</v>
          </cell>
          <cell r="C279" t="str">
            <v>RISK_FR_RATE</v>
          </cell>
        </row>
      </sheetData>
      <sheetData sheetId="16" refreshError="1">
        <row r="1">
          <cell r="A1" t="str">
            <v>29016785-5815-46c8-b1f2-67b105d70be5</v>
          </cell>
        </row>
        <row r="2">
          <cell r="A2" t="str">
            <v>N:\DLu\CJin\Models\iFLYTek\[GS iFLYTEK model 20151026 Q315.xlsm]002230.SZ_Validation_Sheet</v>
          </cell>
        </row>
        <row r="3">
          <cell r="A3" t="str">
            <v>Enabled</v>
          </cell>
        </row>
        <row r="9">
          <cell r="A9" t="str">
            <v>Vector|||208009916|||ISSR|||SALES|||False|||</v>
          </cell>
          <cell r="C9" t="str">
            <v>V_KEYWORD_ISSR_208009916_SALES</v>
          </cell>
        </row>
        <row r="10">
          <cell r="A10" t="str">
            <v>Vector|||208009916|||ISSR|||PERSONNEL|||False|||</v>
          </cell>
          <cell r="C10" t="str">
            <v>V_KEYWORD_ISSR_208009916_PERSONNEL</v>
          </cell>
        </row>
        <row r="11">
          <cell r="A11" t="str">
            <v>Vector|||208009916|||ISSR|||COST_GD_SD|||False|||</v>
          </cell>
          <cell r="C11" t="str">
            <v>V_KEYWORD_ISSR_208009916_COST_GD_SD</v>
          </cell>
        </row>
        <row r="12">
          <cell r="A12" t="str">
            <v>Vector|||208009916|||ISSR|||SEL_GL_AD|||False|||</v>
          </cell>
          <cell r="C12" t="str">
            <v>V_KEYWORD_ISSR_208009916_SEL_GL_AD</v>
          </cell>
        </row>
        <row r="13">
          <cell r="A13" t="str">
            <v>Vector|||208009916|||ISSR|||OP_COST|||False|||</v>
          </cell>
          <cell r="C13" t="str">
            <v>V_KEYWORD_ISSR_208009916_OP_COST</v>
          </cell>
        </row>
        <row r="14">
          <cell r="A14" t="str">
            <v>Vector|||208009916|||ISSR|||RD_EXP|||False|||</v>
          </cell>
          <cell r="C14" t="str">
            <v>V_KEYWORD_ISSR_208009916_RD_EXP</v>
          </cell>
        </row>
        <row r="15">
          <cell r="A15" t="str">
            <v>Vector|||208009916|||ISSR|||OTH_OP_INC_EXP|||False|||</v>
          </cell>
          <cell r="C15" t="str">
            <v>V_KEYWORD_ISSR_208009916_OTH_OP_INC_EXP</v>
          </cell>
        </row>
        <row r="16">
          <cell r="A16" t="str">
            <v>Vector|||208009916|||ISSR|||TOT_OPS_EXP_DDA|||False|||</v>
          </cell>
          <cell r="C16" t="str">
            <v>V_KEYWORD_ISSR_208009916_TOT_OPS_EXP_DDA</v>
          </cell>
        </row>
        <row r="17">
          <cell r="A17" t="str">
            <v>Vector|||208009916|||ISSR|||TOT_OPS_EXP|||False|||</v>
          </cell>
          <cell r="C17" t="str">
            <v>V_KEYWORD_ISSR_208009916_TOT_OPS_EXP</v>
          </cell>
        </row>
        <row r="18">
          <cell r="A18" t="str">
            <v>Vector|||208009916|||ISSR|||EBITDA_CALC|||False|||</v>
          </cell>
          <cell r="C18" t="str">
            <v>V_KEYWORD_ISSR_208009916_EBITDA_CALC</v>
          </cell>
        </row>
        <row r="19">
          <cell r="A19" t="str">
            <v>Vector|||208009916|||ISSR|||DEPREC|||False|||</v>
          </cell>
          <cell r="C19" t="str">
            <v>V_KEYWORD_ISSR_208009916_DEPREC</v>
          </cell>
        </row>
        <row r="20">
          <cell r="A20" t="str">
            <v>Vector|||208009916|||ISSR|||GOODWILL_AMORT|||False|||</v>
          </cell>
          <cell r="C20" t="str">
            <v>V_KEYWORD_ISSR_208009916_GOODWILL_AMORT</v>
          </cell>
        </row>
        <row r="21">
          <cell r="A21" t="str">
            <v>Vector|||208009916|||ISSR|||EBIT|||False|||</v>
          </cell>
          <cell r="C21" t="str">
            <v>V_KEYWORD_ISSR_208009916_EBIT</v>
          </cell>
        </row>
        <row r="22">
          <cell r="A22" t="str">
            <v>Vector|||208009916|||ISSR|||INT_INC_IND|||False|||</v>
          </cell>
          <cell r="C22" t="str">
            <v>V_KEYWORD_ISSR_208009916_INT_INC_IND</v>
          </cell>
        </row>
        <row r="23">
          <cell r="A23" t="str">
            <v>Vector|||208009916|||ISSR|||INT_EXP_IND|||False|||</v>
          </cell>
          <cell r="C23" t="str">
            <v>V_KEYWORD_ISSR_208009916_INT_EXP_IND</v>
          </cell>
        </row>
        <row r="24">
          <cell r="A24" t="str">
            <v>Vector|||208009916|||ISSR|||NET_INT_EXP|||False|||</v>
          </cell>
          <cell r="C24" t="str">
            <v>V_KEYWORD_ISSR_208009916_NET_INT_EXP</v>
          </cell>
        </row>
        <row r="25">
          <cell r="A25" t="str">
            <v>Vector|||208009916|||ISSR|||ASSOCIATE|||False|||</v>
          </cell>
          <cell r="C25" t="str">
            <v>V_KEYWORD_ISSR_208009916_ASSOCIATE</v>
          </cell>
        </row>
        <row r="26">
          <cell r="A26" t="str">
            <v>Vector|||208009916|||ISSR|||PROFIT_ON_DISP|||False|||</v>
          </cell>
          <cell r="C26" t="str">
            <v>V_KEYWORD_ISSR_208009916_PROFIT_ON_DISP</v>
          </cell>
        </row>
        <row r="27">
          <cell r="A27" t="str">
            <v>Vector|||208009916|||ISSR|||OTH_COST_INC|||False|||</v>
          </cell>
          <cell r="C27" t="str">
            <v>V_KEYWORD_ISSR_208009916_OTH_COST_INC</v>
          </cell>
        </row>
        <row r="28">
          <cell r="A28" t="str">
            <v>Vector|||208009916|||ISSR|||PT_PROF|||False|||</v>
          </cell>
          <cell r="C28" t="str">
            <v>V_KEYWORD_ISSR_208009916_PT_PROF</v>
          </cell>
        </row>
        <row r="30">
          <cell r="A30" t="str">
            <v>Vector|||208009916|||ISSR|||CONTRIB_MARGIN_RATIO|||False|||</v>
          </cell>
          <cell r="C30" t="str">
            <v>V_KEYWORD_ISSR_208009916_CONTRIB_MARGIN_RATIO</v>
          </cell>
        </row>
        <row r="31">
          <cell r="A31" t="str">
            <v>Vector|||208009916|||ISSR|||LEASE_PAY|||False|||</v>
          </cell>
          <cell r="C31" t="str">
            <v>V_KEYWORD_ISSR_208009916_LEASE_PAY</v>
          </cell>
        </row>
        <row r="32">
          <cell r="A32" t="str">
            <v>Vector|||208009916|||ISSR|||LEASE_DEEM_INT|||False|||</v>
          </cell>
          <cell r="C32" t="str">
            <v>V_KEYWORD_ISSR_208009916_LEASE_DEEM_INT</v>
          </cell>
        </row>
        <row r="33">
          <cell r="A33" t="str">
            <v>Vector|||208009916|||ISSR|||LEASE_DEEM_DEPR|||False|||</v>
          </cell>
          <cell r="C33" t="str">
            <v>V_KEYWORD_ISSR_208009916_LEASE_DEEM_DEPR</v>
          </cell>
        </row>
        <row r="34">
          <cell r="A34" t="str">
            <v>Vector|||208009916|||ISSR|||NET_INT_CH|||False|||</v>
          </cell>
          <cell r="C34" t="str">
            <v>V_KEYWORD_ISSR_208009916_NET_INT_CH</v>
          </cell>
        </row>
        <row r="35">
          <cell r="A35" t="str">
            <v>Vector|||208009916|||ISSR|||ASSOCIATE_OP|||False|||</v>
          </cell>
          <cell r="C35" t="str">
            <v>V_KEYWORD_ISSR_208009916_ASSOCIATE_OP</v>
          </cell>
        </row>
        <row r="37">
          <cell r="A37" t="str">
            <v>Vector|||208009916|||ISSR|||CASH_EQ|||False|||</v>
          </cell>
          <cell r="C37" t="str">
            <v>V_KEYWORD_ISSR_208009916_CASH_EQ</v>
          </cell>
        </row>
        <row r="38">
          <cell r="A38" t="str">
            <v>Vector|||208009916|||ISSR|||DEBTORS|||False|||</v>
          </cell>
          <cell r="C38" t="str">
            <v>V_KEYWORD_ISSR_208009916_DEBTORS</v>
          </cell>
        </row>
        <row r="39">
          <cell r="A39" t="str">
            <v>Vector|||208009916|||ISSR|||STOCKS|||False|||</v>
          </cell>
          <cell r="C39" t="str">
            <v>V_KEYWORD_ISSR_208009916_STOCKS</v>
          </cell>
        </row>
        <row r="40">
          <cell r="A40" t="str">
            <v>Vector|||208009916|||ISSR|||OTH_CUR_ASS|||False|||</v>
          </cell>
          <cell r="C40" t="str">
            <v>V_KEYWORD_ISSR_208009916_OTH_CUR_ASS</v>
          </cell>
        </row>
        <row r="41">
          <cell r="A41" t="str">
            <v>Vector|||208009916|||ISSR|||CUR_ASS|||False|||</v>
          </cell>
          <cell r="C41" t="str">
            <v>V_KEYWORD_ISSR_208009916_CUR_ASS</v>
          </cell>
        </row>
        <row r="42">
          <cell r="A42" t="str">
            <v>Vector|||208009916|||ISSR|||GR_FIX_ASS|||False|||</v>
          </cell>
          <cell r="C42" t="str">
            <v>V_KEYWORD_ISSR_208009916_GR_FIX_ASS</v>
          </cell>
        </row>
        <row r="43">
          <cell r="A43" t="str">
            <v>Vector|||208009916|||ISSR|||ACC_DDA|||False|||</v>
          </cell>
          <cell r="C43" t="str">
            <v>V_KEYWORD_ISSR_208009916_ACC_DDA</v>
          </cell>
        </row>
        <row r="44">
          <cell r="A44" t="str">
            <v>Vector|||208009916|||ISSR|||NET_FIX_ASS|||False|||</v>
          </cell>
          <cell r="C44" t="str">
            <v>V_KEYWORD_ISSR_208009916_NET_FIX_ASS</v>
          </cell>
        </row>
        <row r="45">
          <cell r="A45" t="str">
            <v>Vector|||208009916|||ISSR|||GR_INTANG|||False|||</v>
          </cell>
          <cell r="C45" t="str">
            <v>V_KEYWORD_ISSR_208009916_GR_INTANG</v>
          </cell>
        </row>
        <row r="46">
          <cell r="A46" t="str">
            <v>Vector|||208009916|||ISSR|||ACC_AMORT|||False|||</v>
          </cell>
          <cell r="C46" t="str">
            <v>V_KEYWORD_ISSR_208009916_ACC_AMORT</v>
          </cell>
        </row>
        <row r="47">
          <cell r="A47" t="str">
            <v>Vector|||208009916|||ISSR|||NET_INTANG|||False|||</v>
          </cell>
          <cell r="C47" t="str">
            <v>V_KEYWORD_ISSR_208009916_NET_INTANG</v>
          </cell>
        </row>
        <row r="48">
          <cell r="A48" t="str">
            <v>Vector|||208009916|||ISSR|||FIX_ASS_INV|||False|||</v>
          </cell>
          <cell r="C48" t="str">
            <v>V_KEYWORD_ISSR_208009916_FIX_ASS_INV</v>
          </cell>
        </row>
        <row r="49">
          <cell r="A49" t="str">
            <v>Vector|||208009916|||ISSR|||INV_SECUR|||False|||</v>
          </cell>
          <cell r="C49" t="str">
            <v>V_KEYWORD_ISSR_208009916_INV_SECUR</v>
          </cell>
        </row>
        <row r="50">
          <cell r="A50" t="str">
            <v>Vector|||208009916|||ISSR|||OTH_LT_ASS|||False|||</v>
          </cell>
          <cell r="C50" t="str">
            <v>V_KEYWORD_ISSR_208009916_OTH_LT_ASS</v>
          </cell>
        </row>
        <row r="51">
          <cell r="A51" t="str">
            <v>Vector|||208009916|||ISSR|||TOT_ASSET|||False|||</v>
          </cell>
          <cell r="C51" t="str">
            <v>V_KEYWORD_ISSR_208009916_TOT_ASSET</v>
          </cell>
        </row>
        <row r="52">
          <cell r="A52" t="str">
            <v>Vector|||208009916|||ISSR|||ACC_PAY_GQ|||False|||</v>
          </cell>
          <cell r="C52" t="str">
            <v>V_KEYWORD_ISSR_208009916_ACC_PAY_GQ</v>
          </cell>
        </row>
        <row r="53">
          <cell r="A53" t="str">
            <v>Vector|||208009916|||ISSR|||SHORT_T_DEBT|||False|||</v>
          </cell>
          <cell r="C53" t="str">
            <v>V_KEYWORD_ISSR_208009916_SHORT_T_DEBT</v>
          </cell>
        </row>
        <row r="54">
          <cell r="A54" t="str">
            <v>Vector|||208009916|||ISSR|||OTH_CUR_LIABS|||False|||</v>
          </cell>
          <cell r="C54" t="str">
            <v>V_KEYWORD_ISSR_208009916_OTH_CUR_LIABS</v>
          </cell>
        </row>
        <row r="55">
          <cell r="A55" t="str">
            <v>Vector|||208009916|||ISSR|||SHORT_TERM_LIABS|||False|||</v>
          </cell>
          <cell r="C55" t="str">
            <v>V_KEYWORD_ISSR_208009916_SHORT_TERM_LIABS</v>
          </cell>
        </row>
        <row r="56">
          <cell r="A56" t="str">
            <v>Vector|||208009916|||ISSR|||LT_DEBT|||False|||</v>
          </cell>
          <cell r="C56" t="str">
            <v>V_KEYWORD_ISSR_208009916_LT_DEBT</v>
          </cell>
        </row>
        <row r="57">
          <cell r="A57" t="str">
            <v>Vector|||208009916|||ISSR|||OTH_LT_CRED_GQ|||False|||</v>
          </cell>
          <cell r="C57" t="str">
            <v>V_KEYWORD_ISSR_208009916_OTH_LT_CRED_GQ</v>
          </cell>
        </row>
        <row r="58">
          <cell r="A58" t="str">
            <v>Vector|||208009916|||ISSR|||TOT_LT_LIAB|||False|||</v>
          </cell>
          <cell r="C58" t="str">
            <v>V_KEYWORD_ISSR_208009916_TOT_LT_LIAB</v>
          </cell>
        </row>
        <row r="59">
          <cell r="A59" t="str">
            <v>Vector|||208009916|||ISSR|||TOT_LIAB|||False|||</v>
          </cell>
          <cell r="C59" t="str">
            <v>V_KEYWORD_ISSR_208009916_TOT_LIAB</v>
          </cell>
        </row>
        <row r="60">
          <cell r="A60" t="str">
            <v>Vector|||208009916|||ISSR|||PREF_SH|||False|||</v>
          </cell>
          <cell r="C60" t="str">
            <v>V_KEYWORD_ISSR_208009916_PREF_SH</v>
          </cell>
        </row>
        <row r="61">
          <cell r="A61" t="str">
            <v>Vector|||208009916|||ISSR|||ORD_SH_FUND|||False|||</v>
          </cell>
          <cell r="C61" t="str">
            <v>V_KEYWORD_ISSR_208009916_ORD_SH_FUND</v>
          </cell>
        </row>
        <row r="62">
          <cell r="A62" t="str">
            <v>Vector|||208009916|||ISSR|||MINORITIES|||False|||</v>
          </cell>
          <cell r="C62" t="str">
            <v>V_KEYWORD_ISSR_208009916_MINORITIES</v>
          </cell>
        </row>
        <row r="63">
          <cell r="A63" t="str">
            <v>Vector|||208009916|||ISSR|||EQ|||False|||</v>
          </cell>
          <cell r="C63" t="str">
            <v>V_KEYWORD_ISSR_208009916_EQ</v>
          </cell>
        </row>
        <row r="64">
          <cell r="A64" t="str">
            <v>Vector|||208009916|||ISSR|||TOT_LIAB_EQ|||False|||</v>
          </cell>
          <cell r="C64" t="str">
            <v>V_KEYWORD_ISSR_208009916_TOT_LIAB_EQ</v>
          </cell>
        </row>
        <row r="66">
          <cell r="A66" t="str">
            <v>Vector|||208009916|||ISSR|||NET_DEBT|||False|||</v>
          </cell>
          <cell r="C66" t="str">
            <v>V_KEYWORD_ISSR_208009916_NET_DEBT</v>
          </cell>
        </row>
        <row r="67">
          <cell r="A67" t="str">
            <v>Vector|||208009916|||ISSR|||CAP_LEASES|||False|||</v>
          </cell>
          <cell r="C67" t="str">
            <v>V_KEYWORD_ISSR_208009916_CAP_LEASES</v>
          </cell>
        </row>
        <row r="68">
          <cell r="A68" t="str">
            <v>Vector|||208009916|||ISSR|||DEF_INC_TAX|||False|||</v>
          </cell>
          <cell r="C68" t="str">
            <v>V_KEYWORD_ISSR_208009916_DEF_INC_TAX</v>
          </cell>
        </row>
        <row r="69">
          <cell r="A69" t="str">
            <v>Vector|||208009916|||ISSR|||MV_ASSOCIATES|||False|||</v>
          </cell>
          <cell r="C69" t="str">
            <v>V_KEYWORD_ISSR_208009916_MV_ASSOCIATES</v>
          </cell>
        </row>
        <row r="70">
          <cell r="A70" t="str">
            <v>Vector|||208009916|||ISSR|||NET_DEBT_ADJ|||False|||</v>
          </cell>
          <cell r="C70" t="str">
            <v>V_KEYWORD_ISSR_208009916_NET_DEBT_ADJ</v>
          </cell>
        </row>
        <row r="71">
          <cell r="A71" t="str">
            <v>Vector|||208009916|||ISSR|||CO_BOR_MARGIN|||False|||</v>
          </cell>
          <cell r="C71" t="str">
            <v>V_KEYWORD_ISSR_208009916_CO_BOR_MARGIN</v>
          </cell>
        </row>
        <row r="72">
          <cell r="A72" t="str">
            <v>Vector|||208009916|||ISSR|||UNF_PENS|||False|||</v>
          </cell>
          <cell r="C72" t="str">
            <v>V_KEYWORD_ISSR_208009916_UNF_PENS</v>
          </cell>
        </row>
        <row r="73">
          <cell r="A73" t="str">
            <v>Vector|||208009916|||ISSR|||UNF_PENS_OFF|||False|||</v>
          </cell>
          <cell r="C73" t="str">
            <v>V_KEYWORD_ISSR_208009916_UNF_PENS_OFF</v>
          </cell>
        </row>
        <row r="74">
          <cell r="A74" t="str">
            <v>Vector|||208009916|||ISSR|||UNF_PENS_LIAB_OTH|||False|||</v>
          </cell>
          <cell r="C74" t="str">
            <v>V_KEYWORD_ISSR_208009916_UNF_PENS_LIAB_OTH</v>
          </cell>
        </row>
        <row r="75">
          <cell r="A75" t="str">
            <v>Vector|||208009916|||ISSR|||ADJ_UNF_PENS_GOOD|||False|||</v>
          </cell>
          <cell r="C75" t="str">
            <v>V_KEYWORD_ISSR_208009916_ADJ_UNF_PENS_GOOD</v>
          </cell>
        </row>
        <row r="76">
          <cell r="A76" t="str">
            <v>Vector|||208009916|||ISSR|||OTH_GCI_ADJ|||False|||</v>
          </cell>
          <cell r="C76" t="str">
            <v>V_KEYWORD_ISSR_208009916_OTH_GCI_ADJ</v>
          </cell>
        </row>
        <row r="77">
          <cell r="A77" t="str">
            <v>Vector|||208009916|||ISSR|||GCI_INFL|||False|||</v>
          </cell>
          <cell r="C77" t="str">
            <v>V_KEYWORD_ISSR_208009916_GCI_INFL</v>
          </cell>
        </row>
        <row r="78">
          <cell r="A78" t="str">
            <v>Vector|||208009916|||ISSR|||BAL_MINO_INT|||False|||</v>
          </cell>
          <cell r="C78" t="str">
            <v>V_KEYWORD_ISSR_208009916_BAL_MINO_INT</v>
          </cell>
        </row>
        <row r="80">
          <cell r="A80" t="str">
            <v>Vector|||208009916|||ISSR|||CF_INC_MINORITY|||False|||</v>
          </cell>
          <cell r="C80" t="str">
            <v>V_KEYWORD_ISSR_208009916_CF_INC_MINORITY</v>
          </cell>
        </row>
        <row r="81">
          <cell r="A81" t="str">
            <v>Vector|||208009916|||ISSR|||DEPR_AMORT|||False|||</v>
          </cell>
          <cell r="C81" t="str">
            <v>V_KEYWORD_ISSR_208009916_DEPR_AMORT</v>
          </cell>
        </row>
        <row r="82">
          <cell r="A82" t="str">
            <v>Vector|||208009916|||ISSR|||WORK_CAP|||False|||</v>
          </cell>
          <cell r="C82" t="str">
            <v>V_KEYWORD_ISSR_208009916_WORK_CAP</v>
          </cell>
        </row>
        <row r="83">
          <cell r="A83" t="str">
            <v>Vector|||208009916|||ISSR|||OTH_OP_CF|||False|||</v>
          </cell>
          <cell r="C83" t="str">
            <v>V_KEYWORD_ISSR_208009916_OTH_OP_CF</v>
          </cell>
        </row>
        <row r="84">
          <cell r="A84" t="str">
            <v>Vector|||208009916|||ISSR|||CF_OPS|||False|||</v>
          </cell>
          <cell r="C84" t="str">
            <v>V_KEYWORD_ISSR_208009916_CF_OPS</v>
          </cell>
        </row>
        <row r="85">
          <cell r="A85" t="str">
            <v>Vector|||208009916|||ISSR|||CAPEX|||False|||</v>
          </cell>
          <cell r="C85" t="str">
            <v>V_KEYWORD_ISSR_208009916_CAPEX</v>
          </cell>
        </row>
        <row r="86">
          <cell r="A86" t="str">
            <v>Vector|||208009916|||ISSR|||ACQ|||False|||</v>
          </cell>
          <cell r="C86" t="str">
            <v>V_KEYWORD_ISSR_208009916_ACQ</v>
          </cell>
        </row>
        <row r="87">
          <cell r="A87" t="str">
            <v>Vector|||208009916|||ISSR|||DIVEST|||False|||</v>
          </cell>
          <cell r="C87" t="str">
            <v>V_KEYWORD_ISSR_208009916_DIVEST</v>
          </cell>
        </row>
        <row r="88">
          <cell r="A88" t="str">
            <v>Vector|||208009916|||ISSR|||OTH_INV_CF|||False|||</v>
          </cell>
          <cell r="C88" t="str">
            <v>V_KEYWORD_ISSR_208009916_OTH_INV_CF</v>
          </cell>
        </row>
        <row r="89">
          <cell r="A89" t="str">
            <v>Vector|||208009916|||ISSR|||CF_INV|||False|||</v>
          </cell>
          <cell r="C89" t="str">
            <v>V_KEYWORD_ISSR_208009916_CF_INV</v>
          </cell>
        </row>
        <row r="90">
          <cell r="A90" t="str">
            <v>Vector|||208009916|||ISSR|||DIV_PAID|||False|||</v>
          </cell>
          <cell r="C90" t="str">
            <v>V_KEYWORD_ISSR_208009916_DIV_PAID</v>
          </cell>
        </row>
        <row r="91">
          <cell r="A91" t="str">
            <v>Vector|||208009916|||ISSR|||SH_REPUR|||False|||</v>
          </cell>
          <cell r="C91" t="str">
            <v>V_KEYWORD_ISSR_208009916_SH_REPUR</v>
          </cell>
        </row>
        <row r="92">
          <cell r="A92" t="str">
            <v>Vector|||208009916|||ISSR|||CHG_LT_DEBT|||False|||</v>
          </cell>
          <cell r="C92" t="str">
            <v>V_KEYWORD_ISSR_208009916_CHG_LT_DEBT</v>
          </cell>
        </row>
        <row r="93">
          <cell r="A93" t="str">
            <v>Vector|||208009916|||ISSR|||OTH_FIN_CF|||False|||</v>
          </cell>
          <cell r="C93" t="str">
            <v>V_KEYWORD_ISSR_208009916_OTH_FIN_CF</v>
          </cell>
        </row>
        <row r="94">
          <cell r="A94" t="str">
            <v>Vector|||208009916|||ISSR|||CF_FIN|||False|||</v>
          </cell>
          <cell r="C94" t="str">
            <v>V_KEYWORD_ISSR_208009916_CF_FIN</v>
          </cell>
        </row>
        <row r="95">
          <cell r="A95" t="str">
            <v>Vector|||208009916|||ISSR|||TOT_CF|||False|||</v>
          </cell>
          <cell r="C95" t="str">
            <v>V_KEYWORD_ISSR_208009916_TOT_CF</v>
          </cell>
        </row>
        <row r="97">
          <cell r="A97" t="str">
            <v>Vector|||208009916|||ISSR|||ASSOC_JV_ADDBK|||False|||</v>
          </cell>
          <cell r="C97" t="str">
            <v>V_KEYWORD_ISSR_208009916_ASSOC_JV_ADDBK</v>
          </cell>
        </row>
        <row r="98">
          <cell r="A98" t="str">
            <v>Vector|||208009916|||ISSR|||PL_SALE_ASSETS|||False|||</v>
          </cell>
          <cell r="C98" t="str">
            <v>V_KEYWORD_ISSR_208009916_PL_SALE_ASSETS</v>
          </cell>
        </row>
        <row r="99">
          <cell r="A99" t="str">
            <v>Vector|||208009916|||ISSR|||OTH_NONCASH_ADJ|||False|||</v>
          </cell>
          <cell r="C99" t="str">
            <v>V_KEYWORD_ISSR_208009916_OTH_NONCASH_ADJ</v>
          </cell>
        </row>
        <row r="100">
          <cell r="A100" t="str">
            <v>Vector|||208009916|||ISSR|||OTH_DACF_ADJ|||False|||</v>
          </cell>
          <cell r="C100" t="str">
            <v>V_KEYWORD_ISSR_208009916_OTH_DACF_ADJ</v>
          </cell>
        </row>
        <row r="101">
          <cell r="A101" t="str">
            <v>Vector|||208009916|||ISSR|||CASH_INT_EXP|||False|||</v>
          </cell>
          <cell r="C101" t="str">
            <v>V_KEYWORD_ISSR_208009916_CASH_INT_EXP</v>
          </cell>
        </row>
        <row r="102">
          <cell r="A102" t="str">
            <v>Vector|||208009916|||ISSR|||CASH_TAX_EXP|||False|||</v>
          </cell>
          <cell r="C102" t="str">
            <v>V_KEYWORD_ISSR_208009916_CASH_TAX_EXP</v>
          </cell>
        </row>
        <row r="103">
          <cell r="A103" t="str">
            <v>Vector|||208009916|||ISSR|||DIVDS_ASSOC_JV|||False|||</v>
          </cell>
          <cell r="C103" t="str">
            <v>V_KEYWORD_ISSR_208009916_DIVDS_ASSOC_JV</v>
          </cell>
        </row>
        <row r="104">
          <cell r="A104" t="str">
            <v>Vector|||208009916|||ISSR|||CAPEX_MAINTENANCE|||False|||</v>
          </cell>
          <cell r="C104" t="str">
            <v>V_KEYWORD_ISSR_208009916_CAPEX_MAINTENANCE</v>
          </cell>
        </row>
        <row r="105">
          <cell r="A105" t="str">
            <v>Vector|||208009916|||ISSR|||CAPEX_EXPANSION|||False|||</v>
          </cell>
          <cell r="C105" t="str">
            <v>V_KEYWORD_ISSR_208009916_CAPEX_EXPANSION</v>
          </cell>
        </row>
        <row r="106">
          <cell r="A106" t="str">
            <v>Vector|||208009916|||ISSR|||NONPPE_CAPEX|||False|||</v>
          </cell>
          <cell r="C106" t="str">
            <v>V_KEYWORD_ISSR_208009916_NONPPE_CAPEX</v>
          </cell>
        </row>
        <row r="107">
          <cell r="A107" t="str">
            <v>Vector|||208009916|||ISSR|||DIVDS_PD_MINORITIES|||False|||</v>
          </cell>
          <cell r="C107" t="str">
            <v>V_KEYWORD_ISSR_208009916_DIVDS_PD_MINORITIES</v>
          </cell>
        </row>
        <row r="109">
          <cell r="A109" t="str">
            <v>Vector|||208009916|||ISSR|||EMPLOYEES|||False|||</v>
          </cell>
          <cell r="C109" t="str">
            <v>V_KEYWORD_ISSR_208009916_EMPLOYEES</v>
          </cell>
        </row>
        <row r="111">
          <cell r="A111" t="str">
            <v>Vector|||208009916|||ISSR|||SALES_TOT_AM|||False|||</v>
          </cell>
          <cell r="C111" t="str">
            <v>V_KEYWORD_ISSR_208009916_SALES_TOT_AM</v>
          </cell>
        </row>
        <row r="112">
          <cell r="A112" t="str">
            <v>Vector|||208009916|||ISSR|||SALES_US|||False|||</v>
          </cell>
          <cell r="C112" t="str">
            <v>V_KEYWORD_ISSR_208009916_SALES_US</v>
          </cell>
        </row>
        <row r="114">
          <cell r="A114" t="str">
            <v>Vector|||208009916|||ISSR|||SALES_BRAZIL|||False|||</v>
          </cell>
          <cell r="C114" t="str">
            <v>V_KEYWORD_ISSR_208009916_SALES_BRAZIL</v>
          </cell>
        </row>
        <row r="115">
          <cell r="A115" t="str">
            <v>Vector|||208009916|||ISSR|||SALES_OTH_AM|||False|||</v>
          </cell>
          <cell r="C115" t="str">
            <v>V_KEYWORD_ISSR_208009916_SALES_OTH_AM</v>
          </cell>
        </row>
        <row r="116">
          <cell r="A116" t="str">
            <v>Vector|||208009916|||ISSR|||SALES_TOT_EMEA|||False|||</v>
          </cell>
          <cell r="C116" t="str">
            <v>V_KEYWORD_ISSR_208009916_SALES_TOT_EMEA</v>
          </cell>
        </row>
        <row r="117">
          <cell r="A117" t="str">
            <v>Vector|||208009916|||ISSR|||SALES_UK|||False|||</v>
          </cell>
          <cell r="C117" t="str">
            <v>V_KEYWORD_ISSR_208009916_SALES_UK</v>
          </cell>
        </row>
        <row r="118">
          <cell r="A118" t="str">
            <v>Vector|||208009916|||ISSR|||SALES_EU_EX_UK|||False|||</v>
          </cell>
          <cell r="C118" t="str">
            <v>V_KEYWORD_ISSR_208009916_SALES_EU_EX_UK</v>
          </cell>
        </row>
        <row r="135">
          <cell r="A135" t="str">
            <v>Vector|||208009916|||ISSR|||SALES_CEE|||False|||</v>
          </cell>
          <cell r="C135" t="str">
            <v>V_KEYWORD_ISSR_208009916_SALES_CEE</v>
          </cell>
        </row>
        <row r="136">
          <cell r="A136" t="str">
            <v>Vector|||208009916|||ISSR|||SALES_ME|||False|||</v>
          </cell>
          <cell r="C136" t="str">
            <v>V_KEYWORD_ISSR_208009916_SALES_ME</v>
          </cell>
        </row>
        <row r="137">
          <cell r="A137" t="str">
            <v>Vector|||208009916|||ISSR|||SALES_TOT_AFRICA|||False|||</v>
          </cell>
          <cell r="C137" t="str">
            <v>V_KEYWORD_ISSR_208009916_SALES_TOT_AFRICA</v>
          </cell>
        </row>
        <row r="138">
          <cell r="A138" t="str">
            <v>Vector|||208009916|||ISSR|||SALES_RUSSIA|||False|||</v>
          </cell>
          <cell r="C138" t="str">
            <v>V_KEYWORD_ISSR_208009916_SALES_RUSSIA</v>
          </cell>
        </row>
        <row r="139">
          <cell r="A139" t="str">
            <v>Vector|||208009916|||ISSR|||SALES_OTH_EMEA|||False|||</v>
          </cell>
          <cell r="C139" t="str">
            <v>V_KEYWORD_ISSR_208009916_SALES_OTH_EMEA</v>
          </cell>
        </row>
        <row r="140">
          <cell r="A140" t="str">
            <v>Vector|||208009916|||ISSR|||SALES_TOT_ASIA|||False|||</v>
          </cell>
          <cell r="C140" t="str">
            <v>V_KEYWORD_ISSR_208009916_SALES_TOT_ASIA</v>
          </cell>
        </row>
        <row r="141">
          <cell r="A141" t="str">
            <v>Vector|||208009916|||ISSR|||SALES_JAPAN|||False|||</v>
          </cell>
          <cell r="C141" t="str">
            <v>V_KEYWORD_ISSR_208009916_SALES_JAPAN</v>
          </cell>
        </row>
        <row r="142">
          <cell r="A142" t="str">
            <v>Vector|||208009916|||ISSR|||SALES_CHINA|||False|||</v>
          </cell>
          <cell r="C142" t="str">
            <v>V_KEYWORD_ISSR_208009916_SALES_CHINA</v>
          </cell>
        </row>
        <row r="143">
          <cell r="A143" t="str">
            <v>Vector|||208009916|||ISSR|||SALES_INDIA|||False|||</v>
          </cell>
          <cell r="C143" t="str">
            <v>V_KEYWORD_ISSR_208009916_SALES_INDIA</v>
          </cell>
        </row>
        <row r="144">
          <cell r="A144" t="str">
            <v>Vector|||208009916|||ISSR|||SALES_SK|||False|||</v>
          </cell>
          <cell r="C144" t="str">
            <v>V_KEYWORD_ISSR_208009916_SALES_SK</v>
          </cell>
        </row>
        <row r="148">
          <cell r="A148" t="str">
            <v>Vector|||208009916|||ISSR|||SALES_OTH_AEJ|||False|||</v>
          </cell>
          <cell r="C148" t="str">
            <v>V_KEYWORD_ISSR_208009916_SALES_OTH_AEJ</v>
          </cell>
        </row>
        <row r="149">
          <cell r="A149" t="str">
            <v>Vector|||208009916|||ISSR|||SALES_OTHER|||False|||</v>
          </cell>
          <cell r="C149" t="str">
            <v>V_KEYWORD_ISSR_208009916_SALES_OTHER</v>
          </cell>
        </row>
        <row r="187">
          <cell r="A187" t="str">
            <v>Vector|||208009916|||ISSR|||SALES_CONS|||False|||</v>
          </cell>
          <cell r="C187" t="str">
            <v>V_KEYWORD_ISSR_208009916_SALES_CONS</v>
          </cell>
        </row>
        <row r="188">
          <cell r="A188" t="str">
            <v>Vector|||208009916|||ISSR|||SALES_IND|||False|||</v>
          </cell>
          <cell r="C188" t="str">
            <v>V_KEYWORD_ISSR_208009916_SALES_IND</v>
          </cell>
        </row>
        <row r="189">
          <cell r="A189" t="str">
            <v>Vector|||208009916|||ISSR|||SALES_GOV|||False|||</v>
          </cell>
          <cell r="C189" t="str">
            <v>V_KEYWORD_ISSR_208009916_SALES_GOV</v>
          </cell>
        </row>
        <row r="195">
          <cell r="C195" t="str">
            <v>V_KEYWORD_ISSR_208009916_SALES_FX_GPB</v>
          </cell>
        </row>
        <row r="205">
          <cell r="A205" t="str">
            <v>Vector|||208009916|||ISSR|||SALES_FX_OTH|||False|||</v>
          </cell>
          <cell r="C205" t="str">
            <v>V_KEYWORD_ISSR_208009916_SALES_FX_OTH</v>
          </cell>
        </row>
        <row r="215">
          <cell r="A215" t="str">
            <v>Scalar|||200012913|||EQTY|||AEJ_LIST|||False|||</v>
          </cell>
          <cell r="C215" t="str">
            <v>V_KEYWORD_EQTY_200012913_AEJ_LIST</v>
          </cell>
        </row>
        <row r="216">
          <cell r="A216" t="str">
            <v>Scalar|||200012913|||EQTY|||AEJ_CONVICTION|||False|||</v>
          </cell>
          <cell r="C216" t="str">
            <v>V_KEYWORD_EQTY_200012913_AEJ_CONVICTION</v>
          </cell>
        </row>
        <row r="217">
          <cell r="A217" t="str">
            <v>Scalar|||200012913|||EQTY|||LEGAL_RATING|||False|||</v>
          </cell>
          <cell r="C217" t="str">
            <v>V_KEYWORD_EQTY_200012913_LEGAL_RATING</v>
          </cell>
        </row>
        <row r="218">
          <cell r="A218" t="str">
            <v>Scalar|||200012913|||EQTY|||TARGET_PRICE|||False|||</v>
          </cell>
          <cell r="C218" t="str">
            <v>V_KEYWORD_EQTY_200012913_TARGET_PRICE</v>
          </cell>
        </row>
        <row r="219">
          <cell r="A219" t="str">
            <v>Scalar|||200012913|||EQTY|||TP_PERIOD|||False|||</v>
          </cell>
          <cell r="C219" t="str">
            <v>V_KEYWORD_EQTY_200012913_TP_PERIOD</v>
          </cell>
        </row>
        <row r="220">
          <cell r="A220" t="str">
            <v>Scalar|||200012913|||EQTY|||NUM_SH|||False|||</v>
          </cell>
          <cell r="C220" t="str">
            <v>V_KEYWORD_EQTY_200012913_NUM_SH</v>
          </cell>
        </row>
        <row r="221">
          <cell r="A221" t="str">
            <v>Scalar|||200012913|||EQTY|||FREE_FLOAT|||False|||</v>
          </cell>
          <cell r="C221" t="str">
            <v>V_KEYWORD_EQTY_200012913_FREE_FLOAT</v>
          </cell>
        </row>
        <row r="222">
          <cell r="A222" t="str">
            <v>Scalar|||200012913|||EQTY|||FOREIGN_HOLDNG|||False|||</v>
          </cell>
          <cell r="C222" t="str">
            <v>V_KEYWORD_EQTY_200012913_FOREIGN_HOLDNG</v>
          </cell>
        </row>
        <row r="223">
          <cell r="A223" t="str">
            <v>BreakdownScalar|||200012913|||EQTY|||ACT|||False|||1</v>
          </cell>
          <cell r="C223" t="str">
            <v>V_KEYWORD_EQTY_200012913_ACT1</v>
          </cell>
        </row>
        <row r="224">
          <cell r="A224" t="str">
            <v>BreakdownScalar|||200012913|||EQTY|||ACT|||False|||2</v>
          </cell>
          <cell r="C224" t="str">
            <v>V_KEYWORD_EQTY_200012913_ACT2</v>
          </cell>
        </row>
        <row r="225">
          <cell r="A225" t="str">
            <v>BreakdownScalar|||200012913|||EQTY|||ACT|||False|||3</v>
          </cell>
          <cell r="C225" t="str">
            <v>V_KEYWORD_EQTY_200012913_ACT3</v>
          </cell>
        </row>
        <row r="226">
          <cell r="A226" t="str">
            <v>Scalar|||200012913|||EQTY|||CATALYST1_DATE|||True|||</v>
          </cell>
          <cell r="C226" t="str">
            <v>V_KEYWORD_EQTY_200012913_CATALYST1_DATE</v>
          </cell>
        </row>
        <row r="227">
          <cell r="A227" t="str">
            <v>Scalar|||200012913|||EQTY|||CATALYST1_EVENT|||False|||</v>
          </cell>
          <cell r="C227" t="str">
            <v>V_KEYWORD_EQTY_200012913_CATALYST1_EVENT</v>
          </cell>
        </row>
        <row r="228">
          <cell r="A228" t="str">
            <v>Scalar|||200012913|||EQTY|||CATALYST2_DATE|||True|||</v>
          </cell>
          <cell r="C228" t="str">
            <v>V_KEYWORD_EQTY_200012913_CATALYST2_DATE</v>
          </cell>
        </row>
        <row r="229">
          <cell r="A229" t="str">
            <v>Scalar|||200012913|||EQTY|||CATALYST2_EVENT|||False|||</v>
          </cell>
          <cell r="C229" t="str">
            <v>V_KEYWORD_EQTY_200012913_CATALYST2_EVENT</v>
          </cell>
        </row>
        <row r="230">
          <cell r="A230" t="str">
            <v>Scalar|||200012913|||EQTY|||CATALYST3_DATE|||True|||</v>
          </cell>
          <cell r="C230" t="str">
            <v>V_KEYWORD_EQTY_200012913_CATALYST3_DATE</v>
          </cell>
        </row>
        <row r="231">
          <cell r="A231" t="str">
            <v>Scalar|||200012913|||EQTY|||CATALYST3_EVENT|||False|||</v>
          </cell>
          <cell r="C231" t="str">
            <v>V_KEYWORD_EQTY_200012913_CATALYST3_EVENT</v>
          </cell>
        </row>
        <row r="232">
          <cell r="A232" t="str">
            <v>Scalar|||200012913|||EQTY|||CATALYST4_DATE|||True|||</v>
          </cell>
          <cell r="C232" t="str">
            <v>V_KEYWORD_EQTY_200012913_CATALYST4_DATE</v>
          </cell>
        </row>
        <row r="233">
          <cell r="A233" t="str">
            <v>Scalar|||200012913|||EQTY|||CATALYST4_EVENT|||False|||</v>
          </cell>
          <cell r="C233" t="str">
            <v>V_KEYWORD_EQTY_200012913_CATALYST4_EVENT</v>
          </cell>
        </row>
        <row r="234">
          <cell r="A234" t="str">
            <v>Scalar|||200012913|||EQTY|||CATALYST5_DATE|||True|||</v>
          </cell>
          <cell r="C234" t="str">
            <v>V_KEYWORD_EQTY_200012913_CATALYST5_DATE</v>
          </cell>
        </row>
        <row r="235">
          <cell r="A235" t="str">
            <v>Scalar|||200012913|||EQTY|||CATALYST5_EVENT|||False|||</v>
          </cell>
          <cell r="C235" t="str">
            <v>V_KEYWORD_EQTY_200012913_CATALYST5_EVENT</v>
          </cell>
        </row>
        <row r="236">
          <cell r="A236" t="str">
            <v>Scalar|||200012913|||EQTY|||PRI_TARG_MULT|||False|||</v>
          </cell>
          <cell r="C236" t="str">
            <v>V_KEYWORD_EQTY_200012913_PRI_TARG_MULT</v>
          </cell>
        </row>
        <row r="237">
          <cell r="A237" t="str">
            <v>Scalar|||200012913|||EQTY|||PRI_TARG_METH|||False|||</v>
          </cell>
          <cell r="C237" t="str">
            <v>V_KEYWORD_EQTY_200012913_PRI_TARG_METH</v>
          </cell>
        </row>
        <row r="239">
          <cell r="A239" t="str">
            <v>Vector|||200012913|||EQTY|||BVPS_PUB|||False|||</v>
          </cell>
          <cell r="C239" t="str">
            <v>V_KEYWORD_EQTY_200012913_BVPS_PUB</v>
          </cell>
        </row>
        <row r="240">
          <cell r="A240" t="str">
            <v>Vector|||200012913|||EQTY|||DPS_PUB|||False|||</v>
          </cell>
          <cell r="C240" t="str">
            <v>V_KEYWORD_EQTY_200012913_DPS_PUB</v>
          </cell>
        </row>
        <row r="241">
          <cell r="A241" t="str">
            <v>Vector|||200012913|||EQTY|||DPS_SPECIAL_PUB|||False|||</v>
          </cell>
          <cell r="C241" t="str">
            <v>V_KEYWORD_EQTY_200012913_DPS_SPECIAL_PUB</v>
          </cell>
        </row>
        <row r="242">
          <cell r="A242" t="str">
            <v>Vector|||200012913|||EQTY|||EBITDA_PUB|||False|||</v>
          </cell>
          <cell r="C242" t="str">
            <v>V_KEYWORD_EQTY_200012913_EBITDA_PUB</v>
          </cell>
        </row>
        <row r="243">
          <cell r="A243" t="str">
            <v>Vector|||200012913|||EQTY|||EPS_PUB|||False|||</v>
          </cell>
          <cell r="C243" t="str">
            <v>V_KEYWORD_EQTY_200012913_EPS_PUB</v>
          </cell>
        </row>
        <row r="244">
          <cell r="A244" t="str">
            <v>Vector|||200012913|||EQTY|||EV_ADJ_PUB|||False|||</v>
          </cell>
          <cell r="C244" t="str">
            <v>V_KEYWORD_EQTY_200012913_EV_ADJ_PUB</v>
          </cell>
        </row>
        <row r="245">
          <cell r="A245" t="str">
            <v>Vector|||200012913|||EQTY|||NET_DEBT_PUB|||False|||</v>
          </cell>
          <cell r="C245" t="str">
            <v>V_KEYWORD_EQTY_200012913_NET_DEBT_PUB</v>
          </cell>
        </row>
        <row r="246">
          <cell r="A246" t="str">
            <v>Vector|||200012913|||EQTY|||NI_PUB|||False|||</v>
          </cell>
          <cell r="C246" t="str">
            <v>V_KEYWORD_EQTY_200012913_NI_PUB</v>
          </cell>
        </row>
        <row r="247">
          <cell r="A247" t="str">
            <v>Vector|||200012913|||EQTY|||EBIT_PUB|||False|||</v>
          </cell>
          <cell r="C247" t="str">
            <v>V_KEYWORD_EQTY_200012913_EBIT_PUB</v>
          </cell>
        </row>
        <row r="248">
          <cell r="A248" t="str">
            <v>Vector|||200012913|||EQTY|||PTP_PUB|||False|||</v>
          </cell>
          <cell r="C248" t="str">
            <v>V_KEYWORD_EQTY_200012913_PTP_PUB</v>
          </cell>
        </row>
        <row r="249">
          <cell r="A249" t="str">
            <v>Vector|||200012913|||EQTY|||REVS_PUB|||False|||</v>
          </cell>
          <cell r="C249" t="str">
            <v>V_KEYWORD_EQTY_200012913_REVS_PUB</v>
          </cell>
        </row>
        <row r="250">
          <cell r="A250" t="str">
            <v>Vector|||200012913|||EQTY|||EQ_PUB|||False|||</v>
          </cell>
          <cell r="C250" t="str">
            <v>V_KEYWORD_EQTY_200012913_EQ_PUB</v>
          </cell>
        </row>
        <row r="251">
          <cell r="A251" t="str">
            <v>Vector|||200012913|||EQTY|||EPS_CONS_PUB|||False|||</v>
          </cell>
          <cell r="C251" t="str">
            <v>V_KEYWORD_EQTY_200012913_EPS_CONS_PUB</v>
          </cell>
        </row>
        <row r="253">
          <cell r="A253" t="str">
            <v>Vector|||200012913|||EQTY|||PROV_INC_TAX|||False|||</v>
          </cell>
          <cell r="C253" t="str">
            <v>V_KEYWORD_EQTY_200012913_PROV_INC_TAX</v>
          </cell>
        </row>
        <row r="254">
          <cell r="A254" t="str">
            <v>Vector|||200012913|||EQTY|||INC_MINORITY|||False|||</v>
          </cell>
          <cell r="C254" t="str">
            <v>V_KEYWORD_EQTY_200012913_INC_MINORITY</v>
          </cell>
        </row>
        <row r="255">
          <cell r="A255" t="str">
            <v>Vector|||200012913|||EQTY|||NI_PRE_PREF|||False|||</v>
          </cell>
          <cell r="C255" t="str">
            <v>V_KEYWORD_EQTY_200012913_NI_PRE_PREF</v>
          </cell>
        </row>
        <row r="256">
          <cell r="A256" t="str">
            <v>Vector|||200012913|||EQTY|||PREF_DIV|||False|||</v>
          </cell>
          <cell r="C256" t="str">
            <v>V_KEYWORD_EQTY_200012913_PREF_DIV</v>
          </cell>
        </row>
        <row r="257">
          <cell r="A257" t="str">
            <v>Vector|||200012913|||EQTY|||NET_EARNING|||False|||</v>
          </cell>
          <cell r="C257" t="str">
            <v>V_KEYWORD_EQTY_200012913_NET_EARNING</v>
          </cell>
        </row>
        <row r="258">
          <cell r="A258" t="str">
            <v>Vector|||200012913|||EQTY|||TAX_EXC|||False|||</v>
          </cell>
          <cell r="C258" t="str">
            <v>V_KEYWORD_EQTY_200012913_TAX_EXC</v>
          </cell>
        </row>
        <row r="259">
          <cell r="A259" t="str">
            <v>Vector|||200012913|||EQTY|||NET_INC|||False|||</v>
          </cell>
          <cell r="C259" t="str">
            <v>V_KEYWORD_EQTY_200012913_NET_INC</v>
          </cell>
        </row>
        <row r="260">
          <cell r="A260" t="str">
            <v>Vector|||200012913|||EQTY|||EPS|||False|||</v>
          </cell>
          <cell r="C260" t="str">
            <v>V_KEYWORD_EQTY_200012913_EPS</v>
          </cell>
        </row>
        <row r="261">
          <cell r="A261" t="str">
            <v>Vector|||200012913|||EQTY|||EPS_FUL_DIL|||False|||</v>
          </cell>
          <cell r="C261" t="str">
            <v>V_KEYWORD_EQTY_200012913_EPS_FUL_DIL</v>
          </cell>
        </row>
        <row r="262">
          <cell r="A262" t="str">
            <v>Vector|||200012913|||EQTY|||EPS_POST_BASIC|||False|||</v>
          </cell>
          <cell r="C262" t="str">
            <v>V_KEYWORD_EQTY_200012913_EPS_POST_BASIC</v>
          </cell>
        </row>
        <row r="263">
          <cell r="A263" t="str">
            <v>Vector|||200012913|||EQTY|||FULLY_DIL_EPS|||False|||</v>
          </cell>
          <cell r="C263" t="str">
            <v>V_KEYWORD_EQTY_200012913_FULLY_DIL_EPS</v>
          </cell>
        </row>
        <row r="264">
          <cell r="A264" t="str">
            <v>Vector|||200012913|||EQTY|||COMMON_DIV_PAID|||False|||</v>
          </cell>
          <cell r="C264" t="str">
            <v>V_KEYWORD_EQTY_200012913_COMMON_DIV_PAID</v>
          </cell>
        </row>
        <row r="265">
          <cell r="A265" t="str">
            <v>Vector|||200012913|||EQTY|||DPS|||False|||</v>
          </cell>
          <cell r="C265" t="str">
            <v>V_KEYWORD_EQTY_200012913_DPS</v>
          </cell>
        </row>
        <row r="266">
          <cell r="A266" t="str">
            <v>Vector|||200012913|||EQTY|||SH|||False|||</v>
          </cell>
          <cell r="C266" t="str">
            <v>V_KEYWORD_EQTY_200012913_SH</v>
          </cell>
        </row>
        <row r="267">
          <cell r="A267" t="str">
            <v>Vector|||200012913|||EQTY|||DILUTE_SHARES|||False|||</v>
          </cell>
          <cell r="C267" t="str">
            <v>V_KEYWORD_EQTY_200012913_DILUTE_SHARES</v>
          </cell>
        </row>
        <row r="268">
          <cell r="A268" t="str">
            <v>Vector|||200012913|||EQTY|||NON_OP_ADD|||False|||</v>
          </cell>
          <cell r="C268" t="str">
            <v>V_KEYWORD_EQTY_200012913_NON_OP_ADD</v>
          </cell>
        </row>
        <row r="270">
          <cell r="A270" t="str">
            <v>Vector|||200012913|||EQTY|||MARGIN_TAX_RATE|||False|||</v>
          </cell>
          <cell r="C270" t="str">
            <v>V_KEYWORD_EQTY_200012913_MARGIN_TAX_RATE</v>
          </cell>
        </row>
        <row r="271">
          <cell r="A271" t="str">
            <v>Vector|||200012913|||EQTY|||NI_CONS|||False|||</v>
          </cell>
          <cell r="C271" t="str">
            <v>V_KEYWORD_EQTY_200012913_NI_CONS</v>
          </cell>
        </row>
        <row r="273">
          <cell r="A273" t="str">
            <v>Vector|||200012913|||EQTY|||BVPS|||False|||</v>
          </cell>
          <cell r="C273" t="str">
            <v>V_KEYWORD_EQTY_200012913_BVPS</v>
          </cell>
        </row>
        <row r="275">
          <cell r="A275" t="str">
            <v>Vector|||200012913|||EQTY|||CF_NI_PRE_PREF|||False|||</v>
          </cell>
          <cell r="C275" t="str">
            <v>V_KEYWORD_EQTY_200012913_CF_NI_PRE_PREF</v>
          </cell>
        </row>
        <row r="277">
          <cell r="A277" t="str">
            <v>Scalar|||200012913|||EQTY|||BETA_ANALYST|||False|||</v>
          </cell>
          <cell r="C277" t="str">
            <v>V_KEYWORD_EQTY_200012913_BETA_ANALYST</v>
          </cell>
        </row>
        <row r="278">
          <cell r="A278" t="str">
            <v>Scalar|||200012913|||EQTY|||MKT_EQ_RISK_PREM|||False|||</v>
          </cell>
          <cell r="C278" t="str">
            <v>V_KEYWORD_EQTY_200012913_MKT_EQ_RISK_PREM</v>
          </cell>
        </row>
        <row r="279">
          <cell r="A279" t="str">
            <v>Scalar|||200012913|||EQTY|||RISK_FR_RATE|||False|||</v>
          </cell>
          <cell r="C279" t="str">
            <v>V_KEYWORD_EQTY_200012913_RISK_FR_RATE</v>
          </cell>
        </row>
      </sheetData>
      <sheetData sheetId="17" refreshError="1">
        <row r="5">
          <cell r="A5" t="str">
            <v>Reference Data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4">
          <cell r="B114" t="str">
            <v>Sales - % Brazil</v>
          </cell>
          <cell r="C114" t="str">
            <v>SALES_BRAZIL</v>
          </cell>
        </row>
        <row r="115">
          <cell r="B115" t="str">
            <v>Sales - % Other Americas</v>
          </cell>
          <cell r="C115" t="str">
            <v>SALES_OTH_AM</v>
          </cell>
        </row>
        <row r="116">
          <cell r="B116" t="str">
            <v>Sales - Total % EMEA</v>
          </cell>
          <cell r="C116" t="str">
            <v>SALES_TOT_EMEA</v>
          </cell>
        </row>
        <row r="117">
          <cell r="B117" t="str">
            <v>Sales - % UK</v>
          </cell>
          <cell r="C117" t="str">
            <v>SALES_UK</v>
          </cell>
        </row>
        <row r="118">
          <cell r="B118" t="str">
            <v>Sales - % Western Europe-Ex UK</v>
          </cell>
          <cell r="C118" t="str">
            <v>SALES_EU_EX_UK</v>
          </cell>
        </row>
        <row r="135">
          <cell r="B135" t="str">
            <v>Sales - % Central &amp; Eastern Europe</v>
          </cell>
          <cell r="C135" t="str">
            <v>SALES_CEE</v>
          </cell>
        </row>
        <row r="136">
          <cell r="B136" t="str">
            <v>Sales - % Middle East</v>
          </cell>
          <cell r="C136" t="str">
            <v>SALES_ME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</row>
        <row r="139">
          <cell r="B139" t="str">
            <v>Sales - % Other EMEA</v>
          </cell>
          <cell r="C139" t="str">
            <v>SALES_OTH_EMEA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</row>
        <row r="141">
          <cell r="B141" t="str">
            <v>Sales - % Japan</v>
          </cell>
          <cell r="C141" t="str">
            <v>SALES_JAPAN</v>
          </cell>
        </row>
        <row r="142">
          <cell r="B142" t="str">
            <v>Sales - % China</v>
          </cell>
          <cell r="C142" t="str">
            <v>SALES_CHINA</v>
          </cell>
        </row>
        <row r="143">
          <cell r="B143" t="str">
            <v>Sales - % India</v>
          </cell>
          <cell r="C143" t="str">
            <v>SALES_INDIA</v>
          </cell>
        </row>
        <row r="144">
          <cell r="B144" t="str">
            <v>Sales - % South Korea</v>
          </cell>
          <cell r="C144" t="str">
            <v>SALES_SK</v>
          </cell>
        </row>
        <row r="148">
          <cell r="B148" t="str">
            <v>Sales - % Other Asia</v>
          </cell>
          <cell r="C148" t="str">
            <v>SALES_OTH_AEJ</v>
          </cell>
        </row>
        <row r="149">
          <cell r="B149" t="str">
            <v>Sales - % Others</v>
          </cell>
          <cell r="C149" t="str">
            <v>SALES_OTHER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5">
          <cell r="C195" t="str">
            <v>SALES_FX_GPB</v>
          </cell>
        </row>
        <row r="205">
          <cell r="B205" t="str">
            <v>Sales - % FX: Other Currency</v>
          </cell>
          <cell r="C205" t="str">
            <v>SALES_FX_OTH</v>
          </cell>
        </row>
        <row r="207">
          <cell r="A207" t="str">
            <v>Reference Data</v>
          </cell>
        </row>
        <row r="214">
          <cell r="A214" t="str">
            <v>General Information</v>
          </cell>
        </row>
        <row r="215">
          <cell r="B215" t="str">
            <v>Asia Pacific Investment List</v>
          </cell>
          <cell r="C215" t="str">
            <v>AEJ_LIST</v>
          </cell>
        </row>
        <row r="216">
          <cell r="B216" t="str">
            <v>Asia Pacific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</row>
        <row r="219">
          <cell r="B219" t="str">
            <v>Target price period</v>
          </cell>
          <cell r="C219" t="str">
            <v>TP_PERIOD</v>
          </cell>
        </row>
        <row r="220">
          <cell r="B220" t="str">
            <v>Current shares outstanding (mn)</v>
          </cell>
          <cell r="C220" t="str">
            <v>NUM_SH</v>
          </cell>
        </row>
        <row r="221">
          <cell r="B221" t="str">
            <v>Free float</v>
          </cell>
          <cell r="C221" t="str">
            <v>FREE_FLOAT</v>
          </cell>
        </row>
        <row r="222">
          <cell r="B222" t="str">
            <v>Foreign ownership</v>
          </cell>
          <cell r="C222" t="str">
            <v>FOREIGN_HOLDNG</v>
          </cell>
        </row>
        <row r="223">
          <cell r="C223" t="str">
            <v>ACT1</v>
          </cell>
        </row>
        <row r="224">
          <cell r="C224" t="str">
            <v>ACT2</v>
          </cell>
        </row>
        <row r="225">
          <cell r="C225" t="str">
            <v>ACT3</v>
          </cell>
        </row>
        <row r="226">
          <cell r="B226" t="str">
            <v>Catalyst 1 date</v>
          </cell>
          <cell r="C226" t="str">
            <v>CATALYST1_DATE</v>
          </cell>
        </row>
        <row r="227">
          <cell r="B227" t="str">
            <v>Catalyst 1 description</v>
          </cell>
          <cell r="C227" t="str">
            <v>CATALYST1_EVENT</v>
          </cell>
        </row>
        <row r="228">
          <cell r="B228" t="str">
            <v>Catalyst 2 date</v>
          </cell>
          <cell r="C228" t="str">
            <v>CATALYST2_DATE</v>
          </cell>
        </row>
        <row r="229">
          <cell r="B229" t="str">
            <v>Catalyst 2 description</v>
          </cell>
          <cell r="C229" t="str">
            <v>CATALYST2_EVENT</v>
          </cell>
        </row>
        <row r="230">
          <cell r="B230" t="str">
            <v>Catalyst 3 date</v>
          </cell>
          <cell r="C230" t="str">
            <v>CATALYST3_DATE</v>
          </cell>
        </row>
        <row r="231">
          <cell r="B231" t="str">
            <v>Catalyst 3 description</v>
          </cell>
          <cell r="C231" t="str">
            <v>CATALYST3_EVENT</v>
          </cell>
        </row>
        <row r="232">
          <cell r="B232" t="str">
            <v>Catalyst 4 date</v>
          </cell>
          <cell r="C232" t="str">
            <v>CATALYST4_DATE</v>
          </cell>
        </row>
        <row r="233">
          <cell r="B233" t="str">
            <v>Catalyst 4 description</v>
          </cell>
          <cell r="C233" t="str">
            <v>CATALYST4_EVENT</v>
          </cell>
        </row>
        <row r="234">
          <cell r="B234" t="str">
            <v>Catalyst 5 date</v>
          </cell>
          <cell r="C234" t="str">
            <v>CATALYST5_DATE</v>
          </cell>
        </row>
        <row r="235">
          <cell r="B235" t="str">
            <v>Catalyst 5 description</v>
          </cell>
          <cell r="C235" t="str">
            <v>CATALYST5_EVENT</v>
          </cell>
        </row>
        <row r="236">
          <cell r="B236" t="str">
            <v>Target price multiple</v>
          </cell>
          <cell r="C236" t="str">
            <v>PRI_TARG_MULT</v>
          </cell>
        </row>
        <row r="237">
          <cell r="B237" t="str">
            <v>Target price methodology</v>
          </cell>
          <cell r="C237" t="str">
            <v>PRI_TARG_METH</v>
          </cell>
        </row>
        <row r="238">
          <cell r="A238" t="str">
            <v>Publishing Items</v>
          </cell>
        </row>
        <row r="239">
          <cell r="B239" t="str">
            <v>Book value per share, BVPS (Pub)</v>
          </cell>
          <cell r="C239" t="str">
            <v>BVPS_PUB</v>
          </cell>
          <cell r="D239" t="str">
            <v>CNY</v>
          </cell>
        </row>
        <row r="240">
          <cell r="B240" t="str">
            <v>DPS, dividend per share (Pub)</v>
          </cell>
          <cell r="C240" t="str">
            <v>DPS_PUB</v>
          </cell>
          <cell r="D240" t="str">
            <v>CNY</v>
          </cell>
        </row>
        <row r="241">
          <cell r="B241" t="str">
            <v>Special dividend per share</v>
          </cell>
          <cell r="C241" t="str">
            <v>DPS_SPECIAL_PUB</v>
          </cell>
          <cell r="D241" t="str">
            <v>CNY</v>
          </cell>
        </row>
        <row r="242">
          <cell r="B242" t="str">
            <v>EBITDA (Pub)</v>
          </cell>
          <cell r="C242" t="str">
            <v>EBITDA_PUB</v>
          </cell>
          <cell r="D242" t="str">
            <v>CNY</v>
          </cell>
        </row>
        <row r="243">
          <cell r="B243" t="str">
            <v>EPS (Pub)</v>
          </cell>
          <cell r="C243" t="str">
            <v>EPS_PUB</v>
          </cell>
          <cell r="D243" t="str">
            <v>CNY</v>
          </cell>
        </row>
        <row r="244">
          <cell r="B244" t="str">
            <v>EV adjustment (Pub)</v>
          </cell>
          <cell r="C244" t="str">
            <v>EV_ADJ_PUB</v>
          </cell>
          <cell r="D244" t="str">
            <v>CNY</v>
          </cell>
        </row>
        <row r="245">
          <cell r="B245" t="str">
            <v>Net debt (Pub)</v>
          </cell>
          <cell r="C245" t="str">
            <v>NET_DEBT_PUB</v>
          </cell>
          <cell r="D245" t="str">
            <v>CNY</v>
          </cell>
        </row>
        <row r="246">
          <cell r="B246" t="str">
            <v>Net income (Pub)</v>
          </cell>
          <cell r="C246" t="str">
            <v>NI_PUB</v>
          </cell>
          <cell r="D246" t="str">
            <v>CNY</v>
          </cell>
        </row>
        <row r="247">
          <cell r="B247" t="str">
            <v>EBIT, operating profit (Pub)</v>
          </cell>
          <cell r="C247" t="str">
            <v>EBIT_PUB</v>
          </cell>
          <cell r="D247" t="str">
            <v>CNY</v>
          </cell>
        </row>
        <row r="248">
          <cell r="B248" t="str">
            <v>Pre-tax profit (Pub)</v>
          </cell>
          <cell r="C248" t="str">
            <v>PTP_PUB</v>
          </cell>
          <cell r="D248" t="str">
            <v>CNY</v>
          </cell>
        </row>
        <row r="249">
          <cell r="B249" t="str">
            <v>Sales, revenue (Pub)</v>
          </cell>
          <cell r="C249" t="str">
            <v>REVS_PUB</v>
          </cell>
          <cell r="D249" t="str">
            <v>CNY</v>
          </cell>
        </row>
        <row r="250">
          <cell r="B250" t="str">
            <v>Total shareholders' equity (Pub)</v>
          </cell>
          <cell r="C250" t="str">
            <v>EQ_PUB</v>
          </cell>
          <cell r="D250" t="str">
            <v>CNY</v>
          </cell>
        </row>
        <row r="251">
          <cell r="B251" t="str">
            <v>EPS (consensus)</v>
          </cell>
          <cell r="C251" t="str">
            <v>EPS_CONS_PUB</v>
          </cell>
          <cell r="D251" t="str">
            <v>CNY</v>
          </cell>
        </row>
        <row r="252">
          <cell r="A252" t="str">
            <v>Income Statement</v>
          </cell>
        </row>
        <row r="253">
          <cell r="B253" t="str">
            <v>Provision for income tax</v>
          </cell>
          <cell r="C253" t="str">
            <v>PROV_INC_TAX</v>
          </cell>
          <cell r="D253" t="str">
            <v>CNY</v>
          </cell>
        </row>
        <row r="254">
          <cell r="B254" t="str">
            <v>Minority interest</v>
          </cell>
          <cell r="C254" t="str">
            <v>INC_MINORITY</v>
          </cell>
          <cell r="D254" t="str">
            <v>CNY</v>
          </cell>
        </row>
        <row r="255">
          <cell r="B255" t="str">
            <v>Net income (pre-preferred dividends)</v>
          </cell>
          <cell r="C255" t="str">
            <v>NI_PRE_PREF</v>
          </cell>
          <cell r="D255" t="str">
            <v>CNY</v>
          </cell>
        </row>
        <row r="256">
          <cell r="B256" t="str">
            <v>Preferred dividends</v>
          </cell>
          <cell r="C256" t="str">
            <v>PREF_DIV</v>
          </cell>
          <cell r="D256" t="str">
            <v>CNY</v>
          </cell>
        </row>
        <row r="257">
          <cell r="B257" t="str">
            <v>Net income (pre-exceptionals)</v>
          </cell>
          <cell r="C257" t="str">
            <v>NET_EARNING</v>
          </cell>
          <cell r="D257" t="str">
            <v>CNY</v>
          </cell>
        </row>
        <row r="258">
          <cell r="B258" t="str">
            <v>Post-tax exceptionals</v>
          </cell>
          <cell r="C258" t="str">
            <v>TAX_EXC</v>
          </cell>
          <cell r="D258" t="str">
            <v>CNY</v>
          </cell>
        </row>
        <row r="259">
          <cell r="B259" t="str">
            <v>Net income (post-exceptionals)</v>
          </cell>
          <cell r="C259" t="str">
            <v>NET_INC</v>
          </cell>
          <cell r="D259" t="str">
            <v>CNY</v>
          </cell>
        </row>
        <row r="260">
          <cell r="B260" t="str">
            <v>EPS (pre-exceptionals, basic)</v>
          </cell>
          <cell r="C260" t="str">
            <v>EPS</v>
          </cell>
          <cell r="D260" t="str">
            <v>CNY</v>
          </cell>
        </row>
        <row r="261">
          <cell r="B261" t="str">
            <v>EPS (pre-exceptionals, diluted)</v>
          </cell>
          <cell r="C261" t="str">
            <v>EPS_FUL_DIL</v>
          </cell>
          <cell r="D261" t="str">
            <v>CNY</v>
          </cell>
        </row>
        <row r="262">
          <cell r="B262" t="str">
            <v>EPS (post-exceptionals, basic)</v>
          </cell>
          <cell r="C262" t="str">
            <v>EPS_POST_BASIC</v>
          </cell>
          <cell r="D262" t="str">
            <v>CNY</v>
          </cell>
        </row>
        <row r="263">
          <cell r="B263" t="str">
            <v>EPS (post-exceptionals, diluted)</v>
          </cell>
          <cell r="C263" t="str">
            <v>FULLY_DIL_EPS</v>
          </cell>
          <cell r="D263" t="str">
            <v>CNY</v>
          </cell>
        </row>
        <row r="264">
          <cell r="B264" t="str">
            <v>Common dividends paid</v>
          </cell>
          <cell r="C264" t="str">
            <v>COMMON_DIV_PAID</v>
          </cell>
          <cell r="D264" t="str">
            <v>CNY</v>
          </cell>
        </row>
        <row r="265">
          <cell r="B265" t="str">
            <v>DPS, dividend per share</v>
          </cell>
          <cell r="C265" t="str">
            <v>DPS</v>
          </cell>
          <cell r="D265" t="str">
            <v>CNY</v>
          </cell>
        </row>
        <row r="266">
          <cell r="B266" t="str">
            <v>Weighted average shares outstanding, basic</v>
          </cell>
          <cell r="C266" t="str">
            <v>SH</v>
          </cell>
        </row>
        <row r="267">
          <cell r="B267" t="str">
            <v>Diluted average shares outstanding (mn)</v>
          </cell>
          <cell r="C267" t="str">
            <v>DILUTE_SHARES</v>
          </cell>
        </row>
        <row r="268">
          <cell r="B268" t="str">
            <v>Period-end shares outstanding</v>
          </cell>
          <cell r="C268" t="str">
            <v>NON_OP_ADD</v>
          </cell>
        </row>
        <row r="269">
          <cell r="A269" t="str">
            <v>Additional Income Statement Items</v>
          </cell>
        </row>
        <row r="270">
          <cell r="B270" t="str">
            <v>Marginal tax rate</v>
          </cell>
          <cell r="C270" t="str">
            <v>MARGIN_TAX_RATE</v>
          </cell>
        </row>
        <row r="271">
          <cell r="B271" t="str">
            <v>Net income (consensus) (Pub)</v>
          </cell>
          <cell r="C271" t="str">
            <v>NI_CONS</v>
          </cell>
          <cell r="D271" t="str">
            <v>CNY</v>
          </cell>
        </row>
        <row r="272">
          <cell r="A272" t="str">
            <v>Balance Sheet</v>
          </cell>
        </row>
        <row r="273">
          <cell r="B273" t="str">
            <v>BVPS, book value per share</v>
          </cell>
          <cell r="C273" t="str">
            <v>BVPS</v>
          </cell>
          <cell r="D273" t="str">
            <v>CNY</v>
          </cell>
        </row>
        <row r="274">
          <cell r="A274" t="str">
            <v>Cash Flow Statement</v>
          </cell>
        </row>
        <row r="275">
          <cell r="B275" t="str">
            <v>Net income (pre-preferred dividends)</v>
          </cell>
          <cell r="C275" t="str">
            <v>CF_NI_PRE_PREF</v>
          </cell>
          <cell r="D275" t="str">
            <v>CNY</v>
          </cell>
        </row>
        <row r="276">
          <cell r="A276" t="str">
            <v>Other Items</v>
          </cell>
        </row>
        <row r="277">
          <cell r="B277" t="str">
            <v>Beta</v>
          </cell>
          <cell r="C277" t="str">
            <v>BETA_ANALYST</v>
          </cell>
        </row>
        <row r="278">
          <cell r="B278" t="str">
            <v>Market equity risk premium</v>
          </cell>
          <cell r="C278" t="str">
            <v>MKT_EQ_RISK_PREM</v>
          </cell>
        </row>
        <row r="279">
          <cell r="B279" t="str">
            <v>Risk-free rate</v>
          </cell>
          <cell r="C279" t="str">
            <v>RISK_FR_RATE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Valuation"/>
      <sheetName val="AFOSHEET"/>
      <sheetName val="Act Vs Est"/>
      <sheetName val="Model"/>
      <sheetName val="Revenue"/>
      <sheetName val="Raw Data"/>
      <sheetName val="Basic Data"/>
      <sheetName val="Industry Data"/>
      <sheetName val="Company Data"/>
      <sheetName val="First take"/>
      <sheetName val="Ratios"/>
      <sheetName val="Market Data"/>
      <sheetName val="002236.SZ_Live_Sheet"/>
      <sheetName val="002236.SZ_Validation_Sheet"/>
      <sheetName val="002236.SZ_Annotation_Sheet"/>
      <sheetName val="002236.SZ_Exchange_Sheet"/>
      <sheetName val="Sheet2"/>
      <sheetName val="Sheet1"/>
      <sheetName val="Exhibit"/>
      <sheetName val="Reg AC"/>
      <sheetName val="Disclaimer"/>
      <sheetName val="Cover Page"/>
      <sheetName val="PE PB (datastream)"/>
      <sheetName val="PE PB"/>
      <sheetName val="Ratios_old"/>
      <sheetName val="Basic Data_Wind"/>
      <sheetName val="5G TAM"/>
      <sheetName val="Assumptions"/>
      <sheetName val="Valuation page"/>
      <sheetName val="Raw PL annual"/>
      <sheetName val="Raw PL quarterly"/>
      <sheetName val="Raw BS"/>
      <sheetName val="Raw CF"/>
      <sheetName val="GS vs. BB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Issuer: Zhejiang Dahua Technology Co.</v>
          </cell>
          <cell r="C1">
            <v>398056932</v>
          </cell>
          <cell r="F1">
            <v>2005</v>
          </cell>
          <cell r="G1">
            <v>2006</v>
          </cell>
          <cell r="H1">
            <v>2007</v>
          </cell>
          <cell r="I1">
            <v>2008</v>
          </cell>
          <cell r="J1">
            <v>2009</v>
          </cell>
          <cell r="K1">
            <v>2010</v>
          </cell>
          <cell r="L1" t="str">
            <v>2011 Q1</v>
          </cell>
          <cell r="M1" t="str">
            <v>2011 Q2</v>
          </cell>
          <cell r="N1" t="str">
            <v>2011 Q3</v>
          </cell>
          <cell r="O1" t="str">
            <v>2011 Q4</v>
          </cell>
          <cell r="P1">
            <v>2011</v>
          </cell>
          <cell r="Q1" t="str">
            <v>2012 Q1</v>
          </cell>
          <cell r="R1" t="str">
            <v>2012 Q2</v>
          </cell>
          <cell r="S1" t="str">
            <v>2012 Q3</v>
          </cell>
          <cell r="T1" t="str">
            <v>2012 Q4</v>
          </cell>
          <cell r="U1">
            <v>2012</v>
          </cell>
          <cell r="V1" t="str">
            <v>2013 Q1</v>
          </cell>
          <cell r="W1" t="str">
            <v>2013 Q2</v>
          </cell>
          <cell r="X1" t="str">
            <v>2013 Q3</v>
          </cell>
          <cell r="Y1" t="str">
            <v>2013 Q4</v>
          </cell>
          <cell r="Z1">
            <v>2013</v>
          </cell>
          <cell r="AA1" t="str">
            <v>2014 Q1</v>
          </cell>
          <cell r="AB1" t="str">
            <v>2014 Q2</v>
          </cell>
          <cell r="AC1" t="str">
            <v>2014 Q3</v>
          </cell>
          <cell r="AD1" t="str">
            <v>2014 Q4</v>
          </cell>
          <cell r="AE1">
            <v>2014</v>
          </cell>
          <cell r="AF1" t="str">
            <v>2015 Q1</v>
          </cell>
          <cell r="AG1" t="str">
            <v>2015 Q2</v>
          </cell>
          <cell r="AH1" t="str">
            <v>2015 Q3</v>
          </cell>
          <cell r="AI1" t="str">
            <v>2015 Q4</v>
          </cell>
          <cell r="AJ1">
            <v>2015</v>
          </cell>
          <cell r="AK1">
            <v>2016</v>
          </cell>
          <cell r="AL1">
            <v>2017</v>
          </cell>
          <cell r="AM1">
            <v>2018</v>
          </cell>
          <cell r="AN1">
            <v>2019</v>
          </cell>
          <cell r="AO1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Estimate</v>
          </cell>
          <cell r="AE2" t="str">
            <v>Estimate</v>
          </cell>
          <cell r="AF2" t="str">
            <v>Estimate</v>
          </cell>
          <cell r="AG2" t="str">
            <v>Estimate</v>
          </cell>
          <cell r="AH2" t="str">
            <v>Estimate</v>
          </cell>
          <cell r="AI2" t="str">
            <v>Estimate</v>
          </cell>
          <cell r="AJ2" t="str">
            <v>Estimate</v>
          </cell>
          <cell r="AK2" t="str">
            <v>Estimate</v>
          </cell>
          <cell r="AL2" t="str">
            <v>Estimate</v>
          </cell>
          <cell r="AM2" t="str">
            <v>Estimate</v>
          </cell>
          <cell r="AN2" t="str">
            <v>Estimate</v>
          </cell>
          <cell r="AO2" t="str">
            <v>Estimate</v>
          </cell>
        </row>
        <row r="3">
          <cell r="F3">
            <v>38717</v>
          </cell>
          <cell r="G3">
            <v>39082</v>
          </cell>
          <cell r="H3">
            <v>39447</v>
          </cell>
          <cell r="I3">
            <v>39813</v>
          </cell>
          <cell r="J3">
            <v>40178</v>
          </cell>
          <cell r="K3">
            <v>40543</v>
          </cell>
          <cell r="L3">
            <v>40633</v>
          </cell>
          <cell r="M3">
            <v>40724</v>
          </cell>
          <cell r="N3">
            <v>40816</v>
          </cell>
          <cell r="O3">
            <v>40908</v>
          </cell>
          <cell r="P3">
            <v>40908</v>
          </cell>
          <cell r="Q3">
            <v>40999</v>
          </cell>
          <cell r="R3">
            <v>41090</v>
          </cell>
          <cell r="S3">
            <v>41182</v>
          </cell>
          <cell r="T3">
            <v>41274</v>
          </cell>
          <cell r="U3">
            <v>41274</v>
          </cell>
          <cell r="V3">
            <v>41364</v>
          </cell>
          <cell r="W3">
            <v>41455</v>
          </cell>
          <cell r="X3">
            <v>41547</v>
          </cell>
          <cell r="Y3">
            <v>41639</v>
          </cell>
          <cell r="Z3">
            <v>41639</v>
          </cell>
          <cell r="AA3">
            <v>41729</v>
          </cell>
          <cell r="AB3">
            <v>41820</v>
          </cell>
          <cell r="AC3">
            <v>41912</v>
          </cell>
          <cell r="AD3">
            <v>42004</v>
          </cell>
          <cell r="AE3">
            <v>42004</v>
          </cell>
          <cell r="AF3">
            <v>42094</v>
          </cell>
          <cell r="AG3">
            <v>42185</v>
          </cell>
          <cell r="AH3">
            <v>42277</v>
          </cell>
          <cell r="AI3">
            <v>42369</v>
          </cell>
          <cell r="AJ3">
            <v>42369</v>
          </cell>
          <cell r="AK3">
            <v>42735</v>
          </cell>
          <cell r="AL3">
            <v>43100</v>
          </cell>
          <cell r="AM3">
            <v>43465</v>
          </cell>
          <cell r="AN3">
            <v>43830</v>
          </cell>
          <cell r="AO3">
            <v>44196</v>
          </cell>
        </row>
        <row r="4">
          <cell r="A4" t="str">
            <v>Issuer: Zhejiang Dahua Technology Co.</v>
          </cell>
          <cell r="B4" t="str">
            <v>13MDI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Zhejiang Dahua Technology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293.14459049999999</v>
          </cell>
          <cell r="G9">
            <v>445.53826700000002</v>
          </cell>
          <cell r="H9">
            <v>405.18517371000002</v>
          </cell>
          <cell r="I9">
            <v>632.01839077</v>
          </cell>
          <cell r="J9">
            <v>835.94207206999999</v>
          </cell>
          <cell r="K9">
            <v>1516.2754451599999</v>
          </cell>
          <cell r="L9">
            <v>328.63490666000001</v>
          </cell>
          <cell r="M9">
            <v>565.62563779000004</v>
          </cell>
          <cell r="N9">
            <v>566.43922061000001</v>
          </cell>
          <cell r="O9">
            <v>744.50844201999996</v>
          </cell>
          <cell r="P9">
            <v>2205.2082070800002</v>
          </cell>
          <cell r="Q9">
            <v>498.02956517000001</v>
          </cell>
          <cell r="R9">
            <v>798.84124770999995</v>
          </cell>
          <cell r="S9">
            <v>896.01216612999997</v>
          </cell>
          <cell r="T9">
            <v>1338.3314926099999</v>
          </cell>
          <cell r="U9">
            <v>3531.21447162</v>
          </cell>
          <cell r="V9">
            <v>788.46723757999996</v>
          </cell>
          <cell r="W9">
            <v>1243.12236188</v>
          </cell>
          <cell r="X9">
            <v>1227.5825049499999</v>
          </cell>
          <cell r="Y9">
            <v>2150.9219383899999</v>
          </cell>
          <cell r="Z9">
            <v>5410.0940428000004</v>
          </cell>
          <cell r="AA9">
            <v>1144.82098271</v>
          </cell>
          <cell r="AB9">
            <v>1897.70093425</v>
          </cell>
          <cell r="AC9">
            <v>1604.9511627300001</v>
          </cell>
          <cell r="AD9">
            <v>2950.4356011554901</v>
          </cell>
          <cell r="AE9">
            <v>7597.9086808454904</v>
          </cell>
          <cell r="AF9">
            <v>1202.59859555</v>
          </cell>
          <cell r="AG9">
            <v>1998.7442060451101</v>
          </cell>
          <cell r="AH9">
            <v>2091.7832663906402</v>
          </cell>
          <cell r="AI9">
            <v>3479.1242914334498</v>
          </cell>
          <cell r="AJ9">
            <v>10250.793948672301</v>
          </cell>
          <cell r="AK9">
            <v>13014.672608934799</v>
          </cell>
          <cell r="AL9">
            <v>15831.6472280329</v>
          </cell>
          <cell r="AM9">
            <v>18738.597086290702</v>
          </cell>
          <cell r="AN9">
            <v>21826.540805533899</v>
          </cell>
          <cell r="AO9">
            <v>24355.844208464601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-193.96834919</v>
          </cell>
          <cell r="G11">
            <v>-294.80013210999999</v>
          </cell>
          <cell r="H11">
            <v>-238.46172967999999</v>
          </cell>
          <cell r="I11">
            <v>-386.54182672000002</v>
          </cell>
          <cell r="J11">
            <v>-511.54759532999998</v>
          </cell>
          <cell r="K11">
            <v>-860.14725584999996</v>
          </cell>
          <cell r="P11">
            <v>-1273.0549793800001</v>
          </cell>
          <cell r="U11">
            <v>-2024.4089613799999</v>
          </cell>
          <cell r="Z11">
            <v>-3093.4242461200001</v>
          </cell>
          <cell r="AE11">
            <v>-4691.8219552466298</v>
          </cell>
          <cell r="AJ11">
            <v>-6396.8264270440905</v>
          </cell>
          <cell r="AK11">
            <v>-8226.4621205712301</v>
          </cell>
          <cell r="AL11">
            <v>-10099.524885750199</v>
          </cell>
          <cell r="AM11">
            <v>-11769.816019625099</v>
          </cell>
          <cell r="AN11">
            <v>-13767.477505978801</v>
          </cell>
          <cell r="AO11">
            <v>-15420.149385958201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-60.690659310000001</v>
          </cell>
          <cell r="G12">
            <v>-111.67069236</v>
          </cell>
          <cell r="H12">
            <v>-91.076804460000005</v>
          </cell>
          <cell r="I12">
            <v>-171.58928829000001</v>
          </cell>
          <cell r="J12">
            <v>-232.12880799999999</v>
          </cell>
          <cell r="K12">
            <v>-413.38268306999998</v>
          </cell>
          <cell r="P12">
            <v>-580.75658817999999</v>
          </cell>
          <cell r="U12">
            <v>-874.28491516999998</v>
          </cell>
          <cell r="Z12">
            <v>-1312.9800469899999</v>
          </cell>
          <cell r="AE12">
            <v>-1830.3523854948501</v>
          </cell>
          <cell r="AJ12">
            <v>-2354.3189739508698</v>
          </cell>
          <cell r="AK12">
            <v>-2940.7508013177999</v>
          </cell>
          <cell r="AL12">
            <v>-3516.1206412534998</v>
          </cell>
          <cell r="AM12">
            <v>-2498.7140704052699</v>
          </cell>
          <cell r="AN12">
            <v>-2887.5503986710401</v>
          </cell>
          <cell r="AO12">
            <v>-3210.5830102376499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-254.6590085</v>
          </cell>
          <cell r="G13">
            <v>-406.47082447000003</v>
          </cell>
          <cell r="H13">
            <v>-329.53853414000002</v>
          </cell>
          <cell r="I13">
            <v>-558.13111501000003</v>
          </cell>
          <cell r="J13">
            <v>-743.67640332999997</v>
          </cell>
          <cell r="K13">
            <v>-1273.5299389199999</v>
          </cell>
          <cell r="P13">
            <v>-1853.81156756</v>
          </cell>
          <cell r="U13">
            <v>-2898.6938765499999</v>
          </cell>
          <cell r="Z13">
            <v>-4406.4042931100003</v>
          </cell>
          <cell r="AE13">
            <v>-6522.1743407414797</v>
          </cell>
          <cell r="AJ13">
            <v>-8751.1454009949593</v>
          </cell>
          <cell r="AK13">
            <v>-11167.212921889</v>
          </cell>
          <cell r="AL13">
            <v>-13615.6455270037</v>
          </cell>
          <cell r="AM13">
            <v>-14268.530090030399</v>
          </cell>
          <cell r="AN13">
            <v>-16655.0279046498</v>
          </cell>
          <cell r="AO13">
            <v>-18630.732396195799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>
            <v>0</v>
          </cell>
          <cell r="G14">
            <v>0</v>
          </cell>
          <cell r="H14">
            <v>-23.569912110000001</v>
          </cell>
          <cell r="I14">
            <v>-49.465341459999998</v>
          </cell>
          <cell r="J14">
            <v>-48.284826299999999</v>
          </cell>
          <cell r="K14">
            <v>-96.041646679999999</v>
          </cell>
          <cell r="P14">
            <v>-150.03978042</v>
          </cell>
          <cell r="U14">
            <v>-239.41007235999999</v>
          </cell>
          <cell r="Z14">
            <v>-500.09211254000002</v>
          </cell>
          <cell r="AE14">
            <v>-780.45443856999998</v>
          </cell>
          <cell r="AJ14">
            <v>-936.10138849353996</v>
          </cell>
          <cell r="AK14">
            <v>-1203.9974929559401</v>
          </cell>
          <cell r="AL14">
            <v>-1538.56097808244</v>
          </cell>
          <cell r="AM14">
            <v>-1841.81220961799</v>
          </cell>
          <cell r="AN14">
            <v>-2102.1359579465602</v>
          </cell>
          <cell r="AO14">
            <v>-2298.63385374675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-254.6590085</v>
          </cell>
          <cell r="G16">
            <v>-406.47082447000003</v>
          </cell>
          <cell r="H16">
            <v>-329.53853414000002</v>
          </cell>
          <cell r="I16">
            <v>-558.13111501000003</v>
          </cell>
          <cell r="J16">
            <v>-743.67640332999997</v>
          </cell>
          <cell r="K16">
            <v>-1273.5299389199999</v>
          </cell>
          <cell r="P16">
            <v>-1853.81156756</v>
          </cell>
          <cell r="U16">
            <v>-2898.6938765499999</v>
          </cell>
          <cell r="Z16">
            <v>-4406.4042931100003</v>
          </cell>
          <cell r="AE16">
            <v>-6522.1743407414797</v>
          </cell>
          <cell r="AJ16">
            <v>-8751.1454009949593</v>
          </cell>
          <cell r="AK16">
            <v>-11167.212921889</v>
          </cell>
          <cell r="AL16">
            <v>-13615.6455270037</v>
          </cell>
          <cell r="AM16">
            <v>-16110.342299648401</v>
          </cell>
          <cell r="AN16">
            <v>-18757.163862596401</v>
          </cell>
          <cell r="AO16">
            <v>-20929.366249942599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-251.67738598</v>
          </cell>
          <cell r="G17">
            <v>-399.41280906999998</v>
          </cell>
          <cell r="H17">
            <v>-324.49409794000002</v>
          </cell>
          <cell r="I17">
            <v>-549.74296617000005</v>
          </cell>
          <cell r="J17">
            <v>-729.75629880999998</v>
          </cell>
          <cell r="K17">
            <v>-1254.6286273400001</v>
          </cell>
          <cell r="P17">
            <v>-1827.7402378199999</v>
          </cell>
          <cell r="U17">
            <v>-2862.3874489099999</v>
          </cell>
          <cell r="Z17">
            <v>-4359.9803231100004</v>
          </cell>
          <cell r="AE17">
            <v>-6471.9378174598696</v>
          </cell>
          <cell r="AJ17">
            <v>-8689.3193701053497</v>
          </cell>
          <cell r="AK17">
            <v>-11094.711934196601</v>
          </cell>
          <cell r="AL17">
            <v>-13534.558369807701</v>
          </cell>
          <cell r="AM17">
            <v>-15988.8481709388</v>
          </cell>
          <cell r="AN17">
            <v>-18613.245875389599</v>
          </cell>
          <cell r="AO17">
            <v>-20761.004691121801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41.467204520000003</v>
          </cell>
          <cell r="G18">
            <v>46.125457930000003</v>
          </cell>
          <cell r="H18">
            <v>80.691075769999998</v>
          </cell>
          <cell r="I18">
            <v>82.275424599999994</v>
          </cell>
          <cell r="J18">
            <v>106.18577326</v>
          </cell>
          <cell r="K18">
            <v>261.64681782000002</v>
          </cell>
          <cell r="P18">
            <v>377.46796926000002</v>
          </cell>
          <cell r="U18">
            <v>668.82702271000005</v>
          </cell>
          <cell r="Z18">
            <v>1050.1137196899999</v>
          </cell>
          <cell r="AE18">
            <v>1125.9708633856301</v>
          </cell>
          <cell r="AJ18">
            <v>1561.4745785669199</v>
          </cell>
          <cell r="AK18">
            <v>1919.9606747381399</v>
          </cell>
          <cell r="AL18">
            <v>2297.0888582252801</v>
          </cell>
          <cell r="AM18">
            <v>2749.74891535189</v>
          </cell>
          <cell r="AN18">
            <v>3213.29493014424</v>
          </cell>
          <cell r="AO18">
            <v>3594.8395173427698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-2.96745489</v>
          </cell>
          <cell r="G19">
            <v>-5.5258387600000001</v>
          </cell>
          <cell r="H19">
            <v>-4.7740983200000002</v>
          </cell>
          <cell r="I19">
            <v>-7.4846077400000004</v>
          </cell>
          <cell r="J19">
            <v>-11.21313629</v>
          </cell>
          <cell r="K19">
            <v>-14.52879933</v>
          </cell>
          <cell r="P19">
            <v>-21.12473331</v>
          </cell>
          <cell r="U19">
            <v>-30.712112990000001</v>
          </cell>
          <cell r="Z19">
            <v>-40.77166184</v>
          </cell>
          <cell r="AE19">
            <v>-44.584215121611003</v>
          </cell>
          <cell r="AJ19">
            <v>-57.121053107043998</v>
          </cell>
          <cell r="AK19">
            <v>-68.584567124407002</v>
          </cell>
          <cell r="AL19">
            <v>-77.827131161018002</v>
          </cell>
          <cell r="AM19">
            <v>-119.013599239768</v>
          </cell>
          <cell r="AN19">
            <v>-141.693400444833</v>
          </cell>
          <cell r="AO19">
            <v>-166.36650642515099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-1.4167630000000001E-2</v>
          </cell>
          <cell r="G20">
            <v>-1.5321766400000001</v>
          </cell>
          <cell r="H20">
            <v>-0.27033787999999997</v>
          </cell>
          <cell r="I20">
            <v>-0.90354109999999999</v>
          </cell>
          <cell r="J20">
            <v>-2.7069682300000002</v>
          </cell>
          <cell r="K20">
            <v>-4.3725122499999998</v>
          </cell>
          <cell r="P20">
            <v>-4.9465964299999996</v>
          </cell>
          <cell r="U20">
            <v>-5.5943146500000003</v>
          </cell>
          <cell r="Z20">
            <v>-5.6523081599999996</v>
          </cell>
          <cell r="AE20">
            <v>-5.6523081599999996</v>
          </cell>
          <cell r="AJ20">
            <v>-4.7049777825700003</v>
          </cell>
          <cell r="AK20">
            <v>-3.916420567996</v>
          </cell>
          <cell r="AL20">
            <v>-3.2600260350319998</v>
          </cell>
          <cell r="AM20">
            <v>-2.4805294698160001</v>
          </cell>
          <cell r="AN20">
            <v>-2.2245867618949999</v>
          </cell>
          <cell r="AO20">
            <v>-1.9950523956340001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38.485582000000001</v>
          </cell>
          <cell r="G21">
            <v>39.067442530000001</v>
          </cell>
          <cell r="H21">
            <v>75.646639570000005</v>
          </cell>
          <cell r="I21">
            <v>73.887275759999994</v>
          </cell>
          <cell r="J21">
            <v>92.265668739999995</v>
          </cell>
          <cell r="K21">
            <v>242.74550624</v>
          </cell>
          <cell r="L21">
            <v>38.224176839999998</v>
          </cell>
          <cell r="M21">
            <v>112.21541938</v>
          </cell>
          <cell r="N21">
            <v>90.39801885</v>
          </cell>
          <cell r="O21">
            <v>110.55902445</v>
          </cell>
          <cell r="P21">
            <v>351.39663952000001</v>
          </cell>
          <cell r="Q21">
            <v>65.673738790000002</v>
          </cell>
          <cell r="R21">
            <v>157.76775864999999</v>
          </cell>
          <cell r="S21">
            <v>143.41935702999999</v>
          </cell>
          <cell r="T21">
            <v>265.65974060000002</v>
          </cell>
          <cell r="U21">
            <v>632.52059507000001</v>
          </cell>
          <cell r="V21">
            <v>128.60321445</v>
          </cell>
          <cell r="W21">
            <v>248.36097064000001</v>
          </cell>
          <cell r="X21">
            <v>234.87214383999901</v>
          </cell>
          <cell r="Y21">
            <v>391.85342076000001</v>
          </cell>
          <cell r="Z21">
            <v>1003.68974969</v>
          </cell>
          <cell r="AA21">
            <v>159.36481981</v>
          </cell>
          <cell r="AB21">
            <v>280.06532987000003</v>
          </cell>
          <cell r="AC21">
            <v>140.99021675999899</v>
          </cell>
          <cell r="AD21">
            <v>495.31397366401598</v>
          </cell>
          <cell r="AE21">
            <v>1075.73434010402</v>
          </cell>
          <cell r="AF21">
            <v>77.028073750000004</v>
          </cell>
          <cell r="AG21">
            <v>342.29972717879002</v>
          </cell>
          <cell r="AH21">
            <v>244.68697241224999</v>
          </cell>
          <cell r="AI21">
            <v>549.39792362348499</v>
          </cell>
          <cell r="AJ21">
            <v>1499.6485476773</v>
          </cell>
          <cell r="AK21">
            <v>1847.4596870457301</v>
          </cell>
          <cell r="AL21">
            <v>2216.0017010292299</v>
          </cell>
          <cell r="AM21">
            <v>2628.2547866423001</v>
          </cell>
          <cell r="AN21">
            <v>3069.3769429375102</v>
          </cell>
          <cell r="AO21">
            <v>3426.4779585219799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</v>
          </cell>
          <cell r="G22">
            <v>0</v>
          </cell>
          <cell r="H22">
            <v>1.0172099699999999</v>
          </cell>
          <cell r="I22">
            <v>9.4517390999999993</v>
          </cell>
          <cell r="J22">
            <v>8.0131999199999999</v>
          </cell>
          <cell r="K22">
            <v>7.8308601900000001</v>
          </cell>
          <cell r="P22">
            <v>10.268570009999999</v>
          </cell>
          <cell r="U22">
            <v>12.342881589999999</v>
          </cell>
          <cell r="Z22">
            <v>20.96270547</v>
          </cell>
          <cell r="AE22">
            <v>25.63578196077</v>
          </cell>
          <cell r="AJ22">
            <v>28.033996644475</v>
          </cell>
          <cell r="AK22">
            <v>23.357597630508</v>
          </cell>
          <cell r="AL22">
            <v>21.117993898940998</v>
          </cell>
          <cell r="AM22">
            <v>45.108745165569999</v>
          </cell>
          <cell r="AN22">
            <v>65.894009912626998</v>
          </cell>
          <cell r="AO22">
            <v>95.580095412316993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-1.0538964399999999</v>
          </cell>
          <cell r="G23">
            <v>-1.92176418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P23">
            <v>0</v>
          </cell>
          <cell r="U23">
            <v>0</v>
          </cell>
          <cell r="Z23">
            <v>0</v>
          </cell>
          <cell r="AE23">
            <v>0</v>
          </cell>
          <cell r="AJ23">
            <v>0</v>
          </cell>
          <cell r="AK23">
            <v>0</v>
          </cell>
          <cell r="AL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-1.0538964399999999</v>
          </cell>
          <cell r="G24">
            <v>-1.92176418</v>
          </cell>
          <cell r="H24">
            <v>1.0172099699999999</v>
          </cell>
          <cell r="I24">
            <v>9.4517390999999993</v>
          </cell>
          <cell r="J24">
            <v>8.0131999199999999</v>
          </cell>
          <cell r="K24">
            <v>7.8308601900000001</v>
          </cell>
          <cell r="P24">
            <v>10.268570009999999</v>
          </cell>
          <cell r="U24">
            <v>12.342881589999999</v>
          </cell>
          <cell r="Z24">
            <v>20.96270547</v>
          </cell>
          <cell r="AE24">
            <v>25.63578196077</v>
          </cell>
          <cell r="AJ24">
            <v>28.033996644475</v>
          </cell>
          <cell r="AK24">
            <v>23.357597630508</v>
          </cell>
          <cell r="AL24">
            <v>21.117993898940998</v>
          </cell>
          <cell r="AM24">
            <v>45.108745165569999</v>
          </cell>
          <cell r="AN24">
            <v>65.894009912626998</v>
          </cell>
          <cell r="AO24">
            <v>95.580095412316993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11.357147319999999</v>
          </cell>
          <cell r="G27">
            <v>15.320865810000001</v>
          </cell>
          <cell r="H27">
            <v>20.603377070000001</v>
          </cell>
          <cell r="I27">
            <v>27.76886223</v>
          </cell>
          <cell r="J27">
            <v>27.57103081</v>
          </cell>
          <cell r="K27">
            <v>37.601712190000001</v>
          </cell>
          <cell r="P27">
            <v>51.684959280000001</v>
          </cell>
          <cell r="U27">
            <v>109.71905541</v>
          </cell>
          <cell r="Z27">
            <v>100.58566915999999</v>
          </cell>
          <cell r="AE27">
            <v>250.35332192999999</v>
          </cell>
          <cell r="AJ27">
            <v>345.5137032865</v>
          </cell>
          <cell r="AK27">
            <v>394.186794016752</v>
          </cell>
          <cell r="AL27">
            <v>474.07121556410101</v>
          </cell>
          <cell r="AM27">
            <v>666.11302556652595</v>
          </cell>
          <cell r="AN27">
            <v>792.02120044637002</v>
          </cell>
          <cell r="AO27">
            <v>895.15131036249898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48.788832880000001</v>
          </cell>
          <cell r="G28">
            <v>52.466544159999998</v>
          </cell>
          <cell r="H28">
            <v>97.267226609999994</v>
          </cell>
          <cell r="I28">
            <v>111.10787709</v>
          </cell>
          <cell r="J28">
            <v>127.84989947</v>
          </cell>
          <cell r="K28">
            <v>288.17807862000001</v>
          </cell>
          <cell r="P28">
            <v>413.35016881000001</v>
          </cell>
          <cell r="U28">
            <v>754.58253206999996</v>
          </cell>
          <cell r="Z28">
            <v>1125.23812432</v>
          </cell>
          <cell r="AE28">
            <v>1351.7234439947899</v>
          </cell>
          <cell r="AJ28">
            <v>1873.1962476082799</v>
          </cell>
          <cell r="AK28">
            <v>2265.0040786929899</v>
          </cell>
          <cell r="AL28">
            <v>2711.1909104922702</v>
          </cell>
          <cell r="AM28">
            <v>3339.4765573743998</v>
          </cell>
          <cell r="AN28">
            <v>3927.2921532965102</v>
          </cell>
          <cell r="AO28">
            <v>4417.2093642968002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-1.0538964399999999</v>
          </cell>
          <cell r="G34">
            <v>-1.92176418</v>
          </cell>
          <cell r="Z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68.113502120000007</v>
          </cell>
          <cell r="G37">
            <v>28.930691679999999</v>
          </cell>
          <cell r="H37">
            <v>88.49149568</v>
          </cell>
          <cell r="I37">
            <v>414.45890890999999</v>
          </cell>
          <cell r="J37">
            <v>479.42427218</v>
          </cell>
          <cell r="K37">
            <v>720.23049182</v>
          </cell>
          <cell r="P37">
            <v>502.55843515999999</v>
          </cell>
          <cell r="U37">
            <v>909.48308077000002</v>
          </cell>
          <cell r="Z37">
            <v>1818.5888752400001</v>
          </cell>
          <cell r="AE37">
            <v>1001.21416587411</v>
          </cell>
          <cell r="AJ37">
            <v>926.88879486143105</v>
          </cell>
          <cell r="AK37">
            <v>1083.02236555892</v>
          </cell>
          <cell r="AL37">
            <v>1578.8596722703001</v>
          </cell>
          <cell r="AM37">
            <v>3647.8148399632</v>
          </cell>
          <cell r="AN37">
            <v>5291.20159651014</v>
          </cell>
          <cell r="AO37">
            <v>7479.5371209964997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98.940125440000003</v>
          </cell>
          <cell r="G38">
            <v>152.87501144999999</v>
          </cell>
          <cell r="H38">
            <v>129.39590899999999</v>
          </cell>
          <cell r="I38">
            <v>180.05872102000001</v>
          </cell>
          <cell r="J38">
            <v>293.10562805000001</v>
          </cell>
          <cell r="K38">
            <v>432.66812188</v>
          </cell>
          <cell r="P38">
            <v>746.37481658000002</v>
          </cell>
          <cell r="U38">
            <v>1088.81452638</v>
          </cell>
          <cell r="Z38">
            <v>2317.2239103000002</v>
          </cell>
          <cell r="AE38">
            <v>3878.7831718549101</v>
          </cell>
          <cell r="AJ38">
            <v>5233.0988350122598</v>
          </cell>
          <cell r="AK38">
            <v>6644.0773669735199</v>
          </cell>
          <cell r="AL38">
            <v>8082.1617408547399</v>
          </cell>
          <cell r="AM38">
            <v>8350.47571863542</v>
          </cell>
          <cell r="AN38">
            <v>9726.5552046988796</v>
          </cell>
          <cell r="AO38">
            <v>10853.6879646368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85.66114863</v>
          </cell>
          <cell r="G39">
            <v>68.346451509999994</v>
          </cell>
          <cell r="H39">
            <v>93.540424439999995</v>
          </cell>
          <cell r="I39">
            <v>139.64226181999999</v>
          </cell>
          <cell r="J39">
            <v>233.10417959</v>
          </cell>
          <cell r="K39">
            <v>373.59765845999999</v>
          </cell>
          <cell r="P39">
            <v>605.10300318999998</v>
          </cell>
          <cell r="U39">
            <v>711.21568998999999</v>
          </cell>
          <cell r="Z39">
            <v>990.44867004000002</v>
          </cell>
          <cell r="AE39">
            <v>1759.3077652939301</v>
          </cell>
          <cell r="AJ39">
            <v>2398.6388472715398</v>
          </cell>
          <cell r="AK39">
            <v>3084.7033045303501</v>
          </cell>
          <cell r="AL39">
            <v>3787.0517523390599</v>
          </cell>
          <cell r="AM39">
            <v>3273.0714502406099</v>
          </cell>
          <cell r="AN39">
            <v>3828.6016953461399</v>
          </cell>
          <cell r="AO39">
            <v>4288.1936836963896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4.5689257599999999</v>
          </cell>
          <cell r="G40">
            <v>2.0017741</v>
          </cell>
          <cell r="H40">
            <v>3.3218275099999999</v>
          </cell>
          <cell r="I40">
            <v>3.11127501</v>
          </cell>
          <cell r="J40">
            <v>8.2824490999999991</v>
          </cell>
          <cell r="K40">
            <v>15.721867230000001</v>
          </cell>
          <cell r="P40">
            <v>12.62944085</v>
          </cell>
          <cell r="U40">
            <v>10.95283863</v>
          </cell>
          <cell r="Z40">
            <v>48.388183189999999</v>
          </cell>
          <cell r="AE40">
            <v>48.388183189999999</v>
          </cell>
          <cell r="AJ40">
            <v>48.388183189999999</v>
          </cell>
          <cell r="AK40">
            <v>48.388183189999999</v>
          </cell>
          <cell r="AL40">
            <v>48.388183189999999</v>
          </cell>
          <cell r="AM40">
            <v>913.24114331999999</v>
          </cell>
          <cell r="AN40">
            <v>913.24114332000295</v>
          </cell>
          <cell r="AO40">
            <v>913.24114331999795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257.28370195000002</v>
          </cell>
          <cell r="G41">
            <v>252.15392874</v>
          </cell>
          <cell r="H41">
            <v>314.74965663</v>
          </cell>
          <cell r="I41">
            <v>737.27116676000003</v>
          </cell>
          <cell r="J41">
            <v>1013.91652892</v>
          </cell>
          <cell r="K41">
            <v>1542.21813939</v>
          </cell>
          <cell r="P41">
            <v>1866.6656957800001</v>
          </cell>
          <cell r="U41">
            <v>2720.4661357700002</v>
          </cell>
          <cell r="Z41">
            <v>5174.6496387699999</v>
          </cell>
          <cell r="AE41">
            <v>6687.6932862129497</v>
          </cell>
          <cell r="AJ41">
            <v>8607.0146603352405</v>
          </cell>
          <cell r="AK41">
            <v>10860.1912202528</v>
          </cell>
          <cell r="AL41">
            <v>13496.4613486541</v>
          </cell>
          <cell r="AM41">
            <v>16184.603152159199</v>
          </cell>
          <cell r="AN41">
            <v>19759.5996398752</v>
          </cell>
          <cell r="AO41">
            <v>23534.659912649699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45.910122579999999</v>
          </cell>
          <cell r="G42">
            <v>41.774762289999998</v>
          </cell>
          <cell r="H42">
            <v>55.846649040000003</v>
          </cell>
          <cell r="I42">
            <v>88.987970689999997</v>
          </cell>
          <cell r="J42">
            <v>94.816618270000006</v>
          </cell>
          <cell r="K42">
            <v>129.65052043</v>
          </cell>
          <cell r="P42">
            <v>268.16252716999998</v>
          </cell>
          <cell r="U42">
            <v>422.24981788000002</v>
          </cell>
          <cell r="Z42">
            <v>567.81401462999997</v>
          </cell>
          <cell r="AE42">
            <v>731.94361530410595</v>
          </cell>
          <cell r="AJ42">
            <v>1039.46743376427</v>
          </cell>
          <cell r="AK42">
            <v>1364.83424898764</v>
          </cell>
          <cell r="AL42">
            <v>1681.4671935483</v>
          </cell>
          <cell r="AM42">
            <v>2134.2658672417001</v>
          </cell>
          <cell r="AN42">
            <v>2570.7966833523701</v>
          </cell>
          <cell r="AO42">
            <v>3057.9135675216598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P43">
            <v>0</v>
          </cell>
          <cell r="U43">
            <v>0</v>
          </cell>
          <cell r="Z43">
            <v>0</v>
          </cell>
          <cell r="AE43">
            <v>-44.584215121611003</v>
          </cell>
          <cell r="AJ43">
            <v>-101.705268228655</v>
          </cell>
          <cell r="AK43">
            <v>-170.28983535306099</v>
          </cell>
          <cell r="AL43">
            <v>-248.116966514079</v>
          </cell>
          <cell r="AM43">
            <v>-587.08907712471103</v>
          </cell>
          <cell r="AN43">
            <v>-728.78247756954397</v>
          </cell>
          <cell r="AO43">
            <v>-895.14898399469496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45.910122579999999</v>
          </cell>
          <cell r="G44">
            <v>41.774762289999998</v>
          </cell>
          <cell r="H44">
            <v>55.846649040000003</v>
          </cell>
          <cell r="I44">
            <v>88.987970689999997</v>
          </cell>
          <cell r="J44">
            <v>94.816618270000006</v>
          </cell>
          <cell r="K44">
            <v>129.65052043</v>
          </cell>
          <cell r="P44">
            <v>268.16252716999998</v>
          </cell>
          <cell r="U44">
            <v>422.24981788000002</v>
          </cell>
          <cell r="Z44">
            <v>567.81401462999997</v>
          </cell>
          <cell r="AE44">
            <v>687.35940018249505</v>
          </cell>
          <cell r="AJ44">
            <v>937.76216553561903</v>
          </cell>
          <cell r="AK44">
            <v>1194.54441363458</v>
          </cell>
          <cell r="AL44">
            <v>1433.3502270342201</v>
          </cell>
          <cell r="AM44">
            <v>1547.1767901169801</v>
          </cell>
          <cell r="AN44">
            <v>1842.01420578283</v>
          </cell>
          <cell r="AO44">
            <v>2162.76458352697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3.8650135799999998</v>
          </cell>
          <cell r="G45">
            <v>3.8476229200000001</v>
          </cell>
          <cell r="H45">
            <v>7.3914292100000001</v>
          </cell>
          <cell r="I45">
            <v>36.59588411</v>
          </cell>
          <cell r="J45">
            <v>38.07020438</v>
          </cell>
          <cell r="K45">
            <v>34.139008359999998</v>
          </cell>
          <cell r="P45">
            <v>35.171642669999997</v>
          </cell>
          <cell r="U45">
            <v>38.116020820000003</v>
          </cell>
          <cell r="Z45">
            <v>33.724863360000001</v>
          </cell>
          <cell r="AE45">
            <v>33.724863360000001</v>
          </cell>
          <cell r="AJ45">
            <v>33.724863360000001</v>
          </cell>
          <cell r="AK45">
            <v>33.724863360000001</v>
          </cell>
          <cell r="AL45">
            <v>33.724863360000001</v>
          </cell>
          <cell r="AM45">
            <v>63.76082727</v>
          </cell>
          <cell r="AN45">
            <v>63.76082727</v>
          </cell>
          <cell r="AO45">
            <v>63.76082727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I46">
            <v>-1.3012694600000001</v>
          </cell>
          <cell r="J46">
            <v>-4.0082376899999996</v>
          </cell>
          <cell r="K46">
            <v>-8.3807499399999994</v>
          </cell>
          <cell r="P46">
            <v>-13.327346370000001</v>
          </cell>
          <cell r="U46">
            <v>-18.921661019999998</v>
          </cell>
          <cell r="Z46">
            <v>0</v>
          </cell>
          <cell r="AE46">
            <v>-5.6523081599999996</v>
          </cell>
          <cell r="AJ46">
            <v>-10.35728594257</v>
          </cell>
          <cell r="AK46">
            <v>-14.273706510566001</v>
          </cell>
          <cell r="AL46">
            <v>-17.533732545597999</v>
          </cell>
          <cell r="AM46">
            <v>-42.200716939593001</v>
          </cell>
          <cell r="AN46">
            <v>-44.425303701487998</v>
          </cell>
          <cell r="AO46">
            <v>-46.420356097122003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3.8650135799999998</v>
          </cell>
          <cell r="G47">
            <v>3.8476229200000001</v>
          </cell>
          <cell r="H47">
            <v>7.3914292100000001</v>
          </cell>
          <cell r="I47">
            <v>36.59588411</v>
          </cell>
          <cell r="J47">
            <v>38.07020438</v>
          </cell>
          <cell r="K47">
            <v>34.139008359999998</v>
          </cell>
          <cell r="P47">
            <v>35.171642669999997</v>
          </cell>
          <cell r="U47">
            <v>38.116020820000003</v>
          </cell>
          <cell r="Z47">
            <v>33.724863360000001</v>
          </cell>
          <cell r="AE47">
            <v>28.0725552</v>
          </cell>
          <cell r="AJ47">
            <v>23.367577417429999</v>
          </cell>
          <cell r="AK47">
            <v>19.451156849434</v>
          </cell>
          <cell r="AL47">
            <v>16.191130814402001</v>
          </cell>
          <cell r="AM47">
            <v>21.560110330406999</v>
          </cell>
          <cell r="AN47">
            <v>19.335523568511999</v>
          </cell>
          <cell r="AO47">
            <v>17.340471172878001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G49">
            <v>0.3</v>
          </cell>
          <cell r="J49">
            <v>10</v>
          </cell>
          <cell r="K49">
            <v>65.72346435</v>
          </cell>
          <cell r="P49">
            <v>89.374435230000003</v>
          </cell>
          <cell r="U49">
            <v>198.99504565999999</v>
          </cell>
          <cell r="Z49">
            <v>160.07167533000001</v>
          </cell>
          <cell r="AE49">
            <v>160.07167533000001</v>
          </cell>
          <cell r="AJ49">
            <v>160.07167533000001</v>
          </cell>
          <cell r="AK49">
            <v>160.07167533000001</v>
          </cell>
          <cell r="AL49">
            <v>160.07167533000001</v>
          </cell>
          <cell r="AM49">
            <v>410.69054713999998</v>
          </cell>
          <cell r="AN49">
            <v>410.69054713999998</v>
          </cell>
          <cell r="AO49">
            <v>410.69054713999998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0.30829299999999998</v>
          </cell>
          <cell r="G50">
            <v>0.89054100000000003</v>
          </cell>
          <cell r="H50">
            <v>1.29148383</v>
          </cell>
          <cell r="I50">
            <v>1.9380031</v>
          </cell>
          <cell r="J50">
            <v>3.35492641</v>
          </cell>
          <cell r="K50">
            <v>5.8560677200000004</v>
          </cell>
          <cell r="P50">
            <v>9.7186348700000007</v>
          </cell>
          <cell r="U50">
            <v>17.604108539999999</v>
          </cell>
          <cell r="Z50">
            <v>91.257672250000994</v>
          </cell>
          <cell r="AE50">
            <v>91.257672249999999</v>
          </cell>
          <cell r="AJ50">
            <v>91.257672249999999</v>
          </cell>
          <cell r="AK50">
            <v>91.257672250000994</v>
          </cell>
          <cell r="AL50">
            <v>91.257672249999004</v>
          </cell>
          <cell r="AM50">
            <v>86.125060399999995</v>
          </cell>
          <cell r="AN50">
            <v>86.125060400001999</v>
          </cell>
          <cell r="AO50">
            <v>86.125060400001004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307.36713147</v>
          </cell>
          <cell r="G51">
            <v>298.96685495000003</v>
          </cell>
          <cell r="H51">
            <v>379.27921871000001</v>
          </cell>
          <cell r="I51">
            <v>864.79302466000001</v>
          </cell>
          <cell r="J51">
            <v>1160.1582779800001</v>
          </cell>
          <cell r="K51">
            <v>1777.58720025</v>
          </cell>
          <cell r="P51">
            <v>2269.0929357199998</v>
          </cell>
          <cell r="U51">
            <v>3397.4311286699999</v>
          </cell>
          <cell r="Z51">
            <v>6027.5178643400004</v>
          </cell>
          <cell r="AE51">
            <v>7654.4545891754397</v>
          </cell>
          <cell r="AJ51">
            <v>9819.4737508682902</v>
          </cell>
          <cell r="AK51">
            <v>12325.5161383168</v>
          </cell>
          <cell r="AL51">
            <v>15197.332054082701</v>
          </cell>
          <cell r="AM51">
            <v>18250.1556601466</v>
          </cell>
          <cell r="AN51">
            <v>22117.764976766499</v>
          </cell>
          <cell r="AO51">
            <v>26211.5805748895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128.80417589000001</v>
          </cell>
          <cell r="G52">
            <v>110.13432182</v>
          </cell>
          <cell r="H52">
            <v>114.07208964</v>
          </cell>
          <cell r="I52">
            <v>116.11292237000001</v>
          </cell>
          <cell r="J52">
            <v>227.12790128</v>
          </cell>
          <cell r="K52">
            <v>357.47912173999998</v>
          </cell>
          <cell r="P52">
            <v>613.17156597999997</v>
          </cell>
          <cell r="U52">
            <v>792.10615414999995</v>
          </cell>
          <cell r="Z52">
            <v>1387.54044935</v>
          </cell>
          <cell r="AE52">
            <v>1847.4078585606601</v>
          </cell>
          <cell r="AJ52">
            <v>2518.75444633077</v>
          </cell>
          <cell r="AK52">
            <v>3239.1746563827101</v>
          </cell>
          <cell r="AL52">
            <v>3976.69430332914</v>
          </cell>
          <cell r="AM52">
            <v>4618.1408306753901</v>
          </cell>
          <cell r="AN52">
            <v>5401.9663433779597</v>
          </cell>
          <cell r="AO52">
            <v>6050.4277531328698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30</v>
          </cell>
          <cell r="G53">
            <v>25</v>
          </cell>
          <cell r="H53">
            <v>12.304600000000001</v>
          </cell>
          <cell r="J53">
            <v>65.028175809999993</v>
          </cell>
          <cell r="K53">
            <v>147.17670267</v>
          </cell>
          <cell r="P53">
            <v>37.805399999999999</v>
          </cell>
          <cell r="U53">
            <v>216.00910024000001</v>
          </cell>
          <cell r="Z53">
            <v>42.6783</v>
          </cell>
          <cell r="AE53">
            <v>42.6783</v>
          </cell>
          <cell r="AJ53">
            <v>42.6783</v>
          </cell>
          <cell r="AK53">
            <v>42.6783</v>
          </cell>
          <cell r="AL53">
            <v>42.6783</v>
          </cell>
          <cell r="AM53">
            <v>197.15577794000001</v>
          </cell>
          <cell r="AN53">
            <v>197.15577794000001</v>
          </cell>
          <cell r="AO53">
            <v>197.15577794000001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1.8854625599999999</v>
          </cell>
          <cell r="G54">
            <v>20.278332670000001</v>
          </cell>
          <cell r="H54">
            <v>23.110844929999999</v>
          </cell>
          <cell r="I54">
            <v>22.460225000000001</v>
          </cell>
          <cell r="J54">
            <v>39.724771019999999</v>
          </cell>
          <cell r="K54">
            <v>91.256840209999993</v>
          </cell>
          <cell r="P54">
            <v>96.947015480000005</v>
          </cell>
          <cell r="U54">
            <v>228.66978230000001</v>
          </cell>
          <cell r="Z54">
            <v>398.15027105000001</v>
          </cell>
          <cell r="AE54">
            <v>474.23022405471801</v>
          </cell>
          <cell r="AJ54">
            <v>534.90766855711797</v>
          </cell>
          <cell r="AK54">
            <v>587.80172575355402</v>
          </cell>
          <cell r="AL54">
            <v>648.03694804645704</v>
          </cell>
          <cell r="AM54">
            <v>739.96000966954398</v>
          </cell>
          <cell r="AN54">
            <v>819.31511511903</v>
          </cell>
          <cell r="AO54">
            <v>885.45393860406796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160.68963844999999</v>
          </cell>
          <cell r="G55">
            <v>155.41265448999999</v>
          </cell>
          <cell r="H55">
            <v>149.48753457000001</v>
          </cell>
          <cell r="I55">
            <v>138.57314736999999</v>
          </cell>
          <cell r="J55">
            <v>331.88084810999999</v>
          </cell>
          <cell r="K55">
            <v>595.91266461999999</v>
          </cell>
          <cell r="P55">
            <v>747.92398146000005</v>
          </cell>
          <cell r="U55">
            <v>1236.78503669</v>
          </cell>
          <cell r="Z55">
            <v>1828.3690204</v>
          </cell>
          <cell r="AE55">
            <v>2364.31638261538</v>
          </cell>
          <cell r="AJ55">
            <v>3096.3404148878799</v>
          </cell>
          <cell r="AK55">
            <v>3869.6546821362699</v>
          </cell>
          <cell r="AL55">
            <v>4667.4095513756001</v>
          </cell>
          <cell r="AM55">
            <v>5555.2566182849396</v>
          </cell>
          <cell r="AN55">
            <v>6418.4372364369901</v>
          </cell>
          <cell r="AO55">
            <v>7133.0374696769404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H57">
            <v>0.53934362999999996</v>
          </cell>
          <cell r="K57">
            <v>7.3267273900000003</v>
          </cell>
          <cell r="P57">
            <v>6.2927089299999999</v>
          </cell>
          <cell r="U57">
            <v>12.993031480000001</v>
          </cell>
          <cell r="Z57">
            <v>25.269367710000001</v>
          </cell>
          <cell r="AE57">
            <v>25.269367710000001</v>
          </cell>
          <cell r="AJ57">
            <v>25.269367710000001</v>
          </cell>
          <cell r="AK57">
            <v>25.269367710000001</v>
          </cell>
          <cell r="AL57">
            <v>25.269367710000001</v>
          </cell>
          <cell r="AM57">
            <v>395.98862907</v>
          </cell>
          <cell r="AN57">
            <v>395.98862907</v>
          </cell>
          <cell r="AO57">
            <v>395.98862907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0</v>
          </cell>
          <cell r="G58">
            <v>0</v>
          </cell>
          <cell r="H58">
            <v>0.53934362999999996</v>
          </cell>
          <cell r="I58">
            <v>0</v>
          </cell>
          <cell r="J58">
            <v>0</v>
          </cell>
          <cell r="K58">
            <v>7.3267273900000003</v>
          </cell>
          <cell r="P58">
            <v>6.2927089299999999</v>
          </cell>
          <cell r="U58">
            <v>12.993031480000001</v>
          </cell>
          <cell r="Z58">
            <v>25.269367710000001</v>
          </cell>
          <cell r="AE58">
            <v>25.269367710000001</v>
          </cell>
          <cell r="AJ58">
            <v>25.269367710000001</v>
          </cell>
          <cell r="AK58">
            <v>25.269367710000001</v>
          </cell>
          <cell r="AL58">
            <v>25.269367710000001</v>
          </cell>
          <cell r="AM58">
            <v>395.98862907</v>
          </cell>
          <cell r="AN58">
            <v>395.98862907</v>
          </cell>
          <cell r="AO58">
            <v>395.98862907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160.68963844999999</v>
          </cell>
          <cell r="G59">
            <v>155.41265448999999</v>
          </cell>
          <cell r="H59">
            <v>150.0268782</v>
          </cell>
          <cell r="I59">
            <v>138.57314736999999</v>
          </cell>
          <cell r="J59">
            <v>331.88084810999999</v>
          </cell>
          <cell r="K59">
            <v>603.23939200999996</v>
          </cell>
          <cell r="P59">
            <v>754.21669039000005</v>
          </cell>
          <cell r="U59">
            <v>1249.7780681700001</v>
          </cell>
          <cell r="Z59">
            <v>1853.6383881100001</v>
          </cell>
          <cell r="AE59">
            <v>2389.5857503253801</v>
          </cell>
          <cell r="AJ59">
            <v>3121.60978259788</v>
          </cell>
          <cell r="AK59">
            <v>3894.92404984627</v>
          </cell>
          <cell r="AL59">
            <v>4692.6789190855998</v>
          </cell>
          <cell r="AM59">
            <v>5951.2452473549401</v>
          </cell>
          <cell r="AN59">
            <v>6814.4258655069898</v>
          </cell>
          <cell r="AO59">
            <v>7529.0260987469401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135.58822713000001</v>
          </cell>
          <cell r="G61">
            <v>143.31673927</v>
          </cell>
          <cell r="H61">
            <v>229.06426304999999</v>
          </cell>
          <cell r="I61">
            <v>726.12039951999998</v>
          </cell>
          <cell r="J61">
            <v>828.27742986999999</v>
          </cell>
          <cell r="K61">
            <v>1173.11078241</v>
          </cell>
          <cell r="P61">
            <v>1505.86149389</v>
          </cell>
          <cell r="U61">
            <v>2142.1422199499998</v>
          </cell>
          <cell r="Z61">
            <v>4168.5880685100001</v>
          </cell>
          <cell r="AE61">
            <v>5257.7443457500704</v>
          </cell>
          <cell r="AJ61">
            <v>6690.7394751703996</v>
          </cell>
          <cell r="AK61">
            <v>8423.4675953705391</v>
          </cell>
          <cell r="AL61">
            <v>10497.528641897101</v>
          </cell>
          <cell r="AM61">
            <v>12289.194262721699</v>
          </cell>
          <cell r="AN61">
            <v>15293.288286549499</v>
          </cell>
          <cell r="AO61">
            <v>18672.1689767926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11.05736589</v>
          </cell>
          <cell r="G62">
            <v>0.23746118999999999</v>
          </cell>
          <cell r="H62">
            <v>0.18807746</v>
          </cell>
          <cell r="I62">
            <v>9.9477769999999993E-2</v>
          </cell>
          <cell r="K62">
            <v>1.2370258300000001</v>
          </cell>
          <cell r="P62">
            <v>9.0147514399999995</v>
          </cell>
          <cell r="U62">
            <v>5.5108405500000002</v>
          </cell>
          <cell r="Z62">
            <v>5.2914077199999996</v>
          </cell>
          <cell r="AE62">
            <v>7.1244930999999996</v>
          </cell>
          <cell r="AJ62">
            <v>7.1244930999999996</v>
          </cell>
          <cell r="AK62">
            <v>7.1244930999999996</v>
          </cell>
          <cell r="AL62">
            <v>7.1244930999999996</v>
          </cell>
          <cell r="AM62">
            <v>9.7161500699999994</v>
          </cell>
          <cell r="AN62">
            <v>10.050824710000001</v>
          </cell>
          <cell r="AO62">
            <v>10.38549935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146.64559302000001</v>
          </cell>
          <cell r="G63">
            <v>143.55420046</v>
          </cell>
          <cell r="H63">
            <v>229.25234051000001</v>
          </cell>
          <cell r="I63">
            <v>726.21987729</v>
          </cell>
          <cell r="J63">
            <v>828.27742986999999</v>
          </cell>
          <cell r="K63">
            <v>1174.3478082399999</v>
          </cell>
          <cell r="P63">
            <v>1514.8762453300001</v>
          </cell>
          <cell r="U63">
            <v>2147.6530604999998</v>
          </cell>
          <cell r="Z63">
            <v>4173.8794762300004</v>
          </cell>
          <cell r="AE63">
            <v>5264.8688388500696</v>
          </cell>
          <cell r="AJ63">
            <v>6697.8639682703997</v>
          </cell>
          <cell r="AK63">
            <v>8430.5920884705392</v>
          </cell>
          <cell r="AL63">
            <v>10504.653134997099</v>
          </cell>
          <cell r="AM63">
            <v>12298.9104127917</v>
          </cell>
          <cell r="AN63">
            <v>15303.3391112595</v>
          </cell>
          <cell r="AO63">
            <v>18682.554476142599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307.33523147</v>
          </cell>
          <cell r="G64">
            <v>298.96685495000003</v>
          </cell>
          <cell r="H64">
            <v>379.27921871000001</v>
          </cell>
          <cell r="I64">
            <v>864.79302466000001</v>
          </cell>
          <cell r="J64">
            <v>1160.1582779800001</v>
          </cell>
          <cell r="K64">
            <v>1777.58720025</v>
          </cell>
          <cell r="P64">
            <v>2269.0929357199998</v>
          </cell>
          <cell r="U64">
            <v>3397.4311286699999</v>
          </cell>
          <cell r="Z64">
            <v>6027.5178643400004</v>
          </cell>
          <cell r="AE64">
            <v>7654.4545891754397</v>
          </cell>
          <cell r="AJ64">
            <v>9819.4737508682902</v>
          </cell>
          <cell r="AK64">
            <v>12325.5161383168</v>
          </cell>
          <cell r="AL64">
            <v>15197.332054082701</v>
          </cell>
          <cell r="AM64">
            <v>18250.1556601466</v>
          </cell>
          <cell r="AN64">
            <v>22117.764976766499</v>
          </cell>
          <cell r="AO64">
            <v>26211.5805748895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-38.11350212</v>
          </cell>
          <cell r="G66">
            <v>-3.9306916799999998</v>
          </cell>
          <cell r="H66">
            <v>-76.186895680000006</v>
          </cell>
          <cell r="I66">
            <v>-414.45890890999999</v>
          </cell>
          <cell r="J66">
            <v>-414.39609637000001</v>
          </cell>
          <cell r="K66">
            <v>-573.05378914999994</v>
          </cell>
          <cell r="P66">
            <v>-464.75303516000002</v>
          </cell>
          <cell r="U66">
            <v>-693.47398052999995</v>
          </cell>
          <cell r="Z66">
            <v>-1775.9105752400001</v>
          </cell>
          <cell r="AE66">
            <v>-958.53586587411201</v>
          </cell>
          <cell r="AJ66">
            <v>-884.21049486143102</v>
          </cell>
          <cell r="AK66">
            <v>-1040.34406555892</v>
          </cell>
          <cell r="AL66">
            <v>-1536.1813722703</v>
          </cell>
          <cell r="AM66">
            <v>-3450.6590620232</v>
          </cell>
          <cell r="AN66">
            <v>-5094.04581857014</v>
          </cell>
          <cell r="AO66">
            <v>-7282.3813430564996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U71">
            <v>0</v>
          </cell>
          <cell r="Z71">
            <v>0</v>
          </cell>
          <cell r="AE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-3.8650135799999998</v>
          </cell>
          <cell r="G75">
            <v>-3.8476229200000001</v>
          </cell>
          <cell r="H75">
            <v>-7.3914292100000001</v>
          </cell>
          <cell r="I75">
            <v>-36.59588411</v>
          </cell>
          <cell r="J75">
            <v>-38.07020438</v>
          </cell>
          <cell r="K75">
            <v>-34.139008359999998</v>
          </cell>
          <cell r="P75">
            <v>-35.171642669999997</v>
          </cell>
          <cell r="U75">
            <v>-38.116020820000003</v>
          </cell>
          <cell r="Z75">
            <v>-33.724863360000001</v>
          </cell>
          <cell r="AE75">
            <v>-28.0725552</v>
          </cell>
          <cell r="AJ75">
            <v>-23.367577417429999</v>
          </cell>
          <cell r="AK75">
            <v>-19.451156849434</v>
          </cell>
          <cell r="AL75">
            <v>-16.191130814402001</v>
          </cell>
          <cell r="AM75">
            <v>-21.560110330406999</v>
          </cell>
          <cell r="AN75">
            <v>-19.335523568511999</v>
          </cell>
          <cell r="AO75">
            <v>-17.340471172878001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11.05736589</v>
          </cell>
          <cell r="G78">
            <v>0.23746118999999999</v>
          </cell>
          <cell r="H78">
            <v>0.18807746</v>
          </cell>
          <cell r="I78">
            <v>9.9477769999999993E-2</v>
          </cell>
          <cell r="K78">
            <v>1.2370258300000001</v>
          </cell>
          <cell r="P78">
            <v>9.0147514399999995</v>
          </cell>
          <cell r="U78">
            <v>5.5108405500000002</v>
          </cell>
          <cell r="Z78">
            <v>5.2914077199999996</v>
          </cell>
          <cell r="AE78">
            <v>7.1244930999999996</v>
          </cell>
          <cell r="AJ78">
            <v>7.1244930999999996</v>
          </cell>
          <cell r="AK78">
            <v>7.1244930999999996</v>
          </cell>
          <cell r="AL78">
            <v>7.1244930999999996</v>
          </cell>
          <cell r="AM78">
            <v>9.7161500699999994</v>
          </cell>
          <cell r="AN78">
            <v>10.050824710000001</v>
          </cell>
          <cell r="AO78">
            <v>10.38549935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3.8485741899999999</v>
          </cell>
          <cell r="G80">
            <v>1.0227108199999999</v>
          </cell>
          <cell r="H80">
            <v>2.555501E-2</v>
          </cell>
          <cell r="I80">
            <v>-8.8599689999999995E-2</v>
          </cell>
          <cell r="J80">
            <v>-7.7453099999999997E-2</v>
          </cell>
          <cell r="K80">
            <v>-0.66297417000000003</v>
          </cell>
          <cell r="P80">
            <v>-2.4222743900000001</v>
          </cell>
          <cell r="U80">
            <v>-3.5039108899999998</v>
          </cell>
          <cell r="Z80">
            <v>-0.78318717999999998</v>
          </cell>
          <cell r="AE80">
            <v>1.83308538</v>
          </cell>
          <cell r="AJ80">
            <v>0</v>
          </cell>
          <cell r="AK80">
            <v>0</v>
          </cell>
          <cell r="AL80">
            <v>0.33467464000000002</v>
          </cell>
          <cell r="AM80">
            <v>0.33467464000000002</v>
          </cell>
          <cell r="AN80">
            <v>0.33467464000000002</v>
          </cell>
          <cell r="AO80">
            <v>0.33467464000000002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2.9816225200000002</v>
          </cell>
          <cell r="G81">
            <v>7.0580154000000004</v>
          </cell>
          <cell r="H81">
            <v>5.0444361999999998</v>
          </cell>
          <cell r="I81">
            <v>8.3881488399999995</v>
          </cell>
          <cell r="J81">
            <v>13.920104520000001</v>
          </cell>
          <cell r="K81">
            <v>18.901311580000002</v>
          </cell>
          <cell r="P81">
            <v>26.071329739999999</v>
          </cell>
          <cell r="U81">
            <v>36.306427640000003</v>
          </cell>
          <cell r="Z81">
            <v>46.423969999999997</v>
          </cell>
          <cell r="AE81">
            <v>50.236523281610999</v>
          </cell>
          <cell r="AJ81">
            <v>61.826030889614003</v>
          </cell>
          <cell r="AK81">
            <v>72.500987692403001</v>
          </cell>
          <cell r="AL81">
            <v>81.087157196050001</v>
          </cell>
          <cell r="AM81">
            <v>121.494128709584</v>
          </cell>
          <cell r="AN81">
            <v>143.91798720672799</v>
          </cell>
          <cell r="AO81">
            <v>168.361558820786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-29.431153869999999</v>
          </cell>
          <cell r="G82">
            <v>-91.513802560000002</v>
          </cell>
          <cell r="H82">
            <v>2.2228973399999998</v>
          </cell>
          <cell r="I82">
            <v>-94.723816670000005</v>
          </cell>
          <cell r="J82">
            <v>-95.493845890000003</v>
          </cell>
          <cell r="K82">
            <v>-149.70475224</v>
          </cell>
          <cell r="P82">
            <v>-289.51959519000002</v>
          </cell>
          <cell r="U82">
            <v>-269.61780843000003</v>
          </cell>
          <cell r="Z82">
            <v>-912.20806876999995</v>
          </cell>
          <cell r="AE82">
            <v>-1870.5509475981801</v>
          </cell>
          <cell r="AJ82">
            <v>-1322.3001573648601</v>
          </cell>
          <cell r="AK82">
            <v>-1376.6227791681199</v>
          </cell>
          <cell r="AL82">
            <v>-1402.9131747434999</v>
          </cell>
          <cell r="AM82">
            <v>-1265.3105193567701</v>
          </cell>
          <cell r="AN82">
            <v>-1147.78421846643</v>
          </cell>
          <cell r="AO82">
            <v>-938.26333853322501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4.3066186999999996</v>
          </cell>
          <cell r="G83">
            <v>6.4846400099999997</v>
          </cell>
          <cell r="H83">
            <v>-25.242427589999998</v>
          </cell>
          <cell r="I83">
            <v>-15.03587463</v>
          </cell>
          <cell r="J83">
            <v>10.865996279999999</v>
          </cell>
          <cell r="K83">
            <v>-5.2638098600000003</v>
          </cell>
          <cell r="P83">
            <v>-37.893349630000003</v>
          </cell>
          <cell r="U83">
            <v>18.57324285</v>
          </cell>
          <cell r="Z83">
            <v>92.120591149999996</v>
          </cell>
          <cell r="AE83">
            <v>-412.24781650999898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23.61727926</v>
          </cell>
          <cell r="G84">
            <v>-29.22066019</v>
          </cell>
          <cell r="H84">
            <v>67.798720739999993</v>
          </cell>
          <cell r="I84">
            <v>2.6667184800000001</v>
          </cell>
          <cell r="J84">
            <v>46.401832159999998</v>
          </cell>
          <cell r="K84">
            <v>123.56436127000001</v>
          </cell>
          <cell r="P84">
            <v>74.219234049999997</v>
          </cell>
          <cell r="U84">
            <v>481.91309622</v>
          </cell>
          <cell r="Z84">
            <v>356.47522070999997</v>
          </cell>
          <cell r="AE84">
            <v>-537.12101277178203</v>
          </cell>
          <cell r="AJ84">
            <v>425.40249637220501</v>
          </cell>
          <cell r="AK84">
            <v>734.38187934797895</v>
          </cell>
          <cell r="AL84">
            <v>1118.2458018955899</v>
          </cell>
          <cell r="AM84">
            <v>1861.71251098977</v>
          </cell>
          <cell r="AN84">
            <v>2530.69670670716</v>
          </cell>
          <cell r="AO84">
            <v>3205.58664815468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-28.426742109999999</v>
          </cell>
          <cell r="G85">
            <v>-13.557954130000001</v>
          </cell>
          <cell r="H85">
            <v>-20.7456095</v>
          </cell>
          <cell r="I85">
            <v>-36.231357959999997</v>
          </cell>
          <cell r="J85">
            <v>-22.038243179999998</v>
          </cell>
          <cell r="K85">
            <v>-29.366658869999998</v>
          </cell>
          <cell r="P85">
            <v>-107.84694093</v>
          </cell>
          <cell r="U85">
            <v>-181.12520230000001</v>
          </cell>
          <cell r="Z85">
            <v>-165.55939695000001</v>
          </cell>
          <cell r="AE85">
            <v>-164.129600674106</v>
          </cell>
          <cell r="AJ85">
            <v>-307.523818460168</v>
          </cell>
          <cell r="AK85">
            <v>-325.36681522336897</v>
          </cell>
          <cell r="AL85">
            <v>-316.63294456065898</v>
          </cell>
          <cell r="AM85">
            <v>-374.77194172581301</v>
          </cell>
          <cell r="AN85">
            <v>-436.53081611067699</v>
          </cell>
          <cell r="AO85">
            <v>-487.11688416929201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0.69875783000000002</v>
          </cell>
          <cell r="G87">
            <v>1.6467703899999999</v>
          </cell>
          <cell r="H87">
            <v>0.67352224999999999</v>
          </cell>
          <cell r="I87">
            <v>0.19431406000000001</v>
          </cell>
          <cell r="J87">
            <v>0.52437992</v>
          </cell>
          <cell r="K87">
            <v>0.77531474</v>
          </cell>
          <cell r="P87">
            <v>1.19791614</v>
          </cell>
          <cell r="U87">
            <v>0.74860400999999999</v>
          </cell>
          <cell r="Z87">
            <v>1.3380542600000001</v>
          </cell>
          <cell r="AE87">
            <v>1.0420193600000001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G88">
            <v>-8.83640735</v>
          </cell>
          <cell r="H88">
            <v>33.653507240000003</v>
          </cell>
          <cell r="I88">
            <v>-25.012572890000001</v>
          </cell>
          <cell r="J88">
            <v>-9.9494530000000001</v>
          </cell>
          <cell r="K88">
            <v>-0.4</v>
          </cell>
          <cell r="P88">
            <v>-13.6</v>
          </cell>
          <cell r="U88">
            <v>-8.5986876300000006</v>
          </cell>
          <cell r="Z88">
            <v>11.28385256</v>
          </cell>
          <cell r="AE88">
            <v>-737.78944373000002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-27.727984280000001</v>
          </cell>
          <cell r="G89">
            <v>-20.74759109</v>
          </cell>
          <cell r="H89">
            <v>13.581419990000001</v>
          </cell>
          <cell r="I89">
            <v>-61.049616790000002</v>
          </cell>
          <cell r="J89">
            <v>-31.463316259999999</v>
          </cell>
          <cell r="K89">
            <v>-28.991344130000002</v>
          </cell>
          <cell r="P89">
            <v>-120.24902479000001</v>
          </cell>
          <cell r="U89">
            <v>-188.97528592</v>
          </cell>
          <cell r="Z89">
            <v>-152.93749012999999</v>
          </cell>
          <cell r="AE89">
            <v>-164.129600674106</v>
          </cell>
          <cell r="AJ89">
            <v>-307.523818460168</v>
          </cell>
          <cell r="AK89">
            <v>-325.36681522336897</v>
          </cell>
          <cell r="AL89">
            <v>-316.63294456065898</v>
          </cell>
          <cell r="AM89">
            <v>-374.77194172581301</v>
          </cell>
          <cell r="AN89">
            <v>-436.53081611067699</v>
          </cell>
          <cell r="AO89">
            <v>-487.11688416929201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K90">
            <v>-40.08</v>
          </cell>
          <cell r="P90">
            <v>-69.755099999999999</v>
          </cell>
          <cell r="U90">
            <v>-69.770099999999999</v>
          </cell>
          <cell r="Z90">
            <v>-89.299724800000007</v>
          </cell>
          <cell r="AE90">
            <v>-116.12409592</v>
          </cell>
          <cell r="AJ90">
            <v>-192.20404892471799</v>
          </cell>
          <cell r="AK90">
            <v>-252.88149342711799</v>
          </cell>
          <cell r="AL90">
            <v>-305.77555062355401</v>
          </cell>
          <cell r="AM90">
            <v>-336.29277445808401</v>
          </cell>
          <cell r="AN90">
            <v>-450.77913404954398</v>
          </cell>
          <cell r="AO90">
            <v>-530.13423949902904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26.2</v>
          </cell>
          <cell r="G91">
            <v>0.25</v>
          </cell>
          <cell r="H91">
            <v>0.17499999999999999</v>
          </cell>
          <cell r="I91">
            <v>389.55296600000003</v>
          </cell>
          <cell r="K91">
            <v>101.220144</v>
          </cell>
          <cell r="P91">
            <v>5.3</v>
          </cell>
          <cell r="Z91">
            <v>985.33866266999996</v>
          </cell>
          <cell r="AE91">
            <v>494.38944486000003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30</v>
          </cell>
          <cell r="G92">
            <v>45</v>
          </cell>
          <cell r="H92">
            <v>-12.400499999999999</v>
          </cell>
          <cell r="I92">
            <v>-11.836499999999999</v>
          </cell>
          <cell r="J92">
            <v>65.089025039999996</v>
          </cell>
          <cell r="K92">
            <v>85.751685879999997</v>
          </cell>
          <cell r="P92">
            <v>-104.06018207</v>
          </cell>
          <cell r="U92">
            <v>179.07937575</v>
          </cell>
          <cell r="Z92">
            <v>-169.50893543999999</v>
          </cell>
          <cell r="AE92">
            <v>-42.738852420000001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-0.97295485000000004</v>
          </cell>
          <cell r="G93">
            <v>-34.46455916</v>
          </cell>
          <cell r="H93">
            <v>-9.5938367299999996</v>
          </cell>
          <cell r="I93">
            <v>-5.2069975800000003</v>
          </cell>
          <cell r="J93">
            <v>-65.942815890000006</v>
          </cell>
          <cell r="K93">
            <v>-104.89164009</v>
          </cell>
          <cell r="P93">
            <v>107.52679324</v>
          </cell>
          <cell r="U93">
            <v>-184.40692411000001</v>
          </cell>
          <cell r="Z93">
            <v>167.25558283000001</v>
          </cell>
          <cell r="AE93">
            <v>37.689961099999998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55.227045150000002</v>
          </cell>
          <cell r="G94">
            <v>10.78544084</v>
          </cell>
          <cell r="H94">
            <v>-21.81933673</v>
          </cell>
          <cell r="I94">
            <v>372.50946842000002</v>
          </cell>
          <cell r="J94">
            <v>-0.85379084999999999</v>
          </cell>
          <cell r="K94">
            <v>42.00018979</v>
          </cell>
          <cell r="P94">
            <v>-60.988488830000001</v>
          </cell>
          <cell r="U94">
            <v>-75.097648359999994</v>
          </cell>
          <cell r="Z94">
            <v>893.78558525999995</v>
          </cell>
          <cell r="AE94">
            <v>-116.12409592</v>
          </cell>
          <cell r="AJ94">
            <v>-192.20404892471799</v>
          </cell>
          <cell r="AK94">
            <v>-252.88149342711799</v>
          </cell>
          <cell r="AL94">
            <v>-305.77555062355401</v>
          </cell>
          <cell r="AM94">
            <v>-336.29277445808401</v>
          </cell>
          <cell r="AN94">
            <v>-450.77913404954398</v>
          </cell>
          <cell r="AO94">
            <v>-530.13423949902904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51.116340129999998</v>
          </cell>
          <cell r="G95">
            <v>-39.182810439999997</v>
          </cell>
          <cell r="H95">
            <v>59.560803999999997</v>
          </cell>
          <cell r="I95">
            <v>314.12657010999999</v>
          </cell>
          <cell r="J95">
            <v>14.084725049999999</v>
          </cell>
          <cell r="K95">
            <v>136.57320693</v>
          </cell>
          <cell r="P95">
            <v>-107.01827957</v>
          </cell>
          <cell r="U95">
            <v>217.84016194</v>
          </cell>
          <cell r="Z95">
            <v>1097.3233158400001</v>
          </cell>
          <cell r="AE95">
            <v>-817.37470936588795</v>
          </cell>
          <cell r="AJ95">
            <v>-74.325371012681003</v>
          </cell>
          <cell r="AK95">
            <v>156.13357069749199</v>
          </cell>
          <cell r="AL95">
            <v>495.83730671138102</v>
          </cell>
          <cell r="AM95">
            <v>1150.64779480587</v>
          </cell>
          <cell r="AN95">
            <v>1643.38675654694</v>
          </cell>
          <cell r="AO95">
            <v>2188.3355244863601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0.08</v>
          </cell>
          <cell r="I109">
            <v>0.1125</v>
          </cell>
          <cell r="J109">
            <v>0.1245</v>
          </cell>
          <cell r="K109">
            <v>0.215</v>
          </cell>
          <cell r="P109">
            <v>0.40749999999999997</v>
          </cell>
          <cell r="U109">
            <v>0.57050000000000001</v>
          </cell>
          <cell r="Z109">
            <v>0.68899999999999995</v>
          </cell>
          <cell r="AE109">
            <v>0.74412</v>
          </cell>
          <cell r="AJ109">
            <v>0.7887672</v>
          </cell>
          <cell r="AK109">
            <v>0.82820556000000001</v>
          </cell>
          <cell r="AL109">
            <v>0.86961583799999997</v>
          </cell>
          <cell r="AM109">
            <v>1.0344305475</v>
          </cell>
          <cell r="AN109">
            <v>1.086152074875</v>
          </cell>
          <cell r="AO109">
            <v>1.140459678619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U111">
            <v>0</v>
          </cell>
          <cell r="Z111">
            <v>0</v>
          </cell>
          <cell r="AE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</row>
        <row r="112">
          <cell r="B112" t="str">
            <v>Sales - % United States</v>
          </cell>
          <cell r="C112" t="str">
            <v>SALES_US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U112">
            <v>0</v>
          </cell>
          <cell r="Z112">
            <v>0</v>
          </cell>
          <cell r="AE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E113">
            <v>0</v>
          </cell>
          <cell r="AJ113">
            <v>0</v>
          </cell>
          <cell r="AK113">
            <v>0</v>
          </cell>
        </row>
        <row r="114">
          <cell r="B114" t="str">
            <v>Sales - % Brazil</v>
          </cell>
          <cell r="C114" t="str">
            <v>SALES_BRAZIL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U114">
            <v>0</v>
          </cell>
          <cell r="Z114">
            <v>0</v>
          </cell>
          <cell r="AE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U115">
            <v>0</v>
          </cell>
          <cell r="Z115">
            <v>0</v>
          </cell>
          <cell r="AE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</row>
        <row r="116">
          <cell r="B116" t="str">
            <v>Sales - Total % EMEA</v>
          </cell>
          <cell r="C116" t="str">
            <v>SALES_TOT_EMEA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U116">
            <v>0</v>
          </cell>
          <cell r="Z116">
            <v>0</v>
          </cell>
          <cell r="AE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</row>
        <row r="117">
          <cell r="B117" t="str">
            <v>Sales - % UK</v>
          </cell>
          <cell r="C117" t="str">
            <v>SALES_UK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U117">
            <v>0</v>
          </cell>
          <cell r="Z117">
            <v>0</v>
          </cell>
          <cell r="AE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U118">
            <v>0</v>
          </cell>
          <cell r="Z118">
            <v>0</v>
          </cell>
          <cell r="AE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AE119">
            <v>0</v>
          </cell>
          <cell r="AJ119">
            <v>0</v>
          </cell>
          <cell r="AK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AE120">
            <v>0</v>
          </cell>
          <cell r="AJ120">
            <v>0</v>
          </cell>
          <cell r="AK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E121">
            <v>0</v>
          </cell>
          <cell r="AJ121">
            <v>0</v>
          </cell>
          <cell r="AK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E122">
            <v>0</v>
          </cell>
          <cell r="AJ122">
            <v>0</v>
          </cell>
          <cell r="AK122">
            <v>0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E123">
            <v>0</v>
          </cell>
          <cell r="AJ123">
            <v>0</v>
          </cell>
          <cell r="AK123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E124">
            <v>0</v>
          </cell>
          <cell r="AJ124">
            <v>0</v>
          </cell>
          <cell r="AK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AE125">
            <v>0</v>
          </cell>
          <cell r="AJ125">
            <v>0</v>
          </cell>
          <cell r="AK125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AE126">
            <v>0</v>
          </cell>
          <cell r="AJ126">
            <v>0</v>
          </cell>
          <cell r="AK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AE127">
            <v>0</v>
          </cell>
          <cell r="AJ127">
            <v>0</v>
          </cell>
          <cell r="AK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E128">
            <v>0</v>
          </cell>
          <cell r="AJ128">
            <v>0</v>
          </cell>
          <cell r="AK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E129">
            <v>0</v>
          </cell>
          <cell r="AJ129">
            <v>0</v>
          </cell>
          <cell r="AK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AE130">
            <v>0</v>
          </cell>
          <cell r="AJ130">
            <v>0</v>
          </cell>
          <cell r="AK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AE131">
            <v>0</v>
          </cell>
          <cell r="AJ131">
            <v>0</v>
          </cell>
          <cell r="AK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AE132">
            <v>0</v>
          </cell>
          <cell r="AJ132">
            <v>0</v>
          </cell>
          <cell r="AK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AE133">
            <v>0</v>
          </cell>
          <cell r="AJ133">
            <v>0</v>
          </cell>
          <cell r="AK133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AE134">
            <v>0</v>
          </cell>
          <cell r="AJ134">
            <v>0</v>
          </cell>
          <cell r="AK134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U135">
            <v>0</v>
          </cell>
          <cell r="Z135">
            <v>0</v>
          </cell>
          <cell r="AE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</row>
        <row r="136">
          <cell r="B136" t="str">
            <v>Sales - % Middle East</v>
          </cell>
          <cell r="C136" t="str">
            <v>SALES_ME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U136">
            <v>0</v>
          </cell>
          <cell r="Z136">
            <v>0</v>
          </cell>
          <cell r="AE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</row>
        <row r="137">
          <cell r="B137" t="str">
            <v>Sales - % Total Africa</v>
          </cell>
          <cell r="C137" t="str">
            <v>SALES_TOT_AFRICA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</row>
        <row r="138">
          <cell r="B138" t="str">
            <v>Sales - % Russia</v>
          </cell>
          <cell r="C138" t="str">
            <v>SALES_RUSSIA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U138">
            <v>0</v>
          </cell>
          <cell r="Z138">
            <v>0</v>
          </cell>
          <cell r="AE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</row>
        <row r="139">
          <cell r="B139" t="str">
            <v>Sales - % Other EMEA</v>
          </cell>
          <cell r="C139" t="str">
            <v>SALES_OTH_EMEA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U139">
            <v>0</v>
          </cell>
          <cell r="Z139">
            <v>0</v>
          </cell>
          <cell r="AE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H140">
            <v>1</v>
          </cell>
          <cell r="I140">
            <v>1</v>
          </cell>
          <cell r="J140">
            <v>1</v>
          </cell>
          <cell r="K140">
            <v>1</v>
          </cell>
          <cell r="L140">
            <v>1</v>
          </cell>
          <cell r="M140">
            <v>1</v>
          </cell>
          <cell r="N140">
            <v>1</v>
          </cell>
          <cell r="O140">
            <v>1</v>
          </cell>
          <cell r="P140">
            <v>1</v>
          </cell>
          <cell r="U140">
            <v>1</v>
          </cell>
          <cell r="Z140">
            <v>1</v>
          </cell>
          <cell r="AE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</row>
        <row r="141">
          <cell r="B141" t="str">
            <v>Sales - % Japan</v>
          </cell>
          <cell r="C141" t="str">
            <v>SALES_JAPAN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U141">
            <v>0</v>
          </cell>
          <cell r="Z141">
            <v>0</v>
          </cell>
          <cell r="AE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</row>
        <row r="142">
          <cell r="B142" t="str">
            <v>Sales - % China</v>
          </cell>
          <cell r="C142" t="str">
            <v>SALES_CHINA</v>
          </cell>
          <cell r="H142">
            <v>1</v>
          </cell>
          <cell r="I142">
            <v>1</v>
          </cell>
          <cell r="J142">
            <v>1</v>
          </cell>
          <cell r="K142">
            <v>1</v>
          </cell>
          <cell r="L142">
            <v>1</v>
          </cell>
          <cell r="M142">
            <v>1</v>
          </cell>
          <cell r="N142">
            <v>1</v>
          </cell>
          <cell r="O142">
            <v>1</v>
          </cell>
          <cell r="P142">
            <v>1</v>
          </cell>
          <cell r="U142">
            <v>1</v>
          </cell>
          <cell r="Z142">
            <v>1</v>
          </cell>
          <cell r="AE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</row>
        <row r="143">
          <cell r="B143" t="str">
            <v>Sales - % India</v>
          </cell>
          <cell r="C143" t="str">
            <v>SALES_INDIA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U143">
            <v>0</v>
          </cell>
          <cell r="Z143">
            <v>0</v>
          </cell>
          <cell r="AE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</row>
        <row r="144">
          <cell r="B144" t="str">
            <v>Sales - % South Korea</v>
          </cell>
          <cell r="C144" t="str">
            <v>SALES_SK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U144">
            <v>0</v>
          </cell>
          <cell r="Z144">
            <v>0</v>
          </cell>
          <cell r="AE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</row>
        <row r="145">
          <cell r="B145" t="str">
            <v>Sales - % Taiwan</v>
          </cell>
          <cell r="C145" t="str">
            <v>SALES_TAIWAN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AE146">
            <v>0</v>
          </cell>
          <cell r="AJ146">
            <v>0</v>
          </cell>
          <cell r="AK146">
            <v>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AE147">
            <v>0</v>
          </cell>
          <cell r="AJ147">
            <v>0</v>
          </cell>
          <cell r="AK147">
            <v>0</v>
          </cell>
        </row>
        <row r="148">
          <cell r="B148" t="str">
            <v>Sales - % Other Asia</v>
          </cell>
          <cell r="C148" t="str">
            <v>SALES_OTH_AEJ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U148">
            <v>0</v>
          </cell>
          <cell r="Z148">
            <v>0</v>
          </cell>
          <cell r="AE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</row>
        <row r="149">
          <cell r="B149" t="str">
            <v>Sales - % Others</v>
          </cell>
          <cell r="C149" t="str">
            <v>SALES_OTHER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U149">
            <v>0</v>
          </cell>
          <cell r="Z149">
            <v>0</v>
          </cell>
          <cell r="AE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AE150">
            <v>0</v>
          </cell>
          <cell r="AJ150">
            <v>0</v>
          </cell>
          <cell r="AK150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AE151">
            <v>0</v>
          </cell>
          <cell r="AJ151">
            <v>0</v>
          </cell>
          <cell r="AK151">
            <v>0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AE152">
            <v>0</v>
          </cell>
          <cell r="AJ152">
            <v>0</v>
          </cell>
          <cell r="AK152">
            <v>0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AE153">
            <v>0</v>
          </cell>
          <cell r="AJ153">
            <v>0</v>
          </cell>
          <cell r="AK153">
            <v>0</v>
          </cell>
        </row>
        <row r="154"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AE154">
            <v>0</v>
          </cell>
          <cell r="AJ154">
            <v>0</v>
          </cell>
          <cell r="AK154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AE155">
            <v>0</v>
          </cell>
          <cell r="AJ155">
            <v>0</v>
          </cell>
          <cell r="AK155">
            <v>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AE156">
            <v>0</v>
          </cell>
          <cell r="AJ156">
            <v>0</v>
          </cell>
          <cell r="AK156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AE157">
            <v>0</v>
          </cell>
          <cell r="AJ157">
            <v>0</v>
          </cell>
          <cell r="AK157">
            <v>0</v>
          </cell>
        </row>
        <row r="158"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AE158">
            <v>0</v>
          </cell>
          <cell r="AJ158">
            <v>0</v>
          </cell>
          <cell r="AK158">
            <v>0</v>
          </cell>
        </row>
        <row r="159"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AE159">
            <v>0</v>
          </cell>
          <cell r="AJ159">
            <v>0</v>
          </cell>
          <cell r="AK159">
            <v>0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AE160">
            <v>0</v>
          </cell>
          <cell r="AJ160">
            <v>0</v>
          </cell>
          <cell r="AK160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AE161">
            <v>0</v>
          </cell>
          <cell r="AJ161">
            <v>0</v>
          </cell>
          <cell r="AK161">
            <v>0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AE162">
            <v>0</v>
          </cell>
          <cell r="AJ162">
            <v>0</v>
          </cell>
          <cell r="AK162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AE163">
            <v>0</v>
          </cell>
          <cell r="AJ163">
            <v>0</v>
          </cell>
          <cell r="AK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AE164">
            <v>0</v>
          </cell>
          <cell r="AJ164">
            <v>0</v>
          </cell>
          <cell r="AK164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E165">
            <v>0</v>
          </cell>
          <cell r="AJ165">
            <v>0</v>
          </cell>
          <cell r="AK165">
            <v>0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AE166">
            <v>0</v>
          </cell>
          <cell r="AJ166">
            <v>0</v>
          </cell>
          <cell r="AK166">
            <v>0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AE167">
            <v>0</v>
          </cell>
          <cell r="AJ167">
            <v>0</v>
          </cell>
          <cell r="AK167">
            <v>0</v>
          </cell>
        </row>
        <row r="168"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AE168">
            <v>0</v>
          </cell>
          <cell r="AJ168">
            <v>0</v>
          </cell>
          <cell r="AK168">
            <v>0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AE169">
            <v>0</v>
          </cell>
          <cell r="AJ169">
            <v>0</v>
          </cell>
          <cell r="AK169">
            <v>0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AE170">
            <v>0</v>
          </cell>
          <cell r="AJ170">
            <v>0</v>
          </cell>
          <cell r="AK170">
            <v>0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AE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AE172">
            <v>0</v>
          </cell>
          <cell r="AJ172">
            <v>0</v>
          </cell>
          <cell r="AK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AE173">
            <v>0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E174">
            <v>0</v>
          </cell>
          <cell r="AJ174">
            <v>0</v>
          </cell>
          <cell r="AK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E175">
            <v>0</v>
          </cell>
          <cell r="AJ175">
            <v>0</v>
          </cell>
          <cell r="AK175">
            <v>0</v>
          </cell>
        </row>
        <row r="176"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AE176">
            <v>0</v>
          </cell>
          <cell r="AJ176">
            <v>0</v>
          </cell>
          <cell r="AK176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AE177">
            <v>0</v>
          </cell>
          <cell r="AJ177">
            <v>0</v>
          </cell>
          <cell r="AK177">
            <v>0</v>
          </cell>
        </row>
        <row r="178"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AE178">
            <v>0</v>
          </cell>
          <cell r="AJ178">
            <v>0</v>
          </cell>
          <cell r="AK178">
            <v>0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AE179">
            <v>0</v>
          </cell>
          <cell r="AJ179">
            <v>0</v>
          </cell>
          <cell r="AK179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AE180">
            <v>0</v>
          </cell>
          <cell r="AJ180">
            <v>0</v>
          </cell>
          <cell r="AK180">
            <v>0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AE181">
            <v>0</v>
          </cell>
          <cell r="AJ181">
            <v>0</v>
          </cell>
          <cell r="AK181">
            <v>0</v>
          </cell>
        </row>
        <row r="182"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AE182">
            <v>0</v>
          </cell>
          <cell r="AJ182">
            <v>0</v>
          </cell>
          <cell r="AK182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AE183">
            <v>0</v>
          </cell>
          <cell r="AJ183">
            <v>0</v>
          </cell>
          <cell r="AK183">
            <v>0</v>
          </cell>
        </row>
        <row r="184"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AE184">
            <v>0</v>
          </cell>
          <cell r="AJ184">
            <v>0</v>
          </cell>
          <cell r="AK184">
            <v>0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AE185">
            <v>0</v>
          </cell>
          <cell r="AJ185">
            <v>0</v>
          </cell>
          <cell r="AK185">
            <v>0</v>
          </cell>
        </row>
        <row r="186"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AE186">
            <v>0</v>
          </cell>
          <cell r="AJ186">
            <v>0</v>
          </cell>
          <cell r="AK186">
            <v>0</v>
          </cell>
        </row>
        <row r="187">
          <cell r="B187" t="str">
            <v>Sales -% Consumer (C)</v>
          </cell>
          <cell r="C187" t="str">
            <v>SALES_CONS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P187">
            <v>0</v>
          </cell>
          <cell r="U187">
            <v>0</v>
          </cell>
          <cell r="Z187">
            <v>0.01</v>
          </cell>
          <cell r="AE187">
            <v>0.02</v>
          </cell>
          <cell r="AJ187">
            <v>0.03</v>
          </cell>
          <cell r="AK187">
            <v>0.04</v>
          </cell>
          <cell r="AL187">
            <v>0.05</v>
          </cell>
          <cell r="AM187">
            <v>0.06</v>
          </cell>
          <cell r="AN187">
            <v>7.0000000000000007E-2</v>
          </cell>
          <cell r="AO187">
            <v>0.08</v>
          </cell>
        </row>
        <row r="188">
          <cell r="B188" t="str">
            <v>Sales -% Industry (I)</v>
          </cell>
          <cell r="C188" t="str">
            <v>SALES_IND</v>
          </cell>
          <cell r="H188">
            <v>0.85</v>
          </cell>
          <cell r="I188">
            <v>0.85</v>
          </cell>
          <cell r="J188">
            <v>0.85</v>
          </cell>
          <cell r="K188">
            <v>0.85</v>
          </cell>
          <cell r="P188">
            <v>0.84</v>
          </cell>
          <cell r="U188">
            <v>0.83</v>
          </cell>
          <cell r="Z188">
            <v>0.81</v>
          </cell>
          <cell r="AE188">
            <v>0.79</v>
          </cell>
          <cell r="AJ188">
            <v>0.77</v>
          </cell>
          <cell r="AK188">
            <v>0.76</v>
          </cell>
          <cell r="AL188">
            <v>0.75</v>
          </cell>
          <cell r="AM188">
            <v>0.74</v>
          </cell>
          <cell r="AN188">
            <v>0.73</v>
          </cell>
          <cell r="AO188">
            <v>0.72</v>
          </cell>
        </row>
        <row r="189">
          <cell r="B189" t="str">
            <v>Sales -% Government (G)</v>
          </cell>
          <cell r="C189" t="str">
            <v>SALES_GOV</v>
          </cell>
          <cell r="H189">
            <v>0.15</v>
          </cell>
          <cell r="I189">
            <v>0.15</v>
          </cell>
          <cell r="J189">
            <v>0.15</v>
          </cell>
          <cell r="K189">
            <v>0.15</v>
          </cell>
          <cell r="P189">
            <v>0.16</v>
          </cell>
          <cell r="U189">
            <v>0.17</v>
          </cell>
          <cell r="Z189">
            <v>0.18</v>
          </cell>
          <cell r="AE189">
            <v>0.19</v>
          </cell>
          <cell r="AJ189">
            <v>0.2</v>
          </cell>
          <cell r="AK189">
            <v>0.2</v>
          </cell>
          <cell r="AL189">
            <v>0.2</v>
          </cell>
          <cell r="AM189">
            <v>0.2</v>
          </cell>
          <cell r="AN189">
            <v>0.2</v>
          </cell>
          <cell r="AO189">
            <v>0.2</v>
          </cell>
        </row>
        <row r="190">
          <cell r="B190" t="str">
            <v>Sales - % Industry Sub-Segment: Financial Services</v>
          </cell>
          <cell r="C190" t="str">
            <v>SALES_FINAN</v>
          </cell>
          <cell r="H190">
            <v>0.15</v>
          </cell>
          <cell r="I190">
            <v>0.15</v>
          </cell>
          <cell r="J190">
            <v>0.15</v>
          </cell>
          <cell r="K190">
            <v>0.15</v>
          </cell>
          <cell r="P190">
            <v>0.15</v>
          </cell>
          <cell r="U190">
            <v>0.15</v>
          </cell>
          <cell r="Z190">
            <v>0.14000000000000001</v>
          </cell>
          <cell r="AE190">
            <v>0.13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0.12</v>
          </cell>
          <cell r="AK190">
            <v>0.11</v>
          </cell>
          <cell r="AL190">
            <v>0.1</v>
          </cell>
          <cell r="AM190">
            <v>0</v>
          </cell>
          <cell r="AN190">
            <v>0</v>
          </cell>
          <cell r="AO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AE191">
            <v>0</v>
          </cell>
          <cell r="AJ191">
            <v>0</v>
          </cell>
          <cell r="AK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AE192">
            <v>0</v>
          </cell>
          <cell r="AJ192">
            <v>0</v>
          </cell>
          <cell r="AK192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AE193">
            <v>0</v>
          </cell>
          <cell r="AJ193">
            <v>0</v>
          </cell>
          <cell r="AK193">
            <v>0</v>
          </cell>
        </row>
        <row r="194">
          <cell r="A194" t="str">
            <v>Commodities Exposure - Expense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</row>
        <row r="195">
          <cell r="B195" t="str">
            <v>Expense - % Oil/Petrol/Fuel</v>
          </cell>
          <cell r="C195" t="str">
            <v>EXP_OIL_PETRO_FUEL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</row>
        <row r="196">
          <cell r="B196" t="str">
            <v>Expense - % Oil derivatives/NGLs/plastics</v>
          </cell>
          <cell r="C196" t="str">
            <v>EXP_OIL_DERIV_NGLS_PLASTICS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</row>
        <row r="197">
          <cell r="B197" t="str">
            <v>Expense - % Paper/pulp</v>
          </cell>
          <cell r="C197" t="str">
            <v>EXP_PAPER_PULP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8">
          <cell r="B198" t="str">
            <v>Expense - % Glass</v>
          </cell>
          <cell r="C198" t="str">
            <v>EXP_GLASS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</row>
        <row r="199">
          <cell r="B199" t="str">
            <v>Expense - % Water</v>
          </cell>
          <cell r="C199" t="str">
            <v>EXP_WATER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  <row r="200">
          <cell r="B200" t="str">
            <v>Expense - % Other commodity</v>
          </cell>
          <cell r="C200" t="str">
            <v>EXP_OTH_COMMODITY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</row>
        <row r="201">
          <cell r="B201" t="str">
            <v>Expense - % Other (Non-Commodity) cost</v>
          </cell>
          <cell r="C201" t="str">
            <v>EXP_OTH_COST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</row>
        <row r="202">
          <cell r="A202" t="str">
            <v>FX Exposure - Sales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</row>
        <row r="203">
          <cell r="B203" t="str">
            <v>Sales - % FX: British Pounds/Pence</v>
          </cell>
          <cell r="C203" t="str">
            <v>SALES_FX_GPB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</row>
        <row r="204">
          <cell r="B204" t="str">
            <v>Sales - % FX: Euro</v>
          </cell>
          <cell r="C204" t="str">
            <v>SALES_FX_EUR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</row>
        <row r="205">
          <cell r="B205" t="str">
            <v>Sales - % FX: New Russian Ruble</v>
          </cell>
          <cell r="C205" t="str">
            <v>SALES_FX_RUB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</row>
        <row r="206">
          <cell r="B206" t="str">
            <v>Sales - % FX: U.S. Dollar</v>
          </cell>
          <cell r="C206" t="str">
            <v>SALES_FX_USD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</row>
        <row r="207">
          <cell r="B207" t="str">
            <v>Sales - % FX: Brazilian Real</v>
          </cell>
          <cell r="C207" t="str">
            <v>SALES_FX_BRL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</row>
        <row r="208">
          <cell r="B208" t="str">
            <v>Sales - % FX: Japanese Yen</v>
          </cell>
          <cell r="C208" t="str">
            <v>SALES_FX_YEN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</row>
        <row r="209">
          <cell r="B209" t="str">
            <v>Sales - % FX: Chinese Renminbi</v>
          </cell>
          <cell r="C209" t="str">
            <v>SALES_FX_CNY</v>
          </cell>
          <cell r="F209">
            <v>1</v>
          </cell>
          <cell r="G209">
            <v>1</v>
          </cell>
          <cell r="H209">
            <v>1</v>
          </cell>
          <cell r="I209">
            <v>1</v>
          </cell>
          <cell r="J209">
            <v>1</v>
          </cell>
          <cell r="K209">
            <v>1</v>
          </cell>
          <cell r="L209">
            <v>1</v>
          </cell>
          <cell r="M209">
            <v>1</v>
          </cell>
          <cell r="N209">
            <v>1</v>
          </cell>
          <cell r="O209">
            <v>1</v>
          </cell>
          <cell r="P209">
            <v>1</v>
          </cell>
          <cell r="Q209">
            <v>1</v>
          </cell>
          <cell r="R209">
            <v>1</v>
          </cell>
          <cell r="S209">
            <v>1</v>
          </cell>
          <cell r="T209">
            <v>1</v>
          </cell>
          <cell r="U209">
            <v>1</v>
          </cell>
          <cell r="V209">
            <v>1</v>
          </cell>
          <cell r="W209">
            <v>1</v>
          </cell>
          <cell r="X209">
            <v>1</v>
          </cell>
          <cell r="Y209">
            <v>1</v>
          </cell>
          <cell r="Z209">
            <v>1</v>
          </cell>
          <cell r="AE209">
            <v>1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1</v>
          </cell>
          <cell r="AL209">
            <v>1</v>
          </cell>
          <cell r="AM209">
            <v>0</v>
          </cell>
          <cell r="AN209">
            <v>0</v>
          </cell>
          <cell r="AO209">
            <v>0</v>
          </cell>
        </row>
        <row r="210">
          <cell r="B210" t="str">
            <v>Sales - % FX: Indian Rupee</v>
          </cell>
          <cell r="C210" t="str">
            <v>SALES_FX_INR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</row>
        <row r="211">
          <cell r="B211" t="str">
            <v>Sales - % FX: South Korean Won</v>
          </cell>
          <cell r="C211" t="str">
            <v>SALES_FX_KRW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</row>
        <row r="212">
          <cell r="B212" t="str">
            <v>Sales - % FX: Taiwan Dollar</v>
          </cell>
          <cell r="C212" t="str">
            <v>SALES_FX_TWD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</row>
        <row r="213">
          <cell r="B213" t="str">
            <v>Sales - % FX: Other Currency</v>
          </cell>
          <cell r="C213" t="str">
            <v>SALES_FX_OTH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</row>
        <row r="214">
          <cell r="A214" t="str">
            <v>Security: Zhejiang Dahua Technology Co.</v>
          </cell>
          <cell r="B214" t="str">
            <v>13MDI</v>
          </cell>
        </row>
        <row r="215">
          <cell r="A215" t="str">
            <v>Reference Data</v>
          </cell>
        </row>
        <row r="216">
          <cell r="B216" t="str">
            <v>Ticker</v>
          </cell>
          <cell r="C216" t="str">
            <v>Ticker</v>
          </cell>
          <cell r="E216" t="str">
            <v>002236.SZ</v>
          </cell>
        </row>
        <row r="217">
          <cell r="B217" t="str">
            <v>Security Name</v>
          </cell>
          <cell r="C217" t="str">
            <v>Security Name</v>
          </cell>
          <cell r="E217" t="str">
            <v>Zhejiang Dahua Technology Co.</v>
          </cell>
        </row>
        <row r="218">
          <cell r="B218" t="str">
            <v>Interim Type</v>
          </cell>
          <cell r="C218" t="str">
            <v>Interim Type</v>
          </cell>
          <cell r="E218" t="str">
            <v>Q</v>
          </cell>
        </row>
        <row r="219">
          <cell r="B219" t="str">
            <v>Publishing Currency</v>
          </cell>
          <cell r="C219" t="str">
            <v>PUB_CURRENCY_ISO</v>
          </cell>
          <cell r="E219" t="str">
            <v>CNY</v>
          </cell>
        </row>
        <row r="220">
          <cell r="B220" t="str">
            <v>Pricing Currency</v>
          </cell>
          <cell r="C220" t="str">
            <v>PRICE_CURRENCY_ISO</v>
          </cell>
          <cell r="E220" t="str">
            <v>CNY</v>
          </cell>
        </row>
        <row r="221">
          <cell r="B221" t="str">
            <v>Reporting Currency</v>
          </cell>
          <cell r="C221" t="str">
            <v>CURRENCY_ISO</v>
          </cell>
          <cell r="E221" t="str">
            <v>CNY</v>
          </cell>
        </row>
        <row r="222">
          <cell r="A222" t="str">
            <v>General Information</v>
          </cell>
        </row>
        <row r="223">
          <cell r="B223" t="str">
            <v>Asia Pacific Investment List</v>
          </cell>
          <cell r="C223" t="str">
            <v>AEJ_LIST</v>
          </cell>
        </row>
        <row r="224">
          <cell r="B224" t="str">
            <v>Asia Pacific Conviction List</v>
          </cell>
          <cell r="C224" t="str">
            <v>AEJ_CONVICTION</v>
          </cell>
        </row>
        <row r="225">
          <cell r="B225" t="str">
            <v>Legal rating</v>
          </cell>
          <cell r="C225" t="str">
            <v>LEGAL_RATING</v>
          </cell>
        </row>
        <row r="226">
          <cell r="B226" t="str">
            <v>Target price</v>
          </cell>
          <cell r="C226" t="str">
            <v>TARGET_PRICE</v>
          </cell>
          <cell r="D226" t="str">
            <v>CNY</v>
          </cell>
          <cell r="E226">
            <v>24.6</v>
          </cell>
        </row>
        <row r="227">
          <cell r="B227" t="str">
            <v>Target price period</v>
          </cell>
          <cell r="C227" t="str">
            <v>TP_PERIOD</v>
          </cell>
          <cell r="E227" t="str">
            <v>12 months</v>
          </cell>
        </row>
        <row r="228">
          <cell r="B228" t="str">
            <v>Current shares outstanding (mn)</v>
          </cell>
          <cell r="C228" t="str">
            <v>NUM_SH</v>
          </cell>
          <cell r="E228">
            <v>1170.59825</v>
          </cell>
        </row>
        <row r="229">
          <cell r="B229" t="str">
            <v>Free float</v>
          </cell>
          <cell r="C229" t="str">
            <v>FREE_FLOAT</v>
          </cell>
        </row>
        <row r="230">
          <cell r="B230" t="str">
            <v>Foreign ownership</v>
          </cell>
          <cell r="C230" t="str">
            <v>FOREIGN_HOLDNG</v>
          </cell>
        </row>
        <row r="231">
          <cell r="B231" t="str">
            <v>Catalyst 1 date</v>
          </cell>
          <cell r="C231" t="str">
            <v>CATALYST1_DATE</v>
          </cell>
        </row>
        <row r="232">
          <cell r="B232" t="str">
            <v>Catalyst 1 description</v>
          </cell>
          <cell r="C232" t="str">
            <v>CATALYST1_EVENT</v>
          </cell>
        </row>
        <row r="233">
          <cell r="B233" t="str">
            <v>Catalyst 2 date</v>
          </cell>
          <cell r="C233" t="str">
            <v>CATALYST2_DATE</v>
          </cell>
        </row>
        <row r="234">
          <cell r="B234" t="str">
            <v>Catalyst 2 description</v>
          </cell>
          <cell r="C234" t="str">
            <v>CATALYST2_EVENT</v>
          </cell>
        </row>
        <row r="235">
          <cell r="B235" t="str">
            <v>Catalyst 3 date</v>
          </cell>
          <cell r="C235" t="str">
            <v>CATALYST3_DATE</v>
          </cell>
        </row>
        <row r="236">
          <cell r="B236" t="str">
            <v>Catalyst 3 description</v>
          </cell>
          <cell r="C236" t="str">
            <v>CATALYST3_EVENT</v>
          </cell>
        </row>
        <row r="237">
          <cell r="B237" t="str">
            <v>Catalyst 4 date</v>
          </cell>
          <cell r="C237" t="str">
            <v>CATALYST4_DATE</v>
          </cell>
        </row>
        <row r="238">
          <cell r="B238" t="str">
            <v>Catalyst 4 description</v>
          </cell>
          <cell r="C238" t="str">
            <v>CATALYST4_EVENT</v>
          </cell>
        </row>
        <row r="239">
          <cell r="B239" t="str">
            <v>Catalyst 5 date</v>
          </cell>
          <cell r="C239" t="str">
            <v>CATALYST5_DATE</v>
          </cell>
        </row>
        <row r="240">
          <cell r="B240" t="str">
            <v>Catalyst 5 description</v>
          </cell>
          <cell r="C240" t="str">
            <v>CATALYST5_EVENT</v>
          </cell>
        </row>
        <row r="241">
          <cell r="B241" t="str">
            <v>Target price multiple</v>
          </cell>
          <cell r="C241" t="str">
            <v>PRI_TARG_MULT</v>
          </cell>
          <cell r="E241">
            <v>17.081153246766998</v>
          </cell>
        </row>
        <row r="242">
          <cell r="B242" t="str">
            <v>Target price methodology</v>
          </cell>
          <cell r="C242" t="str">
            <v>PRI_TARG_METH</v>
          </cell>
          <cell r="E242" t="str">
            <v>15E leader group PB/ROE</v>
          </cell>
        </row>
        <row r="243">
          <cell r="A243" t="str">
            <v>Publishing Items</v>
          </cell>
        </row>
        <row r="244">
          <cell r="B244" t="str">
            <v>Book value per share, BVPS (Pub)</v>
          </cell>
          <cell r="C244" t="str">
            <v>BVPS_PUB</v>
          </cell>
          <cell r="D244" t="str">
            <v>CNY</v>
          </cell>
          <cell r="F244">
            <v>0.169485283913</v>
          </cell>
          <cell r="G244">
            <v>0.179145924087</v>
          </cell>
          <cell r="H244">
            <v>0.28633032881199999</v>
          </cell>
          <cell r="I244">
            <v>0.67937911631699999</v>
          </cell>
          <cell r="J244">
            <v>0.77496017016300001</v>
          </cell>
          <cell r="K244">
            <v>1.0508717043639999</v>
          </cell>
          <cell r="P244">
            <v>1.3489495266330001</v>
          </cell>
          <cell r="U244">
            <v>1.919058294746</v>
          </cell>
          <cell r="Z244">
            <v>3.6370887681589998</v>
          </cell>
          <cell r="AE244">
            <v>4.4915019698260004</v>
          </cell>
          <cell r="AJ244">
            <v>5.7156581903059998</v>
          </cell>
          <cell r="AK244">
            <v>7.1958655289040001</v>
          </cell>
          <cell r="AL244">
            <v>8.96766131497</v>
          </cell>
          <cell r="AM244">
            <v>10.591053754919001</v>
          </cell>
          <cell r="AN244">
            <v>13.180037264415001</v>
          </cell>
          <cell r="AO244">
            <v>16.092018819656001</v>
          </cell>
        </row>
        <row r="245">
          <cell r="B245" t="str">
            <v>DPS, dividend per share (Pub)</v>
          </cell>
          <cell r="C245" t="str">
            <v>DPS_PUB</v>
          </cell>
          <cell r="D245" t="str">
            <v>CNY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3.7499999999999999E-2</v>
          </cell>
          <cell r="K245">
            <v>6.2486563012E-2</v>
          </cell>
          <cell r="P245">
            <v>6.25E-2</v>
          </cell>
          <cell r="U245">
            <v>0.08</v>
          </cell>
          <cell r="Z245">
            <v>0.10131815330299999</v>
          </cell>
          <cell r="AE245">
            <v>0.16419300893800001</v>
          </cell>
          <cell r="AJ245">
            <v>0.21602756832</v>
          </cell>
          <cell r="AK245">
            <v>0.26121305975300002</v>
          </cell>
          <cell r="AL245">
            <v>0.31266984460000002</v>
          </cell>
          <cell r="AM245">
            <v>0.38848975272500003</v>
          </cell>
          <cell r="AN245">
            <v>0.456879442852</v>
          </cell>
          <cell r="AO245">
            <v>0.513879097984</v>
          </cell>
        </row>
        <row r="246">
          <cell r="B246" t="str">
            <v>Special dividend per share</v>
          </cell>
          <cell r="C246" t="str">
            <v>DPS_SPECIAL_PUB</v>
          </cell>
          <cell r="D246" t="str">
            <v>CNY</v>
          </cell>
        </row>
        <row r="247">
          <cell r="B247" t="str">
            <v>EBITDA (Pub)</v>
          </cell>
          <cell r="C247" t="str">
            <v>EBITDA_PUB</v>
          </cell>
          <cell r="D247" t="str">
            <v>CNY</v>
          </cell>
          <cell r="F247">
            <v>41.467204520000003</v>
          </cell>
          <cell r="G247">
            <v>46.125457930000003</v>
          </cell>
          <cell r="H247">
            <v>80.691075769999998</v>
          </cell>
          <cell r="I247">
            <v>82.275424599999994</v>
          </cell>
          <cell r="J247">
            <v>106.18577326</v>
          </cell>
          <cell r="K247">
            <v>261.64681782000002</v>
          </cell>
          <cell r="P247">
            <v>377.46796926000002</v>
          </cell>
          <cell r="U247">
            <v>668.82702271000005</v>
          </cell>
          <cell r="Z247">
            <v>1050.1137196899999</v>
          </cell>
          <cell r="AE247">
            <v>1125.9708633856301</v>
          </cell>
          <cell r="AJ247">
            <v>1561.4745785669199</v>
          </cell>
          <cell r="AK247">
            <v>1919.9606747381399</v>
          </cell>
          <cell r="AL247">
            <v>2297.0888582252801</v>
          </cell>
          <cell r="AM247">
            <v>2749.74891535189</v>
          </cell>
          <cell r="AN247">
            <v>3213.29493014424</v>
          </cell>
          <cell r="AO247">
            <v>3594.8395173427698</v>
          </cell>
        </row>
        <row r="248">
          <cell r="B248" t="str">
            <v>EPS (Pub)</v>
          </cell>
          <cell r="C248" t="str">
            <v>EPS_PUB</v>
          </cell>
          <cell r="D248" t="str">
            <v>CNY</v>
          </cell>
          <cell r="F248">
            <v>5.2389522149999999E-2</v>
          </cell>
          <cell r="G248">
            <v>5.9659720175E-2</v>
          </cell>
          <cell r="H248">
            <v>0.107185324725</v>
          </cell>
          <cell r="I248">
            <v>9.7424083672999998E-2</v>
          </cell>
          <cell r="J248">
            <v>0.10964355384500001</v>
          </cell>
          <cell r="K248">
            <v>0.23317168274799999</v>
          </cell>
          <cell r="P248">
            <v>0.33859698094200003</v>
          </cell>
          <cell r="U248">
            <v>0.62721950227000001</v>
          </cell>
          <cell r="Z248">
            <v>0.98672819884499996</v>
          </cell>
          <cell r="AE248">
            <v>1.1032667642589999</v>
          </cell>
          <cell r="AJ248">
            <v>1.4401837888</v>
          </cell>
          <cell r="AK248">
            <v>1.7414203983509999</v>
          </cell>
          <cell r="AL248">
            <v>2.0844656306660001</v>
          </cell>
          <cell r="AM248">
            <v>2.5899316848330001</v>
          </cell>
          <cell r="AN248">
            <v>3.0458629523490002</v>
          </cell>
          <cell r="AO248">
            <v>3.425860653225</v>
          </cell>
        </row>
        <row r="249">
          <cell r="B249" t="str">
            <v>EV adjustment (Pub)</v>
          </cell>
          <cell r="C249" t="str">
            <v>EV_ADJ_PUB</v>
          </cell>
          <cell r="D249" t="str">
            <v>CNY</v>
          </cell>
        </row>
        <row r="250">
          <cell r="B250" t="str">
            <v>Net debt (Pub)</v>
          </cell>
          <cell r="C250" t="str">
            <v>NET_DEBT_PUB</v>
          </cell>
          <cell r="D250" t="str">
            <v>CNY</v>
          </cell>
          <cell r="F250">
            <v>-38.11350212</v>
          </cell>
          <cell r="G250">
            <v>-3.9306916799999998</v>
          </cell>
          <cell r="H250">
            <v>-76.186895680000006</v>
          </cell>
          <cell r="I250">
            <v>-414.45890890999999</v>
          </cell>
          <cell r="J250">
            <v>-414.39609637000001</v>
          </cell>
          <cell r="K250">
            <v>-573.05378914999994</v>
          </cell>
          <cell r="P250">
            <v>-464.75303516000002</v>
          </cell>
          <cell r="U250">
            <v>-693.47398052999995</v>
          </cell>
          <cell r="Z250">
            <v>-1775.9105752400001</v>
          </cell>
          <cell r="AE250">
            <v>-958.53586587411201</v>
          </cell>
          <cell r="AJ250">
            <v>-884.21049486143102</v>
          </cell>
          <cell r="AK250">
            <v>-1040.34406555892</v>
          </cell>
          <cell r="AL250">
            <v>-1536.1813722703</v>
          </cell>
          <cell r="AM250">
            <v>-3450.6590620232</v>
          </cell>
          <cell r="AN250">
            <v>-5094.04581857014</v>
          </cell>
          <cell r="AO250">
            <v>-7282.3813430564996</v>
          </cell>
        </row>
        <row r="251">
          <cell r="B251" t="str">
            <v>Net income (Pub)</v>
          </cell>
          <cell r="C251" t="str">
            <v>NI_PUB</v>
          </cell>
          <cell r="D251" t="str">
            <v>CNY</v>
          </cell>
          <cell r="F251">
            <v>41.911617720000002</v>
          </cell>
          <cell r="G251">
            <v>47.727776140000003</v>
          </cell>
          <cell r="H251">
            <v>85.748259779999998</v>
          </cell>
          <cell r="I251">
            <v>104.12686063</v>
          </cell>
          <cell r="J251">
            <v>117.18703035</v>
          </cell>
          <cell r="K251">
            <v>260.29458596000001</v>
          </cell>
          <cell r="L251">
            <v>39.185843200000001</v>
          </cell>
          <cell r="M251">
            <v>89.721451700000003</v>
          </cell>
          <cell r="N251">
            <v>75.33110465</v>
          </cell>
          <cell r="O251">
            <v>173.74472397</v>
          </cell>
          <cell r="P251">
            <v>377.98312351999999</v>
          </cell>
          <cell r="Q251">
            <v>66.967705039999998</v>
          </cell>
          <cell r="R251">
            <v>158.84193164999999</v>
          </cell>
          <cell r="S251">
            <v>152.18808587999999</v>
          </cell>
          <cell r="T251">
            <v>322.15742247999998</v>
          </cell>
          <cell r="U251">
            <v>700.15514504999999</v>
          </cell>
          <cell r="V251">
            <v>142.67308917</v>
          </cell>
          <cell r="W251">
            <v>243.58044674999999</v>
          </cell>
          <cell r="X251">
            <v>229.713131529999</v>
          </cell>
          <cell r="Y251">
            <v>514.95524806000003</v>
          </cell>
          <cell r="Z251">
            <v>1130.92191551</v>
          </cell>
          <cell r="AA251">
            <v>201.66848066</v>
          </cell>
          <cell r="AB251">
            <v>304.66229314999998</v>
          </cell>
          <cell r="AC251">
            <v>218.265724879999</v>
          </cell>
          <cell r="AD251">
            <v>556.76382747478601</v>
          </cell>
          <cell r="AE251">
            <v>1281.36032616479</v>
          </cell>
          <cell r="AF251">
            <v>103.40495402000001</v>
          </cell>
          <cell r="AG251">
            <v>347.46371641038502</v>
          </cell>
          <cell r="AH251">
            <v>318.62198293791801</v>
          </cell>
          <cell r="AI251">
            <v>563.52792010702501</v>
          </cell>
          <cell r="AJ251">
            <v>1685.8766228474501</v>
          </cell>
          <cell r="AK251">
            <v>2038.5036708236901</v>
          </cell>
          <cell r="AL251">
            <v>2440.0718194430501</v>
          </cell>
          <cell r="AM251">
            <v>3005.19422699696</v>
          </cell>
          <cell r="AN251">
            <v>3534.2282633268601</v>
          </cell>
          <cell r="AO251">
            <v>3975.15375322712</v>
          </cell>
        </row>
        <row r="252">
          <cell r="B252" t="str">
            <v>EBIT, operating profit (Pub)</v>
          </cell>
          <cell r="C252" t="str">
            <v>EBIT_PUB</v>
          </cell>
          <cell r="D252" t="str">
            <v>CNY</v>
          </cell>
          <cell r="F252">
            <v>38.485582000000001</v>
          </cell>
          <cell r="G252">
            <v>39.067442530000001</v>
          </cell>
          <cell r="H252">
            <v>75.646639570000005</v>
          </cell>
          <cell r="I252">
            <v>73.887275759999994</v>
          </cell>
          <cell r="J252">
            <v>92.265668739999995</v>
          </cell>
          <cell r="K252">
            <v>242.74550624</v>
          </cell>
          <cell r="L252">
            <v>38.224176839999998</v>
          </cell>
          <cell r="M252">
            <v>112.21541938</v>
          </cell>
          <cell r="N252">
            <v>90.39801885</v>
          </cell>
          <cell r="O252">
            <v>110.55902445</v>
          </cell>
          <cell r="P252">
            <v>351.39663952000001</v>
          </cell>
          <cell r="Q252">
            <v>65.673738790000002</v>
          </cell>
          <cell r="R252">
            <v>157.76775864999999</v>
          </cell>
          <cell r="S252">
            <v>143.41935702999999</v>
          </cell>
          <cell r="T252">
            <v>265.65974060000002</v>
          </cell>
          <cell r="U252">
            <v>632.52059507000001</v>
          </cell>
          <cell r="V252">
            <v>128.60321445</v>
          </cell>
          <cell r="W252">
            <v>248.36097064000001</v>
          </cell>
          <cell r="X252">
            <v>234.87214383999901</v>
          </cell>
          <cell r="Y252">
            <v>391.85342076000001</v>
          </cell>
          <cell r="Z252">
            <v>1003.68974969</v>
          </cell>
          <cell r="AA252">
            <v>159.36481981</v>
          </cell>
          <cell r="AB252">
            <v>280.06532987000003</v>
          </cell>
          <cell r="AC252">
            <v>140.99021675999899</v>
          </cell>
          <cell r="AD252">
            <v>495.31397366401598</v>
          </cell>
          <cell r="AE252">
            <v>1075.73434010402</v>
          </cell>
          <cell r="AF252">
            <v>77.028073750000004</v>
          </cell>
          <cell r="AG252">
            <v>342.29972717879002</v>
          </cell>
          <cell r="AH252">
            <v>244.68697241224999</v>
          </cell>
          <cell r="AI252">
            <v>549.39792362348499</v>
          </cell>
          <cell r="AJ252">
            <v>1499.6485476773</v>
          </cell>
          <cell r="AK252">
            <v>1847.4596870457301</v>
          </cell>
          <cell r="AL252">
            <v>2216.0017010292299</v>
          </cell>
          <cell r="AM252">
            <v>2628.2547866423001</v>
          </cell>
          <cell r="AN252">
            <v>3069.3769429375102</v>
          </cell>
          <cell r="AO252">
            <v>3426.4779585219799</v>
          </cell>
        </row>
        <row r="253">
          <cell r="B253" t="str">
            <v>Pre-tax profit (Pub)</v>
          </cell>
          <cell r="C253" t="str">
            <v>PTP_PUB</v>
          </cell>
          <cell r="D253" t="str">
            <v>CNY</v>
          </cell>
          <cell r="F253">
            <v>48.788832880000001</v>
          </cell>
          <cell r="G253">
            <v>52.466544159999998</v>
          </cell>
          <cell r="H253">
            <v>97.267226609999994</v>
          </cell>
          <cell r="I253">
            <v>111.10787709</v>
          </cell>
          <cell r="J253">
            <v>127.84989947</v>
          </cell>
          <cell r="K253">
            <v>288.17807862000001</v>
          </cell>
          <cell r="P253">
            <v>413.35016881000001</v>
          </cell>
          <cell r="U253">
            <v>754.58253206999996</v>
          </cell>
          <cell r="Z253">
            <v>1125.23812432</v>
          </cell>
          <cell r="AE253">
            <v>1351.7234439947899</v>
          </cell>
          <cell r="AJ253">
            <v>1873.1962476082799</v>
          </cell>
          <cell r="AK253">
            <v>2265.0040786929899</v>
          </cell>
          <cell r="AL253">
            <v>2711.1909104922702</v>
          </cell>
          <cell r="AM253">
            <v>3339.4765573743998</v>
          </cell>
          <cell r="AN253">
            <v>3927.2921532965102</v>
          </cell>
          <cell r="AO253">
            <v>4417.2093642968002</v>
          </cell>
        </row>
        <row r="254">
          <cell r="B254" t="str">
            <v>Sales, revenue (Pub)</v>
          </cell>
          <cell r="C254" t="str">
            <v>REVS_PUB</v>
          </cell>
          <cell r="D254" t="str">
            <v>CNY</v>
          </cell>
          <cell r="F254">
            <v>293.14459049999999</v>
          </cell>
          <cell r="G254">
            <v>445.53826700000002</v>
          </cell>
          <cell r="H254">
            <v>405.18517371000002</v>
          </cell>
          <cell r="I254">
            <v>632.01839077</v>
          </cell>
          <cell r="J254">
            <v>835.94207206999999</v>
          </cell>
          <cell r="K254">
            <v>1516.2754451599999</v>
          </cell>
          <cell r="L254">
            <v>328.63490666000001</v>
          </cell>
          <cell r="M254">
            <v>565.62563779000004</v>
          </cell>
          <cell r="N254">
            <v>566.43922061000001</v>
          </cell>
          <cell r="O254">
            <v>744.50844201999996</v>
          </cell>
          <cell r="P254">
            <v>2205.2082070800002</v>
          </cell>
          <cell r="Q254">
            <v>498.02956517000001</v>
          </cell>
          <cell r="R254">
            <v>798.84124770999995</v>
          </cell>
          <cell r="S254">
            <v>896.01216612999997</v>
          </cell>
          <cell r="T254">
            <v>1338.3314926099999</v>
          </cell>
          <cell r="U254">
            <v>3531.21447162</v>
          </cell>
          <cell r="V254">
            <v>788.46723757999996</v>
          </cell>
          <cell r="W254">
            <v>1243.12236188</v>
          </cell>
          <cell r="X254">
            <v>1227.5825049499999</v>
          </cell>
          <cell r="Y254">
            <v>2150.9219383899999</v>
          </cell>
          <cell r="Z254">
            <v>5410.0940428000004</v>
          </cell>
          <cell r="AA254">
            <v>1144.82098271</v>
          </cell>
          <cell r="AB254">
            <v>1897.70093425</v>
          </cell>
          <cell r="AC254">
            <v>1604.9511627300001</v>
          </cell>
          <cell r="AD254">
            <v>2950.4356011554901</v>
          </cell>
          <cell r="AE254">
            <v>7597.9086808454904</v>
          </cell>
          <cell r="AF254">
            <v>1202.59859555</v>
          </cell>
          <cell r="AG254">
            <v>1998.7442060451101</v>
          </cell>
          <cell r="AH254">
            <v>2091.7832663906402</v>
          </cell>
          <cell r="AI254">
            <v>3479.1242914334498</v>
          </cell>
          <cell r="AJ254">
            <v>10250.793948672301</v>
          </cell>
          <cell r="AK254">
            <v>13014.672608934799</v>
          </cell>
          <cell r="AL254">
            <v>15831.6472280329</v>
          </cell>
          <cell r="AM254">
            <v>18738.597086290702</v>
          </cell>
          <cell r="AN254">
            <v>21826.540805533899</v>
          </cell>
          <cell r="AO254">
            <v>24355.844208464601</v>
          </cell>
        </row>
        <row r="255">
          <cell r="B255" t="str">
            <v>Total shareholders' equity (Pub)</v>
          </cell>
          <cell r="C255" t="str">
            <v>EQ_PUB</v>
          </cell>
          <cell r="D255" t="str">
            <v>CNY</v>
          </cell>
          <cell r="F255">
            <v>146.64559302000001</v>
          </cell>
          <cell r="G255">
            <v>143.55420046</v>
          </cell>
          <cell r="H255">
            <v>229.25234051000001</v>
          </cell>
          <cell r="I255">
            <v>726.21987729</v>
          </cell>
          <cell r="J255">
            <v>828.27742986999999</v>
          </cell>
          <cell r="K255">
            <v>1174.3478082399999</v>
          </cell>
          <cell r="P255">
            <v>1514.8762453300001</v>
          </cell>
          <cell r="U255">
            <v>2147.6530604999998</v>
          </cell>
          <cell r="Z255">
            <v>4173.8794762300004</v>
          </cell>
          <cell r="AE255">
            <v>5264.8688388500696</v>
          </cell>
          <cell r="AJ255">
            <v>6697.8639682703997</v>
          </cell>
          <cell r="AK255">
            <v>8430.5920884705392</v>
          </cell>
          <cell r="AL255">
            <v>10504.653134997099</v>
          </cell>
          <cell r="AM255">
            <v>12298.9104127917</v>
          </cell>
          <cell r="AN255">
            <v>15303.3391112595</v>
          </cell>
          <cell r="AO255">
            <v>18682.554476142599</v>
          </cell>
        </row>
        <row r="256">
          <cell r="B256" t="str">
            <v>EPS (consensus)</v>
          </cell>
          <cell r="C256" t="str">
            <v>EPS_CONS_PUB</v>
          </cell>
          <cell r="D256" t="str">
            <v>CNY</v>
          </cell>
        </row>
        <row r="257">
          <cell r="A257" t="str">
            <v>Income Statement</v>
          </cell>
        </row>
        <row r="258">
          <cell r="B258" t="str">
            <v>Provision for income tax</v>
          </cell>
          <cell r="C258" t="str">
            <v>PROV_INC_TAX</v>
          </cell>
          <cell r="D258" t="str">
            <v>CNY</v>
          </cell>
          <cell r="F258">
            <v>-3.0286409700000001</v>
          </cell>
          <cell r="G258">
            <v>-3.7160571999999998</v>
          </cell>
          <cell r="H258">
            <v>-11.49341182</v>
          </cell>
          <cell r="I258">
            <v>-7.0696161499999999</v>
          </cell>
          <cell r="J258">
            <v>-10.740322219999999</v>
          </cell>
          <cell r="K258">
            <v>-28.54646683</v>
          </cell>
          <cell r="P258">
            <v>-37.789319679999998</v>
          </cell>
          <cell r="U258">
            <v>-57.931297909999998</v>
          </cell>
          <cell r="Z258">
            <v>4.9006040100000003</v>
          </cell>
          <cell r="AE258">
            <v>-68.530032449999993</v>
          </cell>
          <cell r="AJ258">
            <v>-187.31962476082799</v>
          </cell>
          <cell r="AK258">
            <v>-226.50040786929901</v>
          </cell>
          <cell r="AL258">
            <v>-271.11909104922802</v>
          </cell>
          <cell r="AM258">
            <v>-333.94765573744002</v>
          </cell>
          <cell r="AN258">
            <v>-392.72921532965103</v>
          </cell>
          <cell r="AO258">
            <v>-441.72093642968002</v>
          </cell>
        </row>
        <row r="259">
          <cell r="B259" t="str">
            <v>Minority interest</v>
          </cell>
          <cell r="C259" t="str">
            <v>INC_MINORITY</v>
          </cell>
          <cell r="D259" t="str">
            <v>CNY</v>
          </cell>
          <cell r="F259">
            <v>-3.8485741899999999</v>
          </cell>
          <cell r="G259">
            <v>-1.0227108199999999</v>
          </cell>
          <cell r="H259">
            <v>-2.555501E-2</v>
          </cell>
          <cell r="I259">
            <v>8.8599689999999995E-2</v>
          </cell>
          <cell r="J259">
            <v>7.7453099999999997E-2</v>
          </cell>
          <cell r="K259">
            <v>0.66297417000000003</v>
          </cell>
          <cell r="P259">
            <v>2.4222743900000001</v>
          </cell>
          <cell r="U259">
            <v>3.5039108899999998</v>
          </cell>
          <cell r="Z259">
            <v>0.78318717999999998</v>
          </cell>
          <cell r="AE259">
            <v>-1.83308538</v>
          </cell>
          <cell r="AJ259">
            <v>0</v>
          </cell>
          <cell r="AK259">
            <v>0</v>
          </cell>
          <cell r="AL259">
            <v>-0.33467464000000002</v>
          </cell>
          <cell r="AM259">
            <v>-0.33467464000000002</v>
          </cell>
          <cell r="AN259">
            <v>-0.33467464000000002</v>
          </cell>
          <cell r="AO259">
            <v>-0.33467464000000002</v>
          </cell>
        </row>
        <row r="260">
          <cell r="B260" t="str">
            <v>Net income (pre-preferred dividends)</v>
          </cell>
          <cell r="C260" t="str">
            <v>NI_PRE_PREF</v>
          </cell>
          <cell r="D260" t="str">
            <v>CNY</v>
          </cell>
          <cell r="F260">
            <v>41.911617720000002</v>
          </cell>
          <cell r="G260">
            <v>47.727776140000003</v>
          </cell>
          <cell r="H260">
            <v>85.748259779999998</v>
          </cell>
          <cell r="I260">
            <v>104.12686063</v>
          </cell>
          <cell r="J260">
            <v>117.18703035</v>
          </cell>
          <cell r="K260">
            <v>260.29458596000001</v>
          </cell>
          <cell r="P260">
            <v>377.98312351999999</v>
          </cell>
          <cell r="U260">
            <v>700.15514504999999</v>
          </cell>
          <cell r="Z260">
            <v>1130.92191551</v>
          </cell>
          <cell r="AE260">
            <v>1281.36032616479</v>
          </cell>
          <cell r="AJ260">
            <v>1685.8766228474501</v>
          </cell>
          <cell r="AK260">
            <v>2038.5036708236901</v>
          </cell>
          <cell r="AL260">
            <v>2440.0718194430501</v>
          </cell>
          <cell r="AM260">
            <v>3005.19422699696</v>
          </cell>
          <cell r="AN260">
            <v>3534.2282633268601</v>
          </cell>
          <cell r="AO260">
            <v>3975.15375322712</v>
          </cell>
        </row>
        <row r="261">
          <cell r="B261" t="str">
            <v>Preferred dividends</v>
          </cell>
          <cell r="C261" t="str">
            <v>PREF_DIV</v>
          </cell>
          <cell r="D261" t="str">
            <v>CNY</v>
          </cell>
        </row>
        <row r="262">
          <cell r="B262" t="str">
            <v>Net income (pre-exceptionals)</v>
          </cell>
          <cell r="C262" t="str">
            <v>NET_EARNING</v>
          </cell>
          <cell r="D262" t="str">
            <v>CNY</v>
          </cell>
          <cell r="F262">
            <v>41.911617720000002</v>
          </cell>
          <cell r="G262">
            <v>47.727776140000003</v>
          </cell>
          <cell r="H262">
            <v>85.748259779999998</v>
          </cell>
          <cell r="I262">
            <v>104.12686063</v>
          </cell>
          <cell r="J262">
            <v>117.18703035</v>
          </cell>
          <cell r="K262">
            <v>260.29458596000001</v>
          </cell>
          <cell r="P262">
            <v>377.98312351999999</v>
          </cell>
          <cell r="U262">
            <v>700.15514504999999</v>
          </cell>
          <cell r="Z262">
            <v>1130.92191551</v>
          </cell>
          <cell r="AE262">
            <v>1281.36032616479</v>
          </cell>
          <cell r="AJ262">
            <v>1685.8766228474501</v>
          </cell>
          <cell r="AK262">
            <v>2038.5036708236901</v>
          </cell>
          <cell r="AL262">
            <v>2440.0718194430501</v>
          </cell>
          <cell r="AM262">
            <v>3005.19422699696</v>
          </cell>
          <cell r="AN262">
            <v>3534.2282633268601</v>
          </cell>
          <cell r="AO262">
            <v>3975.15375322712</v>
          </cell>
        </row>
        <row r="263">
          <cell r="B263" t="str">
            <v>Post-tax exceptionals</v>
          </cell>
          <cell r="C263" t="str">
            <v>TAX_EXC</v>
          </cell>
          <cell r="D263" t="str">
            <v>CNY</v>
          </cell>
        </row>
        <row r="264">
          <cell r="B264" t="str">
            <v>Net income (post-exceptionals)</v>
          </cell>
          <cell r="C264" t="str">
            <v>NET_INC</v>
          </cell>
          <cell r="D264" t="str">
            <v>CNY</v>
          </cell>
          <cell r="F264">
            <v>41.911617720000002</v>
          </cell>
          <cell r="G264">
            <v>47.727776140000003</v>
          </cell>
          <cell r="H264">
            <v>85.748259779999998</v>
          </cell>
          <cell r="I264">
            <v>104.12686063</v>
          </cell>
          <cell r="J264">
            <v>117.18703035</v>
          </cell>
          <cell r="K264">
            <v>260.29458596000001</v>
          </cell>
          <cell r="L264">
            <v>39.185843200000001</v>
          </cell>
          <cell r="M264">
            <v>89.721451700000003</v>
          </cell>
          <cell r="N264">
            <v>75.33110465</v>
          </cell>
          <cell r="O264">
            <v>173.74472397</v>
          </cell>
          <cell r="P264">
            <v>377.98312351999999</v>
          </cell>
          <cell r="Q264">
            <v>66.967705039999998</v>
          </cell>
          <cell r="R264">
            <v>158.84193164999999</v>
          </cell>
          <cell r="S264">
            <v>152.18808587999999</v>
          </cell>
          <cell r="T264">
            <v>322.15742247999998</v>
          </cell>
          <cell r="U264">
            <v>700.15514504999999</v>
          </cell>
          <cell r="V264">
            <v>142.67308917</v>
          </cell>
          <cell r="W264">
            <v>243.58044674999999</v>
          </cell>
          <cell r="X264">
            <v>229.713131529999</v>
          </cell>
          <cell r="Y264">
            <v>514.95524806000003</v>
          </cell>
          <cell r="Z264">
            <v>1130.92191551</v>
          </cell>
          <cell r="AA264">
            <v>201.66848066</v>
          </cell>
          <cell r="AB264">
            <v>304.66229314999998</v>
          </cell>
          <cell r="AC264">
            <v>218.265724879999</v>
          </cell>
          <cell r="AD264">
            <v>556.76382747478601</v>
          </cell>
          <cell r="AE264">
            <v>1281.36032616479</v>
          </cell>
          <cell r="AF264">
            <v>103.40495402000001</v>
          </cell>
          <cell r="AG264">
            <v>347.46371641038502</v>
          </cell>
          <cell r="AH264">
            <v>318.62198293791801</v>
          </cell>
          <cell r="AI264">
            <v>563.52792010702501</v>
          </cell>
          <cell r="AJ264">
            <v>1685.8766228474501</v>
          </cell>
          <cell r="AK264">
            <v>2038.5036708236901</v>
          </cell>
          <cell r="AL264">
            <v>2440.0718194430501</v>
          </cell>
          <cell r="AM264">
            <v>3005.19422699696</v>
          </cell>
          <cell r="AN264">
            <v>3534.2282633268601</v>
          </cell>
          <cell r="AO264">
            <v>3975.15375322712</v>
          </cell>
        </row>
        <row r="265">
          <cell r="B265" t="str">
            <v>EPS (pre-exceptionals, basic)</v>
          </cell>
          <cell r="C265" t="str">
            <v>EPS</v>
          </cell>
          <cell r="D265" t="str">
            <v>CNY</v>
          </cell>
          <cell r="F265">
            <v>5.2389522149999999E-2</v>
          </cell>
          <cell r="G265">
            <v>5.9659720175E-2</v>
          </cell>
          <cell r="H265">
            <v>0.107185324725</v>
          </cell>
          <cell r="I265">
            <v>9.7424083672999998E-2</v>
          </cell>
          <cell r="J265">
            <v>0.10964355384500001</v>
          </cell>
          <cell r="K265">
            <v>0.23317168274799999</v>
          </cell>
          <cell r="P265">
            <v>0.33859698094200003</v>
          </cell>
          <cell r="U265">
            <v>0.62721950227000001</v>
          </cell>
          <cell r="Z265">
            <v>0.98672819884499996</v>
          </cell>
          <cell r="AE265">
            <v>1.1032667642589999</v>
          </cell>
          <cell r="AJ265">
            <v>1.4401837888</v>
          </cell>
          <cell r="AK265">
            <v>1.7414203983509999</v>
          </cell>
          <cell r="AL265">
            <v>2.0844656306660001</v>
          </cell>
          <cell r="AM265">
            <v>2.5899316848330001</v>
          </cell>
          <cell r="AN265">
            <v>3.0458629523490002</v>
          </cell>
          <cell r="AO265">
            <v>3.425860653225</v>
          </cell>
        </row>
        <row r="266">
          <cell r="B266" t="str">
            <v>EPS (pre-exceptionals, diluted)</v>
          </cell>
          <cell r="C266" t="str">
            <v>EPS_FUL_DIL</v>
          </cell>
          <cell r="D266" t="str">
            <v>CNY</v>
          </cell>
          <cell r="F266">
            <v>5.2389522149999999E-2</v>
          </cell>
          <cell r="G266">
            <v>5.9659720175E-2</v>
          </cell>
          <cell r="H266">
            <v>0.107185324725</v>
          </cell>
          <cell r="I266">
            <v>9.7424083672999998E-2</v>
          </cell>
          <cell r="J266">
            <v>0.10964355384500001</v>
          </cell>
          <cell r="K266">
            <v>0.23317168274799999</v>
          </cell>
          <cell r="P266">
            <v>0.33859698094200003</v>
          </cell>
          <cell r="U266">
            <v>0.62724058477699995</v>
          </cell>
          <cell r="Z266">
            <v>0.98672819884499996</v>
          </cell>
          <cell r="AE266">
            <v>1.1032667642589999</v>
          </cell>
          <cell r="AJ266">
            <v>1.4401837888</v>
          </cell>
          <cell r="AK266">
            <v>1.7414203983509999</v>
          </cell>
          <cell r="AL266">
            <v>2.0844656306660001</v>
          </cell>
          <cell r="AM266">
            <v>2.5899316848330001</v>
          </cell>
          <cell r="AN266">
            <v>3.0458629523490002</v>
          </cell>
          <cell r="AO266">
            <v>3.425860653225</v>
          </cell>
        </row>
        <row r="267">
          <cell r="B267" t="str">
            <v>EPS (post-exceptionals, basic)</v>
          </cell>
          <cell r="C267" t="str">
            <v>EPS_POST_BASIC</v>
          </cell>
          <cell r="D267" t="str">
            <v>CNY</v>
          </cell>
          <cell r="F267">
            <v>5.2389522149999999E-2</v>
          </cell>
          <cell r="G267">
            <v>5.9659720175E-2</v>
          </cell>
          <cell r="H267">
            <v>0.107185324725</v>
          </cell>
          <cell r="I267">
            <v>9.7424083672999998E-2</v>
          </cell>
          <cell r="J267">
            <v>0.10964355384500001</v>
          </cell>
          <cell r="K267">
            <v>0.23317168274799999</v>
          </cell>
          <cell r="P267">
            <v>0.33859698094200003</v>
          </cell>
          <cell r="U267">
            <v>0.62721950227000001</v>
          </cell>
          <cell r="Z267">
            <v>0.98672819884499996</v>
          </cell>
          <cell r="AE267">
            <v>1.1032667642589999</v>
          </cell>
          <cell r="AJ267">
            <v>1.4401837888</v>
          </cell>
          <cell r="AK267">
            <v>1.7414203983509999</v>
          </cell>
          <cell r="AL267">
            <v>2.0844656306660001</v>
          </cell>
          <cell r="AM267">
            <v>2.5899316848330001</v>
          </cell>
          <cell r="AN267">
            <v>3.0458629523490002</v>
          </cell>
          <cell r="AO267">
            <v>3.425860653225</v>
          </cell>
        </row>
        <row r="268">
          <cell r="B268" t="str">
            <v>EPS (post-exceptionals, diluted)</v>
          </cell>
          <cell r="C268" t="str">
            <v>FULLY_DIL_EPS</v>
          </cell>
          <cell r="D268" t="str">
            <v>CNY</v>
          </cell>
          <cell r="F268">
            <v>5.2389522149999999E-2</v>
          </cell>
          <cell r="G268">
            <v>5.9659720175E-2</v>
          </cell>
          <cell r="H268">
            <v>0.107185324725</v>
          </cell>
          <cell r="I268">
            <v>9.7424083672999998E-2</v>
          </cell>
          <cell r="J268">
            <v>0.10964355384500001</v>
          </cell>
          <cell r="K268">
            <v>0.23317168274799999</v>
          </cell>
          <cell r="P268">
            <v>0.33859698094200003</v>
          </cell>
          <cell r="U268">
            <v>0.62724058477699995</v>
          </cell>
          <cell r="Z268">
            <v>0.98672819884499996</v>
          </cell>
          <cell r="AE268">
            <v>1.1032667642589999</v>
          </cell>
          <cell r="AJ268">
            <v>1.4401837888</v>
          </cell>
          <cell r="AK268">
            <v>1.7414203983509999</v>
          </cell>
          <cell r="AL268">
            <v>2.0844656306660001</v>
          </cell>
          <cell r="AM268">
            <v>2.5899316848330001</v>
          </cell>
          <cell r="AN268">
            <v>3.0458629523490002</v>
          </cell>
          <cell r="AO268">
            <v>3.425860653225</v>
          </cell>
        </row>
        <row r="269">
          <cell r="B269" t="str">
            <v>Common dividends paid</v>
          </cell>
          <cell r="C269" t="str">
            <v>COMMON_DIV_PAID</v>
          </cell>
          <cell r="D269" t="str">
            <v>CNY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-40.08</v>
          </cell>
          <cell r="K269">
            <v>-69.755099999999999</v>
          </cell>
          <cell r="P269">
            <v>-69.770099999999999</v>
          </cell>
          <cell r="U269">
            <v>-89.299724800000007</v>
          </cell>
          <cell r="Z269">
            <v>-116.12409592</v>
          </cell>
          <cell r="AE269">
            <v>-192.20404892471799</v>
          </cell>
          <cell r="AJ269">
            <v>-252.88149342711799</v>
          </cell>
          <cell r="AK269">
            <v>-305.77555062355401</v>
          </cell>
          <cell r="AL269">
            <v>-366.01077291645697</v>
          </cell>
          <cell r="AM269">
            <v>-450.77913404954398</v>
          </cell>
          <cell r="AN269">
            <v>-530.13423949902904</v>
          </cell>
          <cell r="AO269">
            <v>-596.27306298406802</v>
          </cell>
        </row>
        <row r="270">
          <cell r="B270" t="str">
            <v>DPS, dividend per share</v>
          </cell>
          <cell r="C270" t="str">
            <v>DPS</v>
          </cell>
          <cell r="D270" t="str">
            <v>CNY</v>
          </cell>
          <cell r="J270">
            <v>3.7499999999999999E-2</v>
          </cell>
          <cell r="K270">
            <v>6.2486563012E-2</v>
          </cell>
          <cell r="P270">
            <v>6.25E-2</v>
          </cell>
          <cell r="U270">
            <v>0.08</v>
          </cell>
          <cell r="Z270">
            <v>0.10131815330299999</v>
          </cell>
          <cell r="AE270">
            <v>0.16419300893800001</v>
          </cell>
          <cell r="AJ270">
            <v>0.21602756832</v>
          </cell>
          <cell r="AK270">
            <v>0.26121305975300002</v>
          </cell>
          <cell r="AL270">
            <v>0.31266984460000002</v>
          </cell>
          <cell r="AM270">
            <v>0.38848975272500003</v>
          </cell>
          <cell r="AN270">
            <v>0.456879442852</v>
          </cell>
          <cell r="AO270">
            <v>0.513879097984</v>
          </cell>
        </row>
        <row r="271">
          <cell r="B271" t="str">
            <v>Weighted average shares outstanding, basic</v>
          </cell>
          <cell r="C271" t="str">
            <v>SH</v>
          </cell>
          <cell r="F271">
            <v>800</v>
          </cell>
          <cell r="G271">
            <v>800</v>
          </cell>
          <cell r="H271">
            <v>800</v>
          </cell>
          <cell r="I271">
            <v>1068.8</v>
          </cell>
          <cell r="J271">
            <v>1068.8</v>
          </cell>
          <cell r="K271">
            <v>1116.3216</v>
          </cell>
          <cell r="P271">
            <v>1116.3216</v>
          </cell>
          <cell r="U271">
            <v>1116.2840799999999</v>
          </cell>
          <cell r="Z271">
            <v>1146.133167</v>
          </cell>
          <cell r="AE271">
            <v>1161.4238438750001</v>
          </cell>
          <cell r="AJ271">
            <v>1170.59825</v>
          </cell>
          <cell r="AK271">
            <v>1170.59825</v>
          </cell>
          <cell r="AL271">
            <v>1170.59825</v>
          </cell>
          <cell r="AM271">
            <v>1160.3372569999999</v>
          </cell>
          <cell r="AN271">
            <v>1160.3372569999999</v>
          </cell>
          <cell r="AO271">
            <v>1160.3372569999999</v>
          </cell>
        </row>
        <row r="272">
          <cell r="B272" t="str">
            <v>Diluted average shares outstanding (mn)</v>
          </cell>
          <cell r="C272" t="str">
            <v>DILUTE_SHARES</v>
          </cell>
          <cell r="F272">
            <v>800</v>
          </cell>
          <cell r="G272">
            <v>800</v>
          </cell>
          <cell r="H272">
            <v>800</v>
          </cell>
          <cell r="I272">
            <v>1068.8</v>
          </cell>
          <cell r="J272">
            <v>1068.8</v>
          </cell>
          <cell r="K272">
            <v>1116.3216</v>
          </cell>
          <cell r="P272">
            <v>1116.3216</v>
          </cell>
          <cell r="U272">
            <v>1116.24656</v>
          </cell>
          <cell r="Z272">
            <v>1146.133167</v>
          </cell>
          <cell r="AE272">
            <v>1161.4238438750001</v>
          </cell>
          <cell r="AJ272">
            <v>1170.59825</v>
          </cell>
          <cell r="AK272">
            <v>1170.59825</v>
          </cell>
          <cell r="AL272">
            <v>1170.59825</v>
          </cell>
          <cell r="AM272">
            <v>1160.3372569999999</v>
          </cell>
          <cell r="AN272">
            <v>1160.3372569999999</v>
          </cell>
          <cell r="AO272">
            <v>1160.3372569999999</v>
          </cell>
        </row>
        <row r="273">
          <cell r="B273" t="str">
            <v>Period-end shares outstanding</v>
          </cell>
          <cell r="C273" t="str">
            <v>NON_OP_ADD</v>
          </cell>
          <cell r="F273">
            <v>800</v>
          </cell>
          <cell r="G273">
            <v>800</v>
          </cell>
          <cell r="H273">
            <v>800</v>
          </cell>
          <cell r="I273">
            <v>1068.8</v>
          </cell>
          <cell r="J273">
            <v>1068.8</v>
          </cell>
          <cell r="K273">
            <v>1116.3216</v>
          </cell>
          <cell r="P273">
            <v>1116.3216</v>
          </cell>
          <cell r="U273">
            <v>1116.24656</v>
          </cell>
          <cell r="Z273">
            <v>1146.133167</v>
          </cell>
          <cell r="AE273">
            <v>1170.59825</v>
          </cell>
          <cell r="AJ273">
            <v>1170.59825</v>
          </cell>
          <cell r="AK273">
            <v>1170.59825</v>
          </cell>
          <cell r="AL273">
            <v>1170.59825</v>
          </cell>
          <cell r="AM273">
            <v>1160.3372569999999</v>
          </cell>
          <cell r="AN273">
            <v>1160.3372569999999</v>
          </cell>
          <cell r="AO273">
            <v>1160.3372569999999</v>
          </cell>
        </row>
        <row r="274">
          <cell r="A274" t="str">
            <v>Additional Income Statement Items</v>
          </cell>
        </row>
        <row r="275">
          <cell r="B275" t="str">
            <v>Marginal tax rate</v>
          </cell>
          <cell r="C275" t="str">
            <v>MARGIN_TAX_RATE</v>
          </cell>
          <cell r="F275">
            <v>6.2076520204000001E-2</v>
          </cell>
          <cell r="G275">
            <v>7.0827176813000006E-2</v>
          </cell>
          <cell r="H275">
            <v>0.11816325211000001</v>
          </cell>
          <cell r="I275">
            <v>6.3628397330000003E-2</v>
          </cell>
          <cell r="J275">
            <v>8.4007279352999994E-2</v>
          </cell>
          <cell r="K275">
            <v>9.9058425840999997E-2</v>
          </cell>
          <cell r="P275">
            <v>9.1422049709000003E-2</v>
          </cell>
          <cell r="U275">
            <v>7.6772646393999999E-2</v>
          </cell>
          <cell r="Z275">
            <v>0</v>
          </cell>
          <cell r="AE275">
            <v>5.0698264319E-2</v>
          </cell>
          <cell r="AJ275">
            <v>0.1</v>
          </cell>
          <cell r="AK275">
            <v>0.1</v>
          </cell>
          <cell r="AL275">
            <v>0.1</v>
          </cell>
          <cell r="AM275">
            <v>0.1</v>
          </cell>
          <cell r="AN275">
            <v>0.1</v>
          </cell>
          <cell r="AO275">
            <v>0.1</v>
          </cell>
        </row>
        <row r="276">
          <cell r="B276" t="str">
            <v>Net income (consensus) (Pub)</v>
          </cell>
          <cell r="C276" t="str">
            <v>NI_CONS</v>
          </cell>
          <cell r="D276" t="str">
            <v>CNY</v>
          </cell>
        </row>
        <row r="277">
          <cell r="A277" t="str">
            <v>Balance Sheet</v>
          </cell>
        </row>
        <row r="278">
          <cell r="B278" t="str">
            <v>BVPS, book value per share</v>
          </cell>
          <cell r="C278" t="str">
            <v>BVPS</v>
          </cell>
          <cell r="D278" t="str">
            <v>CNY</v>
          </cell>
          <cell r="F278">
            <v>0.169485283913</v>
          </cell>
          <cell r="G278">
            <v>0.179145924087</v>
          </cell>
          <cell r="H278">
            <v>0.28633032881199999</v>
          </cell>
          <cell r="I278">
            <v>0.67937911631699999</v>
          </cell>
          <cell r="J278">
            <v>0.77496017016300001</v>
          </cell>
          <cell r="K278">
            <v>1.0508717043639999</v>
          </cell>
          <cell r="P278">
            <v>1.3489495266330001</v>
          </cell>
          <cell r="U278">
            <v>1.919058294746</v>
          </cell>
          <cell r="Z278">
            <v>3.6370887681589998</v>
          </cell>
          <cell r="AE278">
            <v>4.4915019698260004</v>
          </cell>
          <cell r="AJ278">
            <v>5.7156581903059998</v>
          </cell>
          <cell r="AK278">
            <v>7.1958655289040001</v>
          </cell>
          <cell r="AL278">
            <v>8.96766131497</v>
          </cell>
          <cell r="AM278">
            <v>10.591053754919001</v>
          </cell>
          <cell r="AN278">
            <v>13.180037264415001</v>
          </cell>
          <cell r="AO278">
            <v>16.092018819656001</v>
          </cell>
        </row>
        <row r="279">
          <cell r="A279" t="str">
            <v>Cash Flow Statement</v>
          </cell>
        </row>
        <row r="280">
          <cell r="B280" t="str">
            <v>Net income (pre-preferred dividends)</v>
          </cell>
          <cell r="C280" t="str">
            <v>CF_NI_PRE_PREF</v>
          </cell>
          <cell r="D280" t="str">
            <v>CNY</v>
          </cell>
          <cell r="F280">
            <v>41.911617720000002</v>
          </cell>
          <cell r="G280">
            <v>47.727776140000003</v>
          </cell>
          <cell r="H280">
            <v>85.748259779999998</v>
          </cell>
          <cell r="I280">
            <v>104.12686063</v>
          </cell>
          <cell r="J280">
            <v>117.18703035</v>
          </cell>
          <cell r="K280">
            <v>260.29458596000001</v>
          </cell>
          <cell r="P280">
            <v>377.98312351999999</v>
          </cell>
          <cell r="U280">
            <v>700.15514504999999</v>
          </cell>
          <cell r="Z280">
            <v>1130.92191551</v>
          </cell>
          <cell r="AE280">
            <v>1281.36032616479</v>
          </cell>
          <cell r="AJ280">
            <v>1685.8766228474501</v>
          </cell>
          <cell r="AK280">
            <v>2038.5036708236901</v>
          </cell>
          <cell r="AL280">
            <v>2440.0718194430501</v>
          </cell>
          <cell r="AM280">
            <v>3005.19422699696</v>
          </cell>
          <cell r="AN280">
            <v>3534.2282633268601</v>
          </cell>
          <cell r="AO280">
            <v>3975.15375322712</v>
          </cell>
        </row>
        <row r="281">
          <cell r="A281" t="str">
            <v>Other Items</v>
          </cell>
        </row>
        <row r="282">
          <cell r="B282" t="str">
            <v>Beta</v>
          </cell>
          <cell r="C282" t="str">
            <v>BETA_ANALYST</v>
          </cell>
        </row>
        <row r="283">
          <cell r="B283" t="str">
            <v>Market equity risk premium</v>
          </cell>
          <cell r="C283" t="str">
            <v>MKT_EQ_RISK_PREM</v>
          </cell>
        </row>
        <row r="284">
          <cell r="B284" t="str">
            <v>Risk-free rate</v>
          </cell>
          <cell r="C284" t="str">
            <v>RISK_FR_RATE</v>
          </cell>
        </row>
      </sheetData>
      <sheetData sheetId="17" refreshError="1">
        <row r="1">
          <cell r="A1" t="str">
            <v>cd56e6c1-d63a-4e4b-b596-f825d7c7f496</v>
          </cell>
        </row>
        <row r="2">
          <cell r="A2" t="str">
            <v>N:\DLu\SLi\Models\Dahua\WIP\[GS Dahua model20150319WIP raw data adj.xlsm]002236.SZ_Validation_Sheet</v>
          </cell>
        </row>
        <row r="3">
          <cell r="A3" t="str">
            <v>Enabled</v>
          </cell>
          <cell r="AD3" t="str">
            <v>ERROR</v>
          </cell>
          <cell r="AE3" t="str">
            <v>ERROR</v>
          </cell>
        </row>
        <row r="7">
          <cell r="A7" t="str">
            <v>Scalar|||208013035|||ISSR|||CURRENCY_ISO|||False|||</v>
          </cell>
          <cell r="C7" t="str">
            <v>V_KEYWORD_ISSR_208013035_CURRENCY_ISO</v>
          </cell>
        </row>
        <row r="9">
          <cell r="A9" t="str">
            <v>Vector|||208013035|||ISSR|||SALES|||False|||</v>
          </cell>
          <cell r="C9" t="str">
            <v>V_KEYWORD_ISSR_208013035_SALES</v>
          </cell>
        </row>
        <row r="10">
          <cell r="A10" t="str">
            <v>Vector|||208013035|||ISSR|||PERSONNEL|||False|||</v>
          </cell>
          <cell r="C10" t="str">
            <v>V_KEYWORD_ISSR_208013035_PERSONNEL</v>
          </cell>
        </row>
        <row r="11">
          <cell r="A11" t="str">
            <v>Vector|||208013035|||ISSR|||COST_GD_SD|||False|||</v>
          </cell>
          <cell r="C11" t="str">
            <v>V_KEYWORD_ISSR_208013035_COST_GD_SD</v>
          </cell>
        </row>
        <row r="12">
          <cell r="A12" t="str">
            <v>Vector|||208013035|||ISSR|||SEL_GL_AD|||False|||</v>
          </cell>
          <cell r="C12" t="str">
            <v>V_KEYWORD_ISSR_208013035_SEL_GL_AD</v>
          </cell>
        </row>
        <row r="13">
          <cell r="A13" t="str">
            <v>Vector|||208013035|||ISSR|||OP_COST|||False|||</v>
          </cell>
          <cell r="C13" t="str">
            <v>V_KEYWORD_ISSR_208013035_OP_COST</v>
          </cell>
        </row>
        <row r="14">
          <cell r="A14" t="str">
            <v>Vector|||208013035|||ISSR|||RD_EXP|||False|||</v>
          </cell>
          <cell r="C14" t="str">
            <v>V_KEYWORD_ISSR_208013035_RD_EXP</v>
          </cell>
        </row>
        <row r="15">
          <cell r="A15" t="str">
            <v>Vector|||208013035|||ISSR|||OTH_OP_INC_EXP|||False|||</v>
          </cell>
          <cell r="C15" t="str">
            <v>V_KEYWORD_ISSR_208013035_OTH_OP_INC_EXP</v>
          </cell>
        </row>
        <row r="16">
          <cell r="A16" t="str">
            <v>Vector|||208013035|||ISSR|||TOT_OPS_EXP_DDA|||False|||</v>
          </cell>
          <cell r="C16" t="str">
            <v>V_KEYWORD_ISSR_208013035_TOT_OPS_EXP_DDA</v>
          </cell>
        </row>
        <row r="17">
          <cell r="A17" t="str">
            <v>Vector|||208013035|||ISSR|||TOT_OPS_EXP|||False|||</v>
          </cell>
          <cell r="C17" t="str">
            <v>V_KEYWORD_ISSR_208013035_TOT_OPS_EXP</v>
          </cell>
        </row>
        <row r="18">
          <cell r="A18" t="str">
            <v>Vector|||208013035|||ISSR|||EBITDA_CALC|||False|||</v>
          </cell>
          <cell r="C18" t="str">
            <v>V_KEYWORD_ISSR_208013035_EBITDA_CALC</v>
          </cell>
        </row>
        <row r="19">
          <cell r="A19" t="str">
            <v>Vector|||208013035|||ISSR|||DEPREC|||False|||</v>
          </cell>
          <cell r="C19" t="str">
            <v>V_KEYWORD_ISSR_208013035_DEPREC</v>
          </cell>
        </row>
        <row r="20">
          <cell r="A20" t="str">
            <v>Vector|||208013035|||ISSR|||GOODWILL_AMORT|||False|||</v>
          </cell>
          <cell r="C20" t="str">
            <v>V_KEYWORD_ISSR_208013035_GOODWILL_AMORT</v>
          </cell>
        </row>
        <row r="21">
          <cell r="A21" t="str">
            <v>Vector|||208013035|||ISSR|||EBIT|||False|||</v>
          </cell>
          <cell r="C21" t="str">
            <v>V_KEYWORD_ISSR_208013035_EBIT</v>
          </cell>
        </row>
        <row r="22">
          <cell r="A22" t="str">
            <v>Vector|||208013035|||ISSR|||INT_INC_IND|||False|||</v>
          </cell>
          <cell r="C22" t="str">
            <v>V_KEYWORD_ISSR_208013035_INT_INC_IND</v>
          </cell>
        </row>
        <row r="23">
          <cell r="A23" t="str">
            <v>Vector|||208013035|||ISSR|||INT_EXP_IND|||False|||</v>
          </cell>
          <cell r="C23" t="str">
            <v>V_KEYWORD_ISSR_208013035_INT_EXP_IND</v>
          </cell>
        </row>
        <row r="24">
          <cell r="A24" t="str">
            <v>Vector|||208013035|||ISSR|||NET_INT_EXP|||False|||</v>
          </cell>
          <cell r="C24" t="str">
            <v>V_KEYWORD_ISSR_208013035_NET_INT_EXP</v>
          </cell>
        </row>
        <row r="25">
          <cell r="A25" t="str">
            <v>Vector|||208013035|||ISSR|||ASSOCIATE|||False|||</v>
          </cell>
          <cell r="C25" t="str">
            <v>V_KEYWORD_ISSR_208013035_ASSOCIATE</v>
          </cell>
        </row>
        <row r="26">
          <cell r="A26" t="str">
            <v>Vector|||208013035|||ISSR|||PROFIT_ON_DISP|||False|||</v>
          </cell>
          <cell r="C26" t="str">
            <v>V_KEYWORD_ISSR_208013035_PROFIT_ON_DISP</v>
          </cell>
        </row>
        <row r="27">
          <cell r="A27" t="str">
            <v>Vector|||208013035|||ISSR|||OTH_COST_INC|||False|||</v>
          </cell>
          <cell r="C27" t="str">
            <v>V_KEYWORD_ISSR_208013035_OTH_COST_INC</v>
          </cell>
        </row>
        <row r="28">
          <cell r="A28" t="str">
            <v>Vector|||208013035|||ISSR|||PT_PROF|||False|||</v>
          </cell>
          <cell r="C28" t="str">
            <v>V_KEYWORD_ISSR_208013035_PT_PROF</v>
          </cell>
        </row>
        <row r="30">
          <cell r="A30" t="str">
            <v>Vector|||208013035|||ISSR|||CONTRIB_MARGIN_RATIO|||False|||</v>
          </cell>
          <cell r="C30" t="str">
            <v>V_KEYWORD_ISSR_208013035_CONTRIB_MARGIN_RATIO</v>
          </cell>
        </row>
        <row r="31">
          <cell r="A31" t="str">
            <v>Vector|||208013035|||ISSR|||LEASE_PAY|||False|||</v>
          </cell>
          <cell r="C31" t="str">
            <v>V_KEYWORD_ISSR_208013035_LEASE_PAY</v>
          </cell>
        </row>
        <row r="32">
          <cell r="A32" t="str">
            <v>Vector|||208013035|||ISSR|||LEASE_DEEM_INT|||False|||</v>
          </cell>
          <cell r="C32" t="str">
            <v>V_KEYWORD_ISSR_208013035_LEASE_DEEM_INT</v>
          </cell>
        </row>
        <row r="33">
          <cell r="A33" t="str">
            <v>Vector|||208013035|||ISSR|||LEASE_DEEM_DEPR|||False|||</v>
          </cell>
          <cell r="C33" t="str">
            <v>V_KEYWORD_ISSR_208013035_LEASE_DEEM_DEPR</v>
          </cell>
        </row>
        <row r="34">
          <cell r="A34" t="str">
            <v>Vector|||208013035|||ISSR|||NET_INT_CH|||False|||</v>
          </cell>
          <cell r="C34" t="str">
            <v>V_KEYWORD_ISSR_208013035_NET_INT_CH</v>
          </cell>
        </row>
        <row r="35">
          <cell r="A35" t="str">
            <v>Vector|||208013035|||ISSR|||ASSOCIATE_OP|||False|||</v>
          </cell>
          <cell r="C35" t="str">
            <v>V_KEYWORD_ISSR_208013035_ASSOCIATE_OP</v>
          </cell>
        </row>
        <row r="37">
          <cell r="A37" t="str">
            <v>Vector|||208013035|||ISSR|||CASH_EQ|||False|||</v>
          </cell>
          <cell r="C37" t="str">
            <v>V_KEYWORD_ISSR_208013035_CASH_EQ</v>
          </cell>
        </row>
        <row r="38">
          <cell r="A38" t="str">
            <v>Vector|||208013035|||ISSR|||DEBTORS|||False|||</v>
          </cell>
          <cell r="C38" t="str">
            <v>V_KEYWORD_ISSR_208013035_DEBTORS</v>
          </cell>
        </row>
        <row r="39">
          <cell r="A39" t="str">
            <v>Vector|||208013035|||ISSR|||STOCKS|||False|||</v>
          </cell>
          <cell r="C39" t="str">
            <v>V_KEYWORD_ISSR_208013035_STOCKS</v>
          </cell>
        </row>
        <row r="40">
          <cell r="A40" t="str">
            <v>Vector|||208013035|||ISSR|||OTH_CUR_ASS|||False|||</v>
          </cell>
          <cell r="C40" t="str">
            <v>V_KEYWORD_ISSR_208013035_OTH_CUR_ASS</v>
          </cell>
        </row>
        <row r="41">
          <cell r="A41" t="str">
            <v>Vector|||208013035|||ISSR|||CUR_ASS|||False|||</v>
          </cell>
          <cell r="C41" t="str">
            <v>V_KEYWORD_ISSR_208013035_CUR_ASS</v>
          </cell>
        </row>
        <row r="42">
          <cell r="A42" t="str">
            <v>Vector|||208013035|||ISSR|||GR_FIX_ASS|||False|||</v>
          </cell>
          <cell r="C42" t="str">
            <v>V_KEYWORD_ISSR_208013035_GR_FIX_ASS</v>
          </cell>
        </row>
        <row r="43">
          <cell r="A43" t="str">
            <v>Vector|||208013035|||ISSR|||ACC_DDA|||False|||</v>
          </cell>
          <cell r="C43" t="str">
            <v>V_KEYWORD_ISSR_208013035_ACC_DDA</v>
          </cell>
        </row>
        <row r="44">
          <cell r="A44" t="str">
            <v>Vector|||208013035|||ISSR|||NET_FIX_ASS|||False|||</v>
          </cell>
          <cell r="C44" t="str">
            <v>V_KEYWORD_ISSR_208013035_NET_FIX_ASS</v>
          </cell>
        </row>
        <row r="45">
          <cell r="A45" t="str">
            <v>Vector|||208013035|||ISSR|||GR_INTANG|||False|||</v>
          </cell>
          <cell r="C45" t="str">
            <v>V_KEYWORD_ISSR_208013035_GR_INTANG</v>
          </cell>
        </row>
        <row r="46">
          <cell r="A46" t="str">
            <v>Vector|||208013035|||ISSR|||ACC_AMORT|||False|||</v>
          </cell>
          <cell r="C46" t="str">
            <v>V_KEYWORD_ISSR_208013035_ACC_AMORT</v>
          </cell>
        </row>
        <row r="47">
          <cell r="A47" t="str">
            <v>Vector|||208013035|||ISSR|||NET_INTANG|||False|||</v>
          </cell>
          <cell r="C47" t="str">
            <v>V_KEYWORD_ISSR_208013035_NET_INTANG</v>
          </cell>
        </row>
        <row r="48">
          <cell r="A48" t="str">
            <v>Vector|||208013035|||ISSR|||FIX_ASS_INV|||False|||</v>
          </cell>
          <cell r="C48" t="str">
            <v>V_KEYWORD_ISSR_208013035_FIX_ASS_INV</v>
          </cell>
        </row>
        <row r="49">
          <cell r="A49" t="str">
            <v>Vector|||208013035|||ISSR|||INV_SECUR|||False|||</v>
          </cell>
          <cell r="C49" t="str">
            <v>V_KEYWORD_ISSR_208013035_INV_SECUR</v>
          </cell>
        </row>
        <row r="50">
          <cell r="A50" t="str">
            <v>Vector|||208013035|||ISSR|||OTH_LT_ASS|||False|||</v>
          </cell>
          <cell r="C50" t="str">
            <v>V_KEYWORD_ISSR_208013035_OTH_LT_ASS</v>
          </cell>
        </row>
        <row r="51">
          <cell r="A51" t="str">
            <v>Vector|||208013035|||ISSR|||TOT_ASSET|||False|||</v>
          </cell>
          <cell r="C51" t="str">
            <v>V_KEYWORD_ISSR_208013035_TOT_ASSET</v>
          </cell>
        </row>
        <row r="52">
          <cell r="A52" t="str">
            <v>Vector|||208013035|||ISSR|||ACC_PAY_GQ|||False|||</v>
          </cell>
          <cell r="C52" t="str">
            <v>V_KEYWORD_ISSR_208013035_ACC_PAY_GQ</v>
          </cell>
        </row>
        <row r="53">
          <cell r="A53" t="str">
            <v>Vector|||208013035|||ISSR|||SHORT_T_DEBT|||False|||</v>
          </cell>
          <cell r="C53" t="str">
            <v>V_KEYWORD_ISSR_208013035_SHORT_T_DEBT</v>
          </cell>
        </row>
        <row r="54">
          <cell r="A54" t="str">
            <v>Vector|||208013035|||ISSR|||OTH_CUR_LIABS|||False|||</v>
          </cell>
          <cell r="C54" t="str">
            <v>V_KEYWORD_ISSR_208013035_OTH_CUR_LIABS</v>
          </cell>
        </row>
        <row r="55">
          <cell r="A55" t="str">
            <v>Vector|||208013035|||ISSR|||SHORT_TERM_LIABS|||False|||</v>
          </cell>
          <cell r="C55" t="str">
            <v>V_KEYWORD_ISSR_208013035_SHORT_TERM_LIABS</v>
          </cell>
        </row>
        <row r="56">
          <cell r="A56" t="str">
            <v>Vector|||208013035|||ISSR|||LT_DEBT|||False|||</v>
          </cell>
          <cell r="C56" t="str">
            <v>V_KEYWORD_ISSR_208013035_LT_DEBT</v>
          </cell>
        </row>
        <row r="57">
          <cell r="A57" t="str">
            <v>Vector|||208013035|||ISSR|||OTH_LT_CRED_GQ|||False|||</v>
          </cell>
          <cell r="C57" t="str">
            <v>V_KEYWORD_ISSR_208013035_OTH_LT_CRED_GQ</v>
          </cell>
        </row>
        <row r="58">
          <cell r="A58" t="str">
            <v>Vector|||208013035|||ISSR|||TOT_LT_LIAB|||False|||</v>
          </cell>
          <cell r="C58" t="str">
            <v>V_KEYWORD_ISSR_208013035_TOT_LT_LIAB</v>
          </cell>
        </row>
        <row r="59">
          <cell r="A59" t="str">
            <v>Vector|||208013035|||ISSR|||TOT_LIAB|||False|||</v>
          </cell>
          <cell r="C59" t="str">
            <v>V_KEYWORD_ISSR_208013035_TOT_LIAB</v>
          </cell>
        </row>
        <row r="60">
          <cell r="A60" t="str">
            <v>Vector|||208013035|||ISSR|||PREF_SH|||False|||</v>
          </cell>
          <cell r="C60" t="str">
            <v>V_KEYWORD_ISSR_208013035_PREF_SH</v>
          </cell>
        </row>
        <row r="61">
          <cell r="A61" t="str">
            <v>Vector|||208013035|||ISSR|||ORD_SH_FUND|||False|||</v>
          </cell>
          <cell r="C61" t="str">
            <v>V_KEYWORD_ISSR_208013035_ORD_SH_FUND</v>
          </cell>
        </row>
        <row r="62">
          <cell r="A62" t="str">
            <v>Vector|||208013035|||ISSR|||MINORITIES|||False|||</v>
          </cell>
          <cell r="C62" t="str">
            <v>V_KEYWORD_ISSR_208013035_MINORITIES</v>
          </cell>
        </row>
        <row r="63">
          <cell r="A63" t="str">
            <v>Vector|||208013035|||ISSR|||EQ|||False|||</v>
          </cell>
          <cell r="C63" t="str">
            <v>V_KEYWORD_ISSR_208013035_EQ</v>
          </cell>
        </row>
        <row r="64">
          <cell r="A64" t="str">
            <v>Vector|||208013035|||ISSR|||TOT_LIAB_EQ|||False|||</v>
          </cell>
          <cell r="C64" t="str">
            <v>V_KEYWORD_ISSR_208013035_TOT_LIAB_EQ</v>
          </cell>
        </row>
        <row r="66">
          <cell r="A66" t="str">
            <v>Vector|||208013035|||ISSR|||NET_DEBT|||False|||</v>
          </cell>
          <cell r="C66" t="str">
            <v>V_KEYWORD_ISSR_208013035_NET_DEBT</v>
          </cell>
        </row>
        <row r="67">
          <cell r="A67" t="str">
            <v>Vector|||208013035|||ISSR|||CAP_LEASES|||False|||</v>
          </cell>
          <cell r="C67" t="str">
            <v>V_KEYWORD_ISSR_208013035_CAP_LEASES</v>
          </cell>
        </row>
        <row r="68">
          <cell r="A68" t="str">
            <v>Vector|||208013035|||ISSR|||DEF_INC_TAX|||False|||</v>
          </cell>
          <cell r="C68" t="str">
            <v>V_KEYWORD_ISSR_208013035_DEF_INC_TAX</v>
          </cell>
        </row>
        <row r="69">
          <cell r="A69" t="str">
            <v>Vector|||208013035|||ISSR|||MV_ASSOCIATES|||False|||</v>
          </cell>
          <cell r="C69" t="str">
            <v>V_KEYWORD_ISSR_208013035_MV_ASSOCIATES</v>
          </cell>
        </row>
        <row r="70">
          <cell r="A70" t="str">
            <v>Vector|||208013035|||ISSR|||NET_DEBT_ADJ|||False|||</v>
          </cell>
          <cell r="C70" t="str">
            <v>V_KEYWORD_ISSR_208013035_NET_DEBT_ADJ</v>
          </cell>
        </row>
        <row r="71">
          <cell r="A71" t="str">
            <v>Vector|||208013035|||ISSR|||CO_BOR_MARGIN|||False|||</v>
          </cell>
          <cell r="C71" t="str">
            <v>V_KEYWORD_ISSR_208013035_CO_BOR_MARGIN</v>
          </cell>
        </row>
        <row r="72">
          <cell r="A72" t="str">
            <v>Vector|||208013035|||ISSR|||UNF_PENS|||False|||</v>
          </cell>
          <cell r="C72" t="str">
            <v>V_KEYWORD_ISSR_208013035_UNF_PENS</v>
          </cell>
        </row>
        <row r="73">
          <cell r="A73" t="str">
            <v>Vector|||208013035|||ISSR|||UNF_PENS_OFF|||False|||</v>
          </cell>
          <cell r="C73" t="str">
            <v>V_KEYWORD_ISSR_208013035_UNF_PENS_OFF</v>
          </cell>
        </row>
        <row r="74">
          <cell r="A74" t="str">
            <v>Vector|||208013035|||ISSR|||UNF_PENS_LIAB_OTH|||False|||</v>
          </cell>
          <cell r="C74" t="str">
            <v>V_KEYWORD_ISSR_208013035_UNF_PENS_LIAB_OTH</v>
          </cell>
        </row>
        <row r="75">
          <cell r="A75" t="str">
            <v>Vector|||208013035|||ISSR|||ADJ_UNF_PENS_GOOD|||False|||</v>
          </cell>
          <cell r="C75" t="str">
            <v>V_KEYWORD_ISSR_208013035_ADJ_UNF_PENS_GOOD</v>
          </cell>
        </row>
        <row r="76">
          <cell r="A76" t="str">
            <v>Vector|||208013035|||ISSR|||OTH_GCI_ADJ|||False|||</v>
          </cell>
          <cell r="C76" t="str">
            <v>V_KEYWORD_ISSR_208013035_OTH_GCI_ADJ</v>
          </cell>
        </row>
        <row r="77">
          <cell r="A77" t="str">
            <v>Vector|||208013035|||ISSR|||GCI_INFL|||False|||</v>
          </cell>
          <cell r="C77" t="str">
            <v>V_KEYWORD_ISSR_208013035_GCI_INFL</v>
          </cell>
        </row>
        <row r="78">
          <cell r="A78" t="str">
            <v>Vector|||208013035|||ISSR|||BAL_MINO_INT|||False|||</v>
          </cell>
          <cell r="C78" t="str">
            <v>V_KEYWORD_ISSR_208013035_BAL_MINO_INT</v>
          </cell>
        </row>
        <row r="80">
          <cell r="A80" t="str">
            <v>Vector|||208013035|||ISSR|||CF_INC_MINORITY|||False|||</v>
          </cell>
          <cell r="C80" t="str">
            <v>V_KEYWORD_ISSR_208013035_CF_INC_MINORITY</v>
          </cell>
        </row>
        <row r="81">
          <cell r="A81" t="str">
            <v>Vector|||208013035|||ISSR|||DEPR_AMORT|||False|||</v>
          </cell>
          <cell r="C81" t="str">
            <v>V_KEYWORD_ISSR_208013035_DEPR_AMORT</v>
          </cell>
        </row>
        <row r="82">
          <cell r="A82" t="str">
            <v>Vector|||208013035|||ISSR|||WORK_CAP|||False|||</v>
          </cell>
          <cell r="C82" t="str">
            <v>V_KEYWORD_ISSR_208013035_WORK_CAP</v>
          </cell>
        </row>
        <row r="83">
          <cell r="A83" t="str">
            <v>Vector|||208013035|||ISSR|||OTH_OP_CF|||False|||</v>
          </cell>
          <cell r="C83" t="str">
            <v>V_KEYWORD_ISSR_208013035_OTH_OP_CF</v>
          </cell>
        </row>
        <row r="84">
          <cell r="A84" t="str">
            <v>Vector|||208013035|||ISSR|||CF_OPS|||False|||</v>
          </cell>
          <cell r="C84" t="str">
            <v>V_KEYWORD_ISSR_208013035_CF_OPS</v>
          </cell>
        </row>
        <row r="85">
          <cell r="A85" t="str">
            <v>Vector|||208013035|||ISSR|||CAPEX|||False|||</v>
          </cell>
          <cell r="C85" t="str">
            <v>V_KEYWORD_ISSR_208013035_CAPEX</v>
          </cell>
        </row>
        <row r="86">
          <cell r="A86" t="str">
            <v>Vector|||208013035|||ISSR|||ACQ|||False|||</v>
          </cell>
          <cell r="C86" t="str">
            <v>V_KEYWORD_ISSR_208013035_ACQ</v>
          </cell>
        </row>
        <row r="87">
          <cell r="A87" t="str">
            <v>Vector|||208013035|||ISSR|||DIVEST|||False|||</v>
          </cell>
          <cell r="C87" t="str">
            <v>V_KEYWORD_ISSR_208013035_DIVEST</v>
          </cell>
        </row>
        <row r="88">
          <cell r="A88" t="str">
            <v>Vector|||208013035|||ISSR|||OTH_INV_CF|||False|||</v>
          </cell>
          <cell r="C88" t="str">
            <v>V_KEYWORD_ISSR_208013035_OTH_INV_CF</v>
          </cell>
        </row>
        <row r="89">
          <cell r="A89" t="str">
            <v>Vector|||208013035|||ISSR|||CF_INV|||False|||</v>
          </cell>
          <cell r="C89" t="str">
            <v>V_KEYWORD_ISSR_208013035_CF_INV</v>
          </cell>
        </row>
        <row r="90">
          <cell r="A90" t="str">
            <v>Vector|||208013035|||ISSR|||DIV_PAID|||False|||</v>
          </cell>
          <cell r="C90" t="str">
            <v>V_KEYWORD_ISSR_208013035_DIV_PAID</v>
          </cell>
        </row>
        <row r="91">
          <cell r="A91" t="str">
            <v>Vector|||208013035|||ISSR|||SH_REPUR|||False|||</v>
          </cell>
          <cell r="C91" t="str">
            <v>V_KEYWORD_ISSR_208013035_SH_REPUR</v>
          </cell>
        </row>
        <row r="92">
          <cell r="A92" t="str">
            <v>Vector|||208013035|||ISSR|||CHG_LT_DEBT|||False|||</v>
          </cell>
          <cell r="C92" t="str">
            <v>V_KEYWORD_ISSR_208013035_CHG_LT_DEBT</v>
          </cell>
        </row>
        <row r="93">
          <cell r="A93" t="str">
            <v>Vector|||208013035|||ISSR|||OTH_FIN_CF|||False|||</v>
          </cell>
          <cell r="C93" t="str">
            <v>V_KEYWORD_ISSR_208013035_OTH_FIN_CF</v>
          </cell>
        </row>
        <row r="94">
          <cell r="A94" t="str">
            <v>Vector|||208013035|||ISSR|||CF_FIN|||False|||</v>
          </cell>
          <cell r="C94" t="str">
            <v>V_KEYWORD_ISSR_208013035_CF_FIN</v>
          </cell>
        </row>
        <row r="95">
          <cell r="A95" t="str">
            <v>Vector|||208013035|||ISSR|||TOT_CF|||False|||</v>
          </cell>
          <cell r="C95" t="str">
            <v>V_KEYWORD_ISSR_208013035_TOT_CF</v>
          </cell>
        </row>
        <row r="97">
          <cell r="A97" t="str">
            <v>Vector|||208013035|||ISSR|||ASSOC_JV_ADDBK|||False|||</v>
          </cell>
          <cell r="C97" t="str">
            <v>V_KEYWORD_ISSR_208013035_ASSOC_JV_ADDBK</v>
          </cell>
        </row>
        <row r="98">
          <cell r="A98" t="str">
            <v>Vector|||208013035|||ISSR|||PL_SALE_ASSETS|||False|||</v>
          </cell>
          <cell r="C98" t="str">
            <v>V_KEYWORD_ISSR_208013035_PL_SALE_ASSETS</v>
          </cell>
        </row>
        <row r="99">
          <cell r="A99" t="str">
            <v>Vector|||208013035|||ISSR|||OTH_NONCASH_ADJ|||False|||</v>
          </cell>
          <cell r="C99" t="str">
            <v>V_KEYWORD_ISSR_208013035_OTH_NONCASH_ADJ</v>
          </cell>
        </row>
        <row r="100">
          <cell r="A100" t="str">
            <v>Vector|||208013035|||ISSR|||OTH_DACF_ADJ|||False|||</v>
          </cell>
          <cell r="C100" t="str">
            <v>V_KEYWORD_ISSR_208013035_OTH_DACF_ADJ</v>
          </cell>
        </row>
        <row r="101">
          <cell r="A101" t="str">
            <v>Vector|||208013035|||ISSR|||CASH_INT_EXP|||False|||</v>
          </cell>
          <cell r="C101" t="str">
            <v>V_KEYWORD_ISSR_208013035_CASH_INT_EXP</v>
          </cell>
        </row>
        <row r="102">
          <cell r="A102" t="str">
            <v>Vector|||208013035|||ISSR|||CASH_TAX_EXP|||False|||</v>
          </cell>
          <cell r="C102" t="str">
            <v>V_KEYWORD_ISSR_208013035_CASH_TAX_EXP</v>
          </cell>
        </row>
        <row r="103">
          <cell r="A103" t="str">
            <v>Vector|||208013035|||ISSR|||DIVDS_ASSOC_JV|||False|||</v>
          </cell>
          <cell r="C103" t="str">
            <v>V_KEYWORD_ISSR_208013035_DIVDS_ASSOC_JV</v>
          </cell>
        </row>
        <row r="104">
          <cell r="A104" t="str">
            <v>Vector|||208013035|||ISSR|||CAPEX_MAINTENANCE|||False|||</v>
          </cell>
          <cell r="C104" t="str">
            <v>V_KEYWORD_ISSR_208013035_CAPEX_MAINTENANCE</v>
          </cell>
        </row>
        <row r="105">
          <cell r="A105" t="str">
            <v>Vector|||208013035|||ISSR|||CAPEX_EXPANSION|||False|||</v>
          </cell>
          <cell r="C105" t="str">
            <v>V_KEYWORD_ISSR_208013035_CAPEX_EXPANSION</v>
          </cell>
        </row>
        <row r="106">
          <cell r="A106" t="str">
            <v>Vector|||208013035|||ISSR|||NONPPE_CAPEX|||False|||</v>
          </cell>
          <cell r="C106" t="str">
            <v>V_KEYWORD_ISSR_208013035_NONPPE_CAPEX</v>
          </cell>
        </row>
        <row r="107">
          <cell r="A107" t="str">
            <v>Vector|||208013035|||ISSR|||DIVDS_PD_MINORITIES|||False|||</v>
          </cell>
          <cell r="C107" t="str">
            <v>V_KEYWORD_ISSR_208013035_DIVDS_PD_MINORITIES</v>
          </cell>
        </row>
        <row r="109">
          <cell r="A109" t="str">
            <v>Vector|||208013035|||ISSR|||EMPLOYEES|||False|||</v>
          </cell>
          <cell r="C109" t="str">
            <v>V_KEYWORD_ISSR_208013035_EMPLOYEES</v>
          </cell>
        </row>
        <row r="111">
          <cell r="A111" t="str">
            <v>Vector|||208013035|||ISSR|||SALES_TOT_AM|||False|||</v>
          </cell>
          <cell r="C111" t="str">
            <v>V_KEYWORD_ISSR_208013035_SALES_TOT_AM</v>
          </cell>
        </row>
        <row r="112">
          <cell r="A112" t="str">
            <v>Vector|||208013035|||ISSR|||SALES_US|||False|||</v>
          </cell>
          <cell r="C112" t="str">
            <v>V_KEYWORD_ISSR_208013035_SALES_US</v>
          </cell>
        </row>
        <row r="114">
          <cell r="A114" t="str">
            <v>Vector|||208013035|||ISSR|||SALES_BRAZIL|||False|||</v>
          </cell>
          <cell r="C114" t="str">
            <v>V_KEYWORD_ISSR_208013035_SALES_BRAZIL</v>
          </cell>
        </row>
        <row r="115">
          <cell r="A115" t="str">
            <v>Vector|||208013035|||ISSR|||SALES_OTH_AM|||False|||</v>
          </cell>
          <cell r="C115" t="str">
            <v>V_KEYWORD_ISSR_208013035_SALES_OTH_AM</v>
          </cell>
        </row>
        <row r="116">
          <cell r="A116" t="str">
            <v>Vector|||208013035|||ISSR|||SALES_TOT_EMEA|||False|||</v>
          </cell>
          <cell r="C116" t="str">
            <v>V_KEYWORD_ISSR_208013035_SALES_TOT_EMEA</v>
          </cell>
        </row>
        <row r="117">
          <cell r="A117" t="str">
            <v>Vector|||208013035|||ISSR|||SALES_UK|||False|||</v>
          </cell>
          <cell r="C117" t="str">
            <v>V_KEYWORD_ISSR_208013035_SALES_UK</v>
          </cell>
        </row>
        <row r="118">
          <cell r="A118" t="str">
            <v>Vector|||208013035|||ISSR|||SALES_EU_EX_UK|||False|||</v>
          </cell>
          <cell r="C118" t="str">
            <v>V_KEYWORD_ISSR_208013035_SALES_EU_EX_UK</v>
          </cell>
        </row>
        <row r="135">
          <cell r="A135" t="str">
            <v>Vector|||208013035|||ISSR|||SALES_CEE|||False|||</v>
          </cell>
          <cell r="C135" t="str">
            <v>V_KEYWORD_ISSR_208013035_SALES_CEE</v>
          </cell>
        </row>
        <row r="136">
          <cell r="A136" t="str">
            <v>Vector|||208013035|||ISSR|||SALES_ME|||False|||</v>
          </cell>
          <cell r="C136" t="str">
            <v>V_KEYWORD_ISSR_208013035_SALES_ME</v>
          </cell>
        </row>
        <row r="137">
          <cell r="A137" t="str">
            <v>Vector|||208013035|||ISSR|||SALES_TOT_AFRICA|||False|||</v>
          </cell>
          <cell r="C137" t="str">
            <v>V_KEYWORD_ISSR_208013035_SALES_TOT_AFRICA</v>
          </cell>
        </row>
        <row r="138">
          <cell r="A138" t="str">
            <v>Vector|||208013035|||ISSR|||SALES_RUSSIA|||False|||</v>
          </cell>
          <cell r="C138" t="str">
            <v>V_KEYWORD_ISSR_208013035_SALES_RUSSIA</v>
          </cell>
        </row>
        <row r="139">
          <cell r="A139" t="str">
            <v>Vector|||208013035|||ISSR|||SALES_OTH_EMEA|||False|||</v>
          </cell>
          <cell r="C139" t="str">
            <v>V_KEYWORD_ISSR_208013035_SALES_OTH_EMEA</v>
          </cell>
        </row>
        <row r="140">
          <cell r="A140" t="str">
            <v>Vector|||208013035|||ISSR|||SALES_TOT_ASIA|||False|||</v>
          </cell>
          <cell r="C140" t="str">
            <v>V_KEYWORD_ISSR_208013035_SALES_TOT_ASIA</v>
          </cell>
        </row>
        <row r="141">
          <cell r="A141" t="str">
            <v>Vector|||208013035|||ISSR|||SALES_JAPAN|||False|||</v>
          </cell>
          <cell r="C141" t="str">
            <v>V_KEYWORD_ISSR_208013035_SALES_JAPAN</v>
          </cell>
        </row>
        <row r="142">
          <cell r="A142" t="str">
            <v>Vector|||208013035|||ISSR|||SALES_CHINA|||False|||</v>
          </cell>
          <cell r="C142" t="str">
            <v>V_KEYWORD_ISSR_208013035_SALES_CHINA</v>
          </cell>
        </row>
        <row r="143">
          <cell r="A143" t="str">
            <v>Vector|||208013035|||ISSR|||SALES_INDIA|||False|||</v>
          </cell>
          <cell r="C143" t="str">
            <v>V_KEYWORD_ISSR_208013035_SALES_INDIA</v>
          </cell>
        </row>
        <row r="144">
          <cell r="A144" t="str">
            <v>Vector|||208013035|||ISSR|||SALES_SK|||False|||</v>
          </cell>
          <cell r="C144" t="str">
            <v>V_KEYWORD_ISSR_208013035_SALES_SK</v>
          </cell>
        </row>
        <row r="145">
          <cell r="A145" t="str">
            <v>Vector|||208013035|||ISSR|||SALES_TAIWAN|||False|||</v>
          </cell>
          <cell r="C145" t="str">
            <v>V_KEYWORD_ISSR_208013035_SALES_TAIWAN</v>
          </cell>
        </row>
        <row r="148">
          <cell r="A148" t="str">
            <v>Vector|||208013035|||ISSR|||SALES_OTH_AEJ|||False|||</v>
          </cell>
          <cell r="C148" t="str">
            <v>V_KEYWORD_ISSR_208013035_SALES_OTH_AEJ</v>
          </cell>
        </row>
        <row r="149">
          <cell r="A149" t="str">
            <v>Vector|||208013035|||ISSR|||SALES_OTHER|||False|||</v>
          </cell>
          <cell r="C149" t="str">
            <v>V_KEYWORD_ISSR_208013035_SALES_OTHER</v>
          </cell>
        </row>
        <row r="187">
          <cell r="A187" t="str">
            <v>Vector|||208013035|||ISSR|||SALES_CONS|||False|||</v>
          </cell>
          <cell r="C187" t="str">
            <v>V_KEYWORD_ISSR_208013035_SALES_CONS</v>
          </cell>
        </row>
        <row r="188">
          <cell r="A188" t="str">
            <v>Vector|||208013035|||ISSR|||SALES_IND|||False|||</v>
          </cell>
          <cell r="C188" t="str">
            <v>V_KEYWORD_ISSR_208013035_SALES_IND</v>
          </cell>
        </row>
        <row r="189">
          <cell r="A189" t="str">
            <v>Vector|||208013035|||ISSR|||SALES_GOV|||False|||</v>
          </cell>
          <cell r="C189" t="str">
            <v>V_KEYWORD_ISSR_208013035_SALES_GOV</v>
          </cell>
        </row>
        <row r="190">
          <cell r="A190" t="str">
            <v>Vector|||208013035|||ISSR|||SALES_FINAN|||False|||</v>
          </cell>
          <cell r="C190" t="str">
            <v>V_KEYWORD_ISSR_208013035_SALES_FINAN</v>
          </cell>
        </row>
        <row r="195">
          <cell r="A195" t="str">
            <v>Vector|||208013035|||ISSR|||EXP_OIL_PETRO_FUEL|||False|||</v>
          </cell>
          <cell r="C195" t="str">
            <v>V_KEYWORD_ISSR_208013035_EXP_OIL_PETRO_FUEL</v>
          </cell>
        </row>
        <row r="196">
          <cell r="A196" t="str">
            <v>Vector|||208013035|||ISSR|||EXP_OIL_DERIV_NGLS_PLASTICS|||False|||</v>
          </cell>
          <cell r="C196" t="str">
            <v>V_KEYWORD_ISSR_208013035_EXP_OIL_DERIV_NGLS_PLASTICS</v>
          </cell>
        </row>
        <row r="197">
          <cell r="A197" t="str">
            <v>Vector|||208013035|||ISSR|||EXP_PAPER_PULP|||False|||</v>
          </cell>
          <cell r="C197" t="str">
            <v>V_KEYWORD_ISSR_208013035_EXP_PAPER_PULP</v>
          </cell>
        </row>
        <row r="198">
          <cell r="A198" t="str">
            <v>Vector|||208013035|||ISSR|||EXP_GLASS|||False|||</v>
          </cell>
          <cell r="C198" t="str">
            <v>V_KEYWORD_ISSR_208013035_EXP_GLASS</v>
          </cell>
        </row>
        <row r="199">
          <cell r="A199" t="str">
            <v>Vector|||208013035|||ISSR|||EXP_WATER|||False|||</v>
          </cell>
          <cell r="C199" t="str">
            <v>V_KEYWORD_ISSR_208013035_EXP_WATER</v>
          </cell>
        </row>
        <row r="200">
          <cell r="A200" t="str">
            <v>Vector|||208013035|||ISSR|||EXP_OTH_COMMODITY|||False|||</v>
          </cell>
          <cell r="C200" t="str">
            <v>V_KEYWORD_ISSR_208013035_EXP_OTH_COMMODITY</v>
          </cell>
        </row>
        <row r="201">
          <cell r="A201" t="str">
            <v>Vector|||208013035|||ISSR|||EXP_OTH_COST|||False|||</v>
          </cell>
          <cell r="C201" t="str">
            <v>V_KEYWORD_ISSR_208013035_EXP_OTH_COST</v>
          </cell>
        </row>
        <row r="203">
          <cell r="A203" t="str">
            <v>Vector|||208013035|||ISSR|||SALES_FX_GPB|||False|||</v>
          </cell>
          <cell r="C203" t="str">
            <v>V_KEYWORD_ISSR_208013035_SALES_FX_GPB</v>
          </cell>
        </row>
        <row r="204">
          <cell r="A204" t="str">
            <v>Vector|||208013035|||ISSR|||SALES_FX_EUR|||False|||</v>
          </cell>
          <cell r="C204" t="str">
            <v>V_KEYWORD_ISSR_208013035_SALES_FX_EUR</v>
          </cell>
        </row>
        <row r="205">
          <cell r="A205" t="str">
            <v>Vector|||208013035|||ISSR|||SALES_FX_RUB|||False|||</v>
          </cell>
          <cell r="C205" t="str">
            <v>V_KEYWORD_ISSR_208013035_SALES_FX_RUB</v>
          </cell>
        </row>
        <row r="206">
          <cell r="A206" t="str">
            <v>Vector|||208013035|||ISSR|||SALES_FX_USD|||False|||</v>
          </cell>
          <cell r="C206" t="str">
            <v>V_KEYWORD_ISSR_208013035_SALES_FX_USD</v>
          </cell>
        </row>
        <row r="207">
          <cell r="A207" t="str">
            <v>Vector|||208013035|||ISSR|||SALES_FX_BRL|||False|||</v>
          </cell>
          <cell r="C207" t="str">
            <v>V_KEYWORD_ISSR_208013035_SALES_FX_BRL</v>
          </cell>
        </row>
        <row r="208">
          <cell r="A208" t="str">
            <v>Vector|||208013035|||ISSR|||SALES_FX_YEN|||False|||</v>
          </cell>
          <cell r="C208" t="str">
            <v>V_KEYWORD_ISSR_208013035_SALES_FX_YEN</v>
          </cell>
        </row>
        <row r="209">
          <cell r="A209" t="str">
            <v>Vector|||208013035|||ISSR|||SALES_FX_CNY|||False|||</v>
          </cell>
          <cell r="C209" t="str">
            <v>V_KEYWORD_ISSR_208013035_SALES_FX_CNY</v>
          </cell>
        </row>
        <row r="210">
          <cell r="A210" t="str">
            <v>Vector|||208013035|||ISSR|||SALES_FX_INR|||False|||</v>
          </cell>
          <cell r="C210" t="str">
            <v>V_KEYWORD_ISSR_208013035_SALES_FX_INR</v>
          </cell>
        </row>
        <row r="211">
          <cell r="A211" t="str">
            <v>Vector|||208013035|||ISSR|||SALES_FX_KRW|||False|||</v>
          </cell>
          <cell r="C211" t="str">
            <v>V_KEYWORD_ISSR_208013035_SALES_FX_KRW</v>
          </cell>
        </row>
        <row r="212">
          <cell r="A212" t="str">
            <v>Vector|||208013035|||ISSR|||SALES_FX_TWD|||False|||</v>
          </cell>
          <cell r="C212" t="str">
            <v>V_KEYWORD_ISSR_208013035_SALES_FX_TWD</v>
          </cell>
        </row>
        <row r="213">
          <cell r="A213" t="str">
            <v>Vector|||208013035|||ISSR|||SALES_FX_OTH|||False|||</v>
          </cell>
          <cell r="C213" t="str">
            <v>V_KEYWORD_ISSR_208013035_SALES_FX_OTH</v>
          </cell>
        </row>
        <row r="219">
          <cell r="A219" t="str">
            <v>Scalar|||200016087|||EQTY|||PUB_CURRENCY_ISO|||False|||</v>
          </cell>
          <cell r="C219" t="str">
            <v>V_KEYWORD_EQTY_200016087_PUB_CURRENCY_ISO</v>
          </cell>
        </row>
        <row r="220">
          <cell r="A220" t="str">
            <v>Scalar|||200016087|||EQTY|||PRICE_CURRENCY_ISO|||False|||</v>
          </cell>
          <cell r="C220" t="str">
            <v>V_KEYWORD_EQTY_200016087_PRICE_CURRENCY_ISO</v>
          </cell>
        </row>
        <row r="221">
          <cell r="A221" t="str">
            <v>Scalar|||200016087|||EQTY|||CURRENCY_ISO|||False|||</v>
          </cell>
          <cell r="C221" t="str">
            <v>V_KEYWORD_EQTY_200016087_CURRENCY_ISO</v>
          </cell>
        </row>
        <row r="223">
          <cell r="A223" t="str">
            <v>Scalar|||200016087|||EQTY|||AEJ_LIST|||False|||</v>
          </cell>
          <cell r="C223" t="str">
            <v>V_KEYWORD_EQTY_200016087_AEJ_LIST</v>
          </cell>
        </row>
        <row r="224">
          <cell r="A224" t="str">
            <v>Scalar|||200016087|||EQTY|||AEJ_CONVICTION|||False|||</v>
          </cell>
          <cell r="C224" t="str">
            <v>V_KEYWORD_EQTY_200016087_AEJ_CONVICTION</v>
          </cell>
        </row>
        <row r="225">
          <cell r="A225" t="str">
            <v>Scalar|||200016087|||EQTY|||LEGAL_RATING|||False|||</v>
          </cell>
          <cell r="C225" t="str">
            <v>V_KEYWORD_EQTY_200016087_LEGAL_RATING</v>
          </cell>
        </row>
        <row r="226">
          <cell r="A226" t="str">
            <v>Scalar|||200016087|||EQTY|||TARGET_PRICE|||False|||</v>
          </cell>
          <cell r="C226" t="str">
            <v>V_KEYWORD_EQTY_200016087_TARGET_PRICE</v>
          </cell>
          <cell r="E226" t="str">
            <v>ERROR</v>
          </cell>
        </row>
        <row r="227">
          <cell r="A227" t="str">
            <v>Scalar|||200016087|||EQTY|||TP_PERIOD|||False|||</v>
          </cell>
          <cell r="C227" t="str">
            <v>V_KEYWORD_EQTY_200016087_TP_PERIOD</v>
          </cell>
        </row>
        <row r="228">
          <cell r="A228" t="str">
            <v>Scalar|||200016087|||EQTY|||NUM_SH|||False|||</v>
          </cell>
          <cell r="C228" t="str">
            <v>V_KEYWORD_EQTY_200016087_NUM_SH</v>
          </cell>
        </row>
        <row r="229">
          <cell r="A229" t="str">
            <v>Scalar|||200016087|||EQTY|||FREE_FLOAT|||False|||</v>
          </cell>
          <cell r="C229" t="str">
            <v>V_KEYWORD_EQTY_200016087_FREE_FLOAT</v>
          </cell>
        </row>
        <row r="230">
          <cell r="A230" t="str">
            <v>Scalar|||200016087|||EQTY|||FOREIGN_HOLDNG|||False|||</v>
          </cell>
          <cell r="C230" t="str">
            <v>V_KEYWORD_EQTY_200016087_FOREIGN_HOLDNG</v>
          </cell>
        </row>
        <row r="231">
          <cell r="A231" t="str">
            <v>Scalar|||200016087|||EQTY|||CATALYST1_DATE|||True|||</v>
          </cell>
          <cell r="C231" t="str">
            <v>V_KEYWORD_EQTY_200016087_CATALYST1_DATE</v>
          </cell>
        </row>
        <row r="232">
          <cell r="A232" t="str">
            <v>Scalar|||200016087|||EQTY|||CATALYST1_EVENT|||False|||</v>
          </cell>
          <cell r="C232" t="str">
            <v>V_KEYWORD_EQTY_200016087_CATALYST1_EVENT</v>
          </cell>
        </row>
        <row r="233">
          <cell r="A233" t="str">
            <v>Scalar|||200016087|||EQTY|||CATALYST2_DATE|||True|||</v>
          </cell>
          <cell r="C233" t="str">
            <v>V_KEYWORD_EQTY_200016087_CATALYST2_DATE</v>
          </cell>
        </row>
        <row r="234">
          <cell r="A234" t="str">
            <v>Scalar|||200016087|||EQTY|||CATALYST2_EVENT|||False|||</v>
          </cell>
          <cell r="C234" t="str">
            <v>V_KEYWORD_EQTY_200016087_CATALYST2_EVENT</v>
          </cell>
        </row>
        <row r="235">
          <cell r="A235" t="str">
            <v>Scalar|||200016087|||EQTY|||CATALYST3_DATE|||True|||</v>
          </cell>
          <cell r="C235" t="str">
            <v>V_KEYWORD_EQTY_200016087_CATALYST3_DATE</v>
          </cell>
        </row>
        <row r="236">
          <cell r="A236" t="str">
            <v>Scalar|||200016087|||EQTY|||CATALYST3_EVENT|||False|||</v>
          </cell>
          <cell r="C236" t="str">
            <v>V_KEYWORD_EQTY_200016087_CATALYST3_EVENT</v>
          </cell>
        </row>
        <row r="237">
          <cell r="A237" t="str">
            <v>Scalar|||200016087|||EQTY|||CATALYST4_DATE|||True|||</v>
          </cell>
          <cell r="C237" t="str">
            <v>V_KEYWORD_EQTY_200016087_CATALYST4_DATE</v>
          </cell>
        </row>
        <row r="238">
          <cell r="A238" t="str">
            <v>Scalar|||200016087|||EQTY|||CATALYST4_EVENT|||False|||</v>
          </cell>
          <cell r="C238" t="str">
            <v>V_KEYWORD_EQTY_200016087_CATALYST4_EVENT</v>
          </cell>
        </row>
        <row r="239">
          <cell r="A239" t="str">
            <v>Scalar|||200016087|||EQTY|||CATALYST5_DATE|||True|||</v>
          </cell>
          <cell r="C239" t="str">
            <v>V_KEYWORD_EQTY_200016087_CATALYST5_DATE</v>
          </cell>
        </row>
        <row r="240">
          <cell r="A240" t="str">
            <v>Scalar|||200016087|||EQTY|||CATALYST5_EVENT|||False|||</v>
          </cell>
          <cell r="C240" t="str">
            <v>V_KEYWORD_EQTY_200016087_CATALYST5_EVENT</v>
          </cell>
        </row>
        <row r="241">
          <cell r="A241" t="str">
            <v>Scalar|||200016087|||EQTY|||PRI_TARG_MULT|||False|||</v>
          </cell>
          <cell r="C241" t="str">
            <v>V_KEYWORD_EQTY_200016087_PRI_TARG_MULT</v>
          </cell>
        </row>
        <row r="242">
          <cell r="A242" t="str">
            <v>Scalar|||200016087|||EQTY|||PRI_TARG_METH|||False|||</v>
          </cell>
          <cell r="C242" t="str">
            <v>V_KEYWORD_EQTY_200016087_PRI_TARG_METH</v>
          </cell>
        </row>
        <row r="244">
          <cell r="A244" t="str">
            <v>Vector|||200016087|||EQTY|||BVPS_PUB|||False|||</v>
          </cell>
          <cell r="C244" t="str">
            <v>V_KEYWORD_EQTY_200016087_BVPS_PUB</v>
          </cell>
        </row>
        <row r="245">
          <cell r="A245" t="str">
            <v>Vector|||200016087|||EQTY|||DPS_PUB|||False|||</v>
          </cell>
          <cell r="C245" t="str">
            <v>V_KEYWORD_EQTY_200016087_DPS_PUB</v>
          </cell>
        </row>
        <row r="246">
          <cell r="A246" t="str">
            <v>Vector|||200016087|||EQTY|||DPS_SPECIAL_PUB|||False|||</v>
          </cell>
          <cell r="C246" t="str">
            <v>V_KEYWORD_EQTY_200016087_DPS_SPECIAL_PUB</v>
          </cell>
        </row>
        <row r="247">
          <cell r="A247" t="str">
            <v>Vector|||200016087|||EQTY|||EBITDA_PUB|||False|||</v>
          </cell>
          <cell r="C247" t="str">
            <v>V_KEYWORD_EQTY_200016087_EBITDA_PUB</v>
          </cell>
        </row>
        <row r="248">
          <cell r="A248" t="str">
            <v>Vector|||200016087|||EQTY|||EPS_PUB|||False|||</v>
          </cell>
          <cell r="C248" t="str">
            <v>V_KEYWORD_EQTY_200016087_EPS_PUB</v>
          </cell>
          <cell r="AE248" t="str">
            <v>ERROR</v>
          </cell>
          <cell r="AJ248" t="str">
            <v>ERROR</v>
          </cell>
          <cell r="AK248" t="str">
            <v>ERROR</v>
          </cell>
          <cell r="AL248" t="str">
            <v>ERROR</v>
          </cell>
          <cell r="AM248" t="str">
            <v>ERROR</v>
          </cell>
          <cell r="AN248" t="str">
            <v>ERROR</v>
          </cell>
          <cell r="AO248" t="str">
            <v>ERROR</v>
          </cell>
        </row>
        <row r="249">
          <cell r="A249" t="str">
            <v>Vector|||200016087|||EQTY|||EV_ADJ_PUB|||False|||</v>
          </cell>
          <cell r="C249" t="str">
            <v>V_KEYWORD_EQTY_200016087_EV_ADJ_PUB</v>
          </cell>
        </row>
        <row r="250">
          <cell r="A250" t="str">
            <v>Vector|||200016087|||EQTY|||NET_DEBT_PUB|||False|||</v>
          </cell>
          <cell r="C250" t="str">
            <v>V_KEYWORD_EQTY_200016087_NET_DEBT_PUB</v>
          </cell>
        </row>
        <row r="251">
          <cell r="A251" t="str">
            <v>Vector|||200016087|||EQTY|||NI_PUB|||False|||</v>
          </cell>
          <cell r="C251" t="str">
            <v>V_KEYWORD_EQTY_200016087_NI_PUB</v>
          </cell>
        </row>
        <row r="252">
          <cell r="A252" t="str">
            <v>Vector|||200016087|||EQTY|||EBIT_PUB|||False|||</v>
          </cell>
          <cell r="C252" t="str">
            <v>V_KEYWORD_EQTY_200016087_EBIT_PUB</v>
          </cell>
        </row>
        <row r="253">
          <cell r="A253" t="str">
            <v>Vector|||200016087|||EQTY|||PTP_PUB|||False|||</v>
          </cell>
          <cell r="C253" t="str">
            <v>V_KEYWORD_EQTY_200016087_PTP_PUB</v>
          </cell>
        </row>
        <row r="254">
          <cell r="A254" t="str">
            <v>Vector|||200016087|||EQTY|||REVS_PUB|||False|||</v>
          </cell>
          <cell r="C254" t="str">
            <v>V_KEYWORD_EQTY_200016087_REVS_PUB</v>
          </cell>
        </row>
        <row r="255">
          <cell r="A255" t="str">
            <v>Vector|||200016087|||EQTY|||EQ_PUB|||False|||</v>
          </cell>
          <cell r="C255" t="str">
            <v>V_KEYWORD_EQTY_200016087_EQ_PUB</v>
          </cell>
        </row>
        <row r="256">
          <cell r="A256" t="str">
            <v>Vector|||200016087|||EQTY|||EPS_CONS_PUB|||False|||</v>
          </cell>
          <cell r="C256" t="str">
            <v>V_KEYWORD_EQTY_200016087_EPS_CONS_PUB</v>
          </cell>
        </row>
        <row r="258">
          <cell r="A258" t="str">
            <v>Vector|||200016087|||EQTY|||PROV_INC_TAX|||False|||</v>
          </cell>
          <cell r="C258" t="str">
            <v>V_KEYWORD_EQTY_200016087_PROV_INC_TAX</v>
          </cell>
        </row>
        <row r="259">
          <cell r="A259" t="str">
            <v>Vector|||200016087|||EQTY|||INC_MINORITY|||False|||</v>
          </cell>
          <cell r="C259" t="str">
            <v>V_KEYWORD_EQTY_200016087_INC_MINORITY</v>
          </cell>
        </row>
        <row r="260">
          <cell r="A260" t="str">
            <v>Vector|||200016087|||EQTY|||NI_PRE_PREF|||False|||</v>
          </cell>
          <cell r="C260" t="str">
            <v>V_KEYWORD_EQTY_200016087_NI_PRE_PREF</v>
          </cell>
        </row>
        <row r="261">
          <cell r="A261" t="str">
            <v>Vector|||200016087|||EQTY|||PREF_DIV|||False|||</v>
          </cell>
          <cell r="C261" t="str">
            <v>V_KEYWORD_EQTY_200016087_PREF_DIV</v>
          </cell>
        </row>
        <row r="262">
          <cell r="A262" t="str">
            <v>Vector|||200016087|||EQTY|||NET_EARNING|||False|||</v>
          </cell>
          <cell r="C262" t="str">
            <v>V_KEYWORD_EQTY_200016087_NET_EARNING</v>
          </cell>
        </row>
        <row r="263">
          <cell r="A263" t="str">
            <v>Vector|||200016087|||EQTY|||TAX_EXC|||False|||</v>
          </cell>
          <cell r="C263" t="str">
            <v>V_KEYWORD_EQTY_200016087_TAX_EXC</v>
          </cell>
        </row>
        <row r="264">
          <cell r="A264" t="str">
            <v>Vector|||200016087|||EQTY|||NET_INC|||False|||</v>
          </cell>
          <cell r="C264" t="str">
            <v>V_KEYWORD_EQTY_200016087_NET_INC</v>
          </cell>
        </row>
        <row r="265">
          <cell r="A265" t="str">
            <v>Vector|||200016087|||EQTY|||EPS|||False|||</v>
          </cell>
          <cell r="C265" t="str">
            <v>V_KEYWORD_EQTY_200016087_EPS</v>
          </cell>
        </row>
        <row r="266">
          <cell r="A266" t="str">
            <v>Vector|||200016087|||EQTY|||EPS_FUL_DIL|||False|||</v>
          </cell>
          <cell r="C266" t="str">
            <v>V_KEYWORD_EQTY_200016087_EPS_FUL_DIL</v>
          </cell>
        </row>
        <row r="267">
          <cell r="A267" t="str">
            <v>Vector|||200016087|||EQTY|||EPS_POST_BASIC|||False|||</v>
          </cell>
          <cell r="C267" t="str">
            <v>V_KEYWORD_EQTY_200016087_EPS_POST_BASIC</v>
          </cell>
        </row>
        <row r="268">
          <cell r="A268" t="str">
            <v>Vector|||200016087|||EQTY|||FULLY_DIL_EPS|||False|||</v>
          </cell>
          <cell r="C268" t="str">
            <v>V_KEYWORD_EQTY_200016087_FULLY_DIL_EPS</v>
          </cell>
        </row>
        <row r="269">
          <cell r="A269" t="str">
            <v>Vector|||200016087|||EQTY|||COMMON_DIV_PAID|||False|||</v>
          </cell>
          <cell r="C269" t="str">
            <v>V_KEYWORD_EQTY_200016087_COMMON_DIV_PAID</v>
          </cell>
        </row>
        <row r="270">
          <cell r="A270" t="str">
            <v>Vector|||200016087|||EQTY|||DPS|||False|||</v>
          </cell>
          <cell r="C270" t="str">
            <v>V_KEYWORD_EQTY_200016087_DPS</v>
          </cell>
        </row>
        <row r="271">
          <cell r="A271" t="str">
            <v>Vector|||200016087|||EQTY|||SH|||False|||</v>
          </cell>
          <cell r="C271" t="str">
            <v>V_KEYWORD_EQTY_200016087_SH</v>
          </cell>
        </row>
        <row r="272">
          <cell r="A272" t="str">
            <v>Vector|||200016087|||EQTY|||DILUTE_SHARES|||False|||</v>
          </cell>
          <cell r="C272" t="str">
            <v>V_KEYWORD_EQTY_200016087_DILUTE_SHARES</v>
          </cell>
        </row>
        <row r="273">
          <cell r="A273" t="str">
            <v>Vector|||200016087|||EQTY|||NON_OP_ADD|||False|||</v>
          </cell>
          <cell r="C273" t="str">
            <v>V_KEYWORD_EQTY_200016087_NON_OP_ADD</v>
          </cell>
        </row>
        <row r="275">
          <cell r="A275" t="str">
            <v>Vector|||200016087|||EQTY|||MARGIN_TAX_RATE|||False|||</v>
          </cell>
          <cell r="C275" t="str">
            <v>V_KEYWORD_EQTY_200016087_MARGIN_TAX_RATE</v>
          </cell>
        </row>
        <row r="276">
          <cell r="A276" t="str">
            <v>Vector|||200016087|||EQTY|||NI_CONS|||False|||</v>
          </cell>
          <cell r="C276" t="str">
            <v>V_KEYWORD_EQTY_200016087_NI_CONS</v>
          </cell>
        </row>
        <row r="278">
          <cell r="A278" t="str">
            <v>Vector|||200016087|||EQTY|||BVPS|||False|||</v>
          </cell>
          <cell r="C278" t="str">
            <v>V_KEYWORD_EQTY_200016087_BVPS</v>
          </cell>
        </row>
        <row r="280">
          <cell r="A280" t="str">
            <v>Vector|||200016087|||EQTY|||CF_NI_PRE_PREF|||False|||</v>
          </cell>
          <cell r="C280" t="str">
            <v>V_KEYWORD_EQTY_200016087_CF_NI_PRE_PREF</v>
          </cell>
        </row>
        <row r="282">
          <cell r="A282" t="str">
            <v>Scalar|||200016087|||EQTY|||BETA_ANALYST|||False|||</v>
          </cell>
          <cell r="C282" t="str">
            <v>V_KEYWORD_EQTY_200016087_BETA_ANALYST</v>
          </cell>
        </row>
        <row r="283">
          <cell r="A283" t="str">
            <v>Scalar|||200016087|||EQTY|||MKT_EQ_RISK_PREM|||False|||</v>
          </cell>
          <cell r="C283" t="str">
            <v>V_KEYWORD_EQTY_200016087_MKT_EQ_RISK_PREM</v>
          </cell>
        </row>
        <row r="284">
          <cell r="A284" t="str">
            <v>Scalar|||200016087|||EQTY|||RISK_FR_RATE|||False|||</v>
          </cell>
          <cell r="C284" t="str">
            <v>V_KEYWORD_EQTY_200016087_RISK_FR_RATE</v>
          </cell>
        </row>
      </sheetData>
      <sheetData sheetId="18" refreshError="1">
        <row r="5">
          <cell r="A5" t="str">
            <v>Reference Data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4">
          <cell r="B114" t="str">
            <v>Sales - % Brazil</v>
          </cell>
          <cell r="C114" t="str">
            <v>SALES_BRAZIL</v>
          </cell>
        </row>
        <row r="115">
          <cell r="B115" t="str">
            <v>Sales - % Other Americas</v>
          </cell>
          <cell r="C115" t="str">
            <v>SALES_OTH_AM</v>
          </cell>
        </row>
        <row r="116">
          <cell r="B116" t="str">
            <v>Sales - Total % EMEA</v>
          </cell>
          <cell r="C116" t="str">
            <v>SALES_TOT_EMEA</v>
          </cell>
        </row>
        <row r="117">
          <cell r="B117" t="str">
            <v>Sales - % UK</v>
          </cell>
          <cell r="C117" t="str">
            <v>SALES_UK</v>
          </cell>
        </row>
        <row r="118">
          <cell r="B118" t="str">
            <v>Sales - % Western Europe-Ex UK</v>
          </cell>
          <cell r="C118" t="str">
            <v>SALES_EU_EX_UK</v>
          </cell>
        </row>
        <row r="135">
          <cell r="B135" t="str">
            <v>Sales - % Central &amp; Eastern Europe</v>
          </cell>
          <cell r="C135" t="str">
            <v>SALES_CEE</v>
          </cell>
        </row>
        <row r="136">
          <cell r="B136" t="str">
            <v>Sales - % Middle East</v>
          </cell>
          <cell r="C136" t="str">
            <v>SALES_ME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</row>
        <row r="139">
          <cell r="B139" t="str">
            <v>Sales - % Other EMEA</v>
          </cell>
          <cell r="C139" t="str">
            <v>SALES_OTH_EMEA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</row>
        <row r="141">
          <cell r="B141" t="str">
            <v>Sales - % Japan</v>
          </cell>
          <cell r="C141" t="str">
            <v>SALES_JAPAN</v>
          </cell>
        </row>
        <row r="142">
          <cell r="B142" t="str">
            <v>Sales - % China</v>
          </cell>
          <cell r="C142" t="str">
            <v>SALES_CHINA</v>
          </cell>
        </row>
        <row r="143">
          <cell r="B143" t="str">
            <v>Sales - % India</v>
          </cell>
          <cell r="C143" t="str">
            <v>SALES_INDIA</v>
          </cell>
        </row>
        <row r="144">
          <cell r="B144" t="str">
            <v>Sales - % South Korea</v>
          </cell>
          <cell r="C144" t="str">
            <v>SALES_SK</v>
          </cell>
        </row>
        <row r="145">
          <cell r="B145" t="str">
            <v>Sales - % Taiwan</v>
          </cell>
          <cell r="C145" t="str">
            <v>SALES_TAIWAN</v>
          </cell>
        </row>
        <row r="148">
          <cell r="B148" t="str">
            <v>Sales - % Other Asia</v>
          </cell>
          <cell r="C148" t="str">
            <v>SALES_OTH_AEJ</v>
          </cell>
        </row>
        <row r="149">
          <cell r="B149" t="str">
            <v>Sales - % Others</v>
          </cell>
          <cell r="C149" t="str">
            <v>SALES_OTHER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0">
          <cell r="B190" t="str">
            <v>Sales - % Industry Sub-Segment: Financial Services</v>
          </cell>
          <cell r="C190" t="str">
            <v>SALES_FINAN</v>
          </cell>
        </row>
        <row r="194">
          <cell r="A194" t="str">
            <v>Commodities Exposure - Expense</v>
          </cell>
        </row>
        <row r="195">
          <cell r="B195" t="str">
            <v>Expense - % Oil/Petrol/Fuel</v>
          </cell>
          <cell r="C195" t="str">
            <v>EXP_OIL_PETRO_FUEL</v>
          </cell>
        </row>
        <row r="196">
          <cell r="B196" t="str">
            <v>Expense - % Oil derivatives/NGLs/plastics</v>
          </cell>
          <cell r="C196" t="str">
            <v>EXP_OIL_DERIV_NGLS_PLASTICS</v>
          </cell>
        </row>
        <row r="197">
          <cell r="B197" t="str">
            <v>Expense - % Paper/pulp</v>
          </cell>
          <cell r="C197" t="str">
            <v>EXP_PAPER_PULP</v>
          </cell>
        </row>
        <row r="198">
          <cell r="B198" t="str">
            <v>Expense - % Glass</v>
          </cell>
          <cell r="C198" t="str">
            <v>EXP_GLASS</v>
          </cell>
        </row>
        <row r="199">
          <cell r="B199" t="str">
            <v>Expense - % Water</v>
          </cell>
          <cell r="C199" t="str">
            <v>EXP_WATER</v>
          </cell>
        </row>
        <row r="200">
          <cell r="B200" t="str">
            <v>Expense - % Other commodity</v>
          </cell>
          <cell r="C200" t="str">
            <v>EXP_OTH_COMMODITY</v>
          </cell>
        </row>
        <row r="201">
          <cell r="B201" t="str">
            <v>Expense - % Other (Non-Commodity) cost</v>
          </cell>
          <cell r="C201" t="str">
            <v>EXP_OTH_COST</v>
          </cell>
        </row>
        <row r="202">
          <cell r="A202" t="str">
            <v>FX Exposure - Sales</v>
          </cell>
        </row>
        <row r="203">
          <cell r="B203" t="str">
            <v>Sales - % FX: British Pounds/Pence</v>
          </cell>
          <cell r="C203" t="str">
            <v>SALES_FX_GPB</v>
          </cell>
        </row>
        <row r="204">
          <cell r="B204" t="str">
            <v>Sales - % FX: Euro</v>
          </cell>
          <cell r="C204" t="str">
            <v>SALES_FX_EUR</v>
          </cell>
        </row>
        <row r="205">
          <cell r="B205" t="str">
            <v>Sales - % FX: New Russian Ruble</v>
          </cell>
          <cell r="C205" t="str">
            <v>SALES_FX_RUB</v>
          </cell>
        </row>
        <row r="206">
          <cell r="B206" t="str">
            <v>Sales - % FX: U.S. Dollar</v>
          </cell>
          <cell r="C206" t="str">
            <v>SALES_FX_USD</v>
          </cell>
        </row>
        <row r="207">
          <cell r="B207" t="str">
            <v>Sales - % FX: Brazilian Real</v>
          </cell>
          <cell r="C207" t="str">
            <v>SALES_FX_BRL</v>
          </cell>
        </row>
        <row r="208">
          <cell r="B208" t="str">
            <v>Sales - % FX: Japanese Yen</v>
          </cell>
          <cell r="C208" t="str">
            <v>SALES_FX_YEN</v>
          </cell>
        </row>
        <row r="209">
          <cell r="B209" t="str">
            <v>Sales - % FX: Chinese Renminbi</v>
          </cell>
          <cell r="C209" t="str">
            <v>SALES_FX_CNY</v>
          </cell>
        </row>
        <row r="210">
          <cell r="B210" t="str">
            <v>Sales - % FX: Indian Rupee</v>
          </cell>
          <cell r="C210" t="str">
            <v>SALES_FX_INR</v>
          </cell>
        </row>
        <row r="211">
          <cell r="B211" t="str">
            <v>Sales - % FX: South Korean Won</v>
          </cell>
          <cell r="C211" t="str">
            <v>SALES_FX_KRW</v>
          </cell>
        </row>
        <row r="212">
          <cell r="B212" t="str">
            <v>Sales - % FX: Taiwan Dollar</v>
          </cell>
          <cell r="C212" t="str">
            <v>SALES_FX_TWD</v>
          </cell>
        </row>
        <row r="213">
          <cell r="B213" t="str">
            <v>Sales - % FX: Other Currency</v>
          </cell>
          <cell r="C213" t="str">
            <v>SALES_FX_OTH</v>
          </cell>
        </row>
        <row r="215">
          <cell r="A215" t="str">
            <v>Reference Data</v>
          </cell>
        </row>
        <row r="222">
          <cell r="A222" t="str">
            <v>General Information</v>
          </cell>
        </row>
        <row r="223">
          <cell r="B223" t="str">
            <v>Asia Pacific Investment List</v>
          </cell>
          <cell r="C223" t="str">
            <v>AEJ_LIST</v>
          </cell>
        </row>
        <row r="224">
          <cell r="B224" t="str">
            <v>Asia Pacific Conviction List</v>
          </cell>
          <cell r="C224" t="str">
            <v>AEJ_CONVICTION</v>
          </cell>
        </row>
        <row r="225">
          <cell r="B225" t="str">
            <v>Legal rating</v>
          </cell>
          <cell r="C225" t="str">
            <v>LEGAL_RATING</v>
          </cell>
        </row>
        <row r="226">
          <cell r="B226" t="str">
            <v>Target price</v>
          </cell>
          <cell r="C226" t="str">
            <v>TARGET_PRICE</v>
          </cell>
          <cell r="D226" t="str">
            <v>CNY</v>
          </cell>
        </row>
        <row r="227">
          <cell r="B227" t="str">
            <v>Target price period</v>
          </cell>
          <cell r="C227" t="str">
            <v>TP_PERIOD</v>
          </cell>
        </row>
        <row r="228">
          <cell r="B228" t="str">
            <v>Current shares outstanding (mn)</v>
          </cell>
          <cell r="C228" t="str">
            <v>NUM_SH</v>
          </cell>
        </row>
        <row r="229">
          <cell r="B229" t="str">
            <v>Free float</v>
          </cell>
          <cell r="C229" t="str">
            <v>FREE_FLOAT</v>
          </cell>
        </row>
        <row r="230">
          <cell r="B230" t="str">
            <v>Foreign ownership</v>
          </cell>
          <cell r="C230" t="str">
            <v>FOREIGN_HOLDNG</v>
          </cell>
        </row>
        <row r="231">
          <cell r="B231" t="str">
            <v>Catalyst 1 date</v>
          </cell>
          <cell r="C231" t="str">
            <v>CATALYST1_DATE</v>
          </cell>
        </row>
        <row r="232">
          <cell r="B232" t="str">
            <v>Catalyst 1 description</v>
          </cell>
          <cell r="C232" t="str">
            <v>CATALYST1_EVENT</v>
          </cell>
        </row>
        <row r="233">
          <cell r="B233" t="str">
            <v>Catalyst 2 date</v>
          </cell>
          <cell r="C233" t="str">
            <v>CATALYST2_DATE</v>
          </cell>
        </row>
        <row r="234">
          <cell r="B234" t="str">
            <v>Catalyst 2 description</v>
          </cell>
          <cell r="C234" t="str">
            <v>CATALYST2_EVENT</v>
          </cell>
        </row>
        <row r="235">
          <cell r="B235" t="str">
            <v>Catalyst 3 date</v>
          </cell>
          <cell r="C235" t="str">
            <v>CATALYST3_DATE</v>
          </cell>
        </row>
        <row r="236">
          <cell r="B236" t="str">
            <v>Catalyst 3 description</v>
          </cell>
          <cell r="C236" t="str">
            <v>CATALYST3_EVENT</v>
          </cell>
        </row>
        <row r="237">
          <cell r="B237" t="str">
            <v>Catalyst 4 date</v>
          </cell>
          <cell r="C237" t="str">
            <v>CATALYST4_DATE</v>
          </cell>
        </row>
        <row r="238">
          <cell r="B238" t="str">
            <v>Catalyst 4 description</v>
          </cell>
          <cell r="C238" t="str">
            <v>CATALYST4_EVENT</v>
          </cell>
        </row>
        <row r="239">
          <cell r="B239" t="str">
            <v>Catalyst 5 date</v>
          </cell>
          <cell r="C239" t="str">
            <v>CATALYST5_DATE</v>
          </cell>
        </row>
        <row r="240">
          <cell r="B240" t="str">
            <v>Catalyst 5 description</v>
          </cell>
          <cell r="C240" t="str">
            <v>CATALYST5_EVENT</v>
          </cell>
        </row>
        <row r="241">
          <cell r="B241" t="str">
            <v>Target price multiple</v>
          </cell>
          <cell r="C241" t="str">
            <v>PRI_TARG_MULT</v>
          </cell>
        </row>
        <row r="242">
          <cell r="B242" t="str">
            <v>Target price methodology</v>
          </cell>
          <cell r="C242" t="str">
            <v>PRI_TARG_METH</v>
          </cell>
        </row>
        <row r="243">
          <cell r="A243" t="str">
            <v>Publishing Items</v>
          </cell>
        </row>
        <row r="244">
          <cell r="B244" t="str">
            <v>Book value per share, BVPS (Pub)</v>
          </cell>
          <cell r="C244" t="str">
            <v>BVPS_PUB</v>
          </cell>
          <cell r="D244" t="str">
            <v>CNY</v>
          </cell>
        </row>
        <row r="245">
          <cell r="B245" t="str">
            <v>DPS, dividend per share (Pub)</v>
          </cell>
          <cell r="C245" t="str">
            <v>DPS_PUB</v>
          </cell>
          <cell r="D245" t="str">
            <v>CNY</v>
          </cell>
        </row>
        <row r="246">
          <cell r="B246" t="str">
            <v>Special dividend per share</v>
          </cell>
          <cell r="C246" t="str">
            <v>DPS_SPECIAL_PUB</v>
          </cell>
          <cell r="D246" t="str">
            <v>CNY</v>
          </cell>
        </row>
        <row r="247">
          <cell r="B247" t="str">
            <v>EBITDA (Pub)</v>
          </cell>
          <cell r="C247" t="str">
            <v>EBITDA_PUB</v>
          </cell>
          <cell r="D247" t="str">
            <v>CNY</v>
          </cell>
        </row>
        <row r="248">
          <cell r="B248" t="str">
            <v>EPS (Pub)</v>
          </cell>
          <cell r="C248" t="str">
            <v>EPS_PUB</v>
          </cell>
          <cell r="D248" t="str">
            <v>CNY</v>
          </cell>
        </row>
        <row r="249">
          <cell r="B249" t="str">
            <v>EV adjustment (Pub)</v>
          </cell>
          <cell r="C249" t="str">
            <v>EV_ADJ_PUB</v>
          </cell>
          <cell r="D249" t="str">
            <v>CNY</v>
          </cell>
        </row>
        <row r="250">
          <cell r="B250" t="str">
            <v>Net debt (Pub)</v>
          </cell>
          <cell r="C250" t="str">
            <v>NET_DEBT_PUB</v>
          </cell>
          <cell r="D250" t="str">
            <v>CNY</v>
          </cell>
        </row>
        <row r="251">
          <cell r="B251" t="str">
            <v>Net income (Pub)</v>
          </cell>
          <cell r="C251" t="str">
            <v>NI_PUB</v>
          </cell>
          <cell r="D251" t="str">
            <v>CNY</v>
          </cell>
        </row>
        <row r="252">
          <cell r="B252" t="str">
            <v>EBIT, operating profit (Pub)</v>
          </cell>
          <cell r="C252" t="str">
            <v>EBIT_PUB</v>
          </cell>
          <cell r="D252" t="str">
            <v>CNY</v>
          </cell>
        </row>
        <row r="253">
          <cell r="B253" t="str">
            <v>Pre-tax profit (Pub)</v>
          </cell>
          <cell r="C253" t="str">
            <v>PTP_PUB</v>
          </cell>
          <cell r="D253" t="str">
            <v>CNY</v>
          </cell>
        </row>
        <row r="254">
          <cell r="B254" t="str">
            <v>Sales, revenue (Pub)</v>
          </cell>
          <cell r="C254" t="str">
            <v>REVS_PUB</v>
          </cell>
          <cell r="D254" t="str">
            <v>CNY</v>
          </cell>
        </row>
        <row r="255">
          <cell r="B255" t="str">
            <v>Total shareholders' equity (Pub)</v>
          </cell>
          <cell r="C255" t="str">
            <v>EQ_PUB</v>
          </cell>
          <cell r="D255" t="str">
            <v>CNY</v>
          </cell>
        </row>
        <row r="256">
          <cell r="B256" t="str">
            <v>EPS (consensus)</v>
          </cell>
          <cell r="C256" t="str">
            <v>EPS_CONS_PUB</v>
          </cell>
          <cell r="D256" t="str">
            <v>CNY</v>
          </cell>
        </row>
        <row r="257">
          <cell r="A257" t="str">
            <v>Income Statement</v>
          </cell>
        </row>
        <row r="258">
          <cell r="B258" t="str">
            <v>Provision for income tax</v>
          </cell>
          <cell r="C258" t="str">
            <v>PROV_INC_TAX</v>
          </cell>
          <cell r="D258" t="str">
            <v>CNY</v>
          </cell>
        </row>
        <row r="259">
          <cell r="B259" t="str">
            <v>Minority interest</v>
          </cell>
          <cell r="C259" t="str">
            <v>INC_MINORITY</v>
          </cell>
          <cell r="D259" t="str">
            <v>CNY</v>
          </cell>
        </row>
        <row r="260">
          <cell r="B260" t="str">
            <v>Net income (pre-preferred dividends)</v>
          </cell>
          <cell r="C260" t="str">
            <v>NI_PRE_PREF</v>
          </cell>
          <cell r="D260" t="str">
            <v>CNY</v>
          </cell>
        </row>
        <row r="261">
          <cell r="B261" t="str">
            <v>Preferred dividends</v>
          </cell>
          <cell r="C261" t="str">
            <v>PREF_DIV</v>
          </cell>
          <cell r="D261" t="str">
            <v>CNY</v>
          </cell>
        </row>
        <row r="262">
          <cell r="B262" t="str">
            <v>Net income (pre-exceptionals)</v>
          </cell>
          <cell r="C262" t="str">
            <v>NET_EARNING</v>
          </cell>
          <cell r="D262" t="str">
            <v>CNY</v>
          </cell>
        </row>
        <row r="263">
          <cell r="B263" t="str">
            <v>Post-tax exceptionals</v>
          </cell>
          <cell r="C263" t="str">
            <v>TAX_EXC</v>
          </cell>
          <cell r="D263" t="str">
            <v>CNY</v>
          </cell>
        </row>
        <row r="264">
          <cell r="B264" t="str">
            <v>Net income (post-exceptionals)</v>
          </cell>
          <cell r="C264" t="str">
            <v>NET_INC</v>
          </cell>
          <cell r="D264" t="str">
            <v>CNY</v>
          </cell>
        </row>
        <row r="265">
          <cell r="B265" t="str">
            <v>EPS (pre-exceptionals, basic)</v>
          </cell>
          <cell r="C265" t="str">
            <v>EPS</v>
          </cell>
          <cell r="D265" t="str">
            <v>CNY</v>
          </cell>
        </row>
        <row r="266">
          <cell r="B266" t="str">
            <v>EPS (pre-exceptionals, diluted)</v>
          </cell>
          <cell r="C266" t="str">
            <v>EPS_FUL_DIL</v>
          </cell>
          <cell r="D266" t="str">
            <v>CNY</v>
          </cell>
        </row>
        <row r="267">
          <cell r="B267" t="str">
            <v>EPS (post-exceptionals, basic)</v>
          </cell>
          <cell r="C267" t="str">
            <v>EPS_POST_BASIC</v>
          </cell>
          <cell r="D267" t="str">
            <v>CNY</v>
          </cell>
        </row>
        <row r="268">
          <cell r="B268" t="str">
            <v>EPS (post-exceptionals, diluted)</v>
          </cell>
          <cell r="C268" t="str">
            <v>FULLY_DIL_EPS</v>
          </cell>
          <cell r="D268" t="str">
            <v>CNY</v>
          </cell>
        </row>
        <row r="269">
          <cell r="B269" t="str">
            <v>Common dividends paid</v>
          </cell>
          <cell r="C269" t="str">
            <v>COMMON_DIV_PAID</v>
          </cell>
          <cell r="D269" t="str">
            <v>CNY</v>
          </cell>
        </row>
        <row r="270">
          <cell r="B270" t="str">
            <v>DPS, dividend per share</v>
          </cell>
          <cell r="C270" t="str">
            <v>DPS</v>
          </cell>
          <cell r="D270" t="str">
            <v>CNY</v>
          </cell>
        </row>
        <row r="271">
          <cell r="B271" t="str">
            <v>Weighted average shares outstanding, basic</v>
          </cell>
          <cell r="C271" t="str">
            <v>SH</v>
          </cell>
        </row>
        <row r="272">
          <cell r="B272" t="str">
            <v>Diluted average shares outstanding (mn)</v>
          </cell>
          <cell r="C272" t="str">
            <v>DILUTE_SHARES</v>
          </cell>
        </row>
        <row r="273">
          <cell r="B273" t="str">
            <v>Period-end shares outstanding</v>
          </cell>
          <cell r="C273" t="str">
            <v>NON_OP_ADD</v>
          </cell>
        </row>
        <row r="274">
          <cell r="A274" t="str">
            <v>Additional Income Statement Items</v>
          </cell>
        </row>
        <row r="275">
          <cell r="B275" t="str">
            <v>Marginal tax rate</v>
          </cell>
          <cell r="C275" t="str">
            <v>MARGIN_TAX_RATE</v>
          </cell>
        </row>
        <row r="276">
          <cell r="B276" t="str">
            <v>Net income (consensus) (Pub)</v>
          </cell>
          <cell r="C276" t="str">
            <v>NI_CONS</v>
          </cell>
          <cell r="D276" t="str">
            <v>CNY</v>
          </cell>
        </row>
        <row r="277">
          <cell r="A277" t="str">
            <v>Balance Sheet</v>
          </cell>
        </row>
        <row r="278">
          <cell r="B278" t="str">
            <v>BVPS, book value per share</v>
          </cell>
          <cell r="C278" t="str">
            <v>BVPS</v>
          </cell>
          <cell r="D278" t="str">
            <v>CNY</v>
          </cell>
        </row>
        <row r="279">
          <cell r="A279" t="str">
            <v>Cash Flow Statement</v>
          </cell>
        </row>
        <row r="280">
          <cell r="B280" t="str">
            <v>Net income (pre-preferred dividends)</v>
          </cell>
          <cell r="C280" t="str">
            <v>CF_NI_PRE_PREF</v>
          </cell>
          <cell r="D280" t="str">
            <v>CNY</v>
          </cell>
        </row>
        <row r="281">
          <cell r="A281" t="str">
            <v>Other Items</v>
          </cell>
        </row>
        <row r="282">
          <cell r="B282" t="str">
            <v>Beta</v>
          </cell>
          <cell r="C282" t="str">
            <v>BETA_ANALYST</v>
          </cell>
        </row>
        <row r="283">
          <cell r="B283" t="str">
            <v>Market equity risk premium</v>
          </cell>
          <cell r="C283" t="str">
            <v>MKT_EQ_RISK_PREM</v>
          </cell>
        </row>
        <row r="284">
          <cell r="B284" t="str">
            <v>Risk-free rate</v>
          </cell>
          <cell r="C284" t="str">
            <v>RISK_FR_RATE</v>
          </cell>
        </row>
      </sheetData>
      <sheetData sheetId="19" refreshError="1">
        <row r="1">
          <cell r="A1" t="str">
            <v>Issuer: Zhejiang Dahua Technology Co.</v>
          </cell>
          <cell r="F1" t="str">
            <v>2005</v>
          </cell>
          <cell r="G1" t="str">
            <v>2006</v>
          </cell>
          <cell r="H1" t="str">
            <v>2007</v>
          </cell>
          <cell r="I1" t="str">
            <v>2008</v>
          </cell>
          <cell r="J1" t="str">
            <v>2009</v>
          </cell>
          <cell r="K1" t="str">
            <v>2010</v>
          </cell>
          <cell r="L1" t="str">
            <v>2011 Q1</v>
          </cell>
          <cell r="M1" t="str">
            <v>2011 Q2</v>
          </cell>
          <cell r="N1" t="str">
            <v>2011 Q3</v>
          </cell>
          <cell r="O1" t="str">
            <v>2011 Q4</v>
          </cell>
          <cell r="P1" t="str">
            <v>2011</v>
          </cell>
          <cell r="Q1" t="str">
            <v>2012 Q1</v>
          </cell>
          <cell r="R1" t="str">
            <v>2012 Q2</v>
          </cell>
          <cell r="S1" t="str">
            <v>2012 Q3</v>
          </cell>
          <cell r="T1" t="str">
            <v>2012 Q4</v>
          </cell>
          <cell r="U1" t="str">
            <v>2012</v>
          </cell>
          <cell r="V1" t="str">
            <v>2013 Q1</v>
          </cell>
          <cell r="W1" t="str">
            <v>2013 Q2</v>
          </cell>
          <cell r="X1" t="str">
            <v>2013 Q3</v>
          </cell>
          <cell r="Y1" t="str">
            <v>2013 Q4</v>
          </cell>
          <cell r="Z1">
            <v>2013</v>
          </cell>
          <cell r="AA1" t="str">
            <v>2014 Q1</v>
          </cell>
          <cell r="AB1" t="str">
            <v>2014 Q2</v>
          </cell>
          <cell r="AC1" t="str">
            <v>2014 Q3</v>
          </cell>
          <cell r="AD1" t="str">
            <v>2014 Q4</v>
          </cell>
          <cell r="AE1" t="str">
            <v>2014</v>
          </cell>
          <cell r="AF1" t="str">
            <v>2015 Q1</v>
          </cell>
          <cell r="AG1" t="str">
            <v>2015 Q2</v>
          </cell>
          <cell r="AH1" t="str">
            <v>2015 Q3</v>
          </cell>
          <cell r="AI1" t="str">
            <v>2015 Q4</v>
          </cell>
          <cell r="AJ1" t="str">
            <v>2015</v>
          </cell>
          <cell r="AK1" t="str">
            <v>2016</v>
          </cell>
          <cell r="AL1" t="str">
            <v>2017</v>
          </cell>
          <cell r="AM1" t="str">
            <v>2018</v>
          </cell>
          <cell r="AN1" t="str">
            <v>2019</v>
          </cell>
          <cell r="AO1" t="str">
            <v>2020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Estimate</v>
          </cell>
          <cell r="AH2" t="str">
            <v>Estimate</v>
          </cell>
          <cell r="AI2" t="str">
            <v>Estimate</v>
          </cell>
          <cell r="AJ2" t="str">
            <v>Estimate</v>
          </cell>
          <cell r="AK2" t="str">
            <v>Estimate</v>
          </cell>
          <cell r="AL2" t="str">
            <v>Estimate</v>
          </cell>
          <cell r="AM2" t="str">
            <v>Estimate</v>
          </cell>
          <cell r="AN2" t="str">
            <v>Estimate</v>
          </cell>
          <cell r="AO2" t="str">
            <v>Estimate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38717</v>
          </cell>
          <cell r="G3">
            <v>39082</v>
          </cell>
          <cell r="H3">
            <v>39447</v>
          </cell>
          <cell r="I3">
            <v>39813</v>
          </cell>
          <cell r="J3">
            <v>40178</v>
          </cell>
          <cell r="K3">
            <v>40543</v>
          </cell>
          <cell r="L3">
            <v>40633</v>
          </cell>
          <cell r="M3">
            <v>40724</v>
          </cell>
          <cell r="N3">
            <v>40816</v>
          </cell>
          <cell r="O3">
            <v>40908</v>
          </cell>
          <cell r="P3">
            <v>40908</v>
          </cell>
          <cell r="Q3">
            <v>40999</v>
          </cell>
          <cell r="R3">
            <v>41090</v>
          </cell>
          <cell r="S3">
            <v>41182</v>
          </cell>
          <cell r="T3">
            <v>41274</v>
          </cell>
          <cell r="U3">
            <v>41274</v>
          </cell>
          <cell r="V3">
            <v>41364</v>
          </cell>
          <cell r="W3">
            <v>41455</v>
          </cell>
          <cell r="X3">
            <v>41547</v>
          </cell>
          <cell r="Y3">
            <v>41639</v>
          </cell>
          <cell r="Z3">
            <v>41639</v>
          </cell>
          <cell r="AA3">
            <v>41729</v>
          </cell>
          <cell r="AB3">
            <v>41820</v>
          </cell>
          <cell r="AC3">
            <v>41912</v>
          </cell>
          <cell r="AD3">
            <v>42004</v>
          </cell>
          <cell r="AE3">
            <v>42004</v>
          </cell>
          <cell r="AF3">
            <v>42094</v>
          </cell>
          <cell r="AG3">
            <v>42185</v>
          </cell>
          <cell r="AH3">
            <v>42277</v>
          </cell>
          <cell r="AI3">
            <v>42369</v>
          </cell>
          <cell r="AJ3">
            <v>42369</v>
          </cell>
          <cell r="AK3">
            <v>42735</v>
          </cell>
          <cell r="AL3">
            <v>43100</v>
          </cell>
          <cell r="AM3">
            <v>43465</v>
          </cell>
          <cell r="AN3">
            <v>43830</v>
          </cell>
          <cell r="AO3">
            <v>44196</v>
          </cell>
        </row>
        <row r="4">
          <cell r="A4" t="str">
            <v>Issuer: Zhejiang Dahua Technology Co.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6">
          <cell r="B6" t="str">
            <v>Issuer Name</v>
          </cell>
          <cell r="C6" t="str">
            <v>Issuer Name</v>
          </cell>
          <cell r="E6" t="str">
            <v>Zhejiang Dahua Technology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293.14459049999999</v>
          </cell>
          <cell r="G9">
            <v>445.53826700000002</v>
          </cell>
          <cell r="H9">
            <v>405.18517370999996</v>
          </cell>
          <cell r="I9">
            <v>632.01839077</v>
          </cell>
          <cell r="J9">
            <v>835.94207207000011</v>
          </cell>
          <cell r="K9">
            <v>1516.2754451600001</v>
          </cell>
          <cell r="L9">
            <v>328.63490666000001</v>
          </cell>
          <cell r="M9">
            <v>565.62563778999993</v>
          </cell>
          <cell r="N9">
            <v>566.43922060999989</v>
          </cell>
          <cell r="O9">
            <v>744.50844201999985</v>
          </cell>
          <cell r="P9">
            <v>2205.2082070799997</v>
          </cell>
          <cell r="Q9">
            <v>498.02956517000001</v>
          </cell>
          <cell r="R9">
            <v>798.84124771000006</v>
          </cell>
          <cell r="S9">
            <v>896.0121661300002</v>
          </cell>
          <cell r="T9">
            <v>1338.3314926099997</v>
          </cell>
          <cell r="U9">
            <v>3531.21447162</v>
          </cell>
          <cell r="V9">
            <v>788.46723758000007</v>
          </cell>
          <cell r="W9">
            <v>1243.12236188</v>
          </cell>
          <cell r="X9">
            <v>1227.5825049499999</v>
          </cell>
          <cell r="Y9">
            <v>2150.9219383900004</v>
          </cell>
          <cell r="Z9">
            <v>5410.0940428000004</v>
          </cell>
          <cell r="AA9">
            <v>1144.82098271</v>
          </cell>
          <cell r="AB9">
            <v>1897.70093425</v>
          </cell>
          <cell r="AC9">
            <v>1604.9511627299994</v>
          </cell>
          <cell r="AD9">
            <v>2684.4083697700007</v>
          </cell>
          <cell r="AE9">
            <v>7331.8814494600001</v>
          </cell>
          <cell r="AF9">
            <v>1202.59859555</v>
          </cell>
          <cell r="AG9">
            <v>1998.7442060451103</v>
          </cell>
          <cell r="AH9">
            <v>2091.7832663906393</v>
          </cell>
          <cell r="AI9">
            <v>3479.124291433448</v>
          </cell>
          <cell r="AJ9">
            <v>8772.2503594191985</v>
          </cell>
          <cell r="AK9">
            <v>11757.616476326557</v>
          </cell>
          <cell r="AL9">
            <v>15336.965902257129</v>
          </cell>
          <cell r="AM9">
            <v>18738.597086290665</v>
          </cell>
          <cell r="AN9">
            <v>21826.540805533867</v>
          </cell>
          <cell r="AO9">
            <v>24355.844208464579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-193.96834919</v>
          </cell>
          <cell r="G11">
            <v>-294.80013210999999</v>
          </cell>
          <cell r="H11">
            <v>-238.46172968000002</v>
          </cell>
          <cell r="I11">
            <v>-386.54182672000002</v>
          </cell>
          <cell r="J11">
            <v>-511.54759532999998</v>
          </cell>
          <cell r="K11">
            <v>-860.14725585000008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-1273.0549793800001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-2024.4089613800002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-3093.4242461199997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-4535.4348668100001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-5419.7249648427587</v>
          </cell>
          <cell r="AK11">
            <v>-7287.4724710106439</v>
          </cell>
          <cell r="AL11">
            <v>-9577.3530784471859</v>
          </cell>
          <cell r="AM11">
            <v>-11769.816019625105</v>
          </cell>
          <cell r="AN11">
            <v>-13767.477505978757</v>
          </cell>
          <cell r="AO11">
            <v>-15420.149385958188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-60.690659310000001</v>
          </cell>
          <cell r="G12">
            <v>-111.67069236</v>
          </cell>
          <cell r="H12">
            <v>-67.506892350000001</v>
          </cell>
          <cell r="I12">
            <v>-122.12394683000002</v>
          </cell>
          <cell r="J12">
            <v>-183.8439817</v>
          </cell>
          <cell r="K12">
            <v>-317.34103639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-430.71680775999999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-634.87484281000002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-812.8879344500001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-1039.2505271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-1203.0113091183744</v>
          </cell>
          <cell r="AK12">
            <v>-1618.1445399799495</v>
          </cell>
          <cell r="AL12">
            <v>-2081.4466730561035</v>
          </cell>
          <cell r="AM12">
            <v>-2498.7140704052672</v>
          </cell>
          <cell r="AN12">
            <v>-2887.5503986710378</v>
          </cell>
          <cell r="AO12">
            <v>-3210.5830102376549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-254.6590085</v>
          </cell>
          <cell r="G13">
            <v>-406.47082447000003</v>
          </cell>
          <cell r="H13">
            <v>-305.96862203000001</v>
          </cell>
          <cell r="I13">
            <v>-508.66577355000004</v>
          </cell>
          <cell r="J13">
            <v>-695.39157703000001</v>
          </cell>
          <cell r="K13">
            <v>-1177.4882922400002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-1703.77178714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-2659.2838041900004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-3906.3121805699998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-5574.6853939100001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-6622.7362739611326</v>
          </cell>
          <cell r="AK13">
            <v>-8905.6170109905943</v>
          </cell>
          <cell r="AL13">
            <v>-11658.799751503289</v>
          </cell>
          <cell r="AM13">
            <v>-14268.530090030372</v>
          </cell>
          <cell r="AN13">
            <v>-16655.027904649796</v>
          </cell>
          <cell r="AO13">
            <v>-18630.732396195843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>
            <v>0</v>
          </cell>
          <cell r="G14">
            <v>0</v>
          </cell>
          <cell r="H14">
            <v>-23.569912110000001</v>
          </cell>
          <cell r="I14">
            <v>-49.465341459999998</v>
          </cell>
          <cell r="J14">
            <v>-48.284826299999999</v>
          </cell>
          <cell r="K14">
            <v>-96.041646680000014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-150.03978042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-239.41007236000002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-500.09211254000002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-780.45443856999998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-936.10138849353962</v>
          </cell>
          <cell r="AK14">
            <v>-1203.9974929559412</v>
          </cell>
          <cell r="AL14">
            <v>-1538.56097808244</v>
          </cell>
          <cell r="AM14">
            <v>-1841.8122096179914</v>
          </cell>
          <cell r="AN14">
            <v>-2102.1359579465557</v>
          </cell>
          <cell r="AO14">
            <v>-2298.6338537467536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-254.6590085</v>
          </cell>
          <cell r="G16">
            <v>-406.47082447000003</v>
          </cell>
          <cell r="H16">
            <v>-329.53853414000002</v>
          </cell>
          <cell r="I16">
            <v>-558.13111501000003</v>
          </cell>
          <cell r="J16">
            <v>-743.67640332999997</v>
          </cell>
          <cell r="K16">
            <v>-1273.5299389200002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-1853.81156756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-2898.6938765500004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-4406.4042931099993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-6355.1398324800002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-7558.8376624546718</v>
          </cell>
          <cell r="AK16">
            <v>-10109.614503946535</v>
          </cell>
          <cell r="AL16">
            <v>-13197.360729585729</v>
          </cell>
          <cell r="AM16">
            <v>-16110.342299648364</v>
          </cell>
          <cell r="AN16">
            <v>-18757.163862596353</v>
          </cell>
          <cell r="AO16">
            <v>-20929.366249942595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-251.67738598</v>
          </cell>
          <cell r="G17">
            <v>-399.41280887000005</v>
          </cell>
          <cell r="H17">
            <v>-324.49411794000002</v>
          </cell>
          <cell r="I17">
            <v>-549.74296617000005</v>
          </cell>
          <cell r="J17">
            <v>-729.75629880999998</v>
          </cell>
          <cell r="K17">
            <v>-1254.6286273400001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-1827.7402378199999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-2862.3874489100003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-4359.9803231099995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-6275.3805424800003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-7472.2211848411243</v>
          </cell>
          <cell r="AK17">
            <v>-10013.999295414747</v>
          </cell>
          <cell r="AL17">
            <v>-13093.782825065491</v>
          </cell>
          <cell r="AM17">
            <v>-15987.927212346747</v>
          </cell>
          <cell r="AN17">
            <v>-18612.740387659927</v>
          </cell>
          <cell r="AO17">
            <v>-20760.808553487048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41.467204519999996</v>
          </cell>
          <cell r="G18">
            <v>46.12545812999997</v>
          </cell>
          <cell r="H18">
            <v>80.691055769999934</v>
          </cell>
          <cell r="I18">
            <v>82.275424599999951</v>
          </cell>
          <cell r="J18">
            <v>106.18577326000013</v>
          </cell>
          <cell r="K18">
            <v>261.64681782000002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377.46796925999979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668.82702270999971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1050.1137196900008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1056.5009069799999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1300.0291745780742</v>
          </cell>
          <cell r="AK18">
            <v>1743.6171809118096</v>
          </cell>
          <cell r="AL18">
            <v>2243.1830771916375</v>
          </cell>
          <cell r="AM18">
            <v>2750.669873943918</v>
          </cell>
          <cell r="AN18">
            <v>3213.8004178739393</v>
          </cell>
          <cell r="AO18">
            <v>3595.0356549775315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-2.96745489</v>
          </cell>
          <cell r="G19">
            <v>-5.5258387600000001</v>
          </cell>
          <cell r="H19">
            <v>-4.7740983200000002</v>
          </cell>
          <cell r="I19">
            <v>-7.4846077400000004</v>
          </cell>
          <cell r="J19">
            <v>-11.21313629</v>
          </cell>
          <cell r="K19">
            <v>-14.52879933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-21.12473331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-30.712112989999998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-40.77166184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-73.180404730000006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-80.037592343547999</v>
          </cell>
          <cell r="AK19">
            <v>-90.334917514399393</v>
          </cell>
          <cell r="AL19">
            <v>-99.339880586995363</v>
          </cell>
          <cell r="AM19">
            <v>-119.01359923976806</v>
          </cell>
          <cell r="AN19">
            <v>-141.693400444833</v>
          </cell>
          <cell r="AO19">
            <v>-166.36650642515147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-1.4167629999999999E-2</v>
          </cell>
          <cell r="G20">
            <v>-1.53217684</v>
          </cell>
          <cell r="H20">
            <v>-0.27031788000000001</v>
          </cell>
          <cell r="I20">
            <v>-0.90354109999999999</v>
          </cell>
          <cell r="J20">
            <v>-2.7069682300000002</v>
          </cell>
          <cell r="K20">
            <v>-4.3725122499999998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-4.9465964299999996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-5.5943146500000003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-5.6523081600000005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-6.5788852700000007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-6.5788852700000016</v>
          </cell>
          <cell r="AK20">
            <v>-5.2802910173887785</v>
          </cell>
          <cell r="AL20">
            <v>-4.23802393324251</v>
          </cell>
          <cell r="AM20">
            <v>-3.4014880618489762</v>
          </cell>
          <cell r="AN20">
            <v>-2.7300744915918425</v>
          </cell>
          <cell r="AO20">
            <v>-2.1911900303977543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38.485581999999994</v>
          </cell>
          <cell r="G21">
            <v>39.067442529999994</v>
          </cell>
          <cell r="H21">
            <v>75.646639569999934</v>
          </cell>
          <cell r="I21">
            <v>73.887275759999966</v>
          </cell>
          <cell r="J21">
            <v>92.265668740000137</v>
          </cell>
          <cell r="K21">
            <v>242.74550623999994</v>
          </cell>
          <cell r="L21">
            <v>38.224176840000013</v>
          </cell>
          <cell r="M21">
            <v>112.21541937999987</v>
          </cell>
          <cell r="N21">
            <v>90.398018850000085</v>
          </cell>
          <cell r="O21">
            <v>110.55902444999965</v>
          </cell>
          <cell r="P21">
            <v>351.39663951999978</v>
          </cell>
          <cell r="Q21">
            <v>65.673738790000016</v>
          </cell>
          <cell r="R21">
            <v>157.7677586500001</v>
          </cell>
          <cell r="S21">
            <v>143.41935703000001</v>
          </cell>
          <cell r="T21">
            <v>265.65974059999968</v>
          </cell>
          <cell r="U21">
            <v>632.52059506999967</v>
          </cell>
          <cell r="V21">
            <v>128.60321445000011</v>
          </cell>
          <cell r="W21">
            <v>248.36097064000001</v>
          </cell>
          <cell r="X21">
            <v>234.87214383999992</v>
          </cell>
          <cell r="Y21">
            <v>391.85342076000063</v>
          </cell>
          <cell r="Z21">
            <v>1003.689749690001</v>
          </cell>
          <cell r="AA21">
            <v>159.36481980999997</v>
          </cell>
          <cell r="AB21">
            <v>280.06532986999991</v>
          </cell>
          <cell r="AC21">
            <v>140.99021675999973</v>
          </cell>
          <cell r="AD21">
            <v>396.32125054000039</v>
          </cell>
          <cell r="AE21">
            <v>976.74161697999989</v>
          </cell>
          <cell r="AF21">
            <v>77.02807375000009</v>
          </cell>
          <cell r="AG21">
            <v>342.29972717878979</v>
          </cell>
          <cell r="AH21">
            <v>244.6869724122505</v>
          </cell>
          <cell r="AI21">
            <v>549.39792362348487</v>
          </cell>
          <cell r="AJ21">
            <v>1213.4126969645267</v>
          </cell>
          <cell r="AK21">
            <v>1648.0019723800215</v>
          </cell>
          <cell r="AL21">
            <v>2139.6051726713995</v>
          </cell>
          <cell r="AM21">
            <v>2628.254786642301</v>
          </cell>
          <cell r="AN21">
            <v>3069.3769429375134</v>
          </cell>
          <cell r="AO21">
            <v>3426.477958521984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</v>
          </cell>
          <cell r="G22">
            <v>0</v>
          </cell>
          <cell r="H22">
            <v>1.0172099699999999</v>
          </cell>
          <cell r="I22">
            <v>9.4517390999999993</v>
          </cell>
          <cell r="J22">
            <v>8.0131999199999999</v>
          </cell>
          <cell r="K22">
            <v>7.8308601900000001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10.268570009999999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12.342881589999999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20.96270547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21.729263159999999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28.608035521728748</v>
          </cell>
          <cell r="AK22">
            <v>42.481188268151655</v>
          </cell>
          <cell r="AL22">
            <v>37.244833434721244</v>
          </cell>
          <cell r="AM22">
            <v>45.234326942889943</v>
          </cell>
          <cell r="AN22">
            <v>66.038031543978548</v>
          </cell>
          <cell r="AO22">
            <v>95.735283351458818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-1.0538964399999999</v>
          </cell>
          <cell r="G23">
            <v>-1.92176418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-1.0538964399999999</v>
          </cell>
          <cell r="G24">
            <v>-1.92176418</v>
          </cell>
          <cell r="H24">
            <v>1.0172099699999999</v>
          </cell>
          <cell r="I24">
            <v>9.4517390999999993</v>
          </cell>
          <cell r="J24">
            <v>8.0131999199999999</v>
          </cell>
          <cell r="K24">
            <v>7.8308601900000001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10.268570009999999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12.342881589999999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20.96270547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21.729263159999999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28.608035521728748</v>
          </cell>
          <cell r="AK24">
            <v>42.481188268151655</v>
          </cell>
          <cell r="AL24">
            <v>37.244833434721244</v>
          </cell>
          <cell r="AM24">
            <v>45.234326942889943</v>
          </cell>
          <cell r="AN24">
            <v>66.038031543978548</v>
          </cell>
          <cell r="AO24">
            <v>95.735283351458818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11.357147319999999</v>
          </cell>
          <cell r="G27">
            <v>15.320865810000026</v>
          </cell>
          <cell r="H27">
            <v>20.603377070000004</v>
          </cell>
          <cell r="I27">
            <v>27.768862229999996</v>
          </cell>
          <cell r="J27">
            <v>27.571030810000003</v>
          </cell>
          <cell r="K27">
            <v>37.601712190000065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51.684959279999894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109.71905541000028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100.58566915999967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254.37303086999995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231.73814226599885</v>
          </cell>
          <cell r="AK27">
            <v>262.11033624635081</v>
          </cell>
          <cell r="AL27">
            <v>314.67702521161993</v>
          </cell>
          <cell r="AM27">
            <v>666.11302556652595</v>
          </cell>
          <cell r="AN27">
            <v>792.02120044637036</v>
          </cell>
          <cell r="AO27">
            <v>895.1513103624992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48.788832879999994</v>
          </cell>
          <cell r="G28">
            <v>52.466544160000019</v>
          </cell>
          <cell r="H28">
            <v>97.267226609999938</v>
          </cell>
          <cell r="I28">
            <v>111.10787708999996</v>
          </cell>
          <cell r="J28">
            <v>127.84989947000014</v>
          </cell>
          <cell r="K28">
            <v>288.17807862000001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413.35016880999967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754.58253206999996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1125.2381243200007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1252.8439110099998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1473.7588747522543</v>
          </cell>
          <cell r="AK28">
            <v>1952.5934968945239</v>
          </cell>
          <cell r="AL28">
            <v>2491.5270313177407</v>
          </cell>
          <cell r="AM28">
            <v>3339.602139151717</v>
          </cell>
          <cell r="AN28">
            <v>3927.4361749278623</v>
          </cell>
          <cell r="AO28">
            <v>4417.364552235942</v>
          </cell>
        </row>
        <row r="29">
          <cell r="A29" t="str">
            <v>Additional Income Statement Items</v>
          </cell>
          <cell r="B29">
            <v>0</v>
          </cell>
          <cell r="C29">
            <v>0</v>
          </cell>
          <cell r="D29">
            <v>0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-1.0538964399999999</v>
          </cell>
          <cell r="G34">
            <v>-1.92176418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 t="str">
            <v>Balance Sheet</v>
          </cell>
          <cell r="B36">
            <v>0</v>
          </cell>
          <cell r="C36">
            <v>0</v>
          </cell>
          <cell r="D36">
            <v>0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68.113502120000007</v>
          </cell>
          <cell r="G37">
            <v>28.930691679999999</v>
          </cell>
          <cell r="H37">
            <v>88.491495680000014</v>
          </cell>
          <cell r="I37">
            <v>414.45890891000005</v>
          </cell>
          <cell r="J37">
            <v>479.42427218</v>
          </cell>
          <cell r="K37">
            <v>720.23049182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502.55843516000004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909.48308077000002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1818.5888752400001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1320.7315775299999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1819.6933123808662</v>
          </cell>
          <cell r="AK37">
            <v>2061.8301465532522</v>
          </cell>
          <cell r="AL37">
            <v>2504.1191045561332</v>
          </cell>
          <cell r="AM37">
            <v>3655.7877079798159</v>
          </cell>
          <cell r="AN37">
            <v>5299.7926181847297</v>
          </cell>
          <cell r="AO37">
            <v>7488.4445065308482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98.940125439999989</v>
          </cell>
          <cell r="G38">
            <v>152.87501145000002</v>
          </cell>
          <cell r="H38">
            <v>129.39590899999999</v>
          </cell>
          <cell r="I38">
            <v>180.05872102000001</v>
          </cell>
          <cell r="J38">
            <v>293.10562805000001</v>
          </cell>
          <cell r="K38">
            <v>432.66812188000006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746.37481658000002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1088.81452638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2317.2239103000002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3267.3042562200008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3909.1754461017276</v>
          </cell>
          <cell r="AK38">
            <v>5239.5433042542609</v>
          </cell>
          <cell r="AL38">
            <v>6834.6077763759304</v>
          </cell>
          <cell r="AM38">
            <v>8350.47571863542</v>
          </cell>
          <cell r="AN38">
            <v>9726.5552046988796</v>
          </cell>
          <cell r="AO38">
            <v>10853.687964636767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85.66114863</v>
          </cell>
          <cell r="G39">
            <v>68.346451510000009</v>
          </cell>
          <cell r="H39">
            <v>93.540424439999995</v>
          </cell>
          <cell r="I39">
            <v>139.64226181999999</v>
          </cell>
          <cell r="J39">
            <v>233.10417959</v>
          </cell>
          <cell r="K39">
            <v>373.59765845999999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605.10300319000009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711.21568998999999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990.44867003999991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1261.2603588900001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1507.1728411900999</v>
          </cell>
          <cell r="AK39">
            <v>2026.5752709734436</v>
          </cell>
          <cell r="AL39">
            <v>2663.368813724072</v>
          </cell>
          <cell r="AM39">
            <v>3273.0714502406095</v>
          </cell>
          <cell r="AN39">
            <v>3828.6016953461422</v>
          </cell>
          <cell r="AO39">
            <v>4288.1936836963941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4.5689257600000133</v>
          </cell>
          <cell r="G40">
            <v>2.0017741000000058</v>
          </cell>
          <cell r="H40">
            <v>3.3218275100000056</v>
          </cell>
          <cell r="I40">
            <v>3.1112750099999857</v>
          </cell>
          <cell r="J40">
            <v>8.2824491000001217</v>
          </cell>
          <cell r="K40">
            <v>15.721867230000214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12.629440850000151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10.952838629999746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48.388183189999722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913.24114331999954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913.24114332000045</v>
          </cell>
          <cell r="AK40">
            <v>913.24114331999931</v>
          </cell>
          <cell r="AL40">
            <v>913.24114331999817</v>
          </cell>
          <cell r="AM40">
            <v>913.24114331999999</v>
          </cell>
          <cell r="AN40">
            <v>913.24114332000318</v>
          </cell>
          <cell r="AO40">
            <v>913.24114331999772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257.28370195000002</v>
          </cell>
          <cell r="G41">
            <v>252.15392874000003</v>
          </cell>
          <cell r="H41">
            <v>314.74965663</v>
          </cell>
          <cell r="I41">
            <v>737.27116676000003</v>
          </cell>
          <cell r="J41">
            <v>1013.9165289200001</v>
          </cell>
          <cell r="K41">
            <v>1542.2181393900003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1866.6656957800003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2720.4661357699997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5174.6496387699999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6762.5373359600007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8149.2827429926938</v>
          </cell>
          <cell r="AK41">
            <v>10241.189865100956</v>
          </cell>
          <cell r="AL41">
            <v>12915.336837976134</v>
          </cell>
          <cell r="AM41">
            <v>16192.576020175846</v>
          </cell>
          <cell r="AN41">
            <v>19768.190661549754</v>
          </cell>
          <cell r="AO41">
            <v>23543.567298184007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45.910122579999999</v>
          </cell>
          <cell r="G42">
            <v>41.774762289999998</v>
          </cell>
          <cell r="H42">
            <v>55.846649040000003</v>
          </cell>
          <cell r="I42">
            <v>88.987970689999997</v>
          </cell>
          <cell r="J42">
            <v>94.816618269999992</v>
          </cell>
          <cell r="K42">
            <v>129.65052043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268.16252716999998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422.24981788000002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567.81401462999997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697.28359734000003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960.45110812257599</v>
          </cell>
          <cell r="AK42">
            <v>1254.3915200307399</v>
          </cell>
          <cell r="AL42">
            <v>1561.1308380758824</v>
          </cell>
          <cell r="AM42">
            <v>1935.9027798016955</v>
          </cell>
          <cell r="AN42">
            <v>2372.4335959123728</v>
          </cell>
          <cell r="AO42">
            <v>2859.5504800816643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-80.037592343547999</v>
          </cell>
          <cell r="AK43">
            <v>-170.37250985794739</v>
          </cell>
          <cell r="AL43">
            <v>-269.71239044494274</v>
          </cell>
          <cell r="AM43">
            <v>-388.72598968471078</v>
          </cell>
          <cell r="AN43">
            <v>-530.41939012954379</v>
          </cell>
          <cell r="AO43">
            <v>-696.78589655469523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45.910122579999999</v>
          </cell>
          <cell r="G44">
            <v>41.774762289999998</v>
          </cell>
          <cell r="H44">
            <v>55.846649040000003</v>
          </cell>
          <cell r="I44">
            <v>88.987970689999997</v>
          </cell>
          <cell r="J44">
            <v>94.816618269999992</v>
          </cell>
          <cell r="K44">
            <v>129.65052043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268.16252716999998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422.24981788000002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567.81401462999997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697.28359734000003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880.41351577902799</v>
          </cell>
          <cell r="AK44">
            <v>1084.0190101727926</v>
          </cell>
          <cell r="AL44">
            <v>1291.4184476309397</v>
          </cell>
          <cell r="AM44">
            <v>1547.1767901169846</v>
          </cell>
          <cell r="AN44">
            <v>1842.0142057828289</v>
          </cell>
          <cell r="AO44">
            <v>2162.7645835269691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3.8650135800000003</v>
          </cell>
          <cell r="G45">
            <v>3.8476229200000001</v>
          </cell>
          <cell r="H45">
            <v>7.3914292100000001</v>
          </cell>
          <cell r="I45">
            <v>36.59588411</v>
          </cell>
          <cell r="J45">
            <v>38.07020438</v>
          </cell>
          <cell r="K45">
            <v>34.139008359999998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35.171642670000004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38.116020820000003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33.724863360000001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33.32968039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33.32968039</v>
          </cell>
          <cell r="AK45">
            <v>33.32968039</v>
          </cell>
          <cell r="AL45">
            <v>33.32968039</v>
          </cell>
          <cell r="AM45">
            <v>33.32968039</v>
          </cell>
          <cell r="AN45">
            <v>33.32968039</v>
          </cell>
          <cell r="AO45">
            <v>33.32968039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-6.5788852700000016</v>
          </cell>
          <cell r="AK46">
            <v>-11.859176287388781</v>
          </cell>
          <cell r="AL46">
            <v>-16.09720022063129</v>
          </cell>
          <cell r="AM46">
            <v>-19.498688282480266</v>
          </cell>
          <cell r="AN46">
            <v>-22.228762774072109</v>
          </cell>
          <cell r="AO46">
            <v>-24.419952804469865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3.8650135800000003</v>
          </cell>
          <cell r="G47">
            <v>3.8476229200000001</v>
          </cell>
          <cell r="H47">
            <v>7.3914292100000001</v>
          </cell>
          <cell r="I47">
            <v>36.59588411</v>
          </cell>
          <cell r="J47">
            <v>38.07020438</v>
          </cell>
          <cell r="K47">
            <v>34.139008359999998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35.171642670000004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38.116020820000003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33.724863360000001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33.32968039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26.750795119999999</v>
          </cell>
          <cell r="AK47">
            <v>21.470504102611219</v>
          </cell>
          <cell r="AL47">
            <v>17.23248016936871</v>
          </cell>
          <cell r="AM47">
            <v>13.830992107519734</v>
          </cell>
          <cell r="AN47">
            <v>11.100917615927891</v>
          </cell>
          <cell r="AO47">
            <v>8.9097275855301348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0</v>
          </cell>
          <cell r="G49">
            <v>0.3</v>
          </cell>
          <cell r="H49">
            <v>0</v>
          </cell>
          <cell r="I49">
            <v>0</v>
          </cell>
          <cell r="J49">
            <v>10</v>
          </cell>
          <cell r="K49">
            <v>65.72346435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89.374435229999989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198.99504565999999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160.07167532999998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410.69054714000004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410.69054714000004</v>
          </cell>
          <cell r="AK49">
            <v>410.69054714000004</v>
          </cell>
          <cell r="AL49">
            <v>410.69054714000004</v>
          </cell>
          <cell r="AM49">
            <v>410.69054714000004</v>
          </cell>
          <cell r="AN49">
            <v>410.69054714000004</v>
          </cell>
          <cell r="AO49">
            <v>410.69054714000004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0.30829299999999998</v>
          </cell>
          <cell r="G50">
            <v>0.89054100000000225</v>
          </cell>
          <cell r="H50">
            <v>1.2914838300000024</v>
          </cell>
          <cell r="I50">
            <v>1.9380030999999889</v>
          </cell>
          <cell r="J50">
            <v>3.3549264099999689</v>
          </cell>
          <cell r="K50">
            <v>5.8560677199999986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9.7186348699999598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17.604108540000169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91.257672250000553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86.125060400000052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86.125060400001416</v>
          </cell>
          <cell r="AK50">
            <v>86.125060400001189</v>
          </cell>
          <cell r="AL50">
            <v>86.125060400000393</v>
          </cell>
          <cell r="AM50">
            <v>86.125060399999711</v>
          </cell>
          <cell r="AN50">
            <v>86.125060400001871</v>
          </cell>
          <cell r="AO50">
            <v>86.125060400000621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307.36713147</v>
          </cell>
          <cell r="G51">
            <v>298.96685495000003</v>
          </cell>
          <cell r="H51">
            <v>379.27921871000001</v>
          </cell>
          <cell r="I51">
            <v>864.79302466000001</v>
          </cell>
          <cell r="J51">
            <v>1160.1582779800001</v>
          </cell>
          <cell r="K51">
            <v>1777.5872002500003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2269.0929357200002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3397.4311286699999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6027.5178643400004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7989.9662212300009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9553.2626614317232</v>
          </cell>
          <cell r="AK51">
            <v>11843.494986916361</v>
          </cell>
          <cell r="AL51">
            <v>14720.803373316443</v>
          </cell>
          <cell r="AM51">
            <v>18250.39940994035</v>
          </cell>
          <cell r="AN51">
            <v>22118.121392488512</v>
          </cell>
          <cell r="AO51">
            <v>26212.057216836507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128.80417589000001</v>
          </cell>
          <cell r="G52">
            <v>110.13432182000001</v>
          </cell>
          <cell r="H52">
            <v>114.07208964</v>
          </cell>
          <cell r="I52">
            <v>116.11292236999999</v>
          </cell>
          <cell r="J52">
            <v>227.12790128000003</v>
          </cell>
          <cell r="K52">
            <v>357.47912173999998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613.17156598000008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792.10615414999995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1387.54044935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1779.57556077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2126.5458278563929</v>
          </cell>
          <cell r="AK52">
            <v>2859.3967921572598</v>
          </cell>
          <cell r="AL52">
            <v>3757.880771256137</v>
          </cell>
          <cell r="AM52">
            <v>4618.1408306753929</v>
          </cell>
          <cell r="AN52">
            <v>5401.9663433779569</v>
          </cell>
          <cell r="AO52">
            <v>6050.4277531328717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30</v>
          </cell>
          <cell r="G53">
            <v>25</v>
          </cell>
          <cell r="H53">
            <v>12.304600000000001</v>
          </cell>
          <cell r="I53">
            <v>0</v>
          </cell>
          <cell r="J53">
            <v>65.028175810000008</v>
          </cell>
          <cell r="K53">
            <v>147.17670267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37.805399999999999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216.00910024000001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42.6783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197.15577794000001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197.15577794000001</v>
          </cell>
          <cell r="AK53">
            <v>197.15577794000001</v>
          </cell>
          <cell r="AL53">
            <v>197.15577794000001</v>
          </cell>
          <cell r="AM53">
            <v>197.15577794000001</v>
          </cell>
          <cell r="AN53">
            <v>197.15577794000001</v>
          </cell>
          <cell r="AO53">
            <v>197.15577794000001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1.9173625599999866</v>
          </cell>
          <cell r="G54">
            <v>20.278332670000012</v>
          </cell>
          <cell r="H54">
            <v>23.110844930000006</v>
          </cell>
          <cell r="I54">
            <v>22.460224999999994</v>
          </cell>
          <cell r="J54">
            <v>39.724771020000006</v>
          </cell>
          <cell r="K54">
            <v>91.256840210000007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96.947015479999976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228.66978230000001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398.15027104999996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406.20795062000002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489.13366164129911</v>
          </cell>
          <cell r="AK54">
            <v>552.73079650476075</v>
          </cell>
          <cell r="AL54">
            <v>625.48682365189461</v>
          </cell>
          <cell r="AM54">
            <v>739.97696320948216</v>
          </cell>
          <cell r="AN54">
            <v>819.33455803926154</v>
          </cell>
          <cell r="AO54">
            <v>885.47488897585208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160.72153845</v>
          </cell>
          <cell r="G55">
            <v>155.41265449000002</v>
          </cell>
          <cell r="H55">
            <v>149.48753457000001</v>
          </cell>
          <cell r="I55">
            <v>138.57314736999999</v>
          </cell>
          <cell r="J55">
            <v>331.88084811000004</v>
          </cell>
          <cell r="K55">
            <v>595.91266461999999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747.92398146000005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1236.78503669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1828.3690204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2382.9392893300001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2812.835267437692</v>
          </cell>
          <cell r="AK55">
            <v>3609.2833666020206</v>
          </cell>
          <cell r="AL55">
            <v>4580.5233728480316</v>
          </cell>
          <cell r="AM55">
            <v>5555.273571824875</v>
          </cell>
          <cell r="AN55">
            <v>6418.4566793572185</v>
          </cell>
          <cell r="AO55">
            <v>7133.0584200487237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0</v>
          </cell>
          <cell r="G57">
            <v>0</v>
          </cell>
          <cell r="H57">
            <v>0.53934362999999996</v>
          </cell>
          <cell r="I57">
            <v>0</v>
          </cell>
          <cell r="J57">
            <v>0</v>
          </cell>
          <cell r="K57">
            <v>7.3267273900000003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6.2927089299999999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12.993031479999999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25.269367709999997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395.98862907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395.98862907</v>
          </cell>
          <cell r="AK57">
            <v>395.98862907</v>
          </cell>
          <cell r="AL57">
            <v>395.98862907</v>
          </cell>
          <cell r="AM57">
            <v>395.98862907</v>
          </cell>
          <cell r="AN57">
            <v>395.98862907</v>
          </cell>
          <cell r="AO57">
            <v>395.98862907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0</v>
          </cell>
          <cell r="G58">
            <v>0</v>
          </cell>
          <cell r="H58">
            <v>0.53934362999999996</v>
          </cell>
          <cell r="I58">
            <v>0</v>
          </cell>
          <cell r="J58">
            <v>0</v>
          </cell>
          <cell r="K58">
            <v>7.3267273900000003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6.2927089299999999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12.993031479999999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25.269367709999997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395.98862907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395.98862907</v>
          </cell>
          <cell r="AK58">
            <v>395.98862907</v>
          </cell>
          <cell r="AL58">
            <v>395.98862907</v>
          </cell>
          <cell r="AM58">
            <v>395.98862907</v>
          </cell>
          <cell r="AN58">
            <v>395.98862907</v>
          </cell>
          <cell r="AO58">
            <v>395.98862907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160.72153845</v>
          </cell>
          <cell r="G59">
            <v>155.41265449000002</v>
          </cell>
          <cell r="H59">
            <v>150.0268782</v>
          </cell>
          <cell r="I59">
            <v>138.57314736999999</v>
          </cell>
          <cell r="J59">
            <v>331.88084811000004</v>
          </cell>
          <cell r="K59">
            <v>603.23939200999996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754.21669039000005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1249.7780681699999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1853.6383881100001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2778.9279184000002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3208.8238965076921</v>
          </cell>
          <cell r="AK59">
            <v>4005.2719956720207</v>
          </cell>
          <cell r="AL59">
            <v>4976.5120019180313</v>
          </cell>
          <cell r="AM59">
            <v>5951.2622008948747</v>
          </cell>
          <cell r="AN59">
            <v>6814.4453084272182</v>
          </cell>
          <cell r="AO59">
            <v>7529.0470491187234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135.58822713000001</v>
          </cell>
          <cell r="G61">
            <v>143.31673927</v>
          </cell>
          <cell r="H61">
            <v>229.06426305000002</v>
          </cell>
          <cell r="I61">
            <v>726.12039951999998</v>
          </cell>
          <cell r="J61">
            <v>828.27742987000011</v>
          </cell>
          <cell r="K61">
            <v>1173.11078241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1505.86149389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2142.1422199499998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4168.5880685100001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5202.6608513199999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6335.7266387740292</v>
          </cell>
          <cell r="AK61">
            <v>7829.17619045434</v>
          </cell>
          <cell r="AL61">
            <v>9734.9098959684106</v>
          </cell>
          <cell r="AM61">
            <v>12289.421058975473</v>
          </cell>
          <cell r="AN61">
            <v>15293.625259351291</v>
          </cell>
          <cell r="AO61">
            <v>18672.624668367789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11.05736589</v>
          </cell>
          <cell r="G62">
            <v>0.23746118999999999</v>
          </cell>
          <cell r="H62">
            <v>0.18807746</v>
          </cell>
          <cell r="I62">
            <v>9.9477770000000007E-2</v>
          </cell>
          <cell r="J62">
            <v>0</v>
          </cell>
          <cell r="K62">
            <v>1.2370258300000001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9.0147514399999995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5.5108405500000002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5.2914077199999996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8.3774515100000002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8.7121261499999996</v>
          </cell>
          <cell r="AK62">
            <v>9.0468007899999989</v>
          </cell>
          <cell r="AL62">
            <v>9.3814754299999983</v>
          </cell>
          <cell r="AM62">
            <v>9.7161500699999976</v>
          </cell>
          <cell r="AN62">
            <v>10.050824709999997</v>
          </cell>
          <cell r="AO62">
            <v>10.385499349999996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146.64559302000001</v>
          </cell>
          <cell r="G63">
            <v>143.55420046</v>
          </cell>
          <cell r="H63">
            <v>229.25234051000001</v>
          </cell>
          <cell r="I63">
            <v>726.21987729</v>
          </cell>
          <cell r="J63">
            <v>828.27742987000011</v>
          </cell>
          <cell r="K63">
            <v>1174.3478082399999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1514.8762453300001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2147.6530604999998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4173.8794762300004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5211.0383028300002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6344.4387649240289</v>
          </cell>
          <cell r="AK63">
            <v>7838.2229912443399</v>
          </cell>
          <cell r="AL63">
            <v>9744.2913713984108</v>
          </cell>
          <cell r="AM63">
            <v>12299.137209045473</v>
          </cell>
          <cell r="AN63">
            <v>15303.676084061291</v>
          </cell>
          <cell r="AO63">
            <v>18683.010167717788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307.36713147</v>
          </cell>
          <cell r="G64">
            <v>298.96685495000003</v>
          </cell>
          <cell r="H64">
            <v>379.27921871000001</v>
          </cell>
          <cell r="I64">
            <v>864.79302466000001</v>
          </cell>
          <cell r="J64">
            <v>1160.1582779800001</v>
          </cell>
          <cell r="K64">
            <v>1777.58720025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2269.0929357200002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3397.4311286699995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6027.5178643400004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7989.9662212300009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9553.2626614317214</v>
          </cell>
          <cell r="AK64">
            <v>11843.494986916361</v>
          </cell>
          <cell r="AL64">
            <v>14720.803373316441</v>
          </cell>
          <cell r="AM64">
            <v>18250.39940994035</v>
          </cell>
          <cell r="AN64">
            <v>22118.121392488509</v>
          </cell>
          <cell r="AO64">
            <v>26212.057216836511</v>
          </cell>
        </row>
        <row r="65">
          <cell r="A65" t="str">
            <v>Additional Balance Sheet Items</v>
          </cell>
          <cell r="B65">
            <v>0</v>
          </cell>
          <cell r="C65">
            <v>0</v>
          </cell>
          <cell r="D65">
            <v>0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-38.113502120000007</v>
          </cell>
          <cell r="G66">
            <v>-3.9306916799999989</v>
          </cell>
          <cell r="H66">
            <v>-76.186895680000021</v>
          </cell>
          <cell r="I66">
            <v>-414.45890891000005</v>
          </cell>
          <cell r="J66">
            <v>-414.39609637000001</v>
          </cell>
          <cell r="K66">
            <v>-573.05378915000006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-464.75303516000002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-693.47398053000006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-1775.9105752400001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-1123.5757995899999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-1622.5375344408662</v>
          </cell>
          <cell r="AK66">
            <v>-1864.6743686132522</v>
          </cell>
          <cell r="AL66">
            <v>-2306.9633266161331</v>
          </cell>
          <cell r="AM66">
            <v>-3458.6319300398159</v>
          </cell>
          <cell r="AN66">
            <v>-5102.6368402447297</v>
          </cell>
          <cell r="AO66">
            <v>-7291.2887285908482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</row>
        <row r="71">
          <cell r="B71" t="str">
            <v>Company borrowing margin</v>
          </cell>
          <cell r="C71" t="str">
            <v>CO_BOR_MARGIN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-3.8650135800000003</v>
          </cell>
          <cell r="G75">
            <v>-3.8476229200000001</v>
          </cell>
          <cell r="H75">
            <v>-7.3914292100000001</v>
          </cell>
          <cell r="I75">
            <v>-36.59588411</v>
          </cell>
          <cell r="J75">
            <v>-38.07020438</v>
          </cell>
          <cell r="K75">
            <v>-34.139008359999998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-35.171642670000004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-38.116020820000003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-33.724863360000001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-33.32968039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-26.750795119999999</v>
          </cell>
          <cell r="AK75">
            <v>-21.470504102611219</v>
          </cell>
          <cell r="AL75">
            <v>-17.23248016936871</v>
          </cell>
          <cell r="AM75">
            <v>-13.830992107519734</v>
          </cell>
          <cell r="AN75">
            <v>-11.100917615927891</v>
          </cell>
          <cell r="AO75">
            <v>-8.9097275855301348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1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1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1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1</v>
          </cell>
          <cell r="AK77">
            <v>1</v>
          </cell>
          <cell r="AL77">
            <v>1</v>
          </cell>
          <cell r="AM77">
            <v>1</v>
          </cell>
          <cell r="AN77">
            <v>1</v>
          </cell>
          <cell r="AO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11.05736589</v>
          </cell>
          <cell r="G78">
            <v>0.23746118999999999</v>
          </cell>
          <cell r="H78">
            <v>0.18807746</v>
          </cell>
          <cell r="I78">
            <v>9.9477770000000007E-2</v>
          </cell>
          <cell r="J78">
            <v>0</v>
          </cell>
          <cell r="K78">
            <v>1.2370258300000001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9.0147514399999995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5.5108405500000002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5.2914077199999996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8.3774515100000002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8.7121261499999996</v>
          </cell>
          <cell r="AK78">
            <v>9.0468007899999989</v>
          </cell>
          <cell r="AL78">
            <v>9.3814754299999983</v>
          </cell>
          <cell r="AM78">
            <v>9.7161500699999976</v>
          </cell>
          <cell r="AN78">
            <v>10.050824709999997</v>
          </cell>
          <cell r="AO78">
            <v>10.385499349999996</v>
          </cell>
        </row>
        <row r="79">
          <cell r="A79" t="str">
            <v>Cash Flow Statement</v>
          </cell>
          <cell r="B79">
            <v>0</v>
          </cell>
          <cell r="C79">
            <v>0</v>
          </cell>
          <cell r="D79">
            <v>0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3.8485741899999999</v>
          </cell>
          <cell r="G80">
            <v>1.0227108199999999</v>
          </cell>
          <cell r="H80">
            <v>2.555501E-2</v>
          </cell>
          <cell r="I80">
            <v>-8.8599690000000009E-2</v>
          </cell>
          <cell r="J80">
            <v>-7.7453100000000011E-2</v>
          </cell>
          <cell r="K80">
            <v>-0.66297417000000003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-2.4222743900000001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-3.5039108900000002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-0.78318718000000009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1.58604379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0.33467464000000002</v>
          </cell>
          <cell r="AK80">
            <v>0.33467464000000002</v>
          </cell>
          <cell r="AL80">
            <v>0.33467464000000002</v>
          </cell>
          <cell r="AM80">
            <v>0.33467464000000002</v>
          </cell>
          <cell r="AN80">
            <v>0.33467464000000002</v>
          </cell>
          <cell r="AO80">
            <v>0.33467464000000002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2.9816225200000002</v>
          </cell>
          <cell r="G81">
            <v>7.0580156000000001</v>
          </cell>
          <cell r="H81">
            <v>5.0444162000000006</v>
          </cell>
          <cell r="I81">
            <v>8.3881488399999995</v>
          </cell>
          <cell r="J81">
            <v>13.920104519999999</v>
          </cell>
          <cell r="K81">
            <v>18.901311579999998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26.071329739999999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36.306427639999995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46.423969999999997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79.759290000000007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86.616477613548</v>
          </cell>
          <cell r="AK81">
            <v>95.61520853178817</v>
          </cell>
          <cell r="AL81">
            <v>103.57790452023788</v>
          </cell>
          <cell r="AM81">
            <v>122.41508730161704</v>
          </cell>
          <cell r="AN81">
            <v>144.42347493642484</v>
          </cell>
          <cell r="AO81">
            <v>168.55769645554923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-29.431153869999989</v>
          </cell>
          <cell r="G82">
            <v>-91.513801360000002</v>
          </cell>
          <cell r="H82">
            <v>2.2228973400000314</v>
          </cell>
          <cell r="I82">
            <v>-94.723816670000019</v>
          </cell>
          <cell r="J82">
            <v>-95.493845889999974</v>
          </cell>
          <cell r="K82">
            <v>-149.70475224000009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-289.5195951899999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-269.61780842999997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-912.20806877000007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-828.8569233500009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-540.81340509543384</v>
          </cell>
          <cell r="AK82">
            <v>-1116.91932363501</v>
          </cell>
          <cell r="AL82">
            <v>-1333.3740357734205</v>
          </cell>
          <cell r="AM82">
            <v>-1265.3105193567712</v>
          </cell>
          <cell r="AN82">
            <v>-1147.7842184664282</v>
          </cell>
          <cell r="AO82">
            <v>-938.26333853322467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4.3066186999999942</v>
          </cell>
          <cell r="G83">
            <v>6.4846386099999762</v>
          </cell>
          <cell r="H83">
            <v>-25.242407589999967</v>
          </cell>
          <cell r="I83">
            <v>-15.035874629999938</v>
          </cell>
          <cell r="J83">
            <v>10.865996279999834</v>
          </cell>
          <cell r="K83">
            <v>-5.2638098599998955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-37.893349629999761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18.573242850000042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92.120591149999541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-412.24781650999876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23.61727926</v>
          </cell>
          <cell r="G84">
            <v>-29.22066019</v>
          </cell>
          <cell r="H84">
            <v>67.798720739999993</v>
          </cell>
          <cell r="I84">
            <v>2.6667184800000001</v>
          </cell>
          <cell r="J84">
            <v>46.401832159999998</v>
          </cell>
          <cell r="K84">
            <v>123.56436126999999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74.219234049999997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481.91309622000006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356.47522070999997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-17.080921460000003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879.15632063344242</v>
          </cell>
          <cell r="AK84">
            <v>736.03003210184943</v>
          </cell>
          <cell r="AL84">
            <v>1012.5781969327841</v>
          </cell>
          <cell r="AM84">
            <v>1862.7464931813906</v>
          </cell>
          <cell r="AN84">
            <v>2531.331813905073</v>
          </cell>
          <cell r="AO84">
            <v>3205.9224549346718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-28.426742109999999</v>
          </cell>
          <cell r="G85">
            <v>-13.557954130000001</v>
          </cell>
          <cell r="H85">
            <v>-20.7456095</v>
          </cell>
          <cell r="I85">
            <v>-36.231357960000004</v>
          </cell>
          <cell r="J85">
            <v>-22.038243179999998</v>
          </cell>
          <cell r="K85">
            <v>-29.366658870000002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-107.84694093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-181.12520230000001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-165.55939694999998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-127.31581543999999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-263.16751078257596</v>
          </cell>
          <cell r="AK85">
            <v>-293.94041190816392</v>
          </cell>
          <cell r="AL85">
            <v>-306.73931804514251</v>
          </cell>
          <cell r="AM85">
            <v>-374.77194172581324</v>
          </cell>
          <cell r="AN85">
            <v>-436.53081611067728</v>
          </cell>
          <cell r="AO85">
            <v>-487.1168841692915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0.69875782999999991</v>
          </cell>
          <cell r="G87">
            <v>1.6467703899999999</v>
          </cell>
          <cell r="H87">
            <v>0.67352224999999999</v>
          </cell>
          <cell r="I87">
            <v>0.19431406000000001</v>
          </cell>
          <cell r="J87">
            <v>0.52437992</v>
          </cell>
          <cell r="K87">
            <v>0.77531474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1.1979161399999998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0.74860400999999999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1.3380542600000001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1.0420193600000001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-1.7763568394002505E-15</v>
          </cell>
          <cell r="G88">
            <v>-8.83640735</v>
          </cell>
          <cell r="H88">
            <v>33.653507240000003</v>
          </cell>
          <cell r="I88">
            <v>-25.012572889999998</v>
          </cell>
          <cell r="J88">
            <v>-9.9494530000000001</v>
          </cell>
          <cell r="K88">
            <v>-0.39999999999999969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-13.599999999999991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-8.5986876299999917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11.283852560000021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-737.7894437299999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-27.727984280000001</v>
          </cell>
          <cell r="G89">
            <v>-20.74759109</v>
          </cell>
          <cell r="H89">
            <v>13.581419990000004</v>
          </cell>
          <cell r="I89">
            <v>-61.049616790000002</v>
          </cell>
          <cell r="J89">
            <v>-31.463316259999999</v>
          </cell>
          <cell r="K89">
            <v>-28.991344130000002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-120.24902478999999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-188.97528592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-152.93749012999996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-864.06323980999991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-263.16751078257596</v>
          </cell>
          <cell r="AK89">
            <v>-293.94041190816392</v>
          </cell>
          <cell r="AL89">
            <v>-306.73931804514251</v>
          </cell>
          <cell r="AM89">
            <v>-374.77194172581324</v>
          </cell>
          <cell r="AN89">
            <v>-436.53081611067728</v>
          </cell>
          <cell r="AO89">
            <v>-487.1168841692915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-40.08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-69.755099999999999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-69.770099999999999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-89.299724800000007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-113.68475431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-117.027075</v>
          </cell>
          <cell r="AK90">
            <v>-199.95278602129932</v>
          </cell>
          <cell r="AL90">
            <v>-263.5499208847607</v>
          </cell>
          <cell r="AM90">
            <v>-336.3059480318949</v>
          </cell>
          <cell r="AN90">
            <v>-450.79608758948171</v>
          </cell>
          <cell r="AO90">
            <v>-530.15368241926149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26.2</v>
          </cell>
          <cell r="G91">
            <v>0.25</v>
          </cell>
          <cell r="H91">
            <v>0.17499999999999999</v>
          </cell>
          <cell r="I91">
            <v>389.55296600000003</v>
          </cell>
          <cell r="J91">
            <v>0</v>
          </cell>
          <cell r="K91">
            <v>101.220144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5.3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985.33866266999996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494.38944486000003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30</v>
          </cell>
          <cell r="G92">
            <v>45</v>
          </cell>
          <cell r="H92">
            <v>-12.400499999999994</v>
          </cell>
          <cell r="I92">
            <v>-11.836500000000001</v>
          </cell>
          <cell r="J92">
            <v>65.089025039999996</v>
          </cell>
          <cell r="K92">
            <v>85.751685879999997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-104.06018207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179.07937575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-169.50893543999999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-42.738852420000057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-0.97295484999999715</v>
          </cell>
          <cell r="G93">
            <v>-34.464559159999993</v>
          </cell>
          <cell r="H93">
            <v>-9.5938367299999996</v>
          </cell>
          <cell r="I93">
            <v>-5.2069975800000066</v>
          </cell>
          <cell r="J93">
            <v>-65.942815890000006</v>
          </cell>
          <cell r="K93">
            <v>-104.89164009000001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107.52679323999999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-184.40692411000003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167.25558283000001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37.689961100000005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55.227045150000002</v>
          </cell>
          <cell r="G94">
            <v>10.785440840000007</v>
          </cell>
          <cell r="H94">
            <v>-21.819336729999993</v>
          </cell>
          <cell r="I94">
            <v>372.50946842000002</v>
          </cell>
          <cell r="J94">
            <v>-0.8537908500000071</v>
          </cell>
          <cell r="K94">
            <v>42.00018979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-60.988488830000001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-75.097648360000022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893.78558525999995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375.65579922999996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-117.027075</v>
          </cell>
          <cell r="AK94">
            <v>-199.95278602129932</v>
          </cell>
          <cell r="AL94">
            <v>-263.5499208847607</v>
          </cell>
          <cell r="AM94">
            <v>-336.3059480318949</v>
          </cell>
          <cell r="AN94">
            <v>-450.79608758948171</v>
          </cell>
          <cell r="AO94">
            <v>-530.15368241926149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51.116340129999998</v>
          </cell>
          <cell r="G95">
            <v>-39.182810439999997</v>
          </cell>
          <cell r="H95">
            <v>59.560804000000005</v>
          </cell>
          <cell r="I95">
            <v>314.12657010999999</v>
          </cell>
          <cell r="J95">
            <v>14.084725049999992</v>
          </cell>
          <cell r="K95">
            <v>136.57320693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-107.01827957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217.84016194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1097.3233158399999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-505.48836203999997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498.96173485086649</v>
          </cell>
          <cell r="AK95">
            <v>242.13683417238619</v>
          </cell>
          <cell r="AL95">
            <v>442.28895800288092</v>
          </cell>
          <cell r="AM95">
            <v>1151.6686034236827</v>
          </cell>
          <cell r="AN95">
            <v>1644.004910204914</v>
          </cell>
          <cell r="AO95">
            <v>2188.6518883461185</v>
          </cell>
        </row>
        <row r="96">
          <cell r="A96" t="str">
            <v>Additional Cash Flow Items</v>
          </cell>
          <cell r="B96">
            <v>0</v>
          </cell>
          <cell r="C96">
            <v>0</v>
          </cell>
          <cell r="D96">
            <v>0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</row>
        <row r="108">
          <cell r="A108" t="str">
            <v>Other Items</v>
          </cell>
          <cell r="B108">
            <v>0</v>
          </cell>
          <cell r="C108">
            <v>0</v>
          </cell>
          <cell r="D108">
            <v>0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0.08</v>
          </cell>
          <cell r="I109">
            <v>0.1125</v>
          </cell>
          <cell r="J109">
            <v>0.1245</v>
          </cell>
          <cell r="K109">
            <v>0.215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0.40749999999999997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0.57050000000000001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0.68899999999999995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0.84299999999999997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0.89358000000000004</v>
          </cell>
          <cell r="AK109">
            <v>0.93825900000000018</v>
          </cell>
          <cell r="AL109">
            <v>0.98517195000000013</v>
          </cell>
          <cell r="AM109">
            <v>1.0344305475000002</v>
          </cell>
          <cell r="AN109">
            <v>1.0861520748750002</v>
          </cell>
          <cell r="AO109">
            <v>1.1404596786187502</v>
          </cell>
        </row>
        <row r="110">
          <cell r="A110" t="str">
            <v>Geographical Breakdown</v>
          </cell>
          <cell r="B110">
            <v>0</v>
          </cell>
          <cell r="C110">
            <v>0</v>
          </cell>
          <cell r="D110">
            <v>0</v>
          </cell>
        </row>
        <row r="111">
          <cell r="B111" t="str">
            <v>Sales - Total %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</row>
        <row r="113">
          <cell r="A113">
            <v>0</v>
          </cell>
          <cell r="B113" t="str">
            <v>Sales - % Canada</v>
          </cell>
          <cell r="C113" t="str">
            <v>SALES_CANADA</v>
          </cell>
          <cell r="D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</row>
        <row r="114">
          <cell r="B114" t="str">
            <v>Sales - % Brazil</v>
          </cell>
          <cell r="C114" t="str">
            <v>SALES_BRAZIL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</row>
        <row r="116">
          <cell r="B116" t="str">
            <v>Sales - Total % EMEA</v>
          </cell>
          <cell r="C116" t="str">
            <v>SALES_TOT_EMEA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</row>
        <row r="117">
          <cell r="B117" t="str">
            <v>Sales - % UK</v>
          </cell>
          <cell r="C117" t="str">
            <v>SALES_UK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</row>
        <row r="119">
          <cell r="A119">
            <v>0</v>
          </cell>
          <cell r="B119" t="str">
            <v>Sales - % Austria</v>
          </cell>
          <cell r="C119" t="str">
            <v>SALES_AUSTRIA</v>
          </cell>
          <cell r="D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</row>
        <row r="120">
          <cell r="A120">
            <v>0</v>
          </cell>
          <cell r="B120" t="str">
            <v>Sales - % Belgium</v>
          </cell>
          <cell r="C120" t="str">
            <v>SALES_BEL</v>
          </cell>
          <cell r="D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</row>
        <row r="121">
          <cell r="A121">
            <v>0</v>
          </cell>
          <cell r="B121" t="str">
            <v>Sales - % Denmark</v>
          </cell>
          <cell r="C121" t="str">
            <v>SALES_DEN</v>
          </cell>
          <cell r="D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</row>
        <row r="122">
          <cell r="A122">
            <v>0</v>
          </cell>
          <cell r="B122" t="str">
            <v>Sales - % Finland</v>
          </cell>
          <cell r="C122" t="str">
            <v>SALES_FIN</v>
          </cell>
          <cell r="D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</row>
        <row r="123">
          <cell r="A123">
            <v>0</v>
          </cell>
          <cell r="B123" t="str">
            <v>Sales - % France</v>
          </cell>
          <cell r="C123" t="str">
            <v>SALES_FRA</v>
          </cell>
          <cell r="D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</row>
        <row r="124">
          <cell r="A124">
            <v>0</v>
          </cell>
          <cell r="B124" t="str">
            <v>Sales - % Germany</v>
          </cell>
          <cell r="C124" t="str">
            <v>SALES_GER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</row>
        <row r="125">
          <cell r="A125">
            <v>0</v>
          </cell>
          <cell r="B125" t="str">
            <v>Sales - % Greece</v>
          </cell>
          <cell r="C125" t="str">
            <v>SALES_GRE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</row>
        <row r="126">
          <cell r="A126">
            <v>0</v>
          </cell>
          <cell r="B126" t="str">
            <v>Sales - % Iceland</v>
          </cell>
          <cell r="C126" t="str">
            <v>SALES_ICE</v>
          </cell>
          <cell r="D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</row>
        <row r="127">
          <cell r="A127">
            <v>0</v>
          </cell>
          <cell r="B127" t="str">
            <v>Sales - % Ireland</v>
          </cell>
          <cell r="C127" t="str">
            <v>SALES_IRE</v>
          </cell>
          <cell r="D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</row>
        <row r="128">
          <cell r="A128">
            <v>0</v>
          </cell>
          <cell r="B128" t="str">
            <v>Sales - % Italy</v>
          </cell>
          <cell r="C128" t="str">
            <v>SALES_ITA</v>
          </cell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</row>
        <row r="129">
          <cell r="A129">
            <v>0</v>
          </cell>
          <cell r="B129" t="str">
            <v>Sales - % Netherlands</v>
          </cell>
          <cell r="C129" t="str">
            <v>SALES_NETH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</row>
        <row r="130">
          <cell r="A130">
            <v>0</v>
          </cell>
          <cell r="B130" t="str">
            <v>Sales - % Norway</v>
          </cell>
          <cell r="C130" t="str">
            <v>SALES_NOR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</row>
        <row r="131">
          <cell r="A131">
            <v>0</v>
          </cell>
          <cell r="B131" t="str">
            <v>Sales - % Portugal</v>
          </cell>
          <cell r="C131" t="str">
            <v>SALES_POR</v>
          </cell>
          <cell r="D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</row>
        <row r="132">
          <cell r="A132">
            <v>0</v>
          </cell>
          <cell r="B132" t="str">
            <v>Sales - % Spain</v>
          </cell>
          <cell r="C132" t="str">
            <v>SALES_SPA</v>
          </cell>
          <cell r="D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</row>
        <row r="133">
          <cell r="A133">
            <v>0</v>
          </cell>
          <cell r="B133" t="str">
            <v>Sales - % Sweden</v>
          </cell>
          <cell r="C133" t="str">
            <v>SALES_SWE</v>
          </cell>
          <cell r="D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</row>
        <row r="134">
          <cell r="A134">
            <v>0</v>
          </cell>
          <cell r="B134" t="str">
            <v>Sales - % Switzerland</v>
          </cell>
          <cell r="C134" t="str">
            <v>SALES_SWIT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</row>
        <row r="136">
          <cell r="B136" t="str">
            <v>Sales - % Middle East</v>
          </cell>
          <cell r="C136" t="str">
            <v>SALES_ME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</row>
        <row r="137">
          <cell r="B137" t="str">
            <v>Sales - % Total Africa</v>
          </cell>
          <cell r="C137" t="str">
            <v>SALES_TOT_AFRICA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</row>
        <row r="138">
          <cell r="B138" t="str">
            <v>Sales - % Russia</v>
          </cell>
          <cell r="C138" t="str">
            <v>SALES_RUSSIA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</row>
        <row r="139">
          <cell r="B139" t="str">
            <v>Sales - % Other EMEA</v>
          </cell>
          <cell r="C139" t="str">
            <v>SALES_OTH_EMEA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F140">
            <v>0</v>
          </cell>
          <cell r="G140">
            <v>0</v>
          </cell>
          <cell r="H140">
            <v>1</v>
          </cell>
          <cell r="I140">
            <v>1</v>
          </cell>
          <cell r="J140">
            <v>1</v>
          </cell>
          <cell r="K140">
            <v>1</v>
          </cell>
          <cell r="L140">
            <v>1</v>
          </cell>
          <cell r="M140">
            <v>1</v>
          </cell>
          <cell r="N140">
            <v>1</v>
          </cell>
          <cell r="O140">
            <v>1</v>
          </cell>
          <cell r="P140">
            <v>1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1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1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1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</row>
        <row r="141">
          <cell r="B141" t="str">
            <v>Sales - % Japan</v>
          </cell>
          <cell r="C141" t="str">
            <v>SALES_JAPAN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</row>
        <row r="142">
          <cell r="B142" t="str">
            <v>Sales - % China</v>
          </cell>
          <cell r="C142" t="str">
            <v>SALES_CHINA</v>
          </cell>
          <cell r="F142">
            <v>0</v>
          </cell>
          <cell r="G142">
            <v>0</v>
          </cell>
          <cell r="H142">
            <v>1</v>
          </cell>
          <cell r="I142">
            <v>1</v>
          </cell>
          <cell r="J142">
            <v>1</v>
          </cell>
          <cell r="K142">
            <v>1</v>
          </cell>
          <cell r="L142">
            <v>1</v>
          </cell>
          <cell r="M142">
            <v>1</v>
          </cell>
          <cell r="N142">
            <v>1</v>
          </cell>
          <cell r="O142">
            <v>1</v>
          </cell>
          <cell r="P142">
            <v>1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1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1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1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</row>
        <row r="143">
          <cell r="B143" t="str">
            <v>Sales - % India</v>
          </cell>
          <cell r="C143" t="str">
            <v>SALES_INDIA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</row>
        <row r="144">
          <cell r="B144" t="str">
            <v>Sales - % South Korea</v>
          </cell>
          <cell r="C144" t="str">
            <v>SALES_SK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</row>
        <row r="145">
          <cell r="B145" t="str">
            <v>Sales - % Taiwan</v>
          </cell>
          <cell r="C145" t="str">
            <v>SALES_TAIWAN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</row>
        <row r="146">
          <cell r="A146">
            <v>0</v>
          </cell>
          <cell r="B146" t="str">
            <v>Sales - % Australia</v>
          </cell>
          <cell r="C146" t="str">
            <v>SALES_AUSTRA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</row>
        <row r="147">
          <cell r="A147">
            <v>0</v>
          </cell>
          <cell r="B147" t="str">
            <v>Sales - % New Zealand</v>
          </cell>
          <cell r="C147" t="str">
            <v>SALES_NZ</v>
          </cell>
          <cell r="D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</row>
        <row r="148">
          <cell r="B148" t="str">
            <v>Sales - % Other Asia</v>
          </cell>
          <cell r="C148" t="str">
            <v>SALES_OTH_AEJ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</row>
        <row r="149">
          <cell r="B149" t="str">
            <v>Sales - % Others</v>
          </cell>
          <cell r="C149" t="str">
            <v>SALES_OTHER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</row>
        <row r="150">
          <cell r="A150">
            <v>0</v>
          </cell>
          <cell r="B150" t="str">
            <v>Operating Profit - % Total Americas</v>
          </cell>
          <cell r="C150" t="str">
            <v>OP_TOT_AM</v>
          </cell>
          <cell r="D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</row>
        <row r="151">
          <cell r="A151">
            <v>0</v>
          </cell>
          <cell r="B151" t="str">
            <v>Operating Profit - % United States</v>
          </cell>
          <cell r="C151" t="str">
            <v>OP_US</v>
          </cell>
          <cell r="D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</row>
        <row r="152">
          <cell r="A152">
            <v>0</v>
          </cell>
          <cell r="B152" t="str">
            <v>Operating Profit - % Canada</v>
          </cell>
          <cell r="C152" t="str">
            <v>OP_CANADA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</row>
        <row r="153">
          <cell r="A153">
            <v>0</v>
          </cell>
          <cell r="B153" t="str">
            <v>Operating Profit - % Brazil</v>
          </cell>
          <cell r="C153" t="str">
            <v>OP_BRAZIL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</row>
        <row r="154">
          <cell r="A154">
            <v>0</v>
          </cell>
          <cell r="B154" t="str">
            <v>Operating Profit - % Other Americas</v>
          </cell>
          <cell r="C154" t="str">
            <v>OP_OTH_AM</v>
          </cell>
          <cell r="D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</row>
        <row r="155">
          <cell r="A155">
            <v>0</v>
          </cell>
          <cell r="B155" t="str">
            <v>Operating Profit - Total % EMEA</v>
          </cell>
          <cell r="C155" t="str">
            <v>OP_TOT_EMEA</v>
          </cell>
          <cell r="D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</row>
        <row r="156">
          <cell r="A156">
            <v>0</v>
          </cell>
          <cell r="B156" t="str">
            <v>Operating Profit - % UK</v>
          </cell>
          <cell r="C156" t="str">
            <v>OP_UK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</row>
        <row r="157">
          <cell r="A157">
            <v>0</v>
          </cell>
          <cell r="B157" t="str">
            <v>Operating Profit - % Europe-Ex UK</v>
          </cell>
          <cell r="C157" t="str">
            <v>OP_EU_EX_UK</v>
          </cell>
          <cell r="D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</row>
        <row r="158">
          <cell r="A158">
            <v>0</v>
          </cell>
          <cell r="B158" t="str">
            <v>Operating Profit - % Austria</v>
          </cell>
          <cell r="C158" t="str">
            <v>OP_AUSTRIA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</row>
        <row r="159">
          <cell r="A159">
            <v>0</v>
          </cell>
          <cell r="B159" t="str">
            <v>Operating Profit - % Belgium</v>
          </cell>
          <cell r="C159" t="str">
            <v>OP_BEL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</row>
        <row r="160">
          <cell r="A160">
            <v>0</v>
          </cell>
          <cell r="B160" t="str">
            <v>Operating Profit - % Denmark</v>
          </cell>
          <cell r="C160" t="str">
            <v>OP_DEN</v>
          </cell>
          <cell r="D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</row>
        <row r="161">
          <cell r="A161">
            <v>0</v>
          </cell>
          <cell r="B161" t="str">
            <v>Operating Profit - % Finland</v>
          </cell>
          <cell r="C161" t="str">
            <v>OP_FIN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</row>
        <row r="162">
          <cell r="A162">
            <v>0</v>
          </cell>
          <cell r="B162" t="str">
            <v>Operating Profit - % France</v>
          </cell>
          <cell r="C162" t="str">
            <v>OP_FRA</v>
          </cell>
          <cell r="D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</row>
        <row r="163">
          <cell r="A163">
            <v>0</v>
          </cell>
          <cell r="B163" t="str">
            <v>Operating Profit - % Germany</v>
          </cell>
          <cell r="C163" t="str">
            <v>OP_GER</v>
          </cell>
          <cell r="D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</row>
        <row r="164">
          <cell r="A164">
            <v>0</v>
          </cell>
          <cell r="B164" t="str">
            <v>Operating Profit - % Greece</v>
          </cell>
          <cell r="C164" t="str">
            <v>OP_GRE</v>
          </cell>
          <cell r="D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</row>
        <row r="165">
          <cell r="A165">
            <v>0</v>
          </cell>
          <cell r="B165" t="str">
            <v>Operating Profit - % Iceland</v>
          </cell>
          <cell r="C165" t="str">
            <v>OP_ICE</v>
          </cell>
          <cell r="D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</row>
        <row r="166">
          <cell r="A166">
            <v>0</v>
          </cell>
          <cell r="B166" t="str">
            <v>Operating Profit - % Ireland</v>
          </cell>
          <cell r="C166" t="str">
            <v>OP_IRE</v>
          </cell>
          <cell r="D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</row>
        <row r="167">
          <cell r="A167">
            <v>0</v>
          </cell>
          <cell r="B167" t="str">
            <v>Operating Profit - % Italy</v>
          </cell>
          <cell r="C167" t="str">
            <v>OP_ITA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</row>
        <row r="168">
          <cell r="A168">
            <v>0</v>
          </cell>
          <cell r="B168" t="str">
            <v>Operating Profit - % Netherlands</v>
          </cell>
          <cell r="C168" t="str">
            <v>OP_NETH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</row>
        <row r="169">
          <cell r="A169">
            <v>0</v>
          </cell>
          <cell r="B169" t="str">
            <v>Operating Profit - % Norway</v>
          </cell>
          <cell r="C169" t="str">
            <v>OP_NOR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</row>
        <row r="170">
          <cell r="A170">
            <v>0</v>
          </cell>
          <cell r="B170" t="str">
            <v>Operating Profit - % Portugal</v>
          </cell>
          <cell r="C170" t="str">
            <v>OP_POR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</row>
        <row r="171">
          <cell r="A171">
            <v>0</v>
          </cell>
          <cell r="B171" t="str">
            <v>Operating Profit - % Spain</v>
          </cell>
          <cell r="C171" t="str">
            <v>OP_SPA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</row>
        <row r="172">
          <cell r="A172">
            <v>0</v>
          </cell>
          <cell r="B172" t="str">
            <v>Operating Profit - % Sweden</v>
          </cell>
          <cell r="C172" t="str">
            <v>OP_SWE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</row>
        <row r="173">
          <cell r="A173">
            <v>0</v>
          </cell>
          <cell r="B173" t="str">
            <v>Operating Profit - % Switzerland</v>
          </cell>
          <cell r="C173" t="str">
            <v>OP_SWIT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</row>
        <row r="174">
          <cell r="A174">
            <v>0</v>
          </cell>
          <cell r="B174" t="str">
            <v>Operating Profit - % Central &amp; Eastern Europe</v>
          </cell>
          <cell r="C174" t="str">
            <v>OP_CEE</v>
          </cell>
          <cell r="D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</row>
        <row r="175">
          <cell r="A175">
            <v>0</v>
          </cell>
          <cell r="B175" t="str">
            <v>Operating Profit - % Middle East</v>
          </cell>
          <cell r="C175" t="str">
            <v>OP_ME</v>
          </cell>
          <cell r="D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</row>
        <row r="176">
          <cell r="A176">
            <v>0</v>
          </cell>
          <cell r="B176" t="str">
            <v>Operating Profit - % Russia</v>
          </cell>
          <cell r="C176" t="str">
            <v>OP_RUSSIA</v>
          </cell>
          <cell r="D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</row>
        <row r="177">
          <cell r="A177">
            <v>0</v>
          </cell>
          <cell r="B177" t="str">
            <v>Operating Profit - % Other EMEA</v>
          </cell>
          <cell r="C177" t="str">
            <v>OP_OTH_EMEA</v>
          </cell>
          <cell r="D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</row>
        <row r="178">
          <cell r="A178">
            <v>0</v>
          </cell>
          <cell r="B178" t="str">
            <v>Operating Profit - Total % Asia (incl Australia &amp; New Zealand)</v>
          </cell>
          <cell r="C178" t="str">
            <v>OP_TOT_ASIA</v>
          </cell>
          <cell r="D178">
            <v>0</v>
          </cell>
          <cell r="F178">
            <v>0</v>
          </cell>
          <cell r="G178">
            <v>0</v>
          </cell>
          <cell r="H178">
            <v>1</v>
          </cell>
          <cell r="I178">
            <v>1</v>
          </cell>
          <cell r="J178">
            <v>1</v>
          </cell>
          <cell r="K178">
            <v>1</v>
          </cell>
          <cell r="L178">
            <v>1</v>
          </cell>
          <cell r="M178">
            <v>1</v>
          </cell>
          <cell r="N178">
            <v>1</v>
          </cell>
          <cell r="O178">
            <v>1</v>
          </cell>
          <cell r="P178">
            <v>1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1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1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1</v>
          </cell>
          <cell r="AK178">
            <v>1</v>
          </cell>
          <cell r="AL178">
            <v>1</v>
          </cell>
          <cell r="AM178">
            <v>1</v>
          </cell>
          <cell r="AN178">
            <v>1</v>
          </cell>
          <cell r="AO178">
            <v>1</v>
          </cell>
        </row>
        <row r="179">
          <cell r="A179">
            <v>0</v>
          </cell>
          <cell r="B179" t="str">
            <v>Operating Profit - % Japan</v>
          </cell>
          <cell r="C179" t="str">
            <v>OP_JAPAN</v>
          </cell>
          <cell r="D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</row>
        <row r="180">
          <cell r="A180">
            <v>0</v>
          </cell>
          <cell r="B180" t="str">
            <v>Operating Profit - % Greater China (incl HK)</v>
          </cell>
          <cell r="C180" t="str">
            <v>OP_CHINA</v>
          </cell>
          <cell r="D180">
            <v>0</v>
          </cell>
          <cell r="F180">
            <v>0</v>
          </cell>
          <cell r="G180">
            <v>0</v>
          </cell>
          <cell r="H180">
            <v>1</v>
          </cell>
          <cell r="I180">
            <v>1</v>
          </cell>
          <cell r="J180">
            <v>1</v>
          </cell>
          <cell r="K180">
            <v>1</v>
          </cell>
          <cell r="L180">
            <v>1</v>
          </cell>
          <cell r="M180">
            <v>1</v>
          </cell>
          <cell r="N180">
            <v>1</v>
          </cell>
          <cell r="O180">
            <v>1</v>
          </cell>
          <cell r="P180">
            <v>1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1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1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1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</row>
        <row r="181">
          <cell r="A181">
            <v>0</v>
          </cell>
          <cell r="B181" t="str">
            <v>Operating Profit - % India</v>
          </cell>
          <cell r="C181" t="str">
            <v>OP_INDIA</v>
          </cell>
          <cell r="D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</row>
        <row r="182">
          <cell r="A182">
            <v>0</v>
          </cell>
          <cell r="B182" t="str">
            <v>Operating Profit - % South Korea</v>
          </cell>
          <cell r="C182" t="str">
            <v>OP_SK</v>
          </cell>
          <cell r="D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</row>
        <row r="183">
          <cell r="A183">
            <v>0</v>
          </cell>
          <cell r="B183" t="str">
            <v>Operating Profit - % Australia</v>
          </cell>
          <cell r="C183" t="str">
            <v>OP_AUSTRA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</row>
        <row r="184">
          <cell r="A184">
            <v>0</v>
          </cell>
          <cell r="B184" t="str">
            <v>Operating Profit - % New Zealand</v>
          </cell>
          <cell r="C184" t="str">
            <v>OP_NZ</v>
          </cell>
          <cell r="D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</row>
        <row r="185">
          <cell r="A185">
            <v>0</v>
          </cell>
          <cell r="B185" t="str">
            <v>Operating Profit - % Other AEJ (incl Taiwan)</v>
          </cell>
          <cell r="C185" t="str">
            <v>OP_OTH_AEJ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</row>
        <row r="186">
          <cell r="A186">
            <v>0</v>
          </cell>
          <cell r="B186" t="str">
            <v>Operating Profit - % Others</v>
          </cell>
          <cell r="C186" t="str">
            <v>OP_OTHER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</row>
        <row r="187">
          <cell r="B187" t="str">
            <v>Sales -% Consumer (C)</v>
          </cell>
          <cell r="C187" t="str">
            <v>SALES_CONS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0.01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0.02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0.03</v>
          </cell>
          <cell r="AK187">
            <v>0.04</v>
          </cell>
          <cell r="AL187">
            <v>0.05</v>
          </cell>
          <cell r="AM187">
            <v>6.0000000000000005E-2</v>
          </cell>
          <cell r="AN187">
            <v>7.0000000000000007E-2</v>
          </cell>
          <cell r="AO187">
            <v>0.08</v>
          </cell>
        </row>
        <row r="188">
          <cell r="B188" t="str">
            <v>Sales -% Industry (I)</v>
          </cell>
          <cell r="C188" t="str">
            <v>SALES_IND</v>
          </cell>
          <cell r="F188">
            <v>0</v>
          </cell>
          <cell r="G188">
            <v>0</v>
          </cell>
          <cell r="H188">
            <v>0.85</v>
          </cell>
          <cell r="I188">
            <v>0.85</v>
          </cell>
          <cell r="J188">
            <v>0.85</v>
          </cell>
          <cell r="K188">
            <v>0.85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0.84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0.83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0.80999999999999994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0.78999999999999992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0.76999999999999991</v>
          </cell>
          <cell r="AK188">
            <v>0.7599999999999999</v>
          </cell>
          <cell r="AL188">
            <v>0.74999999999999989</v>
          </cell>
          <cell r="AM188">
            <v>0.73999999999999988</v>
          </cell>
          <cell r="AN188">
            <v>0.72999999999999987</v>
          </cell>
          <cell r="AO188">
            <v>0.71999999999999986</v>
          </cell>
        </row>
        <row r="189">
          <cell r="B189" t="str">
            <v>Sales -% Government (G)</v>
          </cell>
          <cell r="C189" t="str">
            <v>SALES_GOV</v>
          </cell>
          <cell r="F189">
            <v>0</v>
          </cell>
          <cell r="G189">
            <v>0</v>
          </cell>
          <cell r="H189">
            <v>0.15000000000000002</v>
          </cell>
          <cell r="I189">
            <v>0.15000000000000002</v>
          </cell>
          <cell r="J189">
            <v>0.15000000000000002</v>
          </cell>
          <cell r="K189">
            <v>0.15000000000000002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0.16000000000000003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0.17000000000000004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0.18000000000000005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0.19000000000000006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0.20000000000000007</v>
          </cell>
          <cell r="AK189">
            <v>0.20000000000000007</v>
          </cell>
          <cell r="AL189">
            <v>0.20000000000000007</v>
          </cell>
          <cell r="AM189">
            <v>0.20000000000000007</v>
          </cell>
          <cell r="AN189">
            <v>0.20000000000000007</v>
          </cell>
          <cell r="AO189">
            <v>0.20000000000000018</v>
          </cell>
        </row>
        <row r="190">
          <cell r="B190" t="str">
            <v>Sales - % Industry Sub-Segment: Financial Services</v>
          </cell>
          <cell r="C190" t="str">
            <v>SALES_FINAN</v>
          </cell>
          <cell r="F190">
            <v>0</v>
          </cell>
          <cell r="G190">
            <v>0</v>
          </cell>
          <cell r="H190">
            <v>0.15</v>
          </cell>
          <cell r="I190">
            <v>0.15</v>
          </cell>
          <cell r="J190">
            <v>0.15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0.15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0.15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0.13999999999999999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0.12999999999999998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0.11999999999999998</v>
          </cell>
          <cell r="AK190">
            <v>0.10999999999999999</v>
          </cell>
          <cell r="AL190">
            <v>9.9999999999999992E-2</v>
          </cell>
          <cell r="AM190">
            <v>0.09</v>
          </cell>
          <cell r="AN190">
            <v>0.08</v>
          </cell>
          <cell r="AO190">
            <v>7.0000000000000007E-2</v>
          </cell>
        </row>
        <row r="191">
          <cell r="A191">
            <v>0</v>
          </cell>
          <cell r="B191" t="str">
            <v>Operating Profit - % Consumer (C)</v>
          </cell>
          <cell r="C191" t="str">
            <v>OP_CONS</v>
          </cell>
          <cell r="D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</row>
        <row r="192">
          <cell r="A192">
            <v>0</v>
          </cell>
          <cell r="B192" t="str">
            <v>Operating Profit - % Industry (I)</v>
          </cell>
          <cell r="C192" t="str">
            <v>OP_IND</v>
          </cell>
          <cell r="D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</row>
        <row r="193">
          <cell r="A193">
            <v>0</v>
          </cell>
          <cell r="B193" t="str">
            <v>Operating Profit - % Government (G)</v>
          </cell>
          <cell r="C193" t="str">
            <v>OP_GOV</v>
          </cell>
          <cell r="D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</row>
        <row r="194">
          <cell r="A194" t="str">
            <v>Commodities Exposure - Expense</v>
          </cell>
          <cell r="B194">
            <v>0</v>
          </cell>
          <cell r="C194">
            <v>0</v>
          </cell>
          <cell r="D194">
            <v>0</v>
          </cell>
        </row>
        <row r="195">
          <cell r="B195" t="str">
            <v>Expense - % Oil/Petrol/Fuel</v>
          </cell>
          <cell r="C195" t="str">
            <v>EXP_OIL_PETRO_FUEL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</row>
        <row r="196">
          <cell r="B196" t="str">
            <v>Expense - % Oil derivatives/NGLs/plastics</v>
          </cell>
          <cell r="C196" t="str">
            <v>EXP_OIL_DERIV_NGLS_PLASTICS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</row>
        <row r="197">
          <cell r="B197" t="str">
            <v>Expense - % Paper/pulp</v>
          </cell>
          <cell r="C197" t="str">
            <v>EXP_PAPER_PULP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</row>
        <row r="198">
          <cell r="B198" t="str">
            <v>Expense - % Glass</v>
          </cell>
          <cell r="C198" t="str">
            <v>EXP_GLASS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</row>
        <row r="199">
          <cell r="B199" t="str">
            <v>Expense - % Water</v>
          </cell>
          <cell r="C199" t="str">
            <v>EXP_WATER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</row>
        <row r="200">
          <cell r="B200" t="str">
            <v>Expense - % Other commodity</v>
          </cell>
          <cell r="C200" t="str">
            <v>EXP_OTH_COMMODITY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</row>
        <row r="201">
          <cell r="B201" t="str">
            <v>Expense - % Other (Non-Commodity) cost</v>
          </cell>
          <cell r="C201" t="str">
            <v>EXP_OTH_COST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</row>
        <row r="202">
          <cell r="A202" t="str">
            <v>FX Exposure - Sales</v>
          </cell>
          <cell r="B202">
            <v>0</v>
          </cell>
          <cell r="C202">
            <v>0</v>
          </cell>
          <cell r="D202">
            <v>0</v>
          </cell>
        </row>
        <row r="203">
          <cell r="B203" t="str">
            <v>Sales - % FX: British Pounds/Pence</v>
          </cell>
          <cell r="C203" t="str">
            <v>SALES_FX_GPB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</row>
        <row r="204">
          <cell r="B204" t="str">
            <v>Sales - % FX: Euro</v>
          </cell>
          <cell r="C204" t="str">
            <v>SALES_FX_EUR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</row>
        <row r="205">
          <cell r="B205" t="str">
            <v>Sales - % FX: New Russian Ruble</v>
          </cell>
          <cell r="C205" t="str">
            <v>SALES_FX_RUB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</row>
        <row r="206">
          <cell r="B206" t="str">
            <v>Sales - % FX: U.S. Dollar</v>
          </cell>
          <cell r="C206" t="str">
            <v>SALES_FX_USD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</row>
        <row r="207">
          <cell r="B207" t="str">
            <v>Sales - % FX: Brazilian Real</v>
          </cell>
          <cell r="C207" t="str">
            <v>SALES_FX_BRL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</row>
        <row r="208">
          <cell r="B208" t="str">
            <v>Sales - % FX: Japanese Yen</v>
          </cell>
          <cell r="C208" t="str">
            <v>SALES_FX_YEN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</row>
        <row r="209">
          <cell r="B209" t="str">
            <v>Sales - % FX: Chinese Renminbi</v>
          </cell>
          <cell r="C209" t="str">
            <v>SALES_FX_CNY</v>
          </cell>
          <cell r="F209">
            <v>1</v>
          </cell>
          <cell r="G209">
            <v>1</v>
          </cell>
          <cell r="H209">
            <v>1</v>
          </cell>
          <cell r="I209">
            <v>1</v>
          </cell>
          <cell r="J209">
            <v>1</v>
          </cell>
          <cell r="K209">
            <v>1</v>
          </cell>
          <cell r="L209">
            <v>1</v>
          </cell>
          <cell r="M209">
            <v>1</v>
          </cell>
          <cell r="N209">
            <v>1</v>
          </cell>
          <cell r="O209">
            <v>1</v>
          </cell>
          <cell r="P209">
            <v>1</v>
          </cell>
          <cell r="Q209">
            <v>1</v>
          </cell>
          <cell r="R209">
            <v>1</v>
          </cell>
          <cell r="S209">
            <v>1</v>
          </cell>
          <cell r="T209">
            <v>1</v>
          </cell>
          <cell r="U209">
            <v>1</v>
          </cell>
          <cell r="V209">
            <v>1</v>
          </cell>
          <cell r="W209">
            <v>1</v>
          </cell>
          <cell r="X209">
            <v>1</v>
          </cell>
          <cell r="Y209">
            <v>1</v>
          </cell>
          <cell r="Z209">
            <v>1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1</v>
          </cell>
          <cell r="AL209">
            <v>1</v>
          </cell>
          <cell r="AM209">
            <v>1</v>
          </cell>
          <cell r="AN209">
            <v>1</v>
          </cell>
          <cell r="AO209">
            <v>1</v>
          </cell>
        </row>
        <row r="210">
          <cell r="B210" t="str">
            <v>Sales - % FX: Indian Rupee</v>
          </cell>
          <cell r="C210" t="str">
            <v>SALES_FX_INR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</row>
        <row r="211">
          <cell r="B211" t="str">
            <v>Sales - % FX: South Korean Won</v>
          </cell>
          <cell r="C211" t="str">
            <v>SALES_FX_KRW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</row>
        <row r="212">
          <cell r="B212" t="str">
            <v>Sales - % FX: Taiwan Dollar</v>
          </cell>
          <cell r="C212" t="str">
            <v>SALES_FX_TWD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</row>
        <row r="213">
          <cell r="B213" t="str">
            <v>Sales - % FX: Other Currency</v>
          </cell>
          <cell r="C213" t="str">
            <v>SALES_FX_OTH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</row>
        <row r="214">
          <cell r="A214" t="str">
            <v>Security: Zhejiang Dahua Technology Co.</v>
          </cell>
          <cell r="B214">
            <v>0</v>
          </cell>
          <cell r="C214">
            <v>0</v>
          </cell>
          <cell r="D214">
            <v>0</v>
          </cell>
        </row>
        <row r="215">
          <cell r="A215" t="str">
            <v>Reference Data</v>
          </cell>
          <cell r="B215">
            <v>0</v>
          </cell>
          <cell r="C215">
            <v>0</v>
          </cell>
          <cell r="D215">
            <v>0</v>
          </cell>
        </row>
        <row r="216">
          <cell r="B216" t="str">
            <v>Ticker</v>
          </cell>
          <cell r="C216" t="str">
            <v>Ticker</v>
          </cell>
          <cell r="E216" t="str">
            <v>002236.SZ</v>
          </cell>
        </row>
        <row r="217">
          <cell r="B217" t="str">
            <v>Security Name</v>
          </cell>
          <cell r="C217" t="str">
            <v>Security Name</v>
          </cell>
          <cell r="E217" t="str">
            <v>Zhejiang Dahua Technology Co.</v>
          </cell>
        </row>
        <row r="218">
          <cell r="B218" t="str">
            <v>Interim Type</v>
          </cell>
          <cell r="C218" t="str">
            <v>Interim Type</v>
          </cell>
          <cell r="E218" t="str">
            <v>Q</v>
          </cell>
        </row>
        <row r="219">
          <cell r="B219" t="str">
            <v>Publishing Currency</v>
          </cell>
          <cell r="C219" t="str">
            <v>PUB_CURRENCY_ISO</v>
          </cell>
          <cell r="E219" t="str">
            <v>CNY</v>
          </cell>
        </row>
        <row r="220">
          <cell r="B220" t="str">
            <v>Pricing Currency</v>
          </cell>
          <cell r="C220" t="str">
            <v>PRICE_CURRENCY_ISO</v>
          </cell>
          <cell r="E220" t="str">
            <v>CNY</v>
          </cell>
        </row>
        <row r="221">
          <cell r="B221" t="str">
            <v>Reporting Currency</v>
          </cell>
          <cell r="C221" t="str">
            <v>CURRENCY_ISO</v>
          </cell>
          <cell r="E221" t="str">
            <v>CNY</v>
          </cell>
        </row>
        <row r="222">
          <cell r="A222" t="str">
            <v>General Information</v>
          </cell>
          <cell r="B222">
            <v>0</v>
          </cell>
          <cell r="C222">
            <v>0</v>
          </cell>
          <cell r="D222">
            <v>0</v>
          </cell>
        </row>
        <row r="223">
          <cell r="B223" t="str">
            <v>Asia Pacific Investment List</v>
          </cell>
          <cell r="C223" t="str">
            <v>AEJ_LIST</v>
          </cell>
          <cell r="E223">
            <v>0</v>
          </cell>
        </row>
        <row r="224">
          <cell r="B224" t="str">
            <v>Asia Pacific Conviction List</v>
          </cell>
          <cell r="C224" t="str">
            <v>AEJ_CONVICTION</v>
          </cell>
          <cell r="E224">
            <v>0</v>
          </cell>
        </row>
        <row r="225">
          <cell r="B225" t="str">
            <v>Legal rating</v>
          </cell>
          <cell r="C225" t="str">
            <v>LEGAL_RATING</v>
          </cell>
          <cell r="E225">
            <v>0</v>
          </cell>
        </row>
        <row r="226">
          <cell r="B226" t="str">
            <v>Target price</v>
          </cell>
          <cell r="C226" t="str">
            <v>TARGET_PRICE</v>
          </cell>
          <cell r="D226" t="str">
            <v>CNY</v>
          </cell>
          <cell r="E226">
            <v>43.6</v>
          </cell>
        </row>
        <row r="227">
          <cell r="B227" t="str">
            <v>Target price period</v>
          </cell>
          <cell r="C227" t="str">
            <v>TP_PERIOD</v>
          </cell>
          <cell r="E227" t="str">
            <v>12 months</v>
          </cell>
        </row>
        <row r="228">
          <cell r="B228" t="str">
            <v>Current shares outstanding (mn)</v>
          </cell>
          <cell r="C228" t="str">
            <v>NUM_SH</v>
          </cell>
          <cell r="E228">
            <v>1170.2707499999999</v>
          </cell>
        </row>
        <row r="229">
          <cell r="B229" t="str">
            <v>Free float</v>
          </cell>
          <cell r="C229" t="str">
            <v>FREE_FLOAT</v>
          </cell>
          <cell r="E229">
            <v>0</v>
          </cell>
        </row>
        <row r="230">
          <cell r="B230" t="str">
            <v>Foreign ownership</v>
          </cell>
          <cell r="C230" t="str">
            <v>FOREIGN_HOLDNG</v>
          </cell>
          <cell r="E230">
            <v>0</v>
          </cell>
        </row>
        <row r="231">
          <cell r="B231" t="str">
            <v>Catalyst 1 date</v>
          </cell>
          <cell r="C231" t="str">
            <v>CATALYST1_DATE</v>
          </cell>
          <cell r="E231">
            <v>0</v>
          </cell>
        </row>
        <row r="232">
          <cell r="B232" t="str">
            <v>Catalyst 1 description</v>
          </cell>
          <cell r="C232" t="str">
            <v>CATALYST1_EVENT</v>
          </cell>
          <cell r="E232">
            <v>0</v>
          </cell>
        </row>
        <row r="233">
          <cell r="B233" t="str">
            <v>Catalyst 2 date</v>
          </cell>
          <cell r="C233" t="str">
            <v>CATALYST2_DATE</v>
          </cell>
          <cell r="E233">
            <v>0</v>
          </cell>
        </row>
        <row r="234">
          <cell r="B234" t="str">
            <v>Catalyst 2 description</v>
          </cell>
          <cell r="C234" t="str">
            <v>CATALYST2_EVENT</v>
          </cell>
          <cell r="E234">
            <v>0</v>
          </cell>
        </row>
        <row r="235">
          <cell r="B235" t="str">
            <v>Catalyst 3 date</v>
          </cell>
          <cell r="C235" t="str">
            <v>CATALYST3_DATE</v>
          </cell>
          <cell r="E235">
            <v>0</v>
          </cell>
        </row>
        <row r="236">
          <cell r="B236" t="str">
            <v>Catalyst 3 description</v>
          </cell>
          <cell r="C236" t="str">
            <v>CATALYST3_EVENT</v>
          </cell>
          <cell r="E236">
            <v>0</v>
          </cell>
        </row>
        <row r="237">
          <cell r="B237" t="str">
            <v>Catalyst 4 date</v>
          </cell>
          <cell r="C237" t="str">
            <v>CATALYST4_DATE</v>
          </cell>
          <cell r="E237">
            <v>0</v>
          </cell>
        </row>
        <row r="238">
          <cell r="B238" t="str">
            <v>Catalyst 4 description</v>
          </cell>
          <cell r="C238" t="str">
            <v>CATALYST4_EVENT</v>
          </cell>
          <cell r="E238">
            <v>0</v>
          </cell>
        </row>
        <row r="239">
          <cell r="B239" t="str">
            <v>Catalyst 5 date</v>
          </cell>
          <cell r="C239" t="str">
            <v>CATALYST5_DATE</v>
          </cell>
          <cell r="E239">
            <v>0</v>
          </cell>
        </row>
        <row r="240">
          <cell r="B240" t="str">
            <v>Catalyst 5 description</v>
          </cell>
          <cell r="C240" t="str">
            <v>CATALYST5_EVENT</v>
          </cell>
          <cell r="E240">
            <v>0</v>
          </cell>
        </row>
        <row r="241">
          <cell r="B241" t="str">
            <v>Target price multiple</v>
          </cell>
          <cell r="C241" t="str">
            <v>PRI_TARG_MULT</v>
          </cell>
          <cell r="E241">
            <v>37.951987625577026</v>
          </cell>
        </row>
        <row r="242">
          <cell r="B242" t="str">
            <v>Target price methodology</v>
          </cell>
          <cell r="C242" t="str">
            <v>PRI_TARG_METH</v>
          </cell>
          <cell r="E242" t="str">
            <v>Long-term growth discounted PE</v>
          </cell>
        </row>
        <row r="243">
          <cell r="A243" t="str">
            <v>Publishing Items</v>
          </cell>
          <cell r="B243">
            <v>0</v>
          </cell>
          <cell r="C243">
            <v>0</v>
          </cell>
          <cell r="D243">
            <v>0</v>
          </cell>
        </row>
        <row r="244">
          <cell r="B244" t="str">
            <v>Book value per share, BVPS (Pub)</v>
          </cell>
          <cell r="C244" t="str">
            <v>BVPS_PUB</v>
          </cell>
          <cell r="D244" t="str">
            <v>CNY</v>
          </cell>
          <cell r="F244">
            <v>0.16948528391250001</v>
          </cell>
          <cell r="G244">
            <v>0.17914592408749999</v>
          </cell>
          <cell r="H244">
            <v>0.28633032881250003</v>
          </cell>
          <cell r="I244">
            <v>0.67937911631736525</v>
          </cell>
          <cell r="J244">
            <v>0.7749601701627995</v>
          </cell>
          <cell r="K244">
            <v>1.0508717043636888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1.3489495266328271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1.9190582947462786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3.6370887681588226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4.44568989810264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5.4602458040128496</v>
          </cell>
          <cell r="AK244">
            <v>6.7473281093260118</v>
          </cell>
          <cell r="AL244">
            <v>8.3897244850497898</v>
          </cell>
          <cell r="AM244">
            <v>10.591249212103403</v>
          </cell>
          <cell r="AN244">
            <v>13.180327673776739</v>
          </cell>
          <cell r="AO244">
            <v>16.092411543041397</v>
          </cell>
        </row>
        <row r="245">
          <cell r="B245" t="str">
            <v>DPS, dividend per share (Pub)</v>
          </cell>
          <cell r="C245" t="str">
            <v>DPS_PUB</v>
          </cell>
          <cell r="D245" t="str">
            <v>CNY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3.7499999999999999E-2</v>
          </cell>
          <cell r="K245">
            <v>6.2486563011949242E-2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6.25E-2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0.08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9.9189830277374741E-2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0.1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0.17232299041941332</v>
          </cell>
          <cell r="AK245">
            <v>0.22713217152585208</v>
          </cell>
          <cell r="AL245">
            <v>0.28983465453949042</v>
          </cell>
          <cell r="AM245">
            <v>0.38850436359769647</v>
          </cell>
          <cell r="AN245">
            <v>0.45689619911882356</v>
          </cell>
          <cell r="AO245">
            <v>0.51389715339964492</v>
          </cell>
        </row>
        <row r="246">
          <cell r="B246" t="str">
            <v>Special dividend per share</v>
          </cell>
          <cell r="C246" t="str">
            <v>DPS_SPECIAL_PUB</v>
          </cell>
          <cell r="D246" t="str">
            <v>CNY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</row>
        <row r="247">
          <cell r="B247" t="str">
            <v>EBITDA (Pub)</v>
          </cell>
          <cell r="C247" t="str">
            <v>EBITDA_PUB</v>
          </cell>
          <cell r="D247" t="str">
            <v>CNY</v>
          </cell>
          <cell r="F247">
            <v>41.467204519999996</v>
          </cell>
          <cell r="G247">
            <v>46.12545812999997</v>
          </cell>
          <cell r="H247">
            <v>80.691055769999934</v>
          </cell>
          <cell r="I247">
            <v>82.275424599999951</v>
          </cell>
          <cell r="J247">
            <v>106.18577326000013</v>
          </cell>
          <cell r="K247">
            <v>261.64681782000002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377.46796925999979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668.82702270999971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1050.1137196900008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1056.5009069799999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1300.0291745780742</v>
          </cell>
          <cell r="AK247">
            <v>1743.6171809118096</v>
          </cell>
          <cell r="AL247">
            <v>2243.1830771916375</v>
          </cell>
          <cell r="AM247">
            <v>2750.669873943918</v>
          </cell>
          <cell r="AN247">
            <v>3213.8004178739393</v>
          </cell>
          <cell r="AO247">
            <v>3595.0356549775315</v>
          </cell>
        </row>
        <row r="248">
          <cell r="B248" t="str">
            <v>EPS (Pub)</v>
          </cell>
          <cell r="C248" t="str">
            <v>EPS_PUB</v>
          </cell>
          <cell r="D248" t="str">
            <v>CNY</v>
          </cell>
          <cell r="F248">
            <v>5.2389522149999992E-2</v>
          </cell>
          <cell r="G248">
            <v>5.9659720175000021E-2</v>
          </cell>
          <cell r="H248">
            <v>0.10718532472499991</v>
          </cell>
          <cell r="I248">
            <v>0.10396052379193287</v>
          </cell>
          <cell r="J248">
            <v>0.10964355384543427</v>
          </cell>
          <cell r="K248">
            <v>0.23824265520051607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0.33859698094169249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0.62720896154846306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0.99320289687818253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0.98134522698794224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1.1488199361294218</v>
          </cell>
          <cell r="AK248">
            <v>1.514214476839014</v>
          </cell>
          <cell r="AL248">
            <v>1.9322310302632701</v>
          </cell>
          <cell r="AM248">
            <v>2.5900290906513099</v>
          </cell>
          <cell r="AN248">
            <v>3.0459746607921567</v>
          </cell>
          <cell r="AO248">
            <v>3.4259810226642995</v>
          </cell>
        </row>
        <row r="249">
          <cell r="B249" t="str">
            <v>EV adjustment (Pub)</v>
          </cell>
          <cell r="C249" t="str">
            <v>EV_ADJ_PUB</v>
          </cell>
          <cell r="D249" t="str">
            <v>CNY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</row>
        <row r="250">
          <cell r="B250" t="str">
            <v>Net debt (Pub)</v>
          </cell>
          <cell r="C250" t="str">
            <v>NET_DEBT_PUB</v>
          </cell>
          <cell r="D250" t="str">
            <v>CNY</v>
          </cell>
          <cell r="F250">
            <v>-38.113502120000007</v>
          </cell>
          <cell r="G250">
            <v>-3.9306916799999989</v>
          </cell>
          <cell r="H250">
            <v>-76.186895680000021</v>
          </cell>
          <cell r="I250">
            <v>-414.45890891000005</v>
          </cell>
          <cell r="J250">
            <v>-414.39609637000001</v>
          </cell>
          <cell r="K250">
            <v>-573.05378915000006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-464.75303516000002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-693.47398053000006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-1775.9105752400001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-1123.5757995899999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-1622.5375344408662</v>
          </cell>
          <cell r="AK250">
            <v>-1864.6743686132522</v>
          </cell>
          <cell r="AL250">
            <v>-2306.9633266161331</v>
          </cell>
          <cell r="AM250">
            <v>-3458.6319300398159</v>
          </cell>
          <cell r="AN250">
            <v>-5102.6368402447297</v>
          </cell>
          <cell r="AO250">
            <v>-7291.2887285908482</v>
          </cell>
        </row>
        <row r="251">
          <cell r="B251" t="str">
            <v>Net income (Pub)</v>
          </cell>
          <cell r="C251" t="str">
            <v>NI_PUB</v>
          </cell>
          <cell r="D251" t="str">
            <v>CNY</v>
          </cell>
          <cell r="F251">
            <v>41.911617719999995</v>
          </cell>
          <cell r="G251">
            <v>47.727776140000017</v>
          </cell>
          <cell r="H251">
            <v>85.748259779999927</v>
          </cell>
          <cell r="I251">
            <v>104.12686062999995</v>
          </cell>
          <cell r="J251">
            <v>117.18703035000014</v>
          </cell>
          <cell r="K251">
            <v>260.29458596000001</v>
          </cell>
          <cell r="L251">
            <v>39.185843200000015</v>
          </cell>
          <cell r="M251">
            <v>89.721451699999875</v>
          </cell>
          <cell r="N251">
            <v>75.331104650000086</v>
          </cell>
          <cell r="O251">
            <v>173.74472396999968</v>
          </cell>
          <cell r="P251">
            <v>377.98312351999965</v>
          </cell>
          <cell r="Q251">
            <v>66.967705040000013</v>
          </cell>
          <cell r="R251">
            <v>158.84193165000011</v>
          </cell>
          <cell r="S251">
            <v>152.18808588000002</v>
          </cell>
          <cell r="T251">
            <v>322.1574224799997</v>
          </cell>
          <cell r="U251">
            <v>700.15514504999999</v>
          </cell>
          <cell r="V251">
            <v>142.67308917000011</v>
          </cell>
          <cell r="W251">
            <v>243.58044674999999</v>
          </cell>
          <cell r="X251">
            <v>229.71313152999994</v>
          </cell>
          <cell r="Y251">
            <v>514.9552480600006</v>
          </cell>
          <cell r="Z251">
            <v>1130.9219155100006</v>
          </cell>
          <cell r="AA251">
            <v>201.66848065999997</v>
          </cell>
          <cell r="AB251">
            <v>304.66229314999993</v>
          </cell>
          <cell r="AC251">
            <v>218.26572487999971</v>
          </cell>
          <cell r="AD251">
            <v>418.08198592000036</v>
          </cell>
          <cell r="AE251">
            <v>1142.6784846099997</v>
          </cell>
          <cell r="AF251">
            <v>103.4049540200001</v>
          </cell>
          <cell r="AG251">
            <v>347.46371641038542</v>
          </cell>
          <cell r="AH251">
            <v>318.62198293791795</v>
          </cell>
          <cell r="AI251">
            <v>563.52792010702478</v>
          </cell>
          <cell r="AJ251">
            <v>1333.0185734753284</v>
          </cell>
          <cell r="AK251">
            <v>1756.9994725650713</v>
          </cell>
          <cell r="AL251">
            <v>2242.0396535459668</v>
          </cell>
          <cell r="AM251">
            <v>3005.3072505965451</v>
          </cell>
          <cell r="AN251">
            <v>3534.3578827950764</v>
          </cell>
          <cell r="AO251">
            <v>3975.2934223723478</v>
          </cell>
        </row>
        <row r="252">
          <cell r="B252" t="str">
            <v>EBIT, operating profit (Pub)</v>
          </cell>
          <cell r="C252" t="str">
            <v>EBIT_PUB</v>
          </cell>
          <cell r="D252" t="str">
            <v>CNY</v>
          </cell>
          <cell r="F252">
            <v>38.485581999999994</v>
          </cell>
          <cell r="G252">
            <v>39.067442529999994</v>
          </cell>
          <cell r="H252">
            <v>75.646639569999934</v>
          </cell>
          <cell r="I252">
            <v>73.887275759999966</v>
          </cell>
          <cell r="J252">
            <v>92.265668740000137</v>
          </cell>
          <cell r="K252">
            <v>242.74550623999994</v>
          </cell>
          <cell r="L252">
            <v>38.224176840000013</v>
          </cell>
          <cell r="M252">
            <v>112.21541937999987</v>
          </cell>
          <cell r="N252">
            <v>90.398018850000085</v>
          </cell>
          <cell r="O252">
            <v>110.55902444999965</v>
          </cell>
          <cell r="P252">
            <v>351.39663951999978</v>
          </cell>
          <cell r="Q252">
            <v>65.673738790000016</v>
          </cell>
          <cell r="R252">
            <v>157.7677586500001</v>
          </cell>
          <cell r="S252">
            <v>143.41935703000001</v>
          </cell>
          <cell r="T252">
            <v>265.65974059999968</v>
          </cell>
          <cell r="U252">
            <v>632.52059506999967</v>
          </cell>
          <cell r="V252">
            <v>128.60321445000011</v>
          </cell>
          <cell r="W252">
            <v>248.36097064000001</v>
          </cell>
          <cell r="X252">
            <v>234.87214383999992</v>
          </cell>
          <cell r="Y252">
            <v>391.85342076000063</v>
          </cell>
          <cell r="Z252">
            <v>1003.689749690001</v>
          </cell>
          <cell r="AA252">
            <v>159.36481980999997</v>
          </cell>
          <cell r="AB252">
            <v>280.06532986999991</v>
          </cell>
          <cell r="AC252">
            <v>140.99021675999973</v>
          </cell>
          <cell r="AD252">
            <v>396.32125054000039</v>
          </cell>
          <cell r="AE252">
            <v>976.74161697999989</v>
          </cell>
          <cell r="AF252">
            <v>77.02807375000009</v>
          </cell>
          <cell r="AG252">
            <v>342.29972717878979</v>
          </cell>
          <cell r="AH252">
            <v>244.6869724122505</v>
          </cell>
          <cell r="AI252">
            <v>549.39792362348487</v>
          </cell>
          <cell r="AJ252">
            <v>1213.4126969645267</v>
          </cell>
          <cell r="AK252">
            <v>1648.0019723800215</v>
          </cell>
          <cell r="AL252">
            <v>2139.6051726713995</v>
          </cell>
          <cell r="AM252">
            <v>2628.254786642301</v>
          </cell>
          <cell r="AN252">
            <v>3069.3769429375134</v>
          </cell>
          <cell r="AO252">
            <v>3426.477958521984</v>
          </cell>
        </row>
        <row r="253">
          <cell r="B253" t="str">
            <v>Pre-tax profit (Pub)</v>
          </cell>
          <cell r="C253" t="str">
            <v>PTP_PUB</v>
          </cell>
          <cell r="D253" t="str">
            <v>CNY</v>
          </cell>
          <cell r="F253">
            <v>48.788832879999994</v>
          </cell>
          <cell r="G253">
            <v>52.466544160000019</v>
          </cell>
          <cell r="H253">
            <v>97.267226609999938</v>
          </cell>
          <cell r="I253">
            <v>111.10787708999996</v>
          </cell>
          <cell r="J253">
            <v>127.84989947000014</v>
          </cell>
          <cell r="K253">
            <v>288.17807862000001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413.35016880999967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754.58253206999996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1125.2381243200007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1252.8439110099998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1473.7588747522543</v>
          </cell>
          <cell r="AK253">
            <v>1952.5934968945239</v>
          </cell>
          <cell r="AL253">
            <v>2491.5270313177407</v>
          </cell>
          <cell r="AM253">
            <v>3339.602139151717</v>
          </cell>
          <cell r="AN253">
            <v>3927.4361749278623</v>
          </cell>
          <cell r="AO253">
            <v>4417.364552235942</v>
          </cell>
        </row>
        <row r="254">
          <cell r="B254" t="str">
            <v>Sales, revenue (Pub)</v>
          </cell>
          <cell r="C254" t="str">
            <v>REVS_PUB</v>
          </cell>
          <cell r="D254" t="str">
            <v>CNY</v>
          </cell>
          <cell r="F254">
            <v>293.14459049999999</v>
          </cell>
          <cell r="G254">
            <v>445.53826700000002</v>
          </cell>
          <cell r="H254">
            <v>405.18517370999996</v>
          </cell>
          <cell r="I254">
            <v>632.01839077</v>
          </cell>
          <cell r="J254">
            <v>835.94207207000011</v>
          </cell>
          <cell r="K254">
            <v>1516.2754451600001</v>
          </cell>
          <cell r="L254">
            <v>328.63490666000001</v>
          </cell>
          <cell r="M254">
            <v>565.62563778999993</v>
          </cell>
          <cell r="N254">
            <v>566.43922060999989</v>
          </cell>
          <cell r="O254">
            <v>744.50844201999985</v>
          </cell>
          <cell r="P254">
            <v>2205.2082070799997</v>
          </cell>
          <cell r="Q254">
            <v>498.02956517000001</v>
          </cell>
          <cell r="R254">
            <v>798.84124771000006</v>
          </cell>
          <cell r="S254">
            <v>896.0121661300002</v>
          </cell>
          <cell r="T254">
            <v>1338.3314926099997</v>
          </cell>
          <cell r="U254">
            <v>3531.21447162</v>
          </cell>
          <cell r="V254">
            <v>788.46723758000007</v>
          </cell>
          <cell r="W254">
            <v>1243.12236188</v>
          </cell>
          <cell r="X254">
            <v>1227.5825049499999</v>
          </cell>
          <cell r="Y254">
            <v>2150.9219383900004</v>
          </cell>
          <cell r="Z254">
            <v>5410.0940428000004</v>
          </cell>
          <cell r="AA254">
            <v>1144.82098271</v>
          </cell>
          <cell r="AB254">
            <v>1897.70093425</v>
          </cell>
          <cell r="AC254">
            <v>1604.9511627299994</v>
          </cell>
          <cell r="AD254">
            <v>2684.4083697700007</v>
          </cell>
          <cell r="AE254">
            <v>7331.8814494600001</v>
          </cell>
          <cell r="AF254">
            <v>1202.59859555</v>
          </cell>
          <cell r="AG254">
            <v>1998.7442060451103</v>
          </cell>
          <cell r="AH254">
            <v>2091.7832663906393</v>
          </cell>
          <cell r="AI254">
            <v>3479.124291433448</v>
          </cell>
          <cell r="AJ254">
            <v>8772.2503594191985</v>
          </cell>
          <cell r="AK254">
            <v>11757.616476326557</v>
          </cell>
          <cell r="AL254">
            <v>15336.965902257129</v>
          </cell>
          <cell r="AM254">
            <v>18738.597086290665</v>
          </cell>
          <cell r="AN254">
            <v>21826.540805533867</v>
          </cell>
          <cell r="AO254">
            <v>24355.844208464579</v>
          </cell>
        </row>
        <row r="255">
          <cell r="B255" t="str">
            <v>Total shareholders' equity (Pub)</v>
          </cell>
          <cell r="C255" t="str">
            <v>EQ_PUB</v>
          </cell>
          <cell r="D255" t="str">
            <v>CNY</v>
          </cell>
          <cell r="F255">
            <v>146.64559302000001</v>
          </cell>
          <cell r="G255">
            <v>143.55420046</v>
          </cell>
          <cell r="H255">
            <v>229.25234051000001</v>
          </cell>
          <cell r="I255">
            <v>726.21987729</v>
          </cell>
          <cell r="J255">
            <v>828.27742987000011</v>
          </cell>
          <cell r="K255">
            <v>1174.3478082399999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1514.8762453300001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2147.6530604999998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4173.8794762300004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5211.0383028300002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6344.4387649240289</v>
          </cell>
          <cell r="AK255">
            <v>7838.2229912443399</v>
          </cell>
          <cell r="AL255">
            <v>9744.2913713984108</v>
          </cell>
          <cell r="AM255">
            <v>12299.137209045473</v>
          </cell>
          <cell r="AN255">
            <v>15303.676084061291</v>
          </cell>
          <cell r="AO255">
            <v>18683.010167717788</v>
          </cell>
        </row>
        <row r="256">
          <cell r="B256" t="str">
            <v>EPS (consensus)</v>
          </cell>
          <cell r="C256" t="str">
            <v>EPS_CONS_PUB</v>
          </cell>
          <cell r="D256" t="str">
            <v>CNY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</row>
        <row r="257">
          <cell r="A257" t="str">
            <v>Income Statement</v>
          </cell>
          <cell r="B257">
            <v>0</v>
          </cell>
          <cell r="C257">
            <v>0</v>
          </cell>
          <cell r="D257">
            <v>0</v>
          </cell>
        </row>
        <row r="258">
          <cell r="B258" t="str">
            <v>Provision for income tax</v>
          </cell>
          <cell r="C258" t="str">
            <v>PROV_INC_TAX</v>
          </cell>
          <cell r="D258" t="str">
            <v>CNY</v>
          </cell>
          <cell r="F258">
            <v>-3.0286409700000001</v>
          </cell>
          <cell r="G258">
            <v>-3.7160572000000003</v>
          </cell>
          <cell r="H258">
            <v>-11.49341182</v>
          </cell>
          <cell r="I258">
            <v>-7.0696161500000008</v>
          </cell>
          <cell r="J258">
            <v>-10.740322220000001</v>
          </cell>
          <cell r="K258">
            <v>-28.54646683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-37.789319679999998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-57.931297909999998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4.9006040099999995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-108.57938261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-140.40562663692583</v>
          </cell>
          <cell r="AK258">
            <v>-195.25934968945256</v>
          </cell>
          <cell r="AL258">
            <v>-249.15270313177416</v>
          </cell>
          <cell r="AM258">
            <v>-333.96021391517183</v>
          </cell>
          <cell r="AN258">
            <v>-392.74361749278637</v>
          </cell>
          <cell r="AO258">
            <v>-441.73645522359436</v>
          </cell>
        </row>
        <row r="259">
          <cell r="B259" t="str">
            <v>Minority interest</v>
          </cell>
          <cell r="C259" t="str">
            <v>INC_MINORITY</v>
          </cell>
          <cell r="D259" t="str">
            <v>CNY</v>
          </cell>
          <cell r="F259">
            <v>-3.8485741899999999</v>
          </cell>
          <cell r="G259">
            <v>-1.0227108199999999</v>
          </cell>
          <cell r="H259">
            <v>-2.555501E-2</v>
          </cell>
          <cell r="I259">
            <v>8.8599690000000009E-2</v>
          </cell>
          <cell r="J259">
            <v>7.7453100000000011E-2</v>
          </cell>
          <cell r="K259">
            <v>0.66297417000000003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2.4222743900000001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3.5039108900000002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0.78318718000000009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-1.58604379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-0.33467464000000002</v>
          </cell>
          <cell r="AK259">
            <v>-0.33467464000000002</v>
          </cell>
          <cell r="AL259">
            <v>-0.33467464000000002</v>
          </cell>
          <cell r="AM259">
            <v>-0.33467464000000002</v>
          </cell>
          <cell r="AN259">
            <v>-0.33467464000000002</v>
          </cell>
          <cell r="AO259">
            <v>-0.33467464000000002</v>
          </cell>
        </row>
        <row r="260">
          <cell r="B260" t="str">
            <v>Net income (pre-preferred dividends)</v>
          </cell>
          <cell r="C260" t="str">
            <v>NI_PRE_PREF</v>
          </cell>
          <cell r="D260" t="str">
            <v>CNY</v>
          </cell>
          <cell r="F260">
            <v>41.911617719999995</v>
          </cell>
          <cell r="G260">
            <v>47.727776140000017</v>
          </cell>
          <cell r="H260">
            <v>85.748259779999927</v>
          </cell>
          <cell r="I260">
            <v>104.12686062999995</v>
          </cell>
          <cell r="J260">
            <v>117.18703035000014</v>
          </cell>
          <cell r="K260">
            <v>260.29458596000001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377.98312351999965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700.15514504999999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1130.9219155100006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1142.6784846099997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1333.0185734753284</v>
          </cell>
          <cell r="AK260">
            <v>1756.9994725650713</v>
          </cell>
          <cell r="AL260">
            <v>2242.0396535459668</v>
          </cell>
          <cell r="AM260">
            <v>3005.3072505965451</v>
          </cell>
          <cell r="AN260">
            <v>3534.3578827950764</v>
          </cell>
          <cell r="AO260">
            <v>3975.2934223723478</v>
          </cell>
        </row>
        <row r="261">
          <cell r="B261" t="str">
            <v>Preferred dividends</v>
          </cell>
          <cell r="C261" t="str">
            <v>PREF_DIV</v>
          </cell>
          <cell r="D261" t="str">
            <v>CNY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</row>
        <row r="262">
          <cell r="B262" t="str">
            <v>Net income (pre-exceptionals)</v>
          </cell>
          <cell r="C262" t="str">
            <v>NET_EARNING</v>
          </cell>
          <cell r="D262" t="str">
            <v>CNY</v>
          </cell>
          <cell r="F262">
            <v>41.911617719999995</v>
          </cell>
          <cell r="G262">
            <v>47.727776140000017</v>
          </cell>
          <cell r="H262">
            <v>85.748259779999927</v>
          </cell>
          <cell r="I262">
            <v>104.12686062999995</v>
          </cell>
          <cell r="J262">
            <v>117.18703035000014</v>
          </cell>
          <cell r="K262">
            <v>260.29458596000001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377.98312351999965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700.15514504999999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1130.9219155100006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1142.6784846099997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1333.0185734753284</v>
          </cell>
          <cell r="AK262">
            <v>1756.9994725650713</v>
          </cell>
          <cell r="AL262">
            <v>2242.0396535459668</v>
          </cell>
          <cell r="AM262">
            <v>3005.3072505965451</v>
          </cell>
          <cell r="AN262">
            <v>3534.3578827950764</v>
          </cell>
          <cell r="AO262">
            <v>3975.2934223723478</v>
          </cell>
        </row>
        <row r="263">
          <cell r="B263" t="str">
            <v>Post-tax exceptionals</v>
          </cell>
          <cell r="C263" t="str">
            <v>TAX_EXC</v>
          </cell>
          <cell r="D263" t="str">
            <v>CNY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</row>
        <row r="264">
          <cell r="B264" t="str">
            <v>Net income (post-exceptionals)</v>
          </cell>
          <cell r="C264" t="str">
            <v>NET_INC</v>
          </cell>
          <cell r="D264" t="str">
            <v>CNY</v>
          </cell>
          <cell r="F264">
            <v>41.911617719999995</v>
          </cell>
          <cell r="G264">
            <v>47.727776140000017</v>
          </cell>
          <cell r="H264">
            <v>85.748259779999927</v>
          </cell>
          <cell r="I264">
            <v>104.12686062999995</v>
          </cell>
          <cell r="J264">
            <v>117.18703035000014</v>
          </cell>
          <cell r="K264">
            <v>260.29458596000001</v>
          </cell>
          <cell r="L264">
            <v>39.185843200000015</v>
          </cell>
          <cell r="M264">
            <v>89.721451699999875</v>
          </cell>
          <cell r="N264">
            <v>75.331104650000086</v>
          </cell>
          <cell r="O264">
            <v>173.74472396999968</v>
          </cell>
          <cell r="P264">
            <v>377.98312351999965</v>
          </cell>
          <cell r="Q264">
            <v>66.967705040000013</v>
          </cell>
          <cell r="R264">
            <v>158.84193165000011</v>
          </cell>
          <cell r="S264">
            <v>152.18808588000002</v>
          </cell>
          <cell r="T264">
            <v>322.1574224799997</v>
          </cell>
          <cell r="U264">
            <v>700.15514504999999</v>
          </cell>
          <cell r="V264">
            <v>142.67308917000011</v>
          </cell>
          <cell r="W264">
            <v>243.58044674999999</v>
          </cell>
          <cell r="X264">
            <v>229.71313152999994</v>
          </cell>
          <cell r="Y264">
            <v>514.9552480600006</v>
          </cell>
          <cell r="Z264">
            <v>1130.9219155100006</v>
          </cell>
          <cell r="AA264">
            <v>201.66848065999997</v>
          </cell>
          <cell r="AB264">
            <v>304.66229314999993</v>
          </cell>
          <cell r="AC264">
            <v>218.26572487999971</v>
          </cell>
          <cell r="AD264">
            <v>418.08198592000036</v>
          </cell>
          <cell r="AE264">
            <v>1142.6784846099997</v>
          </cell>
          <cell r="AF264">
            <v>103.4049540200001</v>
          </cell>
          <cell r="AG264">
            <v>347.46371641038542</v>
          </cell>
          <cell r="AH264">
            <v>318.62198293791795</v>
          </cell>
          <cell r="AI264">
            <v>563.52792010702478</v>
          </cell>
          <cell r="AJ264">
            <v>1333.0185734753284</v>
          </cell>
          <cell r="AK264">
            <v>1756.9994725650713</v>
          </cell>
          <cell r="AL264">
            <v>2242.0396535459668</v>
          </cell>
          <cell r="AM264">
            <v>3005.3072505965451</v>
          </cell>
          <cell r="AN264">
            <v>3534.3578827950764</v>
          </cell>
          <cell r="AO264">
            <v>3975.2934223723478</v>
          </cell>
        </row>
        <row r="265">
          <cell r="B265" t="str">
            <v>EPS (pre-exceptionals, basic)</v>
          </cell>
          <cell r="C265" t="str">
            <v>EPS</v>
          </cell>
          <cell r="D265" t="str">
            <v>CNY</v>
          </cell>
          <cell r="F265">
            <v>5.2389522149999992E-2</v>
          </cell>
          <cell r="G265">
            <v>5.9659720175000021E-2</v>
          </cell>
          <cell r="H265">
            <v>0.10718532472499991</v>
          </cell>
          <cell r="I265">
            <v>0.10396052379193287</v>
          </cell>
          <cell r="J265">
            <v>0.10964355384543427</v>
          </cell>
          <cell r="K265">
            <v>0.23824265520051607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0.33859698094169249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0.62720896154846306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0.99320289687818253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0.98134522698794224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1.1488199361294218</v>
          </cell>
          <cell r="AK265">
            <v>1.514214476839014</v>
          </cell>
          <cell r="AL265">
            <v>1.9322310302632701</v>
          </cell>
          <cell r="AM265">
            <v>2.5900290906513099</v>
          </cell>
          <cell r="AN265">
            <v>3.0459746607921567</v>
          </cell>
          <cell r="AO265">
            <v>3.4259810226642995</v>
          </cell>
        </row>
        <row r="266">
          <cell r="B266" t="str">
            <v>EPS (pre-exceptionals, diluted)</v>
          </cell>
          <cell r="C266" t="str">
            <v>EPS_FUL_DIL</v>
          </cell>
          <cell r="D266" t="str">
            <v>CNY</v>
          </cell>
          <cell r="F266">
            <v>5.2389522149999992E-2</v>
          </cell>
          <cell r="G266">
            <v>5.9659720175000021E-2</v>
          </cell>
          <cell r="H266">
            <v>0.10718532472499991</v>
          </cell>
          <cell r="I266">
            <v>9.74240836732784E-2</v>
          </cell>
          <cell r="J266">
            <v>0.10964355384543427</v>
          </cell>
          <cell r="K266">
            <v>0.23317168274805397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0.33859698094169249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0.62724058477725564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0.98672819884462926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0.97642232330424372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1.1488199361294218</v>
          </cell>
          <cell r="AK266">
            <v>1.514214476839014</v>
          </cell>
          <cell r="AL266">
            <v>1.9322310302632701</v>
          </cell>
          <cell r="AM266">
            <v>2.5900290906513099</v>
          </cell>
          <cell r="AN266">
            <v>3.0459746607921567</v>
          </cell>
          <cell r="AO266">
            <v>3.4259810226642995</v>
          </cell>
        </row>
        <row r="267">
          <cell r="B267" t="str">
            <v>EPS (post-exceptionals, basic)</v>
          </cell>
          <cell r="C267" t="str">
            <v>EPS_POST_BASIC</v>
          </cell>
          <cell r="D267" t="str">
            <v>CNY</v>
          </cell>
          <cell r="F267">
            <v>5.2389522149999992E-2</v>
          </cell>
          <cell r="G267">
            <v>5.9659720175000021E-2</v>
          </cell>
          <cell r="H267">
            <v>0.10718532472499991</v>
          </cell>
          <cell r="I267">
            <v>0.10396052379193287</v>
          </cell>
          <cell r="J267">
            <v>0.10964355384543427</v>
          </cell>
          <cell r="K267">
            <v>0.23824265520051607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0.33859698094169249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0.62720896154846306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0.99320289687818253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0.98134522698794224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1.1488199361294218</v>
          </cell>
          <cell r="AK267">
            <v>1.514214476839014</v>
          </cell>
          <cell r="AL267">
            <v>1.9322310302632701</v>
          </cell>
          <cell r="AM267">
            <v>2.5900290906513099</v>
          </cell>
          <cell r="AN267">
            <v>3.0459746607921567</v>
          </cell>
          <cell r="AO267">
            <v>3.4259810226642995</v>
          </cell>
        </row>
        <row r="268">
          <cell r="B268" t="str">
            <v>EPS (post-exceptionals, diluted)</v>
          </cell>
          <cell r="C268" t="str">
            <v>FULLY_DIL_EPS</v>
          </cell>
          <cell r="D268" t="str">
            <v>CNY</v>
          </cell>
          <cell r="F268">
            <v>5.2389522149999992E-2</v>
          </cell>
          <cell r="G268">
            <v>5.9659720175000021E-2</v>
          </cell>
          <cell r="H268">
            <v>0.10718532472499991</v>
          </cell>
          <cell r="I268">
            <v>9.74240836732784E-2</v>
          </cell>
          <cell r="J268">
            <v>0.10964355384543427</v>
          </cell>
          <cell r="K268">
            <v>0.23317168274805397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0.33859698094169249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0.62724058477725564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0.98672819884462926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0.97642232330424372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1.1488199361294218</v>
          </cell>
          <cell r="AK268">
            <v>1.514214476839014</v>
          </cell>
          <cell r="AL268">
            <v>1.9322310302632701</v>
          </cell>
          <cell r="AM268">
            <v>2.5900290906513099</v>
          </cell>
          <cell r="AN268">
            <v>3.0459746607921567</v>
          </cell>
          <cell r="AO268">
            <v>3.4259810226642995</v>
          </cell>
        </row>
        <row r="269">
          <cell r="B269" t="str">
            <v>Common dividends paid</v>
          </cell>
          <cell r="C269" t="str">
            <v>COMMON_DIV_PAID</v>
          </cell>
          <cell r="D269" t="str">
            <v>CNY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-40.08</v>
          </cell>
          <cell r="K269">
            <v>-69.755099999999999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-69.770099999999999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-89.299724800000007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-113.68475431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-117.027075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-199.95278602129932</v>
          </cell>
          <cell r="AK269">
            <v>-263.5499208847607</v>
          </cell>
          <cell r="AL269">
            <v>-336.3059480318949</v>
          </cell>
          <cell r="AM269">
            <v>-450.79608758948171</v>
          </cell>
          <cell r="AN269">
            <v>-530.15368241926149</v>
          </cell>
          <cell r="AO269">
            <v>-596.29401335585214</v>
          </cell>
        </row>
        <row r="270">
          <cell r="B270" t="str">
            <v>DPS, dividend per share</v>
          </cell>
          <cell r="C270" t="str">
            <v>DPS</v>
          </cell>
          <cell r="D270" t="str">
            <v>CNY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3.7499999999999999E-2</v>
          </cell>
          <cell r="K270">
            <v>6.2486563011949242E-2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6.25E-2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0.08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9.9189830277374741E-2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0.1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0.17232299041941332</v>
          </cell>
          <cell r="AK270">
            <v>0.22713217152585208</v>
          </cell>
          <cell r="AL270">
            <v>0.28983465453949042</v>
          </cell>
          <cell r="AM270">
            <v>0.38850436359769647</v>
          </cell>
          <cell r="AN270">
            <v>0.45689619911882356</v>
          </cell>
          <cell r="AO270">
            <v>0.51389715339964492</v>
          </cell>
        </row>
        <row r="271">
          <cell r="B271" t="str">
            <v>Weighted average shares outstanding, basic</v>
          </cell>
          <cell r="C271" t="str">
            <v>SH</v>
          </cell>
          <cell r="F271">
            <v>800</v>
          </cell>
          <cell r="G271">
            <v>800</v>
          </cell>
          <cell r="H271">
            <v>800</v>
          </cell>
          <cell r="I271">
            <v>1001.5999999999999</v>
          </cell>
          <cell r="J271">
            <v>1068.8</v>
          </cell>
          <cell r="K271">
            <v>1092.5608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1116.3216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1116.3028399999998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1138.6615152499999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1164.4001042499999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1160.3372569999999</v>
          </cell>
          <cell r="AK271">
            <v>1160.3372569999999</v>
          </cell>
          <cell r="AL271">
            <v>1160.3372569999999</v>
          </cell>
          <cell r="AM271">
            <v>1160.3372569999999</v>
          </cell>
          <cell r="AN271">
            <v>1160.3372569999999</v>
          </cell>
          <cell r="AO271">
            <v>1160.3372569999999</v>
          </cell>
        </row>
        <row r="272">
          <cell r="B272" t="str">
            <v>Diluted average shares outstanding (mn)</v>
          </cell>
          <cell r="C272" t="str">
            <v>DILUTE_SHARES</v>
          </cell>
          <cell r="F272">
            <v>800</v>
          </cell>
          <cell r="G272">
            <v>800</v>
          </cell>
          <cell r="H272">
            <v>800</v>
          </cell>
          <cell r="I272">
            <v>1068.8</v>
          </cell>
          <cell r="J272">
            <v>1068.8</v>
          </cell>
          <cell r="K272">
            <v>1116.3216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1116.3216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1116.24656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1146.133167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1170.2707499999999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1160.3372569999999</v>
          </cell>
          <cell r="AK272">
            <v>1160.3372569999999</v>
          </cell>
          <cell r="AL272">
            <v>1160.3372569999999</v>
          </cell>
          <cell r="AM272">
            <v>1160.3372569999999</v>
          </cell>
          <cell r="AN272">
            <v>1160.3372569999999</v>
          </cell>
          <cell r="AO272">
            <v>1160.3372569999999</v>
          </cell>
        </row>
        <row r="273">
          <cell r="B273" t="str">
            <v>Period-end shares outstanding</v>
          </cell>
          <cell r="C273" t="str">
            <v>NON_OP_ADD</v>
          </cell>
          <cell r="F273">
            <v>800</v>
          </cell>
          <cell r="G273">
            <v>800</v>
          </cell>
          <cell r="H273">
            <v>800</v>
          </cell>
          <cell r="I273">
            <v>1068.8</v>
          </cell>
          <cell r="J273">
            <v>1068.8</v>
          </cell>
          <cell r="K273">
            <v>1116.3216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1116.3216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1116.24656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1146.133167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1170.2707499999999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1160.3372569999999</v>
          </cell>
          <cell r="AK273">
            <v>1160.3372569999999</v>
          </cell>
          <cell r="AL273">
            <v>1160.3372569999999</v>
          </cell>
          <cell r="AM273">
            <v>1160.3372569999999</v>
          </cell>
          <cell r="AN273">
            <v>1160.3372569999999</v>
          </cell>
          <cell r="AO273">
            <v>1160.3372569999999</v>
          </cell>
        </row>
        <row r="274">
          <cell r="A274" t="str">
            <v>Additional Income Statement Items</v>
          </cell>
          <cell r="B274">
            <v>0</v>
          </cell>
          <cell r="C274">
            <v>0</v>
          </cell>
          <cell r="D274">
            <v>0</v>
          </cell>
        </row>
        <row r="275">
          <cell r="B275" t="str">
            <v>Marginal tax rate</v>
          </cell>
          <cell r="C275" t="str">
            <v>MARGIN_TAX_RATE</v>
          </cell>
          <cell r="F275">
            <v>6.2076520203899588E-2</v>
          </cell>
          <cell r="G275">
            <v>7.0827176813240272E-2</v>
          </cell>
          <cell r="H275">
            <v>0.11816325211043259</v>
          </cell>
          <cell r="I275">
            <v>6.3628397330222117E-2</v>
          </cell>
          <cell r="J275">
            <v>8.400727935277108E-2</v>
          </cell>
          <cell r="K275">
            <v>9.9058425841065445E-2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9.1422049708585501E-2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7.6772646394398528E-2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8.6666329026149014E-2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9.5270419769671391E-2</v>
          </cell>
          <cell r="AK275">
            <v>0.10000000000000009</v>
          </cell>
          <cell r="AL275">
            <v>0.10000000000000003</v>
          </cell>
          <cell r="AM275">
            <v>0.10000000000000003</v>
          </cell>
          <cell r="AN275">
            <v>0.10000000000000003</v>
          </cell>
          <cell r="AO275">
            <v>0.10000000000000003</v>
          </cell>
        </row>
        <row r="276">
          <cell r="B276" t="str">
            <v>Net income (consensus) (Pub)</v>
          </cell>
          <cell r="C276" t="str">
            <v>NI_CONS</v>
          </cell>
          <cell r="D276" t="str">
            <v>CNY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</row>
        <row r="277">
          <cell r="A277" t="str">
            <v>Balance Sheet</v>
          </cell>
          <cell r="B277">
            <v>0</v>
          </cell>
          <cell r="C277">
            <v>0</v>
          </cell>
          <cell r="D277">
            <v>0</v>
          </cell>
        </row>
        <row r="278">
          <cell r="B278" t="str">
            <v>BVPS, book value per share</v>
          </cell>
          <cell r="C278" t="str">
            <v>BVPS</v>
          </cell>
          <cell r="D278" t="str">
            <v>CNY</v>
          </cell>
          <cell r="F278">
            <v>0.16948528391250001</v>
          </cell>
          <cell r="G278">
            <v>0.17914592408749999</v>
          </cell>
          <cell r="H278">
            <v>0.28633032881250003</v>
          </cell>
          <cell r="I278">
            <v>0.67937911631736525</v>
          </cell>
          <cell r="J278">
            <v>0.7749601701627995</v>
          </cell>
          <cell r="K278">
            <v>1.0508717043636888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1.3489495266328271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1.9190582947462786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3.6370887681588226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4.44568989810264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5.4602458040128496</v>
          </cell>
          <cell r="AK278">
            <v>6.7473281093260118</v>
          </cell>
          <cell r="AL278">
            <v>8.3897244850497898</v>
          </cell>
          <cell r="AM278">
            <v>10.591249212103403</v>
          </cell>
          <cell r="AN278">
            <v>13.180327673776739</v>
          </cell>
          <cell r="AO278">
            <v>16.092411543041397</v>
          </cell>
        </row>
        <row r="279">
          <cell r="A279" t="str">
            <v>Cash Flow Statement</v>
          </cell>
          <cell r="B279">
            <v>0</v>
          </cell>
          <cell r="C279">
            <v>0</v>
          </cell>
          <cell r="D279">
            <v>0</v>
          </cell>
        </row>
        <row r="280">
          <cell r="B280" t="str">
            <v>Net income (pre-preferred dividends)</v>
          </cell>
          <cell r="C280" t="str">
            <v>CF_NI_PRE_PREF</v>
          </cell>
          <cell r="D280" t="str">
            <v>CNY</v>
          </cell>
          <cell r="F280">
            <v>41.911617719999995</v>
          </cell>
          <cell r="G280">
            <v>47.727776140000017</v>
          </cell>
          <cell r="H280">
            <v>85.748259779999927</v>
          </cell>
          <cell r="I280">
            <v>104.12686062999995</v>
          </cell>
          <cell r="J280">
            <v>117.18703035000014</v>
          </cell>
          <cell r="K280">
            <v>260.29458596000001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377.98312351999965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700.15514504999999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1130.9219155100006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1142.6784846099997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1333.0185734753284</v>
          </cell>
          <cell r="AK280">
            <v>1756.9994725650713</v>
          </cell>
          <cell r="AL280">
            <v>2242.0396535459668</v>
          </cell>
          <cell r="AM280">
            <v>3005.3072505965451</v>
          </cell>
          <cell r="AN280">
            <v>3534.3578827950764</v>
          </cell>
          <cell r="AO280">
            <v>3975.2934223723478</v>
          </cell>
        </row>
        <row r="281">
          <cell r="A281" t="str">
            <v>Other Items</v>
          </cell>
          <cell r="B281">
            <v>0</v>
          </cell>
          <cell r="C281">
            <v>0</v>
          </cell>
          <cell r="D281">
            <v>0</v>
          </cell>
        </row>
        <row r="282">
          <cell r="B282" t="str">
            <v>Beta</v>
          </cell>
          <cell r="C282" t="str">
            <v>BETA_ANALYST</v>
          </cell>
          <cell r="E282">
            <v>0</v>
          </cell>
        </row>
        <row r="283">
          <cell r="B283" t="str">
            <v>Market equity risk premium</v>
          </cell>
          <cell r="C283" t="str">
            <v>MKT_EQ_RISK_PREM</v>
          </cell>
          <cell r="E283">
            <v>0</v>
          </cell>
        </row>
        <row r="284">
          <cell r="B284" t="str">
            <v>Risk-free rate</v>
          </cell>
          <cell r="C284" t="str">
            <v>RISK_FR_RATE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P284">
            <v>0</v>
          </cell>
          <cell r="U284">
            <v>0</v>
          </cell>
          <cell r="Z284">
            <v>0</v>
          </cell>
          <cell r="AE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Valuation"/>
      <sheetName val="AFOSHEET"/>
      <sheetName val="Act Vs Est "/>
      <sheetName val="%Change"/>
      <sheetName val="Company Data"/>
      <sheetName val="Industry Data"/>
      <sheetName val="Model"/>
      <sheetName val="Model (post deal)"/>
      <sheetName val="Ratios"/>
      <sheetName val="Driver"/>
      <sheetName val="Display"/>
      <sheetName val="产线及项目"/>
      <sheetName val="Chart"/>
      <sheetName val="Market Data"/>
      <sheetName val="000050.SZ_Live_Sheet"/>
      <sheetName val="000050.SZ_Validation_Sheet"/>
      <sheetName val="000050.SZ_Annotation_Sheet"/>
      <sheetName val="Raw Data"/>
      <sheetName val="Raw Data (post deal)"/>
      <sheetName val="Basic Data_Wind (adjusted)"/>
      <sheetName val="Basic Data_Wind"/>
      <sheetName val="000050.SZ_Exchange_Sheet"/>
      <sheetName val="EPS Walk"/>
      <sheetName val="Driver_old"/>
      <sheetName val="Reg AC"/>
      <sheetName val="Disclaimer"/>
      <sheetName val="First take"/>
      <sheetName val="Commentary"/>
      <sheetName val="Exhibit"/>
      <sheetName val="公司介绍"/>
      <sheetName val="Management"/>
      <sheetName val="主营构成"/>
      <sheetName val="财务摘要"/>
      <sheetName val="Cover Page"/>
      <sheetName val="Assumption basis"/>
      <sheetName val="GS vs. BBG"/>
      <sheetName val="Summary page"/>
      <sheetName val="Sensitivity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A1" t="str">
            <v>Issuer: Tianma Microelectronics Co.</v>
          </cell>
        </row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>
            <v>0</v>
          </cell>
          <cell r="E218">
            <v>12.6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Fundamental value</v>
          </cell>
          <cell r="C220" t="str">
            <v>TARGET_PRICE_FUNDAMENTAL</v>
          </cell>
          <cell r="D220">
            <v>0</v>
          </cell>
        </row>
        <row r="221">
          <cell r="B221" t="str">
            <v>M&amp;A value</v>
          </cell>
          <cell r="C221" t="str">
            <v>TARGET_PRICE_MA</v>
          </cell>
          <cell r="D221">
            <v>0</v>
          </cell>
        </row>
        <row r="222">
          <cell r="B222" t="str">
            <v>Current shares outstanding (mn)</v>
          </cell>
          <cell r="C222" t="str">
            <v>NUM_SH</v>
          </cell>
          <cell r="E222">
            <v>2048.123051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  <sheetData sheetId="19" refreshError="1">
        <row r="1">
          <cell r="A1" t="str">
            <v>82f6113c-68db-4712-b73f-b5944f8d605a</v>
          </cell>
        </row>
        <row r="215">
          <cell r="A215" t="str">
            <v>Scalar|||200019558|||EQTY|||AEJ_LIST|||False|||</v>
          </cell>
          <cell r="C215" t="str">
            <v>V_KEYWORD_EQTY_200019558_AEJ_LIST</v>
          </cell>
          <cell r="E215" t="str">
            <v>ERROR</v>
          </cell>
        </row>
        <row r="216">
          <cell r="A216" t="str">
            <v>Scalar|||200019558|||EQTY|||AEJ_CONVICTION|||False|||</v>
          </cell>
          <cell r="C216" t="str">
            <v>V_KEYWORD_EQTY_200019558_AEJ_CONVICTION</v>
          </cell>
        </row>
        <row r="217">
          <cell r="A217" t="str">
            <v>Scalar|||200019558|||EQTY|||LEGAL_RATING|||False|||</v>
          </cell>
          <cell r="C217" t="str">
            <v>V_KEYWORD_EQTY_200019558_LEGAL_RATING</v>
          </cell>
        </row>
        <row r="218">
          <cell r="A218" t="str">
            <v>Scalar|||200019558|||EQTY|||TARGET_PRICE|||False|||</v>
          </cell>
          <cell r="C218" t="str">
            <v>V_KEYWORD_EQTY_200019558_TARGET_PRICE</v>
          </cell>
          <cell r="E218" t="str">
            <v>ERROR</v>
          </cell>
        </row>
        <row r="219">
          <cell r="A219" t="str">
            <v>Scalar|||200019558|||EQTY|||TP_PERIOD|||False|||</v>
          </cell>
          <cell r="C219" t="str">
            <v>V_KEYWORD_EQTY_200019558_TP_PERIOD</v>
          </cell>
          <cell r="E219" t="str">
            <v>ERROR</v>
          </cell>
        </row>
        <row r="220">
          <cell r="A220" t="str">
            <v>Scalar|||200019558|||EQTY|||TARGET_PRICE_FUNDAMENTAL|||False|||</v>
          </cell>
          <cell r="C220" t="str">
            <v>V_KEYWORD_EQTY_200019558_TARGET_PRICE_FUNDAMENTAL</v>
          </cell>
        </row>
        <row r="221">
          <cell r="A221" t="str">
            <v>Scalar|||200019558|||EQTY|||TARGET_PRICE_MA|||False|||</v>
          </cell>
          <cell r="C221" t="str">
            <v>V_KEYWORD_EQTY_200019558_TARGET_PRICE_MA</v>
          </cell>
        </row>
        <row r="222">
          <cell r="A222" t="str">
            <v>Scalar|||200019558|||EQTY|||NUM_SH|||False|||</v>
          </cell>
          <cell r="C222" t="str">
            <v>V_KEYWORD_EQTY_200019558_NUM_SH</v>
          </cell>
        </row>
        <row r="223">
          <cell r="A223" t="str">
            <v>Scalar|||200019558|||EQTY|||FREE_FLOAT|||False|||</v>
          </cell>
          <cell r="C223" t="str">
            <v>V_KEYWORD_EQTY_200019558_FREE_FLOAT</v>
          </cell>
        </row>
        <row r="224">
          <cell r="A224" t="str">
            <v>Scalar|||200019558|||EQTY|||FOREIGN_HOLDNG|||False|||</v>
          </cell>
          <cell r="C224" t="str">
            <v>V_KEYWORD_EQTY_200019558_FOREIGN_HOLDNG</v>
          </cell>
        </row>
        <row r="225">
          <cell r="A225" t="str">
            <v>Scalar|||200019558|||EQTY|||CATALYST1_DATE|||True|||</v>
          </cell>
          <cell r="C225" t="str">
            <v>V_KEYWORD_EQTY_200019558_CATALYST1_DATE</v>
          </cell>
        </row>
        <row r="226">
          <cell r="A226" t="str">
            <v>Scalar|||200019558|||EQTY|||CATALYST1_EVENT|||False|||</v>
          </cell>
          <cell r="C226" t="str">
            <v>V_KEYWORD_EQTY_200019558_CATALYST1_EVENT</v>
          </cell>
        </row>
        <row r="227">
          <cell r="A227" t="str">
            <v>Scalar|||200019558|||EQTY|||CATALYST2_DATE|||True|||</v>
          </cell>
          <cell r="C227" t="str">
            <v>V_KEYWORD_EQTY_200019558_CATALYST2_DATE</v>
          </cell>
        </row>
        <row r="228">
          <cell r="A228" t="str">
            <v>Scalar|||200019558|||EQTY|||CATALYST2_EVENT|||False|||</v>
          </cell>
          <cell r="C228" t="str">
            <v>V_KEYWORD_EQTY_200019558_CATALYST2_EVENT</v>
          </cell>
        </row>
        <row r="229">
          <cell r="A229" t="str">
            <v>Scalar|||200019558|||EQTY|||CATALYST3_DATE|||True|||</v>
          </cell>
          <cell r="C229" t="str">
            <v>V_KEYWORD_EQTY_200019558_CATALYST3_DATE</v>
          </cell>
        </row>
        <row r="230">
          <cell r="A230" t="str">
            <v>Scalar|||200019558|||EQTY|||CATALYST3_EVENT|||False|||</v>
          </cell>
          <cell r="C230" t="str">
            <v>V_KEYWORD_EQTY_200019558_CATALYST3_EVENT</v>
          </cell>
        </row>
        <row r="231">
          <cell r="A231" t="str">
            <v>Scalar|||200019558|||EQTY|||CATALYST4_DATE|||True|||</v>
          </cell>
          <cell r="C231" t="str">
            <v>V_KEYWORD_EQTY_200019558_CATALYST4_DATE</v>
          </cell>
        </row>
        <row r="232">
          <cell r="A232" t="str">
            <v>Scalar|||200019558|||EQTY|||CATALYST4_EVENT|||False|||</v>
          </cell>
          <cell r="C232" t="str">
            <v>V_KEYWORD_EQTY_200019558_CATALYST4_EVENT</v>
          </cell>
        </row>
        <row r="233">
          <cell r="A233" t="str">
            <v>Scalar|||200019558|||EQTY|||CATALYST5_DATE|||True|||</v>
          </cell>
          <cell r="C233" t="str">
            <v>V_KEYWORD_EQTY_200019558_CATALYST5_DATE</v>
          </cell>
        </row>
        <row r="234">
          <cell r="A234" t="str">
            <v>Scalar|||200019558|||EQTY|||CATALYST5_EVENT|||False|||</v>
          </cell>
          <cell r="C234" t="str">
            <v>V_KEYWORD_EQTY_200019558_CATALYST5_EVENT</v>
          </cell>
        </row>
        <row r="235">
          <cell r="A235" t="str">
            <v>Scalar|||200019558|||EQTY|||PRI_TARG_MULT|||False|||</v>
          </cell>
          <cell r="C235" t="str">
            <v>V_KEYWORD_EQTY_200019558_PRI_TARG_MULT</v>
          </cell>
        </row>
        <row r="236">
          <cell r="A236" t="str">
            <v>Scalar|||200019558|||EQTY|||PRI_TARG_METH|||False|||</v>
          </cell>
          <cell r="C236" t="str">
            <v>V_KEYWORD_EQTY_200019558_PRI_TARG_METH</v>
          </cell>
        </row>
        <row r="276">
          <cell r="A276" t="str">
            <v>Scalar|||200019558|||EQTY|||BETA_ANALYST|||False|||</v>
          </cell>
          <cell r="C276" t="str">
            <v>V_KEYWORD_EQTY_200019558_BETA_ANALYST</v>
          </cell>
        </row>
        <row r="277">
          <cell r="A277" t="str">
            <v>Scalar|||200019558|||EQTY|||MKT_EQ_RISK_PREM|||False|||</v>
          </cell>
          <cell r="C277" t="str">
            <v>V_KEYWORD_EQTY_200019558_MKT_EQ_RISK_PREM</v>
          </cell>
        </row>
        <row r="278">
          <cell r="A278" t="str">
            <v>Scalar|||200019558|||EQTY|||RISK_FR_RATE|||False|||</v>
          </cell>
          <cell r="C278" t="str">
            <v>V_KEYWORD_EQTY_200019558_RISK_FR_RATE</v>
          </cell>
        </row>
      </sheetData>
      <sheetData sheetId="20" refreshError="1"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e">
            <v>#NAME?</v>
          </cell>
        </row>
        <row r="219">
          <cell r="B219" t="str">
            <v>Target price period</v>
          </cell>
          <cell r="C219" t="str">
            <v>TP_PERIOD</v>
          </cell>
        </row>
        <row r="220">
          <cell r="B220" t="str">
            <v>Fundamental value</v>
          </cell>
          <cell r="C220" t="str">
            <v>TARGET_PRICE_FUNDAMENTAL</v>
          </cell>
          <cell r="D220" t="e">
            <v>#NAME?</v>
          </cell>
        </row>
        <row r="221">
          <cell r="B221" t="str">
            <v>M&amp;A value</v>
          </cell>
          <cell r="C221" t="str">
            <v>TARGET_PRICE_MA</v>
          </cell>
          <cell r="D221" t="e">
            <v>#NAME?</v>
          </cell>
        </row>
        <row r="222">
          <cell r="B222" t="str">
            <v>Current shares outstanding (mn)</v>
          </cell>
          <cell r="C222" t="str">
            <v>NUM_SH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>
        <row r="1">
          <cell r="A1" t="str">
            <v>Issuer: Tianma Microelectronics Co.</v>
          </cell>
        </row>
        <row r="215">
          <cell r="B215" t="str">
            <v>Asia ex. Japan Investment List</v>
          </cell>
          <cell r="C215" t="str">
            <v>AEJ_LIST</v>
          </cell>
          <cell r="E215" t="str">
            <v>Buy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18.5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Fundamental value</v>
          </cell>
          <cell r="C220" t="str">
            <v>TARGET_PRICE_FUNDAMENTAL</v>
          </cell>
          <cell r="D220" t="str">
            <v>CNY</v>
          </cell>
        </row>
        <row r="221">
          <cell r="B221" t="str">
            <v>M&amp;A value</v>
          </cell>
          <cell r="C221" t="str">
            <v>TARGET_PRICE_MA</v>
          </cell>
          <cell r="D221" t="str">
            <v>CNY</v>
          </cell>
        </row>
        <row r="222">
          <cell r="B222" t="str">
            <v>Current shares outstanding (mn)</v>
          </cell>
          <cell r="C222" t="str">
            <v>NUM_SH</v>
          </cell>
          <cell r="E222">
            <v>2048.123051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Model"/>
      <sheetName val="Model (post deal)"/>
      <sheetName val="Driver"/>
      <sheetName val="Display"/>
      <sheetName val="Assumption basis"/>
      <sheetName val="Raw Data"/>
      <sheetName val="Market Data"/>
      <sheetName val="000050.SZ_Live_Sheet"/>
      <sheetName val="000050.SZ_Validation_Sheet"/>
      <sheetName val="000050.SZ_Annotation_Sheet"/>
      <sheetName val="Raw Data (post deal)"/>
      <sheetName val="Basic Data_Wind (adjusted)"/>
      <sheetName val="Basic Data_Wind"/>
      <sheetName val="000050.SZ_Exchange_Sheet"/>
      <sheetName val="Ratios"/>
      <sheetName val="Summary page"/>
      <sheetName val="GS vs. BBG"/>
      <sheetName val="Chart"/>
      <sheetName val="Sensitivity"/>
      <sheetName val="Output"/>
      <sheetName val="Manag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13.2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Fundamental value</v>
          </cell>
          <cell r="C220" t="str">
            <v>TARGET_PRICE_FUNDAMENTAL</v>
          </cell>
          <cell r="D220" t="str">
            <v>CNY</v>
          </cell>
        </row>
        <row r="221">
          <cell r="B221" t="str">
            <v>M&amp;A value</v>
          </cell>
          <cell r="C221" t="str">
            <v>TARGET_PRICE_MA</v>
          </cell>
          <cell r="D221" t="str">
            <v>CNY</v>
          </cell>
        </row>
        <row r="222">
          <cell r="B222" t="str">
            <v>Current shares outstanding (mn)</v>
          </cell>
          <cell r="C222" t="str">
            <v>NUM_SH</v>
          </cell>
          <cell r="E222">
            <v>2048.123051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  <sheetData sheetId="9">
        <row r="215">
          <cell r="A215" t="str">
            <v>Scalar|||200019558|||EQTY|||AEJ_LIST|||False|||</v>
          </cell>
          <cell r="C215" t="str">
            <v>V_KEYWORD_EQTY_200019558_AEJ_LIST</v>
          </cell>
        </row>
        <row r="216">
          <cell r="A216" t="str">
            <v>Scalar|||200019558|||EQTY|||AEJ_CONVICTION|||False|||</v>
          </cell>
          <cell r="C216" t="str">
            <v>V_KEYWORD_EQTY_200019558_AEJ_CONVICTION</v>
          </cell>
        </row>
        <row r="217">
          <cell r="A217" t="str">
            <v>Scalar|||200019558|||EQTY|||LEGAL_RATING|||False|||</v>
          </cell>
          <cell r="C217" t="str">
            <v>V_KEYWORD_EQTY_200019558_LEGAL_RATING</v>
          </cell>
        </row>
        <row r="218">
          <cell r="A218" t="str">
            <v>Scalar|||200019558|||EQTY|||TARGET_PRICE|||False|||</v>
          </cell>
          <cell r="C218" t="str">
            <v>V_KEYWORD_EQTY_200019558_TARGET_PRICE</v>
          </cell>
        </row>
        <row r="219">
          <cell r="A219" t="str">
            <v>Scalar|||200019558|||EQTY|||TP_PERIOD|||False|||</v>
          </cell>
          <cell r="C219" t="str">
            <v>V_KEYWORD_EQTY_200019558_TP_PERIOD</v>
          </cell>
        </row>
        <row r="220">
          <cell r="A220" t="str">
            <v>Scalar|||200019558|||EQTY|||TARGET_PRICE_FUNDAMENTAL|||False|||</v>
          </cell>
          <cell r="C220" t="str">
            <v>V_KEYWORD_EQTY_200019558_TARGET_PRICE_FUNDAMENTAL</v>
          </cell>
        </row>
        <row r="221">
          <cell r="A221" t="str">
            <v>Scalar|||200019558|||EQTY|||TARGET_PRICE_MA|||False|||</v>
          </cell>
          <cell r="C221" t="str">
            <v>V_KEYWORD_EQTY_200019558_TARGET_PRICE_MA</v>
          </cell>
        </row>
        <row r="222">
          <cell r="A222" t="str">
            <v>Scalar|||200019558|||EQTY|||NUM_SH|||False|||</v>
          </cell>
          <cell r="C222" t="str">
            <v>V_KEYWORD_EQTY_200019558_NUM_SH</v>
          </cell>
        </row>
        <row r="223">
          <cell r="A223" t="str">
            <v>Scalar|||200019558|||EQTY|||FREE_FLOAT|||False|||</v>
          </cell>
          <cell r="C223" t="str">
            <v>V_KEYWORD_EQTY_200019558_FREE_FLOAT</v>
          </cell>
        </row>
        <row r="224">
          <cell r="A224" t="str">
            <v>Scalar|||200019558|||EQTY|||FOREIGN_HOLDNG|||False|||</v>
          </cell>
          <cell r="C224" t="str">
            <v>V_KEYWORD_EQTY_200019558_FOREIGN_HOLDNG</v>
          </cell>
        </row>
        <row r="225">
          <cell r="A225" t="str">
            <v>Scalar|||200019558|||EQTY|||CATALYST1_DATE|||True|||</v>
          </cell>
          <cell r="C225" t="str">
            <v>V_KEYWORD_EQTY_200019558_CATALYST1_DATE</v>
          </cell>
        </row>
        <row r="226">
          <cell r="A226" t="str">
            <v>Scalar|||200019558|||EQTY|||CATALYST1_EVENT|||False|||</v>
          </cell>
          <cell r="C226" t="str">
            <v>V_KEYWORD_EQTY_200019558_CATALYST1_EVENT</v>
          </cell>
        </row>
        <row r="227">
          <cell r="A227" t="str">
            <v>Scalar|||200019558|||EQTY|||CATALYST2_DATE|||True|||</v>
          </cell>
          <cell r="C227" t="str">
            <v>V_KEYWORD_EQTY_200019558_CATALYST2_DATE</v>
          </cell>
        </row>
        <row r="228">
          <cell r="A228" t="str">
            <v>Scalar|||200019558|||EQTY|||CATALYST2_EVENT|||False|||</v>
          </cell>
          <cell r="C228" t="str">
            <v>V_KEYWORD_EQTY_200019558_CATALYST2_EVENT</v>
          </cell>
        </row>
        <row r="229">
          <cell r="A229" t="str">
            <v>Scalar|||200019558|||EQTY|||CATALYST3_DATE|||True|||</v>
          </cell>
          <cell r="C229" t="str">
            <v>V_KEYWORD_EQTY_200019558_CATALYST3_DATE</v>
          </cell>
        </row>
        <row r="230">
          <cell r="A230" t="str">
            <v>Scalar|||200019558|||EQTY|||CATALYST3_EVENT|||False|||</v>
          </cell>
          <cell r="C230" t="str">
            <v>V_KEYWORD_EQTY_200019558_CATALYST3_EVENT</v>
          </cell>
        </row>
        <row r="231">
          <cell r="A231" t="str">
            <v>Scalar|||200019558|||EQTY|||CATALYST4_DATE|||True|||</v>
          </cell>
          <cell r="C231" t="str">
            <v>V_KEYWORD_EQTY_200019558_CATALYST4_DATE</v>
          </cell>
        </row>
        <row r="232">
          <cell r="A232" t="str">
            <v>Scalar|||200019558|||EQTY|||CATALYST4_EVENT|||False|||</v>
          </cell>
          <cell r="C232" t="str">
            <v>V_KEYWORD_EQTY_200019558_CATALYST4_EVENT</v>
          </cell>
        </row>
        <row r="233">
          <cell r="A233" t="str">
            <v>Scalar|||200019558|||EQTY|||CATALYST5_DATE|||True|||</v>
          </cell>
          <cell r="C233" t="str">
            <v>V_KEYWORD_EQTY_200019558_CATALYST5_DATE</v>
          </cell>
        </row>
        <row r="234">
          <cell r="A234" t="str">
            <v>Scalar|||200019558|||EQTY|||CATALYST5_EVENT|||False|||</v>
          </cell>
          <cell r="C234" t="str">
            <v>V_KEYWORD_EQTY_200019558_CATALYST5_EVENT</v>
          </cell>
        </row>
        <row r="235">
          <cell r="A235" t="str">
            <v>Scalar|||200019558|||EQTY|||PRI_TARG_MULT|||False|||</v>
          </cell>
          <cell r="C235" t="str">
            <v>V_KEYWORD_EQTY_200019558_PRI_TARG_MULT</v>
          </cell>
        </row>
        <row r="236">
          <cell r="A236" t="str">
            <v>Scalar|||200019558|||EQTY|||PRI_TARG_METH|||False|||</v>
          </cell>
          <cell r="C236" t="str">
            <v>V_KEYWORD_EQTY_200019558_PRI_TARG_METH</v>
          </cell>
        </row>
        <row r="276">
          <cell r="A276" t="str">
            <v>Scalar|||200019558|||EQTY|||BETA_ANALYST|||False|||</v>
          </cell>
          <cell r="C276" t="str">
            <v>V_KEYWORD_EQTY_200019558_BETA_ANALYST</v>
          </cell>
        </row>
        <row r="277">
          <cell r="A277" t="str">
            <v>Scalar|||200019558|||EQTY|||MKT_EQ_RISK_PREM|||False|||</v>
          </cell>
          <cell r="C277" t="str">
            <v>V_KEYWORD_EQTY_200019558_MKT_EQ_RISK_PREM</v>
          </cell>
        </row>
        <row r="278">
          <cell r="A278" t="str">
            <v>Scalar|||200019558|||EQTY|||RISK_FR_RATE|||False|||</v>
          </cell>
          <cell r="C278" t="str">
            <v>V_KEYWORD_EQTY_200019558_RISK_FR_RATE</v>
          </cell>
        </row>
      </sheetData>
      <sheetData sheetId="10"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e">
            <v>#NAME?</v>
          </cell>
        </row>
        <row r="219">
          <cell r="B219" t="str">
            <v>Target price period</v>
          </cell>
          <cell r="C219" t="str">
            <v>TP_PERIOD</v>
          </cell>
        </row>
        <row r="220">
          <cell r="B220" t="str">
            <v>Fundamental value</v>
          </cell>
          <cell r="C220" t="str">
            <v>TARGET_PRICE_FUNDAMENTAL</v>
          </cell>
          <cell r="D220" t="e">
            <v>#NAME?</v>
          </cell>
        </row>
        <row r="221">
          <cell r="B221" t="str">
            <v>M&amp;A value</v>
          </cell>
          <cell r="C221" t="str">
            <v>TARGET_PRICE_MA</v>
          </cell>
          <cell r="D221" t="e">
            <v>#NAME?</v>
          </cell>
        </row>
        <row r="222">
          <cell r="B222" t="str">
            <v>Current shares outstanding (mn)</v>
          </cell>
          <cell r="C222" t="str">
            <v>NUM_SH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  <sheetData sheetId="11"/>
      <sheetData sheetId="12"/>
      <sheetData sheetId="13"/>
      <sheetData sheetId="14"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13.2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Fundamental value</v>
          </cell>
          <cell r="C220" t="str">
            <v>TARGET_PRICE_FUNDAMENTAL</v>
          </cell>
          <cell r="D220" t="str">
            <v>CNY</v>
          </cell>
        </row>
        <row r="221">
          <cell r="B221" t="str">
            <v>M&amp;A value</v>
          </cell>
          <cell r="C221" t="str">
            <v>TARGET_PRICE_MA</v>
          </cell>
          <cell r="D221" t="str">
            <v>CNY</v>
          </cell>
        </row>
        <row r="222">
          <cell r="B222" t="str">
            <v>Current shares outstanding (mn)</v>
          </cell>
          <cell r="C222" t="str">
            <v>NUM_SH</v>
          </cell>
          <cell r="E222">
            <v>2048.123051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Assumption"/>
      <sheetName val="Model OV"/>
      <sheetName val="Model Will"/>
      <sheetName val="Model"/>
      <sheetName val="Comp"/>
      <sheetName val="Comp_28d"/>
      <sheetName val="603501.SS_Exchange_Sheet"/>
      <sheetName val="Raw PL quarterly"/>
      <sheetName val="Raw CF"/>
      <sheetName val="Raw PL annual"/>
      <sheetName val="SUM"/>
      <sheetName val="Scenario"/>
      <sheetName val="CIS TAM"/>
      <sheetName val="Discount PE"/>
      <sheetName val="Valuation page"/>
      <sheetName val="Chart"/>
      <sheetName val="OV_PL"/>
      <sheetName val="OV_BS"/>
      <sheetName val="OV_CF"/>
      <sheetName val="Raw BS"/>
      <sheetName val="603501.SS_Live_Sheet"/>
      <sheetName val="603501.SS_Validation_Sheet"/>
      <sheetName val="603501.SS_Annotation_Sheet"/>
      <sheetName val="Segment"/>
      <sheetName val="PEPB"/>
      <sheetName val="PE-bbg"/>
      <sheetName val="AFO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Issuer: Will Semiconductor Co.</v>
          </cell>
          <cell r="F1">
            <v>2012</v>
          </cell>
          <cell r="G1">
            <v>2013</v>
          </cell>
          <cell r="H1">
            <v>2014</v>
          </cell>
          <cell r="I1">
            <v>2015</v>
          </cell>
          <cell r="J1">
            <v>2016</v>
          </cell>
          <cell r="K1">
            <v>2017</v>
          </cell>
          <cell r="L1">
            <v>2018</v>
          </cell>
          <cell r="M1">
            <v>2019</v>
          </cell>
          <cell r="N1">
            <v>2020</v>
          </cell>
          <cell r="O1">
            <v>2021</v>
          </cell>
          <cell r="U1" t="str">
            <v>2015 Q2</v>
          </cell>
          <cell r="V1" t="str">
            <v>2015 Q3</v>
          </cell>
          <cell r="W1" t="str">
            <v>2015 Q4</v>
          </cell>
          <cell r="X1" t="str">
            <v>2016 Q1</v>
          </cell>
          <cell r="Y1" t="str">
            <v>2016 Q2</v>
          </cell>
          <cell r="Z1" t="str">
            <v>2016 Q3</v>
          </cell>
          <cell r="AA1" t="str">
            <v>2016 Q4</v>
          </cell>
          <cell r="AB1" t="str">
            <v>2017 Q1</v>
          </cell>
          <cell r="AC1" t="str">
            <v>2017 Q2</v>
          </cell>
          <cell r="AD1" t="str">
            <v>2017 Q3</v>
          </cell>
          <cell r="AE1" t="str">
            <v>2017 Q4</v>
          </cell>
          <cell r="AF1" t="str">
            <v>2018 Q1</v>
          </cell>
          <cell r="AG1" t="str">
            <v>2018 Q2</v>
          </cell>
          <cell r="AH1" t="str">
            <v>2018 Q3</v>
          </cell>
          <cell r="AI1" t="str">
            <v>2018 Q4</v>
          </cell>
          <cell r="AJ1" t="str">
            <v>2019 Q1</v>
          </cell>
          <cell r="AK1" t="str">
            <v>2019 Q2</v>
          </cell>
          <cell r="AL1" t="str">
            <v>2019 Q3</v>
          </cell>
          <cell r="AM1" t="str">
            <v>2019 Q4</v>
          </cell>
          <cell r="AN1" t="str">
            <v>2020 Q1</v>
          </cell>
          <cell r="AO1" t="str">
            <v>2020 Q2</v>
          </cell>
          <cell r="AP1" t="str">
            <v>2020 Q3</v>
          </cell>
          <cell r="AQ1" t="str">
            <v>2020 Q4</v>
          </cell>
          <cell r="AR1" t="str">
            <v>2021 Q1</v>
          </cell>
          <cell r="AS1" t="str">
            <v>2021 Q2</v>
          </cell>
          <cell r="AT1" t="str">
            <v>2021 Q3</v>
          </cell>
          <cell r="AU1" t="str">
            <v>2021 Q4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Estimate</v>
          </cell>
          <cell r="N2" t="str">
            <v>Estimate</v>
          </cell>
          <cell r="O2" t="str">
            <v>Estimate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Estimate</v>
          </cell>
          <cell r="AN2" t="str">
            <v>Estimate</v>
          </cell>
          <cell r="AO2" t="str">
            <v>Estimate</v>
          </cell>
          <cell r="AP2" t="str">
            <v>Estimate</v>
          </cell>
          <cell r="AQ2" t="str">
            <v>Estimate</v>
          </cell>
          <cell r="AR2" t="str">
            <v>Estimate</v>
          </cell>
          <cell r="AS2" t="str">
            <v>Estimate</v>
          </cell>
          <cell r="AT2" t="str">
            <v>Estimate</v>
          </cell>
          <cell r="AU2" t="str">
            <v>Estimate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41274</v>
          </cell>
          <cell r="G3">
            <v>41639</v>
          </cell>
          <cell r="H3">
            <v>42004</v>
          </cell>
          <cell r="I3">
            <v>42369</v>
          </cell>
          <cell r="J3">
            <v>42735</v>
          </cell>
          <cell r="K3">
            <v>43100</v>
          </cell>
          <cell r="L3">
            <v>43465</v>
          </cell>
          <cell r="M3">
            <v>43830</v>
          </cell>
          <cell r="N3">
            <v>44196</v>
          </cell>
          <cell r="O3">
            <v>44561</v>
          </cell>
          <cell r="U3">
            <v>42185</v>
          </cell>
          <cell r="V3">
            <v>42277</v>
          </cell>
          <cell r="W3">
            <v>42369</v>
          </cell>
          <cell r="X3">
            <v>42460</v>
          </cell>
          <cell r="Y3">
            <v>42551</v>
          </cell>
          <cell r="Z3">
            <v>42643</v>
          </cell>
          <cell r="AA3">
            <v>42735</v>
          </cell>
          <cell r="AB3">
            <v>42825</v>
          </cell>
          <cell r="AC3">
            <v>42916</v>
          </cell>
          <cell r="AD3">
            <v>43008</v>
          </cell>
          <cell r="AE3">
            <v>43100</v>
          </cell>
          <cell r="AF3">
            <v>43190</v>
          </cell>
          <cell r="AG3">
            <v>43281</v>
          </cell>
          <cell r="AH3">
            <v>43373</v>
          </cell>
          <cell r="AI3">
            <v>43465</v>
          </cell>
          <cell r="AJ3">
            <v>43555</v>
          </cell>
          <cell r="AK3">
            <v>43646</v>
          </cell>
          <cell r="AL3">
            <v>43738</v>
          </cell>
          <cell r="AM3">
            <v>43830</v>
          </cell>
          <cell r="AN3">
            <v>43921</v>
          </cell>
          <cell r="AO3">
            <v>44012</v>
          </cell>
          <cell r="AP3">
            <v>44104</v>
          </cell>
          <cell r="AQ3">
            <v>44196</v>
          </cell>
          <cell r="AR3">
            <v>44286</v>
          </cell>
          <cell r="AS3">
            <v>44377</v>
          </cell>
          <cell r="AT3">
            <v>44469</v>
          </cell>
          <cell r="AU3">
            <v>44561</v>
          </cell>
        </row>
        <row r="4">
          <cell r="A4" t="str">
            <v>Issuer: Will Semiconductor Co.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6">
          <cell r="B6" t="str">
            <v>Issuer Name</v>
          </cell>
          <cell r="C6" t="str">
            <v>Issuer Name</v>
          </cell>
          <cell r="E6" t="str">
            <v>Will Semiconductor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  <cell r="B10">
            <v>0</v>
          </cell>
          <cell r="C10">
            <v>0</v>
          </cell>
          <cell r="D10">
            <v>0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F11">
            <v>1005.6448243899999</v>
          </cell>
          <cell r="G11">
            <v>1141.4603508099999</v>
          </cell>
          <cell r="H11">
            <v>1407.6716329400001</v>
          </cell>
          <cell r="I11">
            <v>1983.2712341099998</v>
          </cell>
          <cell r="J11">
            <v>2160.76952987</v>
          </cell>
          <cell r="K11">
            <v>2405.9162668099998</v>
          </cell>
          <cell r="L11">
            <v>6237.4016116400007</v>
          </cell>
          <cell r="M11">
            <v>8795.6828147030647</v>
          </cell>
          <cell r="N11">
            <v>15450.899053850113</v>
          </cell>
          <cell r="O11">
            <v>18169.36846616969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462.36652586000002</v>
          </cell>
          <cell r="Y11">
            <v>582.34172343</v>
          </cell>
          <cell r="Z11">
            <v>568.66512189000002</v>
          </cell>
          <cell r="AA11">
            <v>547.39615869000011</v>
          </cell>
          <cell r="AB11">
            <v>398.24428783999997</v>
          </cell>
          <cell r="AC11">
            <v>516.28316026000005</v>
          </cell>
          <cell r="AD11">
            <v>703.70547779999993</v>
          </cell>
          <cell r="AE11">
            <v>787.68334090999997</v>
          </cell>
          <cell r="AF11">
            <v>820.27583133000007</v>
          </cell>
          <cell r="AG11">
            <v>1075.1524996300002</v>
          </cell>
          <cell r="AH11">
            <v>3491.8963530000001</v>
          </cell>
          <cell r="AI11">
            <v>850.07692767999993</v>
          </cell>
          <cell r="AJ11">
            <v>723.17116840999995</v>
          </cell>
          <cell r="AK11">
            <v>826.33351100000004</v>
          </cell>
          <cell r="AL11">
            <v>3702.5519079999999</v>
          </cell>
          <cell r="AM11">
            <v>3543.6262272930644</v>
          </cell>
          <cell r="AN11">
            <v>3540.9760185887881</v>
          </cell>
          <cell r="AO11">
            <v>3734.6904854252271</v>
          </cell>
          <cell r="AP11">
            <v>4260.3064801831497</v>
          </cell>
          <cell r="AQ11">
            <v>3914.9260696529482</v>
          </cell>
          <cell r="AR11">
            <v>4211.1254287562142</v>
          </cell>
          <cell r="AS11">
            <v>4433.3982322123993</v>
          </cell>
          <cell r="AT11">
            <v>4997.324509184682</v>
          </cell>
          <cell r="AU11">
            <v>4527.5202960163942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F13">
            <v>-816.74913963999995</v>
          </cell>
          <cell r="G13">
            <v>-859.05520920000004</v>
          </cell>
          <cell r="H13">
            <v>-1139.5017300699999</v>
          </cell>
          <cell r="I13">
            <v>-1601.2895101099998</v>
          </cell>
          <cell r="J13">
            <v>-1726.09116535</v>
          </cell>
          <cell r="K13">
            <v>-1911.8527869100001</v>
          </cell>
          <cell r="L13">
            <v>-4783.0174637599994</v>
          </cell>
          <cell r="M13">
            <v>-6658.8176110625118</v>
          </cell>
          <cell r="N13">
            <v>-11559.228105528333</v>
          </cell>
          <cell r="O13">
            <v>-13446.491703836222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-366.17314322000004</v>
          </cell>
          <cell r="Y13">
            <v>-467.28726377999999</v>
          </cell>
          <cell r="Z13">
            <v>-454.49046150999999</v>
          </cell>
          <cell r="AA13">
            <v>-438.14029683999996</v>
          </cell>
          <cell r="AB13">
            <v>-321.66957879</v>
          </cell>
          <cell r="AC13">
            <v>-417.72692152999997</v>
          </cell>
          <cell r="AD13">
            <v>-569.80781772</v>
          </cell>
          <cell r="AE13">
            <v>-602.64846886999999</v>
          </cell>
          <cell r="AF13">
            <v>-591.50219955999989</v>
          </cell>
          <cell r="AG13">
            <v>-770.67852169000003</v>
          </cell>
          <cell r="AH13">
            <v>-2671.2022276999996</v>
          </cell>
          <cell r="AI13">
            <v>-749.63451480999993</v>
          </cell>
          <cell r="AJ13">
            <v>-563.28415716999996</v>
          </cell>
          <cell r="AK13">
            <v>-715.46789899999999</v>
          </cell>
          <cell r="AL13">
            <v>-2764.1690579999999</v>
          </cell>
          <cell r="AM13">
            <v>-2615.8964968925115</v>
          </cell>
          <cell r="AN13">
            <v>-2659.7539209928264</v>
          </cell>
          <cell r="AO13">
            <v>-2797.8616575420033</v>
          </cell>
          <cell r="AP13">
            <v>-3194.1050693296361</v>
          </cell>
          <cell r="AQ13">
            <v>-2907.5074576638672</v>
          </cell>
          <cell r="AR13">
            <v>-3128.5893091686803</v>
          </cell>
          <cell r="AS13">
            <v>-3285.6252053099111</v>
          </cell>
          <cell r="AT13">
            <v>-3707.142968086162</v>
          </cell>
          <cell r="AU13">
            <v>-3325.1342212714685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F14">
            <v>-69.752333179999994</v>
          </cell>
          <cell r="G14">
            <v>-111.34604974999999</v>
          </cell>
          <cell r="H14">
            <v>-103.58913475</v>
          </cell>
          <cell r="I14">
            <v>-161.34980817000002</v>
          </cell>
          <cell r="J14">
            <v>-170.44843439000002</v>
          </cell>
          <cell r="K14">
            <v>-213.37014170999998</v>
          </cell>
          <cell r="L14">
            <v>-735.39810659</v>
          </cell>
          <cell r="M14">
            <v>-772.88449832680317</v>
          </cell>
          <cell r="N14">
            <v>-999.34106269876816</v>
          </cell>
          <cell r="O14">
            <v>-1066.7274250096682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-29.834491577500003</v>
          </cell>
          <cell r="Y14">
            <v>-39.507241867500007</v>
          </cell>
          <cell r="Z14">
            <v>-39.943252707500001</v>
          </cell>
          <cell r="AA14">
            <v>-41.989870547500011</v>
          </cell>
          <cell r="AB14">
            <v>-28.873239032500003</v>
          </cell>
          <cell r="AC14">
            <v>-37.135244552499998</v>
          </cell>
          <cell r="AD14">
            <v>-38.173855317499999</v>
          </cell>
          <cell r="AE14">
            <v>-84.224069677500012</v>
          </cell>
          <cell r="AF14">
            <v>-131.55117311250001</v>
          </cell>
          <cell r="AG14">
            <v>-147.06823611250002</v>
          </cell>
          <cell r="AH14">
            <v>-347.23312078250001</v>
          </cell>
          <cell r="AI14">
            <v>-69.983740472500003</v>
          </cell>
          <cell r="AJ14">
            <v>-108.616428795</v>
          </cell>
          <cell r="AK14">
            <v>-78.699570555000008</v>
          </cell>
          <cell r="AL14">
            <v>-235.77276171772559</v>
          </cell>
          <cell r="AM14">
            <v>-183.02012830499658</v>
          </cell>
          <cell r="AN14">
            <v>-141.22654507134226</v>
          </cell>
          <cell r="AO14">
            <v>-158.63710899441904</v>
          </cell>
          <cell r="AP14">
            <v>-195.26072152991864</v>
          </cell>
          <cell r="AQ14">
            <v>-159.06498746245555</v>
          </cell>
          <cell r="AR14">
            <v>-154.24355920307625</v>
          </cell>
          <cell r="AS14">
            <v>-173.10113765690483</v>
          </cell>
          <cell r="AT14">
            <v>-215.20037080720925</v>
          </cell>
          <cell r="AU14">
            <v>-169.42652397713698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F15">
            <v>-886.50147281999989</v>
          </cell>
          <cell r="G15">
            <v>-970.40125895000006</v>
          </cell>
          <cell r="H15">
            <v>-1243.09086482</v>
          </cell>
          <cell r="I15">
            <v>-1762.6393182799998</v>
          </cell>
          <cell r="J15">
            <v>-1896.5395997400001</v>
          </cell>
          <cell r="K15">
            <v>-2125.2229286199999</v>
          </cell>
          <cell r="L15">
            <v>-5518.4155703499991</v>
          </cell>
          <cell r="M15">
            <v>-7431.7021093893145</v>
          </cell>
          <cell r="N15">
            <v>-12558.569168227101</v>
          </cell>
          <cell r="O15">
            <v>-14513.219128845891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-396.00763479750003</v>
          </cell>
          <cell r="Y15">
            <v>-506.79450564749999</v>
          </cell>
          <cell r="Z15">
            <v>-494.43371421749998</v>
          </cell>
          <cell r="AA15">
            <v>-480.13016738749997</v>
          </cell>
          <cell r="AB15">
            <v>-350.54281782250001</v>
          </cell>
          <cell r="AC15">
            <v>-454.86216608249998</v>
          </cell>
          <cell r="AD15">
            <v>-607.98167303750006</v>
          </cell>
          <cell r="AE15">
            <v>-686.87253854749997</v>
          </cell>
          <cell r="AF15">
            <v>-723.0533726724999</v>
          </cell>
          <cell r="AG15">
            <v>-917.74675780250004</v>
          </cell>
          <cell r="AH15">
            <v>-3018.4353484824996</v>
          </cell>
          <cell r="AI15">
            <v>-819.61825528249994</v>
          </cell>
          <cell r="AJ15">
            <v>-671.900585965</v>
          </cell>
          <cell r="AK15">
            <v>-794.16746955500003</v>
          </cell>
          <cell r="AL15">
            <v>-2999.9418197177256</v>
          </cell>
          <cell r="AM15">
            <v>-2798.916625197508</v>
          </cell>
          <cell r="AN15">
            <v>-2800.9804660641685</v>
          </cell>
          <cell r="AO15">
            <v>-2956.4987665364224</v>
          </cell>
          <cell r="AP15">
            <v>-3389.3657908595546</v>
          </cell>
          <cell r="AQ15">
            <v>-3066.5724451263227</v>
          </cell>
          <cell r="AR15">
            <v>-3282.8328683717564</v>
          </cell>
          <cell r="AS15">
            <v>-3458.726342966816</v>
          </cell>
          <cell r="AT15">
            <v>-3922.3433388933713</v>
          </cell>
          <cell r="AU15">
            <v>-3494.5607452486056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F16">
            <v>0</v>
          </cell>
          <cell r="G16">
            <v>0</v>
          </cell>
          <cell r="H16">
            <v>-39.637099999999997</v>
          </cell>
          <cell r="I16">
            <v>-66.496600000000001</v>
          </cell>
          <cell r="J16">
            <v>-81.936000000000007</v>
          </cell>
          <cell r="K16">
            <v>-84.986116030000005</v>
          </cell>
          <cell r="L16">
            <v>-294.47866274500001</v>
          </cell>
          <cell r="M16">
            <v>-749.25600441703523</v>
          </cell>
          <cell r="N16">
            <v>-1290.1865819222669</v>
          </cell>
          <cell r="O16">
            <v>-1400.313285793171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-17.761847109999998</v>
          </cell>
          <cell r="Y16">
            <v>-17.761847109999998</v>
          </cell>
          <cell r="Z16">
            <v>-23.206152890000002</v>
          </cell>
          <cell r="AA16">
            <v>-23.206152890000002</v>
          </cell>
          <cell r="AB16">
            <v>-20.584615804999999</v>
          </cell>
          <cell r="AC16">
            <v>-20.584615804999999</v>
          </cell>
          <cell r="AD16">
            <v>-21.90844221</v>
          </cell>
          <cell r="AE16">
            <v>-21.90844221</v>
          </cell>
          <cell r="AF16">
            <v>-28.21457152</v>
          </cell>
          <cell r="AG16">
            <v>-32.387518830000005</v>
          </cell>
          <cell r="AH16">
            <v>-200.50537197</v>
          </cell>
          <cell r="AI16">
            <v>-33.371200424999998</v>
          </cell>
          <cell r="AJ16">
            <v>-26.104363489999997</v>
          </cell>
          <cell r="AK16">
            <v>-46.957171000000002</v>
          </cell>
          <cell r="AL16">
            <v>-334.81728800000002</v>
          </cell>
          <cell r="AM16">
            <v>-341.37718192703528</v>
          </cell>
          <cell r="AN16">
            <v>-299.30963303289468</v>
          </cell>
          <cell r="AO16">
            <v>-311.18647477534461</v>
          </cell>
          <cell r="AP16">
            <v>-346.36299882114861</v>
          </cell>
          <cell r="AQ16">
            <v>-333.32747529287911</v>
          </cell>
          <cell r="AR16">
            <v>-328.18149883103052</v>
          </cell>
          <cell r="AS16">
            <v>-340.41308487743396</v>
          </cell>
          <cell r="AT16">
            <v>-376.29094304987831</v>
          </cell>
          <cell r="AU16">
            <v>-355.42775903482806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F18">
            <v>-886.50147281999989</v>
          </cell>
          <cell r="G18">
            <v>-970.40125895000006</v>
          </cell>
          <cell r="H18">
            <v>-1282.7279648199999</v>
          </cell>
          <cell r="I18">
            <v>-1829.1359182799997</v>
          </cell>
          <cell r="J18">
            <v>-1978.47559974</v>
          </cell>
          <cell r="K18">
            <v>-2210.2090446500001</v>
          </cell>
          <cell r="L18">
            <v>-5812.8942330949994</v>
          </cell>
          <cell r="M18">
            <v>-8180.9581138063495</v>
          </cell>
          <cell r="N18">
            <v>-13848.755750149368</v>
          </cell>
          <cell r="O18">
            <v>-15913.532414639061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-418.56287633000005</v>
          </cell>
          <cell r="Y18">
            <v>-529.34974718000001</v>
          </cell>
          <cell r="Z18">
            <v>-522.43326152999998</v>
          </cell>
          <cell r="AA18">
            <v>-508.12971469999997</v>
          </cell>
          <cell r="AB18">
            <v>-377.36836691000002</v>
          </cell>
          <cell r="AC18">
            <v>-481.68771516999999</v>
          </cell>
          <cell r="AD18">
            <v>-636.13104853000004</v>
          </cell>
          <cell r="AE18">
            <v>-715.02191403999996</v>
          </cell>
          <cell r="AF18">
            <v>-761.15840321999985</v>
          </cell>
          <cell r="AG18">
            <v>-960.02473565999992</v>
          </cell>
          <cell r="AH18">
            <v>-3228.8311794799997</v>
          </cell>
          <cell r="AI18">
            <v>-862.87991473499983</v>
          </cell>
          <cell r="AJ18">
            <v>-710.29095589999997</v>
          </cell>
          <cell r="AK18">
            <v>-853.41064700000004</v>
          </cell>
          <cell r="AL18">
            <v>-3394.0348470000004</v>
          </cell>
          <cell r="AM18">
            <v>-3223.2216639063499</v>
          </cell>
          <cell r="AN18">
            <v>-3186.5780240072208</v>
          </cell>
          <cell r="AO18">
            <v>-3353.9731662219251</v>
          </cell>
          <cell r="AP18">
            <v>-3822.0167145908613</v>
          </cell>
          <cell r="AQ18">
            <v>-3486.1878453293598</v>
          </cell>
          <cell r="AR18">
            <v>-3699.7033255441224</v>
          </cell>
          <cell r="AS18">
            <v>-3887.8283861855853</v>
          </cell>
          <cell r="AT18">
            <v>-4387.3232402845852</v>
          </cell>
          <cell r="AU18">
            <v>-3938.6774626247689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F19">
            <v>-884.37807281999994</v>
          </cell>
          <cell r="G19">
            <v>-966.59025895000013</v>
          </cell>
          <cell r="H19">
            <v>-1277.4481794999999</v>
          </cell>
          <cell r="I19">
            <v>-1815.9759743099996</v>
          </cell>
          <cell r="J19">
            <v>-1959.30202205</v>
          </cell>
          <cell r="K19">
            <v>-2185.2453115200001</v>
          </cell>
          <cell r="L19">
            <v>-5773.3323969849998</v>
          </cell>
          <cell r="M19">
            <v>-8014.1825048522687</v>
          </cell>
          <cell r="N19">
            <v>-13503.604050508737</v>
          </cell>
          <cell r="O19">
            <v>-15558.77658127372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-413.76948190750005</v>
          </cell>
          <cell r="Y19">
            <v>-524.55635275750001</v>
          </cell>
          <cell r="Z19">
            <v>-517.63986710749998</v>
          </cell>
          <cell r="AA19">
            <v>-503.33632027749996</v>
          </cell>
          <cell r="AB19">
            <v>-371.12743362750001</v>
          </cell>
          <cell r="AC19">
            <v>-475.44678188749998</v>
          </cell>
          <cell r="AD19">
            <v>-629.89011524750003</v>
          </cell>
          <cell r="AE19">
            <v>-708.78098075749995</v>
          </cell>
          <cell r="AF19">
            <v>-751.26794419249995</v>
          </cell>
          <cell r="AG19">
            <v>-950.13427663250002</v>
          </cell>
          <cell r="AH19">
            <v>-3218.9407204524996</v>
          </cell>
          <cell r="AI19">
            <v>-852.98945570749993</v>
          </cell>
          <cell r="AJ19">
            <v>-698.00494945499997</v>
          </cell>
          <cell r="AK19">
            <v>-841.12464055500004</v>
          </cell>
          <cell r="AL19">
            <v>-3334.7591077177258</v>
          </cell>
          <cell r="AM19">
            <v>-3140.2938071245435</v>
          </cell>
          <cell r="AN19">
            <v>-3100.2900990970629</v>
          </cell>
          <cell r="AO19">
            <v>-3267.6852413117672</v>
          </cell>
          <cell r="AP19">
            <v>-3735.7287896807034</v>
          </cell>
          <cell r="AQ19">
            <v>-3399.8999204192019</v>
          </cell>
          <cell r="AR19">
            <v>-3611.0143672027871</v>
          </cell>
          <cell r="AS19">
            <v>-3799.1394278442499</v>
          </cell>
          <cell r="AT19">
            <v>-4298.6342819432493</v>
          </cell>
          <cell r="AU19">
            <v>-3849.9885042834335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F20">
            <v>121.26675157</v>
          </cell>
          <cell r="G20">
            <v>174.87009185999977</v>
          </cell>
          <cell r="H20">
            <v>130.22345344000018</v>
          </cell>
          <cell r="I20">
            <v>167.29525980000017</v>
          </cell>
          <cell r="J20">
            <v>201.46750782000004</v>
          </cell>
          <cell r="K20">
            <v>220.67095528999971</v>
          </cell>
          <cell r="L20">
            <v>464.06921465500091</v>
          </cell>
          <cell r="M20">
            <v>781.50030985079593</v>
          </cell>
          <cell r="N20">
            <v>1947.2950033413763</v>
          </cell>
          <cell r="O20">
            <v>2610.59188489597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48.597043952499973</v>
          </cell>
          <cell r="Y20">
            <v>57.785370672499994</v>
          </cell>
          <cell r="Z20">
            <v>51.025254782500042</v>
          </cell>
          <cell r="AA20">
            <v>44.059838412500142</v>
          </cell>
          <cell r="AB20">
            <v>27.116854212499959</v>
          </cell>
          <cell r="AC20">
            <v>40.836378372500064</v>
          </cell>
          <cell r="AD20">
            <v>73.815362552499892</v>
          </cell>
          <cell r="AE20">
            <v>78.902360152500023</v>
          </cell>
          <cell r="AF20">
            <v>69.00788713750012</v>
          </cell>
          <cell r="AG20">
            <v>125.01822299750017</v>
          </cell>
          <cell r="AH20">
            <v>272.9556325475005</v>
          </cell>
          <cell r="AI20">
            <v>-2.9125280275000023</v>
          </cell>
          <cell r="AJ20">
            <v>25.166218954999977</v>
          </cell>
          <cell r="AK20">
            <v>-14.791129554999998</v>
          </cell>
          <cell r="AL20">
            <v>367.79280028227413</v>
          </cell>
          <cell r="AM20">
            <v>403.33242016852091</v>
          </cell>
          <cell r="AN20">
            <v>440.68591949172514</v>
          </cell>
          <cell r="AO20">
            <v>467.00524411345987</v>
          </cell>
          <cell r="AP20">
            <v>524.57769050244633</v>
          </cell>
          <cell r="AQ20">
            <v>515.02614923374631</v>
          </cell>
          <cell r="AR20">
            <v>600.11106155342713</v>
          </cell>
          <cell r="AS20">
            <v>634.25880436814941</v>
          </cell>
          <cell r="AT20">
            <v>698.69022724143269</v>
          </cell>
          <cell r="AU20">
            <v>677.53179173296076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F21">
            <v>-1.8873</v>
          </cell>
          <cell r="G21">
            <v>-3.4186000000000001</v>
          </cell>
          <cell r="H21">
            <v>-4.4071510499999995</v>
          </cell>
          <cell r="I21">
            <v>-11.168734349999999</v>
          </cell>
          <cell r="J21">
            <v>-12.90361111</v>
          </cell>
          <cell r="K21">
            <v>-16.466920250000001</v>
          </cell>
          <cell r="L21">
            <v>-21.909429299999999</v>
          </cell>
          <cell r="M21">
            <v>-143.08520626775976</v>
          </cell>
          <cell r="N21">
            <v>-317.322323254217</v>
          </cell>
          <cell r="O21">
            <v>-324.089240186967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-3.2259027775</v>
          </cell>
          <cell r="Y21">
            <v>-3.2259027775</v>
          </cell>
          <cell r="Z21">
            <v>-3.2259027775</v>
          </cell>
          <cell r="AA21">
            <v>-3.2259027775</v>
          </cell>
          <cell r="AB21">
            <v>-4.1167300625000003</v>
          </cell>
          <cell r="AC21">
            <v>-4.1167300625000003</v>
          </cell>
          <cell r="AD21">
            <v>-4.1167300625000003</v>
          </cell>
          <cell r="AE21">
            <v>-4.1167300625000003</v>
          </cell>
          <cell r="AF21">
            <v>-5.4773573249999998</v>
          </cell>
          <cell r="AG21">
            <v>-5.4773573249999998</v>
          </cell>
          <cell r="AH21">
            <v>-5.4773573249999998</v>
          </cell>
          <cell r="AI21">
            <v>-5.4773573249999998</v>
          </cell>
          <cell r="AJ21">
            <v>-7.5678106749999996</v>
          </cell>
          <cell r="AK21">
            <v>-7.5678106749999996</v>
          </cell>
          <cell r="AL21">
            <v>-52.14873370911377</v>
          </cell>
          <cell r="AM21">
            <v>-75.800851208645994</v>
          </cell>
          <cell r="AN21">
            <v>-79.330580813554249</v>
          </cell>
          <cell r="AO21">
            <v>-79.330580813554249</v>
          </cell>
          <cell r="AP21">
            <v>-79.330580813554249</v>
          </cell>
          <cell r="AQ21">
            <v>-79.330580813554249</v>
          </cell>
          <cell r="AR21">
            <v>-81.022310046741751</v>
          </cell>
          <cell r="AS21">
            <v>-81.022310046741751</v>
          </cell>
          <cell r="AT21">
            <v>-81.022310046741751</v>
          </cell>
          <cell r="AU21">
            <v>-81.022310046741751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F22">
            <v>-0.2361</v>
          </cell>
          <cell r="G22">
            <v>-0.39240000000000003</v>
          </cell>
          <cell r="H22">
            <v>-0.87263427000000005</v>
          </cell>
          <cell r="I22">
            <v>-1.99120962</v>
          </cell>
          <cell r="J22">
            <v>-6.2699665800000002</v>
          </cell>
          <cell r="K22">
            <v>-8.4968128800000002</v>
          </cell>
          <cell r="L22">
            <v>-17.652406809999999</v>
          </cell>
          <cell r="M22">
            <v>-23.690402686321267</v>
          </cell>
          <cell r="N22">
            <v>-27.829376386415625</v>
          </cell>
          <cell r="O22">
            <v>-30.666593178373773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-1.567491645</v>
          </cell>
          <cell r="Y22">
            <v>-1.567491645</v>
          </cell>
          <cell r="Z22">
            <v>-1.567491645</v>
          </cell>
          <cell r="AA22">
            <v>-1.567491645</v>
          </cell>
          <cell r="AB22">
            <v>-2.1242032200000001</v>
          </cell>
          <cell r="AC22">
            <v>-2.1242032200000001</v>
          </cell>
          <cell r="AD22">
            <v>-2.1242032200000001</v>
          </cell>
          <cell r="AE22">
            <v>-2.1242032200000001</v>
          </cell>
          <cell r="AF22">
            <v>-4.4131017024999997</v>
          </cell>
          <cell r="AG22">
            <v>-4.4131017024999997</v>
          </cell>
          <cell r="AH22">
            <v>-4.4131017024999997</v>
          </cell>
          <cell r="AI22">
            <v>-4.4131017024999997</v>
          </cell>
          <cell r="AJ22">
            <v>-4.7181957699999995</v>
          </cell>
          <cell r="AK22">
            <v>-4.7181957699999995</v>
          </cell>
          <cell r="AL22">
            <v>-7.1270055731606341</v>
          </cell>
          <cell r="AM22">
            <v>-7.1270055731606341</v>
          </cell>
          <cell r="AN22">
            <v>-6.9573440966039062</v>
          </cell>
          <cell r="AO22">
            <v>-6.9573440966039062</v>
          </cell>
          <cell r="AP22">
            <v>-6.9573440966039062</v>
          </cell>
          <cell r="AQ22">
            <v>-6.9573440966039062</v>
          </cell>
          <cell r="AR22">
            <v>-7.6666482945934433</v>
          </cell>
          <cell r="AS22">
            <v>-7.6666482945934433</v>
          </cell>
          <cell r="AT22">
            <v>-7.6666482945934433</v>
          </cell>
          <cell r="AU22">
            <v>-7.6666482945934433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F23">
            <v>119.14335157000001</v>
          </cell>
          <cell r="G23">
            <v>171.05909185999977</v>
          </cell>
          <cell r="H23">
            <v>124.94366812000018</v>
          </cell>
          <cell r="I23">
            <v>154.13531583000017</v>
          </cell>
          <cell r="J23">
            <v>182.29393013000006</v>
          </cell>
          <cell r="K23">
            <v>195.70722215999973</v>
          </cell>
          <cell r="L23">
            <v>424.5073785450009</v>
          </cell>
          <cell r="M23">
            <v>614.72470089671492</v>
          </cell>
          <cell r="N23">
            <v>1602.1433037007437</v>
          </cell>
          <cell r="O23">
            <v>2255.8360515306294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43.80364952999998</v>
          </cell>
          <cell r="Y23">
            <v>52.99197625</v>
          </cell>
          <cell r="Z23">
            <v>46.231860360000049</v>
          </cell>
          <cell r="AA23">
            <v>39.266443990000148</v>
          </cell>
          <cell r="AB23">
            <v>20.875920929999957</v>
          </cell>
          <cell r="AC23">
            <v>34.595445090000069</v>
          </cell>
          <cell r="AD23">
            <v>67.574429269999897</v>
          </cell>
          <cell r="AE23">
            <v>72.661426870000028</v>
          </cell>
          <cell r="AF23">
            <v>59.11742811000012</v>
          </cell>
          <cell r="AG23">
            <v>115.12776397000017</v>
          </cell>
          <cell r="AH23">
            <v>263.06517352000049</v>
          </cell>
          <cell r="AI23">
            <v>-12.802987055000003</v>
          </cell>
          <cell r="AJ23">
            <v>12.880212509999977</v>
          </cell>
          <cell r="AK23">
            <v>-27.077135999999996</v>
          </cell>
          <cell r="AL23">
            <v>308.51706099999967</v>
          </cell>
          <cell r="AM23">
            <v>320.40456338671424</v>
          </cell>
          <cell r="AN23">
            <v>354.39799458156699</v>
          </cell>
          <cell r="AO23">
            <v>380.71731920330171</v>
          </cell>
          <cell r="AP23">
            <v>438.28976559228818</v>
          </cell>
          <cell r="AQ23">
            <v>428.73822432358816</v>
          </cell>
          <cell r="AR23">
            <v>511.422103212092</v>
          </cell>
          <cell r="AS23">
            <v>545.56984602681428</v>
          </cell>
          <cell r="AT23">
            <v>610.00126890009756</v>
          </cell>
          <cell r="AU23">
            <v>588.84283339162562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F24">
            <v>0</v>
          </cell>
          <cell r="G24">
            <v>0</v>
          </cell>
          <cell r="H24">
            <v>3.8961999999999999</v>
          </cell>
          <cell r="I24">
            <v>1.2295</v>
          </cell>
          <cell r="J24">
            <v>2.3163999999999998</v>
          </cell>
          <cell r="K24">
            <v>2.19018501</v>
          </cell>
          <cell r="L24">
            <v>6.2486782200000004</v>
          </cell>
          <cell r="M24">
            <v>9.2586019699999991</v>
          </cell>
          <cell r="N24">
            <v>2.1450117537370468</v>
          </cell>
          <cell r="O24">
            <v>1.645935476555882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0.19733693499999999</v>
          </cell>
          <cell r="Y24">
            <v>0.19733693499999999</v>
          </cell>
          <cell r="Z24">
            <v>0.96086306499999996</v>
          </cell>
          <cell r="AA24">
            <v>0.96086306499999996</v>
          </cell>
          <cell r="AB24">
            <v>0.205946145</v>
          </cell>
          <cell r="AC24">
            <v>0.205946145</v>
          </cell>
          <cell r="AD24">
            <v>0.59276423999999994</v>
          </cell>
          <cell r="AE24">
            <v>1.1855284799999997</v>
          </cell>
          <cell r="AF24">
            <v>1.1478574799999999</v>
          </cell>
          <cell r="AG24">
            <v>0.27990748999999998</v>
          </cell>
          <cell r="AH24">
            <v>4.5530561199999999</v>
          </cell>
          <cell r="AI24">
            <v>0.26785712999999989</v>
          </cell>
          <cell r="AJ24">
            <v>1.3126471599999998</v>
          </cell>
          <cell r="AK24">
            <v>2.899521</v>
          </cell>
          <cell r="AL24">
            <v>6.7114700000000003</v>
          </cell>
          <cell r="AM24">
            <v>0</v>
          </cell>
          <cell r="AN24">
            <v>0.53625293843426169</v>
          </cell>
          <cell r="AO24">
            <v>0.53625293843426169</v>
          </cell>
          <cell r="AP24">
            <v>0.53625293843426169</v>
          </cell>
          <cell r="AQ24">
            <v>0.53625293843426169</v>
          </cell>
          <cell r="AR24">
            <v>0.4114838691389705</v>
          </cell>
          <cell r="AS24">
            <v>0.4114838691389705</v>
          </cell>
          <cell r="AT24">
            <v>0.4114838691389705</v>
          </cell>
          <cell r="AU24">
            <v>0.4114838691389705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F25">
            <v>0</v>
          </cell>
          <cell r="G25">
            <v>0</v>
          </cell>
          <cell r="H25">
            <v>-20.565300000000004</v>
          </cell>
          <cell r="I25">
            <v>-27.660499999999999</v>
          </cell>
          <cell r="J25">
            <v>-31.191700000000001</v>
          </cell>
          <cell r="K25">
            <v>-30.33639878</v>
          </cell>
          <cell r="L25">
            <v>-89.644167510000003</v>
          </cell>
          <cell r="M25">
            <v>-160.46928439600001</v>
          </cell>
          <cell r="N25">
            <v>-86.882847300799995</v>
          </cell>
          <cell r="O25">
            <v>-46.882847300800002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-7.8117491500000007</v>
          </cell>
          <cell r="Y25">
            <v>-7.8117491500000007</v>
          </cell>
          <cell r="Z25">
            <v>-7.7841008499999997</v>
          </cell>
          <cell r="AA25">
            <v>-7.7841008499999997</v>
          </cell>
          <cell r="AB25">
            <v>-7.4584348150000004</v>
          </cell>
          <cell r="AC25">
            <v>-7.4584348150000004</v>
          </cell>
          <cell r="AD25">
            <v>-7.4835449800000005</v>
          </cell>
          <cell r="AE25">
            <v>-7.9359841700000002</v>
          </cell>
          <cell r="AF25">
            <v>-7.9363266799999996</v>
          </cell>
          <cell r="AG25">
            <v>-8.7667770600000008</v>
          </cell>
          <cell r="AH25">
            <v>-48.077724930000002</v>
          </cell>
          <cell r="AI25">
            <v>-24.863338840000001</v>
          </cell>
          <cell r="AJ25">
            <v>-31.90261143</v>
          </cell>
          <cell r="AK25">
            <v>-44.522592000000003</v>
          </cell>
          <cell r="AL25">
            <v>-58.200747999999997</v>
          </cell>
          <cell r="AM25">
            <v>-27.508369155999993</v>
          </cell>
          <cell r="AN25">
            <v>-21.720711825199999</v>
          </cell>
          <cell r="AO25">
            <v>-21.720711825199999</v>
          </cell>
          <cell r="AP25">
            <v>-21.720711825199999</v>
          </cell>
          <cell r="AQ25">
            <v>-21.720711825199999</v>
          </cell>
          <cell r="AR25">
            <v>-11.7207118252</v>
          </cell>
          <cell r="AS25">
            <v>-11.7207118252</v>
          </cell>
          <cell r="AT25">
            <v>-11.7207118252</v>
          </cell>
          <cell r="AU25">
            <v>-11.7207118252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F26">
            <v>0</v>
          </cell>
          <cell r="G26">
            <v>0</v>
          </cell>
          <cell r="H26">
            <v>-16.669100000000004</v>
          </cell>
          <cell r="I26">
            <v>-26.430999999999997</v>
          </cell>
          <cell r="J26">
            <v>-28.875300000000003</v>
          </cell>
          <cell r="K26">
            <v>-28.146213769999999</v>
          </cell>
          <cell r="L26">
            <v>-83.39548929</v>
          </cell>
          <cell r="M26">
            <v>-151.21068242600001</v>
          </cell>
          <cell r="N26">
            <v>-84.737835547062943</v>
          </cell>
          <cell r="O26">
            <v>-45.236911824244117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-7.6144122150000006</v>
          </cell>
          <cell r="Y26">
            <v>-7.6144122150000006</v>
          </cell>
          <cell r="Z26">
            <v>-6.8232377849999999</v>
          </cell>
          <cell r="AA26">
            <v>-6.8232377849999999</v>
          </cell>
          <cell r="AB26">
            <v>-7.25248867</v>
          </cell>
          <cell r="AC26">
            <v>-7.25248867</v>
          </cell>
          <cell r="AD26">
            <v>-6.8907807400000003</v>
          </cell>
          <cell r="AE26">
            <v>-6.7504556900000008</v>
          </cell>
          <cell r="AF26">
            <v>-6.7884691999999998</v>
          </cell>
          <cell r="AG26">
            <v>-8.4868695700000014</v>
          </cell>
          <cell r="AH26">
            <v>-43.524668810000001</v>
          </cell>
          <cell r="AI26">
            <v>-24.595481710000001</v>
          </cell>
          <cell r="AJ26">
            <v>-30.589964269999999</v>
          </cell>
          <cell r="AK26">
            <v>-41.623071000000003</v>
          </cell>
          <cell r="AL26">
            <v>-51.489277999999999</v>
          </cell>
          <cell r="AM26">
            <v>-27.508369155999993</v>
          </cell>
          <cell r="AN26">
            <v>-21.184458886765736</v>
          </cell>
          <cell r="AO26">
            <v>-21.184458886765736</v>
          </cell>
          <cell r="AP26">
            <v>-21.184458886765736</v>
          </cell>
          <cell r="AQ26">
            <v>-21.184458886765736</v>
          </cell>
          <cell r="AR26">
            <v>-11.309227956061029</v>
          </cell>
          <cell r="AS26">
            <v>-11.309227956061029</v>
          </cell>
          <cell r="AT26">
            <v>-11.309227956061029</v>
          </cell>
          <cell r="AU26">
            <v>-11.309227956061029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0.13997029999999999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0.13997029999999999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F28">
            <v>0</v>
          </cell>
          <cell r="G28">
            <v>0</v>
          </cell>
          <cell r="H28">
            <v>0.44520000000000004</v>
          </cell>
          <cell r="I28">
            <v>0.2455</v>
          </cell>
          <cell r="J28">
            <v>0.41189013000000002</v>
          </cell>
          <cell r="K28">
            <v>0.60580792000000006</v>
          </cell>
          <cell r="L28">
            <v>0.39528826999999989</v>
          </cell>
          <cell r="M28">
            <v>2.22612962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0.60580792000000006</v>
          </cell>
          <cell r="AF28">
            <v>0</v>
          </cell>
          <cell r="AG28">
            <v>0</v>
          </cell>
          <cell r="AH28">
            <v>-0.53044555000000004</v>
          </cell>
          <cell r="AI28">
            <v>0.92573381999999993</v>
          </cell>
          <cell r="AJ28">
            <v>0.62172961999999998</v>
          </cell>
          <cell r="AK28">
            <v>0.58013099999999995</v>
          </cell>
          <cell r="AL28">
            <v>1.0242690000000001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F29">
            <v>-18.215428239999994</v>
          </cell>
          <cell r="G29">
            <v>-30.742350839999858</v>
          </cell>
          <cell r="H29">
            <v>7.7010386099998005</v>
          </cell>
          <cell r="I29">
            <v>-3.4780707599999729</v>
          </cell>
          <cell r="J29">
            <v>-11.932502510000024</v>
          </cell>
          <cell r="K29">
            <v>-22.779069369999732</v>
          </cell>
          <cell r="L29">
            <v>-205.66165386500069</v>
          </cell>
          <cell r="M29">
            <v>-21.294886440000042</v>
          </cell>
          <cell r="N29">
            <v>40</v>
          </cell>
          <cell r="O29">
            <v>40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-4.3153603349999763</v>
          </cell>
          <cell r="Y29">
            <v>-5.1195110350000173</v>
          </cell>
          <cell r="Z29">
            <v>-1.475057495000041</v>
          </cell>
          <cell r="AA29">
            <v>-0.61068351500014018</v>
          </cell>
          <cell r="AB29">
            <v>22.687111220000034</v>
          </cell>
          <cell r="AC29">
            <v>-7.8906685800000762</v>
          </cell>
          <cell r="AD29">
            <v>-13.078682969999921</v>
          </cell>
          <cell r="AE29">
            <v>-24.49682903999997</v>
          </cell>
          <cell r="AF29">
            <v>13.996641099999811</v>
          </cell>
          <cell r="AG29">
            <v>8.2983469199998297</v>
          </cell>
          <cell r="AH29">
            <v>-99.530309020000345</v>
          </cell>
          <cell r="AI29">
            <v>-128.42633286500001</v>
          </cell>
          <cell r="AJ29">
            <v>62.412339560000014</v>
          </cell>
          <cell r="AK29">
            <v>17.088874999999938</v>
          </cell>
          <cell r="AL29">
            <v>-110.79610100000001</v>
          </cell>
          <cell r="AM29">
            <v>10</v>
          </cell>
          <cell r="AN29">
            <v>10</v>
          </cell>
          <cell r="AO29">
            <v>10</v>
          </cell>
          <cell r="AP29">
            <v>10</v>
          </cell>
          <cell r="AQ29">
            <v>10</v>
          </cell>
          <cell r="AR29">
            <v>10</v>
          </cell>
          <cell r="AS29">
            <v>10</v>
          </cell>
          <cell r="AT29">
            <v>10</v>
          </cell>
          <cell r="AU29">
            <v>10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E30">
            <v>0</v>
          </cell>
          <cell r="F30">
            <v>100.92792333000001</v>
          </cell>
          <cell r="G30">
            <v>140.31674101999991</v>
          </cell>
          <cell r="H30">
            <v>116.42080672999998</v>
          </cell>
          <cell r="I30">
            <v>124.4717450700002</v>
          </cell>
          <cell r="J30">
            <v>141.89801775000001</v>
          </cell>
          <cell r="K30">
            <v>145.38774694</v>
          </cell>
          <cell r="L30">
            <v>135.98549396000021</v>
          </cell>
          <cell r="M30">
            <v>444.44526165071488</v>
          </cell>
          <cell r="N30">
            <v>1557.4054681536807</v>
          </cell>
          <cell r="O30">
            <v>2250.5991397063854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31.873876980000002</v>
          </cell>
          <cell r="Y30">
            <v>40.258052999999983</v>
          </cell>
          <cell r="Z30">
            <v>37.933565080000008</v>
          </cell>
          <cell r="AA30">
            <v>31.832522690000012</v>
          </cell>
          <cell r="AB30">
            <v>36.310543479999993</v>
          </cell>
          <cell r="AC30">
            <v>19.452287839999997</v>
          </cell>
          <cell r="AD30">
            <v>47.604965559999982</v>
          </cell>
          <cell r="AE30">
            <v>42.01995006000007</v>
          </cell>
          <cell r="AF30">
            <v>66.325600009999931</v>
          </cell>
          <cell r="AG30">
            <v>114.93924132000001</v>
          </cell>
          <cell r="AH30">
            <v>119.47975014000014</v>
          </cell>
          <cell r="AI30">
            <v>-164.75909751</v>
          </cell>
          <cell r="AJ30">
            <v>45.324317419999986</v>
          </cell>
          <cell r="AK30">
            <v>-51.031201000000074</v>
          </cell>
          <cell r="AL30">
            <v>147.25595099999964</v>
          </cell>
          <cell r="AM30">
            <v>302.89619423071423</v>
          </cell>
          <cell r="AN30">
            <v>343.21353569480124</v>
          </cell>
          <cell r="AO30">
            <v>369.53286031653596</v>
          </cell>
          <cell r="AP30">
            <v>427.10530670552242</v>
          </cell>
          <cell r="AQ30">
            <v>417.5537654368224</v>
          </cell>
          <cell r="AR30">
            <v>510.11287525603097</v>
          </cell>
          <cell r="AS30">
            <v>544.26061807075325</v>
          </cell>
          <cell r="AT30">
            <v>608.69204094403653</v>
          </cell>
          <cell r="AU30">
            <v>587.5336054355646</v>
          </cell>
        </row>
        <row r="31">
          <cell r="A31" t="str">
            <v>Additional Income Statement Items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1.9895196601282805E-13</v>
          </cell>
          <cell r="J31">
            <v>0</v>
          </cell>
          <cell r="K31">
            <v>0</v>
          </cell>
          <cell r="L31">
            <v>-3.979039320256561E-13</v>
          </cell>
          <cell r="M31">
            <v>4.5474735088646412E-13</v>
          </cell>
          <cell r="N31">
            <v>0</v>
          </cell>
          <cell r="O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7.1054273576010019E-14</v>
          </cell>
          <cell r="AF31">
            <v>0</v>
          </cell>
          <cell r="AG31">
            <v>0</v>
          </cell>
          <cell r="AH31">
            <v>1.2789769243681803E-13</v>
          </cell>
          <cell r="AI31">
            <v>0</v>
          </cell>
          <cell r="AJ31">
            <v>0</v>
          </cell>
          <cell r="AK31">
            <v>-7.1054273576010019E-14</v>
          </cell>
          <cell r="AL31">
            <v>-3.694822225952521E-13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B33" t="str">
            <v>Operating lease cost</v>
          </cell>
          <cell r="C33" t="str">
            <v>LEASE_PAY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B38" t="str">
            <v>Depreciation ROU assets   (applicable to IFRS cos.)</v>
          </cell>
          <cell r="C38" t="str">
            <v>DEPR_ROU_ASSETS</v>
          </cell>
          <cell r="D38" t="str">
            <v>CNY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B39" t="str">
            <v>Lease interest charge  (applicable to IFRS cos.)</v>
          </cell>
          <cell r="C39" t="str">
            <v>LEASE_INT_CHG</v>
          </cell>
          <cell r="D39" t="str">
            <v>CNY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B40" t="str">
            <v>Lease standard adopted (US GAAP ASC 842/ IFRS 16)</v>
          </cell>
          <cell r="C40" t="str">
            <v>LEASE_ADOPT</v>
          </cell>
          <cell r="E40">
            <v>0</v>
          </cell>
        </row>
        <row r="41">
          <cell r="A41" t="str">
            <v>Balance Sheet</v>
          </cell>
          <cell r="B41">
            <v>0</v>
          </cell>
          <cell r="C41">
            <v>0</v>
          </cell>
          <cell r="D41">
            <v>0</v>
          </cell>
        </row>
        <row r="42">
          <cell r="B42" t="str">
            <v>Cash &amp; cash equivalents</v>
          </cell>
          <cell r="C42" t="str">
            <v>CASH_EQ</v>
          </cell>
          <cell r="D42" t="str">
            <v>CNY</v>
          </cell>
          <cell r="F42">
            <v>53.63937232</v>
          </cell>
          <cell r="G42">
            <v>85.203369409999993</v>
          </cell>
          <cell r="H42">
            <v>145.72827415</v>
          </cell>
          <cell r="I42">
            <v>157.19948403000001</v>
          </cell>
          <cell r="J42">
            <v>165.68212251</v>
          </cell>
          <cell r="K42">
            <v>788.61685432000002</v>
          </cell>
          <cell r="L42">
            <v>3004.2283174099998</v>
          </cell>
          <cell r="M42">
            <v>2821.3686484040445</v>
          </cell>
          <cell r="N42">
            <v>2588.8905848713284</v>
          </cell>
          <cell r="O42">
            <v>3155.286173960546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B43" t="str">
            <v>Accounts receivable</v>
          </cell>
          <cell r="C43" t="str">
            <v>DEBTORS</v>
          </cell>
          <cell r="D43" t="str">
            <v>CNY</v>
          </cell>
          <cell r="F43">
            <v>317.59792256000003</v>
          </cell>
          <cell r="G43">
            <v>384.09689567999999</v>
          </cell>
          <cell r="H43">
            <v>432.98559352999996</v>
          </cell>
          <cell r="I43">
            <v>610.78266903999997</v>
          </cell>
          <cell r="J43">
            <v>712.4948091</v>
          </cell>
          <cell r="K43">
            <v>892.53697532000001</v>
          </cell>
          <cell r="L43">
            <v>1578.8193276300001</v>
          </cell>
          <cell r="M43">
            <v>1553.9347756906432</v>
          </cell>
          <cell r="N43">
            <v>1625.4746580356327</v>
          </cell>
          <cell r="O43">
            <v>1936.2190869287133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B44" t="str">
            <v>Inventory</v>
          </cell>
          <cell r="C44" t="str">
            <v>STOCKS</v>
          </cell>
          <cell r="D44" t="str">
            <v>CNY</v>
          </cell>
          <cell r="F44">
            <v>164.94419199999999</v>
          </cell>
          <cell r="G44">
            <v>162.13489991999998</v>
          </cell>
          <cell r="H44">
            <v>239.33055324</v>
          </cell>
          <cell r="I44">
            <v>279.18046269999996</v>
          </cell>
          <cell r="J44">
            <v>327.84568268999999</v>
          </cell>
          <cell r="K44">
            <v>548.09128034000003</v>
          </cell>
          <cell r="L44">
            <v>3815.32764391</v>
          </cell>
          <cell r="M44">
            <v>2977.6860558052422</v>
          </cell>
          <cell r="N44">
            <v>3379.0107288126414</v>
          </cell>
          <cell r="O44">
            <v>2968.3863610031644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B45" t="str">
            <v>Other current assets</v>
          </cell>
          <cell r="C45" t="str">
            <v>OTH_CUR_ASS</v>
          </cell>
          <cell r="D45" t="str">
            <v>CNY</v>
          </cell>
          <cell r="F45">
            <v>22.222054800000024</v>
          </cell>
          <cell r="G45">
            <v>20.717024540000011</v>
          </cell>
          <cell r="H45">
            <v>57.802314460000048</v>
          </cell>
          <cell r="I45">
            <v>98.545494230000031</v>
          </cell>
          <cell r="J45">
            <v>82.574111390000098</v>
          </cell>
          <cell r="K45">
            <v>157.08439958999998</v>
          </cell>
          <cell r="L45">
            <v>475.09694540000055</v>
          </cell>
          <cell r="M45">
            <v>649.52216946999988</v>
          </cell>
          <cell r="N45">
            <v>649.52216946999988</v>
          </cell>
          <cell r="O45">
            <v>649.52216946999988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B46" t="str">
            <v>Total current assets</v>
          </cell>
          <cell r="C46" t="str">
            <v>CUR_ASS</v>
          </cell>
          <cell r="D46" t="str">
            <v>CNY</v>
          </cell>
          <cell r="F46">
            <v>558.40354167999999</v>
          </cell>
          <cell r="G46">
            <v>652.15218955</v>
          </cell>
          <cell r="H46">
            <v>875.84673538000004</v>
          </cell>
          <cell r="I46">
            <v>1145.70811</v>
          </cell>
          <cell r="J46">
            <v>1288.5967256900001</v>
          </cell>
          <cell r="K46">
            <v>2386.32950957</v>
          </cell>
          <cell r="L46">
            <v>8873.4722343499998</v>
          </cell>
          <cell r="M46">
            <v>8002.5116493699297</v>
          </cell>
          <cell r="N46">
            <v>8242.898141189602</v>
          </cell>
          <cell r="O46">
            <v>8709.4137913624236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B47" t="str">
            <v>Gross fixed assets, PP&amp;E</v>
          </cell>
          <cell r="C47" t="str">
            <v>GR_FIX_ASS</v>
          </cell>
          <cell r="D47" t="str">
            <v>CNY</v>
          </cell>
          <cell r="F47">
            <v>7.0483073699999998</v>
          </cell>
          <cell r="G47">
            <v>13.69513882</v>
          </cell>
          <cell r="H47">
            <v>108.39102509999999</v>
          </cell>
          <cell r="I47">
            <v>124.93439334</v>
          </cell>
          <cell r="J47">
            <v>195.89606178000003</v>
          </cell>
          <cell r="K47">
            <v>239.41624751000001</v>
          </cell>
          <cell r="L47">
            <v>1659.8012811977596</v>
          </cell>
          <cell r="M47">
            <v>1672.3331872799999</v>
          </cell>
          <cell r="N47">
            <v>2027.6338763499998</v>
          </cell>
          <cell r="O47">
            <v>2382.9345654199997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B48" t="str">
            <v>Accumulated depreciation</v>
          </cell>
          <cell r="C48" t="str">
            <v>ACC_DDA</v>
          </cell>
          <cell r="D48" t="str">
            <v>CNY</v>
          </cell>
          <cell r="F48">
            <v>0</v>
          </cell>
          <cell r="G48">
            <v>0</v>
          </cell>
          <cell r="H48">
            <v>-11.713699999999999</v>
          </cell>
          <cell r="I48">
            <v>-21.8309</v>
          </cell>
          <cell r="J48">
            <v>-34.28669429</v>
          </cell>
          <cell r="K48">
            <v>-49.345802390000003</v>
          </cell>
          <cell r="L48">
            <v>-192.43100865775978</v>
          </cell>
          <cell r="M48">
            <v>-377.8106252144853</v>
          </cell>
          <cell r="N48">
            <v>-695.13294846870224</v>
          </cell>
          <cell r="O48">
            <v>-1019.2221886556692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B49" t="str">
            <v>Net PP&amp;E</v>
          </cell>
          <cell r="C49" t="str">
            <v>NET_FIX_ASS</v>
          </cell>
          <cell r="D49" t="str">
            <v>CNY</v>
          </cell>
          <cell r="F49">
            <v>7.0483073699999998</v>
          </cell>
          <cell r="G49">
            <v>13.69513882</v>
          </cell>
          <cell r="H49">
            <v>96.67732509999999</v>
          </cell>
          <cell r="I49">
            <v>103.10349334</v>
          </cell>
          <cell r="J49">
            <v>161.60936749000001</v>
          </cell>
          <cell r="K49">
            <v>190.07044511999999</v>
          </cell>
          <cell r="L49">
            <v>1467.3702725399999</v>
          </cell>
          <cell r="M49">
            <v>1294.5225620655146</v>
          </cell>
          <cell r="N49">
            <v>1332.5009278812977</v>
          </cell>
          <cell r="O49">
            <v>1363.7123767643304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B50" t="str">
            <v>Gross intangibles</v>
          </cell>
          <cell r="C50" t="str">
            <v>GR_INTANG</v>
          </cell>
          <cell r="D50" t="str">
            <v>CNY</v>
          </cell>
          <cell r="F50">
            <v>2.0707299099999998</v>
          </cell>
          <cell r="G50">
            <v>2.1079637899999999</v>
          </cell>
          <cell r="H50">
            <v>11.34397534</v>
          </cell>
          <cell r="I50">
            <v>20.952476100000002</v>
          </cell>
          <cell r="J50">
            <v>38.061691199999999</v>
          </cell>
          <cell r="K50">
            <v>78.354725619999996</v>
          </cell>
          <cell r="L50">
            <v>1389.16828508</v>
          </cell>
          <cell r="M50">
            <v>1381.0082965300001</v>
          </cell>
          <cell r="N50">
            <v>1417.85868568</v>
          </cell>
          <cell r="O50">
            <v>1454.70907483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B51" t="str">
            <v>Accumulated amortization</v>
          </cell>
          <cell r="C51" t="str">
            <v>ACC_AMORT</v>
          </cell>
          <cell r="D51" t="str">
            <v>CNY</v>
          </cell>
          <cell r="F51">
            <v>0</v>
          </cell>
          <cell r="G51">
            <v>0</v>
          </cell>
          <cell r="H51">
            <v>-5.4669000000000008</v>
          </cell>
          <cell r="I51">
            <v>-7.4582000000000006</v>
          </cell>
          <cell r="J51">
            <v>-13.72812587</v>
          </cell>
          <cell r="K51">
            <v>-22.228388149999997</v>
          </cell>
          <cell r="L51">
            <v>-40</v>
          </cell>
          <cell r="M51">
            <v>-63.571197646321266</v>
          </cell>
          <cell r="N51">
            <v>-91.400574032736898</v>
          </cell>
          <cell r="O51">
            <v>-122.06716721111067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</row>
        <row r="52">
          <cell r="B52" t="str">
            <v>Net intangible assets</v>
          </cell>
          <cell r="C52" t="str">
            <v>NET_INTANG</v>
          </cell>
          <cell r="D52" t="str">
            <v>CNY</v>
          </cell>
          <cell r="F52">
            <v>2.0707299099999998</v>
          </cell>
          <cell r="G52">
            <v>2.1079637899999999</v>
          </cell>
          <cell r="H52">
            <v>5.8770753399999993</v>
          </cell>
          <cell r="I52">
            <v>13.4942761</v>
          </cell>
          <cell r="J52">
            <v>24.333565329999999</v>
          </cell>
          <cell r="K52">
            <v>56.126337469999996</v>
          </cell>
          <cell r="L52">
            <v>1349.16828508</v>
          </cell>
          <cell r="M52">
            <v>1317.4370988836788</v>
          </cell>
          <cell r="N52">
            <v>1326.4581116472632</v>
          </cell>
          <cell r="O52">
            <v>1332.6419076188893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B53" t="str">
            <v>Equity method investments</v>
          </cell>
          <cell r="C53" t="str">
            <v>FIX_ASS_INV</v>
          </cell>
          <cell r="D53" t="str">
            <v>CNY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24.622475130000005</v>
          </cell>
          <cell r="M53">
            <v>576.47493454000005</v>
          </cell>
          <cell r="N53">
            <v>613.76595778000001</v>
          </cell>
          <cell r="O53">
            <v>613.76595778000001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</row>
        <row r="54">
          <cell r="B54" t="str">
            <v>Investments in securities</v>
          </cell>
          <cell r="C54" t="str">
            <v>INV_SECUR</v>
          </cell>
          <cell r="D54" t="str">
            <v>CNY</v>
          </cell>
          <cell r="F54">
            <v>0</v>
          </cell>
          <cell r="G54">
            <v>0</v>
          </cell>
          <cell r="H54">
            <v>0</v>
          </cell>
          <cell r="I54">
            <v>7.5034682199999994</v>
          </cell>
          <cell r="J54">
            <v>19.885349300000001</v>
          </cell>
          <cell r="K54">
            <v>36.926793579999995</v>
          </cell>
          <cell r="L54">
            <v>37.291023240000001</v>
          </cell>
          <cell r="M54">
            <v>37.291023240000001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B55" t="str">
            <v>Other long-term assets</v>
          </cell>
          <cell r="C55" t="str">
            <v>OTH_LT_ASS</v>
          </cell>
          <cell r="D55" t="str">
            <v>CNY</v>
          </cell>
          <cell r="F55">
            <v>56.941234949999995</v>
          </cell>
          <cell r="G55">
            <v>112.61986178000001</v>
          </cell>
          <cell r="H55">
            <v>169.71962773000001</v>
          </cell>
          <cell r="I55">
            <v>198.33678456999999</v>
          </cell>
          <cell r="J55">
            <v>151.24685267000004</v>
          </cell>
          <cell r="K55">
            <v>155.45511789</v>
          </cell>
          <cell r="L55">
            <v>3837.4318062800007</v>
          </cell>
          <cell r="M55">
            <v>6849.53327188</v>
          </cell>
          <cell r="N55">
            <v>6688.5664989300003</v>
          </cell>
          <cell r="O55">
            <v>6527.5997259800006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B56" t="str">
            <v>Total assets</v>
          </cell>
          <cell r="C56" t="str">
            <v>TOT_ASSET</v>
          </cell>
          <cell r="D56" t="str">
            <v>CNY</v>
          </cell>
          <cell r="F56">
            <v>624.46381391</v>
          </cell>
          <cell r="G56">
            <v>780.57515394000006</v>
          </cell>
          <cell r="H56">
            <v>1148.12076355</v>
          </cell>
          <cell r="I56">
            <v>1468.1461322300001</v>
          </cell>
          <cell r="J56">
            <v>1645.6718604800001</v>
          </cell>
          <cell r="K56">
            <v>2824.9082036300001</v>
          </cell>
          <cell r="L56">
            <v>15589.35609662</v>
          </cell>
          <cell r="M56">
            <v>18077.770539979123</v>
          </cell>
          <cell r="N56">
            <v>18204.189637428164</v>
          </cell>
          <cell r="O56">
            <v>18547.133759505643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B57" t="str">
            <v>Accounts payable</v>
          </cell>
          <cell r="C57" t="str">
            <v>ACC_PAY_GQ</v>
          </cell>
          <cell r="D57" t="str">
            <v>CNY</v>
          </cell>
          <cell r="F57">
            <v>183.04360892000003</v>
          </cell>
          <cell r="G57">
            <v>148.18216423999999</v>
          </cell>
          <cell r="H57">
            <v>210.92410536</v>
          </cell>
          <cell r="I57">
            <v>219.36193297999998</v>
          </cell>
          <cell r="J57">
            <v>239.73557061000002</v>
          </cell>
          <cell r="K57">
            <v>287.61953051</v>
          </cell>
          <cell r="L57">
            <v>1395.43288727</v>
          </cell>
          <cell r="M57">
            <v>1218.2240761758881</v>
          </cell>
          <cell r="N57">
            <v>1757.6317573613769</v>
          </cell>
          <cell r="O57">
            <v>1495.357361453154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B58" t="str">
            <v>Short-term debt</v>
          </cell>
          <cell r="C58" t="str">
            <v>SHORT_T_DEBT</v>
          </cell>
          <cell r="D58" t="str">
            <v>CNY</v>
          </cell>
          <cell r="F58">
            <v>165.1192787</v>
          </cell>
          <cell r="G58">
            <v>272.28040863000001</v>
          </cell>
          <cell r="H58">
            <v>346.66196977999999</v>
          </cell>
          <cell r="I58">
            <v>545.31769783999994</v>
          </cell>
          <cell r="J58">
            <v>554.50324028</v>
          </cell>
          <cell r="K58">
            <v>489.38464667</v>
          </cell>
          <cell r="L58">
            <v>1613.7048380799999</v>
          </cell>
          <cell r="M58">
            <v>1013.7048380799999</v>
          </cell>
          <cell r="N58">
            <v>1013.7048380799999</v>
          </cell>
          <cell r="O58">
            <v>1013.7048380799999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 t="str">
            <v>CNY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B60" t="str">
            <v>Other current liabilities</v>
          </cell>
          <cell r="C60" t="str">
            <v>OTH_CUR_LIABS</v>
          </cell>
          <cell r="D60" t="str">
            <v>CNY</v>
          </cell>
          <cell r="F60">
            <v>2.4789584399999853</v>
          </cell>
          <cell r="G60">
            <v>1.5597803399999748</v>
          </cell>
          <cell r="H60">
            <v>3.6285656799999515</v>
          </cell>
          <cell r="I60">
            <v>48.183405270000094</v>
          </cell>
          <cell r="J60">
            <v>38.986998669999934</v>
          </cell>
          <cell r="K60">
            <v>780.97664879000013</v>
          </cell>
          <cell r="L60">
            <v>1533.3930576700009</v>
          </cell>
          <cell r="M60">
            <v>1707.9028685400001</v>
          </cell>
          <cell r="N60">
            <v>1707.9028685400001</v>
          </cell>
          <cell r="O60">
            <v>1707.9028685400001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</row>
        <row r="61">
          <cell r="B61" t="str">
            <v>Total current liabilities</v>
          </cell>
          <cell r="C61" t="str">
            <v>SHORT_TERM_LIABS</v>
          </cell>
          <cell r="D61" t="str">
            <v>CNY</v>
          </cell>
          <cell r="F61">
            <v>350.64184605999998</v>
          </cell>
          <cell r="G61">
            <v>422.02235321000001</v>
          </cell>
          <cell r="H61">
            <v>561.21464082</v>
          </cell>
          <cell r="I61">
            <v>812.86303609000004</v>
          </cell>
          <cell r="J61">
            <v>833.2258095599999</v>
          </cell>
          <cell r="K61">
            <v>1557.9808259700001</v>
          </cell>
          <cell r="L61">
            <v>4542.5307830200009</v>
          </cell>
          <cell r="M61">
            <v>3939.8317827958881</v>
          </cell>
          <cell r="N61">
            <v>4479.2394639813765</v>
          </cell>
          <cell r="O61">
            <v>4216.9650680731538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B62" t="str">
            <v>Long-term  debt</v>
          </cell>
          <cell r="C62" t="str">
            <v>LT_DEBT</v>
          </cell>
          <cell r="D62" t="str">
            <v>CNY</v>
          </cell>
          <cell r="F62">
            <v>6.7888694100000002</v>
          </cell>
          <cell r="G62">
            <v>2.5095092000000001</v>
          </cell>
          <cell r="H62">
            <v>1.3687</v>
          </cell>
          <cell r="I62">
            <v>0.61021260999999993</v>
          </cell>
          <cell r="J62">
            <v>5.1799999999999999E-2</v>
          </cell>
          <cell r="K62">
            <v>70</v>
          </cell>
          <cell r="L62">
            <v>2290.3294492</v>
          </cell>
          <cell r="M62">
            <v>1290.3294492</v>
          </cell>
          <cell r="N62">
            <v>290.3294492</v>
          </cell>
          <cell r="O62">
            <v>42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 t="str">
            <v>CNY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B64" t="str">
            <v>Other long-term liabilities</v>
          </cell>
          <cell r="C64" t="str">
            <v>OTH_LT_CRED_GQ</v>
          </cell>
          <cell r="D64" t="str">
            <v>CNY</v>
          </cell>
          <cell r="F64">
            <v>7.3349999999999991</v>
          </cell>
          <cell r="G64">
            <v>6.1679999999999993</v>
          </cell>
          <cell r="H64">
            <v>65.887979150000007</v>
          </cell>
          <cell r="I64">
            <v>2.5339999999999998</v>
          </cell>
          <cell r="J64">
            <v>3.4938759199999998</v>
          </cell>
          <cell r="K64">
            <v>6.2864996800000057</v>
          </cell>
          <cell r="L64">
            <v>882.77051329999995</v>
          </cell>
          <cell r="M64">
            <v>849.50178515000005</v>
          </cell>
          <cell r="N64">
            <v>849.50178515000005</v>
          </cell>
          <cell r="O64">
            <v>849.50178515000005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</row>
        <row r="65">
          <cell r="B65" t="str">
            <v>Total long-term liabilities</v>
          </cell>
          <cell r="C65" t="str">
            <v>TOT_LT_LIAB</v>
          </cell>
          <cell r="D65" t="str">
            <v>CNY</v>
          </cell>
          <cell r="F65">
            <v>14.123869409999999</v>
          </cell>
          <cell r="G65">
            <v>8.6775091999999994</v>
          </cell>
          <cell r="H65">
            <v>67.256679150000011</v>
          </cell>
          <cell r="I65">
            <v>3.1442126099999999</v>
          </cell>
          <cell r="J65">
            <v>3.5456759199999999</v>
          </cell>
          <cell r="K65">
            <v>76.286499680000006</v>
          </cell>
          <cell r="L65">
            <v>3173.0999624999999</v>
          </cell>
          <cell r="M65">
            <v>2139.8312343500002</v>
          </cell>
          <cell r="N65">
            <v>1139.8312343500002</v>
          </cell>
          <cell r="O65">
            <v>891.50178515000005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B66" t="str">
            <v>Total liabilities</v>
          </cell>
          <cell r="C66" t="str">
            <v>TOT_LIAB</v>
          </cell>
          <cell r="D66" t="str">
            <v>CNY</v>
          </cell>
          <cell r="F66">
            <v>364.76571546999998</v>
          </cell>
          <cell r="G66">
            <v>430.69986240999998</v>
          </cell>
          <cell r="H66">
            <v>628.47131996999997</v>
          </cell>
          <cell r="I66">
            <v>816.00724869999999</v>
          </cell>
          <cell r="J66">
            <v>836.77148547999991</v>
          </cell>
          <cell r="K66">
            <v>1634.26732565</v>
          </cell>
          <cell r="L66">
            <v>7715.6307455200003</v>
          </cell>
          <cell r="M66">
            <v>6079.6630171458883</v>
          </cell>
          <cell r="N66">
            <v>5619.0706983313767</v>
          </cell>
          <cell r="O66">
            <v>5108.4668532231535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</row>
        <row r="67">
          <cell r="B67" t="str">
            <v>Preferred shares</v>
          </cell>
          <cell r="C67" t="str">
            <v>PREF_SH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B68" t="str">
            <v>Total common equity</v>
          </cell>
          <cell r="C68" t="str">
            <v>ORD_SH_FUND</v>
          </cell>
          <cell r="D68" t="str">
            <v>CNY</v>
          </cell>
          <cell r="F68">
            <v>259.69809844000002</v>
          </cell>
          <cell r="G68">
            <v>349.87529152999997</v>
          </cell>
          <cell r="H68">
            <v>519.64944358000002</v>
          </cell>
          <cell r="I68">
            <v>642.29624937000006</v>
          </cell>
          <cell r="J68">
            <v>808.75801903999991</v>
          </cell>
          <cell r="K68">
            <v>1179.7644158799999</v>
          </cell>
          <cell r="L68">
            <v>3983.94254</v>
          </cell>
          <cell r="M68">
            <v>12010.760474333236</v>
          </cell>
          <cell r="N68">
            <v>12617.771890596787</v>
          </cell>
          <cell r="O68">
            <v>13491.31985778249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B69" t="str">
            <v>Minority interest</v>
          </cell>
          <cell r="C69" t="str">
            <v>MINORITIES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9.8426341599999994</v>
          </cell>
          <cell r="J69">
            <v>0.14235596</v>
          </cell>
          <cell r="K69">
            <v>10.876462099999999</v>
          </cell>
          <cell r="L69">
            <v>3889.7828110999999</v>
          </cell>
          <cell r="M69">
            <v>-12.652951500000004</v>
          </cell>
          <cell r="N69">
            <v>-32.6529515</v>
          </cell>
          <cell r="O69">
            <v>-52.6529515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B70" t="str">
            <v>Total shareholders' equity</v>
          </cell>
          <cell r="C70" t="str">
            <v>EQ</v>
          </cell>
          <cell r="D70" t="str">
            <v>CNY</v>
          </cell>
          <cell r="F70">
            <v>259.69809844000002</v>
          </cell>
          <cell r="G70">
            <v>349.87529152999997</v>
          </cell>
          <cell r="H70">
            <v>519.64944358000002</v>
          </cell>
          <cell r="I70">
            <v>652.13888353000004</v>
          </cell>
          <cell r="J70">
            <v>808.90037499999994</v>
          </cell>
          <cell r="K70">
            <v>1190.6408779799999</v>
          </cell>
          <cell r="L70">
            <v>7873.7253510999999</v>
          </cell>
          <cell r="M70">
            <v>11998.107522833236</v>
          </cell>
          <cell r="N70">
            <v>12585.118939096787</v>
          </cell>
          <cell r="O70">
            <v>13438.666906282489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B71" t="str">
            <v>Total liabilities and equity</v>
          </cell>
          <cell r="C71" t="str">
            <v>TOT_LIAB_EQ</v>
          </cell>
          <cell r="D71" t="str">
            <v>CNY</v>
          </cell>
          <cell r="F71">
            <v>624.46381391</v>
          </cell>
          <cell r="G71">
            <v>780.57515393999995</v>
          </cell>
          <cell r="H71">
            <v>1148.12076355</v>
          </cell>
          <cell r="I71">
            <v>1468.1461322300001</v>
          </cell>
          <cell r="J71">
            <v>1645.6718604799999</v>
          </cell>
          <cell r="K71">
            <v>2824.9082036299997</v>
          </cell>
          <cell r="L71">
            <v>15589.35609662</v>
          </cell>
          <cell r="M71">
            <v>18077.770539979123</v>
          </cell>
          <cell r="N71">
            <v>18204.189637428164</v>
          </cell>
          <cell r="O71">
            <v>18547.133759505643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</row>
        <row r="72">
          <cell r="A72" t="str">
            <v>Additional Balance Sheet Items</v>
          </cell>
          <cell r="B72">
            <v>0</v>
          </cell>
          <cell r="C72">
            <v>0</v>
          </cell>
          <cell r="D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Total US$ debt (in US$)</v>
          </cell>
          <cell r="C73" t="str">
            <v>TOT_USD_DEBT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</row>
        <row r="74">
          <cell r="B74" t="str">
            <v>% US$ debt hedged (principal)</v>
          </cell>
          <cell r="C74" t="str">
            <v>TOT_PCT_USD_DEBT_HEDGED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B75" t="str">
            <v>% Floating debt (local currency debt)</v>
          </cell>
          <cell r="C75" t="str">
            <v>FLOATING_PCT_LOCAL_DEBT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</row>
        <row r="76">
          <cell r="B76" t="str">
            <v>% floating debt hedged (rates)</v>
          </cell>
          <cell r="C76" t="str">
            <v>FLOATING_PCT_LOCAL_DEBT_HEDGED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B77" t="str">
            <v>Net debt</v>
          </cell>
          <cell r="C77" t="str">
            <v>NET_DEBT</v>
          </cell>
          <cell r="D77" t="str">
            <v>CNY</v>
          </cell>
          <cell r="F77">
            <v>118.26877578999999</v>
          </cell>
          <cell r="G77">
            <v>189.58654842000001</v>
          </cell>
          <cell r="H77">
            <v>202.30239562999998</v>
          </cell>
          <cell r="I77">
            <v>388.72842641999995</v>
          </cell>
          <cell r="J77">
            <v>388.87291777000002</v>
          </cell>
          <cell r="K77">
            <v>-229.23220765000002</v>
          </cell>
          <cell r="L77">
            <v>899.80596987000013</v>
          </cell>
          <cell r="M77">
            <v>-517.33436112404456</v>
          </cell>
          <cell r="N77">
            <v>-1284.8562975913285</v>
          </cell>
          <cell r="O77">
            <v>-2099.5813358805462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B79" t="str">
            <v>Deferred income taxes</v>
          </cell>
          <cell r="C79" t="str">
            <v>DEF_INC_TAX</v>
          </cell>
          <cell r="D79" t="str">
            <v>CNY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B81" t="str">
            <v>Net debt adjustment</v>
          </cell>
          <cell r="C81" t="str">
            <v>NET_DEBT_ADJ</v>
          </cell>
          <cell r="D81" t="str">
            <v>CNY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B82" t="str">
            <v>Company borrowing margin</v>
          </cell>
          <cell r="C82" t="str">
            <v>CO_BOR_MARGIN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B83" t="str">
            <v>Unfunded pensions &amp; other provisions</v>
          </cell>
          <cell r="C83" t="str">
            <v>UNF_PENS</v>
          </cell>
          <cell r="D83" t="str">
            <v>CNY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 t="str">
            <v>CNY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 t="str">
            <v>CNY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B87" t="str">
            <v>Other GCI adjustments</v>
          </cell>
          <cell r="C87" t="str">
            <v>OTH_GCI_ADJ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229.23220765000002</v>
          </cell>
          <cell r="L87">
            <v>0</v>
          </cell>
          <cell r="M87">
            <v>517.33436112404456</v>
          </cell>
          <cell r="N87">
            <v>1284.8562975913285</v>
          </cell>
          <cell r="O87">
            <v>2099.5813358805462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B88" t="str">
            <v>GCI inflator</v>
          </cell>
          <cell r="C88" t="str">
            <v>GCI_INFL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B89" t="str">
            <v>Minority interest</v>
          </cell>
          <cell r="C89" t="str">
            <v>BAL_MINO_INT</v>
          </cell>
          <cell r="D89" t="str">
            <v>CNY</v>
          </cell>
          <cell r="F89">
            <v>0</v>
          </cell>
          <cell r="G89">
            <v>0</v>
          </cell>
          <cell r="H89">
            <v>0</v>
          </cell>
          <cell r="I89">
            <v>9.8426341599999994</v>
          </cell>
          <cell r="J89">
            <v>0.14235596</v>
          </cell>
          <cell r="K89">
            <v>10.876462099999999</v>
          </cell>
          <cell r="L89">
            <v>3889.7828110999999</v>
          </cell>
          <cell r="M89">
            <v>-12.652951500000004</v>
          </cell>
          <cell r="N89">
            <v>-32.6529515</v>
          </cell>
          <cell r="O89">
            <v>-52.6529515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B90" t="str">
            <v>Right-of-use assets (op lease assets under US GAAP)</v>
          </cell>
          <cell r="C90" t="str">
            <v>ROU_ASSET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Cash Flow Statement</v>
          </cell>
          <cell r="B91">
            <v>0</v>
          </cell>
          <cell r="C91">
            <v>0</v>
          </cell>
          <cell r="D91">
            <v>0</v>
          </cell>
        </row>
        <row r="92">
          <cell r="B92" t="str">
            <v>Minority interest add-back</v>
          </cell>
          <cell r="C92" t="str">
            <v>CF_INC_MINORITY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-7.5431105899999977</v>
          </cell>
          <cell r="J92">
            <v>-10.250714429999988</v>
          </cell>
          <cell r="K92">
            <v>-13.752322450000008</v>
          </cell>
          <cell r="L92">
            <v>-32.891112910000011</v>
          </cell>
          <cell r="M92">
            <v>37.747932220000017</v>
          </cell>
          <cell r="N92">
            <v>-20</v>
          </cell>
          <cell r="O92">
            <v>-20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B93" t="str">
            <v>Depreciation &amp; amortization add-back</v>
          </cell>
          <cell r="C93" t="str">
            <v>DEPR_AMORT</v>
          </cell>
          <cell r="D93" t="str">
            <v>CNY</v>
          </cell>
          <cell r="F93">
            <v>2.1234000000000002</v>
          </cell>
          <cell r="G93">
            <v>3.8109999999999999</v>
          </cell>
          <cell r="H93">
            <v>5.2797853199999993</v>
          </cell>
          <cell r="I93">
            <v>13.159943969999999</v>
          </cell>
          <cell r="J93">
            <v>19.173577690000002</v>
          </cell>
          <cell r="K93">
            <v>24.963733130000001</v>
          </cell>
          <cell r="L93">
            <v>39.561836110000002</v>
          </cell>
          <cell r="M93">
            <v>166.77560895408104</v>
          </cell>
          <cell r="N93">
            <v>345.15169964063261</v>
          </cell>
          <cell r="O93">
            <v>354.75583336534078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B94" t="str">
            <v>(Increase)/decrease in working capital</v>
          </cell>
          <cell r="C94" t="str">
            <v>WORK_CAP</v>
          </cell>
          <cell r="D94" t="str">
            <v>CNY</v>
          </cell>
          <cell r="F94">
            <v>-299.49850563999996</v>
          </cell>
          <cell r="G94">
            <v>-98.551125719999987</v>
          </cell>
          <cell r="H94">
            <v>-63.342410049999984</v>
          </cell>
          <cell r="I94">
            <v>-209.20915735</v>
          </cell>
          <cell r="J94">
            <v>-130.00372242</v>
          </cell>
          <cell r="K94">
            <v>-352.40380397000007</v>
          </cell>
          <cell r="L94">
            <v>-2845.7053591200001</v>
          </cell>
          <cell r="M94">
            <v>641.07435460639351</v>
          </cell>
          <cell r="N94">
            <v>66.543125833100476</v>
          </cell>
          <cell r="O94">
            <v>-162.39445699182704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B95" t="str">
            <v>Other operating cash flow items</v>
          </cell>
          <cell r="C95" t="str">
            <v>OTH_OP_CF</v>
          </cell>
          <cell r="D95" t="str">
            <v>CNY</v>
          </cell>
          <cell r="F95">
            <v>183.48467544999997</v>
          </cell>
          <cell r="G95">
            <v>12.163826269999987</v>
          </cell>
          <cell r="H95">
            <v>-19.992826340000022</v>
          </cell>
          <cell r="I95">
            <v>41.430980449999993</v>
          </cell>
          <cell r="J95">
            <v>49.506393030000012</v>
          </cell>
          <cell r="K95">
            <v>-67.918200589999927</v>
          </cell>
          <cell r="L95">
            <v>2706.1181258599995</v>
          </cell>
          <cell r="M95">
            <v>2.22612962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B96" t="str">
            <v>Cash flow from operating activities</v>
          </cell>
          <cell r="C96" t="str">
            <v>CF_OPS</v>
          </cell>
          <cell r="D96" t="str">
            <v>CNY</v>
          </cell>
          <cell r="F96">
            <v>-27.59129999999999</v>
          </cell>
          <cell r="G96">
            <v>44.744799999999998</v>
          </cell>
          <cell r="H96">
            <v>19.916590159999998</v>
          </cell>
          <cell r="I96">
            <v>-46.791551350000006</v>
          </cell>
          <cell r="J96">
            <v>70.116453250000021</v>
          </cell>
          <cell r="K96">
            <v>-271.95427588000001</v>
          </cell>
          <cell r="L96">
            <v>5.4018583199999739</v>
          </cell>
          <cell r="M96">
            <v>1222.1559493973459</v>
          </cell>
          <cell r="N96">
            <v>1875.6559655381941</v>
          </cell>
          <cell r="O96">
            <v>2307.9245676975147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B97" t="str">
            <v>Capital expenditures, Capex</v>
          </cell>
          <cell r="C97" t="str">
            <v>CAPEX</v>
          </cell>
          <cell r="D97" t="str">
            <v>CNY</v>
          </cell>
          <cell r="F97">
            <v>-55.425103970000002</v>
          </cell>
          <cell r="G97">
            <v>-64.623436869999992</v>
          </cell>
          <cell r="H97">
            <v>-25.673497040000001</v>
          </cell>
          <cell r="I97">
            <v>-27.13971347</v>
          </cell>
          <cell r="J97">
            <v>-88.237199660000002</v>
          </cell>
          <cell r="K97">
            <v>-61.332607060000001</v>
          </cell>
          <cell r="L97">
            <v>-176.18662562</v>
          </cell>
          <cell r="M97">
            <v>-147.47549657249999</v>
          </cell>
          <cell r="N97">
            <v>-231.18430526999998</v>
          </cell>
          <cell r="O97">
            <v>-231.18430526999998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B98" t="str">
            <v>Acquisitions</v>
          </cell>
          <cell r="C98" t="str">
            <v>ACQ</v>
          </cell>
          <cell r="D98" t="str">
            <v>CNY</v>
          </cell>
          <cell r="F98">
            <v>0</v>
          </cell>
          <cell r="G98">
            <v>-71.085344829999997</v>
          </cell>
          <cell r="H98">
            <v>-22.158309879999997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B99" t="str">
            <v>Divestitures</v>
          </cell>
          <cell r="C99" t="str">
            <v>DIVEST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B100" t="str">
            <v>Other investing cash flow items</v>
          </cell>
          <cell r="C100" t="str">
            <v>OTH_INV_CF</v>
          </cell>
          <cell r="D100" t="str">
            <v>CNY</v>
          </cell>
          <cell r="F100">
            <v>4.4967699999958199E-3</v>
          </cell>
          <cell r="G100">
            <v>7.3243779999998537E-2</v>
          </cell>
          <cell r="H100">
            <v>-12.415060600000004</v>
          </cell>
          <cell r="I100">
            <v>-7.5208720800000002</v>
          </cell>
          <cell r="J100">
            <v>-5.0136807399999981</v>
          </cell>
          <cell r="K100">
            <v>2.6305671300000064</v>
          </cell>
          <cell r="L100">
            <v>-1455.86356578</v>
          </cell>
          <cell r="M100">
            <v>-551.85245941000005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B101" t="str">
            <v>Cash flow from investing</v>
          </cell>
          <cell r="C101" t="str">
            <v>CF_INV</v>
          </cell>
          <cell r="D101" t="str">
            <v>CNY</v>
          </cell>
          <cell r="F101">
            <v>-55.420607200000006</v>
          </cell>
          <cell r="G101">
            <v>-135.63553791999999</v>
          </cell>
          <cell r="H101">
            <v>-60.246867520000002</v>
          </cell>
          <cell r="I101">
            <v>-34.66058555</v>
          </cell>
          <cell r="J101">
            <v>-93.2508804</v>
          </cell>
          <cell r="K101">
            <v>-58.702039929999998</v>
          </cell>
          <cell r="L101">
            <v>-1632.0501914000001</v>
          </cell>
          <cell r="M101">
            <v>-699.32795598250004</v>
          </cell>
          <cell r="N101">
            <v>-231.18430526999998</v>
          </cell>
          <cell r="O101">
            <v>-231.18430526999998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B102" t="str">
            <v>Dividends paid</v>
          </cell>
          <cell r="C102" t="str">
            <v>DIV_PAID</v>
          </cell>
          <cell r="D102" t="str">
            <v>CNY</v>
          </cell>
          <cell r="F102">
            <v>-15.5886514</v>
          </cell>
          <cell r="G102">
            <v>-120.04779309</v>
          </cell>
          <cell r="H102">
            <v>-24.146021190000003</v>
          </cell>
          <cell r="I102">
            <v>-41.26079112</v>
          </cell>
          <cell r="J102">
            <v>-31.402496410000001</v>
          </cell>
          <cell r="K102">
            <v>-30.88499079</v>
          </cell>
          <cell r="L102">
            <v>-120.58205256999999</v>
          </cell>
          <cell r="M102">
            <v>-221.98943085860995</v>
          </cell>
          <cell r="N102">
            <v>-880.03097727234399</v>
          </cell>
          <cell r="O102">
            <v>-1266.4494450347061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B103" t="str">
            <v>Common stock issuance/(repurchase)</v>
          </cell>
          <cell r="C103" t="str">
            <v>SH_REPUR</v>
          </cell>
          <cell r="D103" t="str">
            <v>CNY</v>
          </cell>
          <cell r="F103">
            <v>44</v>
          </cell>
          <cell r="G103">
            <v>46</v>
          </cell>
          <cell r="H103">
            <v>54</v>
          </cell>
          <cell r="I103">
            <v>0</v>
          </cell>
          <cell r="J103">
            <v>230.39999999999998</v>
          </cell>
          <cell r="K103">
            <v>81.413940000000025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B104" t="str">
            <v>Increase/(decrease) in total debt</v>
          </cell>
          <cell r="C104" t="str">
            <v>CHG_LT_DEBT</v>
          </cell>
          <cell r="D104" t="str">
            <v>CNY</v>
          </cell>
          <cell r="F104">
            <v>171.90814810999998</v>
          </cell>
          <cell r="G104">
            <v>102.88176972000004</v>
          </cell>
          <cell r="H104">
            <v>73.240751949999975</v>
          </cell>
          <cell r="I104">
            <v>197.89724066999992</v>
          </cell>
          <cell r="J104">
            <v>8.6271298300000208</v>
          </cell>
          <cell r="K104">
            <v>4.8296063899999382</v>
          </cell>
          <cell r="L104">
            <v>3344.64964061</v>
          </cell>
          <cell r="M104">
            <v>-1016.6666666666667</v>
          </cell>
          <cell r="N104">
            <v>-1000</v>
          </cell>
          <cell r="O104">
            <v>-248.3294492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str">
            <v>CNY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B106" t="str">
            <v>Other financing cash flow items</v>
          </cell>
          <cell r="C106" t="str">
            <v>OTH_FIN_CF</v>
          </cell>
          <cell r="D106" t="str">
            <v>CNY</v>
          </cell>
          <cell r="F106">
            <v>-63.668217189999972</v>
          </cell>
          <cell r="G106">
            <v>93.620758379999955</v>
          </cell>
          <cell r="H106">
            <v>-2.2395486599999614</v>
          </cell>
          <cell r="I106">
            <v>-63.713102769999907</v>
          </cell>
          <cell r="J106">
            <v>-176.00756779000002</v>
          </cell>
          <cell r="K106">
            <v>898.23249202</v>
          </cell>
          <cell r="L106">
            <v>618.19220812999993</v>
          </cell>
          <cell r="M106">
            <v>532.96843510447525</v>
          </cell>
          <cell r="N106">
            <v>3.0812534714336834</v>
          </cell>
          <cell r="O106">
            <v>4.4342208964089878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B107" t="str">
            <v>Cash flow from financing</v>
          </cell>
          <cell r="C107" t="str">
            <v>CF_FIN</v>
          </cell>
          <cell r="D107" t="str">
            <v>CNY</v>
          </cell>
          <cell r="F107">
            <v>136.65127952</v>
          </cell>
          <cell r="G107">
            <v>122.45473500999999</v>
          </cell>
          <cell r="H107">
            <v>100.85518210000001</v>
          </cell>
          <cell r="I107">
            <v>92.923346780000017</v>
          </cell>
          <cell r="J107">
            <v>31.617065629999985</v>
          </cell>
          <cell r="K107">
            <v>953.59104761999993</v>
          </cell>
          <cell r="L107">
            <v>3842.2597961699998</v>
          </cell>
          <cell r="M107">
            <v>-705.68766242080142</v>
          </cell>
          <cell r="N107">
            <v>-1876.9497238009103</v>
          </cell>
          <cell r="O107">
            <v>-1510.3446733382971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B108" t="str">
            <v>Total cash flow</v>
          </cell>
          <cell r="C108" t="str">
            <v>TOT_CF</v>
          </cell>
          <cell r="D108" t="str">
            <v>CNY</v>
          </cell>
          <cell r="F108">
            <v>53.639372320000007</v>
          </cell>
          <cell r="G108">
            <v>31.563997090000001</v>
          </cell>
          <cell r="H108">
            <v>60.524904740000004</v>
          </cell>
          <cell r="I108">
            <v>11.471209880000018</v>
          </cell>
          <cell r="J108">
            <v>8.4826384800000056</v>
          </cell>
          <cell r="K108">
            <v>622.9347318099999</v>
          </cell>
          <cell r="L108">
            <v>2215.6114630899997</v>
          </cell>
          <cell r="M108">
            <v>-182.85966900595554</v>
          </cell>
          <cell r="N108">
            <v>-232.47806353271608</v>
          </cell>
          <cell r="O108">
            <v>566.39558908921754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Additional Cash Flow Items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1.4210854715202004E-14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Associate and JV add-back</v>
          </cell>
          <cell r="C110" t="str">
            <v>ASSOC_JV_ADDBK</v>
          </cell>
          <cell r="D110" t="str">
            <v>CNY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B111" t="str">
            <v>Profit/(loss) on sale of assets</v>
          </cell>
          <cell r="C111" t="str">
            <v>PL_SALE_ASSETS</v>
          </cell>
          <cell r="D111" t="str">
            <v>CNY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B112" t="str">
            <v>Other non-cash adjustments</v>
          </cell>
          <cell r="C112" t="str">
            <v>OTH_NONCASH_ADJ</v>
          </cell>
          <cell r="D112" t="str">
            <v>CNY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B113" t="str">
            <v>Other DACF adjustments</v>
          </cell>
          <cell r="C113" t="str">
            <v>OTH_DACF_ADJ</v>
          </cell>
          <cell r="D113" t="str">
            <v>CNY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B114" t="str">
            <v>Cash interest expense</v>
          </cell>
          <cell r="C114" t="str">
            <v>CASH_INT_EXP</v>
          </cell>
          <cell r="D114" t="str">
            <v>CNY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B115" t="str">
            <v>Cash tax expense</v>
          </cell>
          <cell r="C115" t="str">
            <v>CASH_TAX_EXP</v>
          </cell>
          <cell r="D115" t="str">
            <v>CNY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 t="str">
            <v>CNY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 t="str">
            <v>Capex maintenance</v>
          </cell>
          <cell r="C117" t="str">
            <v>CAPEX_MAINTENANCE</v>
          </cell>
          <cell r="D117" t="str">
            <v>CNY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 t="str">
            <v>Capex expansion</v>
          </cell>
          <cell r="C118" t="str">
            <v>CAPEX_EXPANSION</v>
          </cell>
          <cell r="D118" t="str">
            <v>CNY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 t="str">
            <v>Non-PP&amp;E capex</v>
          </cell>
          <cell r="C119" t="str">
            <v>NONPPE_CAPEX</v>
          </cell>
          <cell r="D119" t="str">
            <v>CNY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 t="str">
            <v>Dividends paid to minorities</v>
          </cell>
          <cell r="C120" t="str">
            <v>DIVDS_PD_MINORITIES</v>
          </cell>
          <cell r="D120" t="str">
            <v>CNY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Other Items</v>
          </cell>
          <cell r="B121">
            <v>0</v>
          </cell>
          <cell r="C121">
            <v>0</v>
          </cell>
          <cell r="D121">
            <v>0</v>
          </cell>
        </row>
        <row r="122">
          <cell r="B122" t="str">
            <v>Number of employees</v>
          </cell>
          <cell r="C122" t="str">
            <v>EMPLOYEES</v>
          </cell>
          <cell r="F122">
            <v>0.29199999999999998</v>
          </cell>
          <cell r="G122">
            <v>0.33900000000000002</v>
          </cell>
          <cell r="H122">
            <v>0.45900000000000002</v>
          </cell>
          <cell r="I122">
            <v>0.56999999999999995</v>
          </cell>
          <cell r="J122">
            <v>0.625</v>
          </cell>
          <cell r="K122">
            <v>0.80300000000000005</v>
          </cell>
          <cell r="L122">
            <v>0.91800000000000004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Geographical Breakdown</v>
          </cell>
          <cell r="B123">
            <v>0</v>
          </cell>
          <cell r="C123">
            <v>0</v>
          </cell>
          <cell r="D123">
            <v>0</v>
          </cell>
        </row>
        <row r="124">
          <cell r="B124" t="str">
            <v>Sales - % Canada</v>
          </cell>
          <cell r="C124" t="str">
            <v>SALES_CANADA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B125" t="str">
            <v>Sales - % United States</v>
          </cell>
          <cell r="C125" t="str">
            <v>SALES_US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0.1</v>
          </cell>
          <cell r="K125">
            <v>0.1</v>
          </cell>
          <cell r="L125">
            <v>0.1</v>
          </cell>
          <cell r="M125">
            <v>0.1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B126" t="str">
            <v>Sales - % Other North Americas</v>
          </cell>
          <cell r="C126" t="str">
            <v>SALES_OTH_NO_AMER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B127" t="str">
            <v>Sales - % Argentina</v>
          </cell>
          <cell r="C127" t="str">
            <v>SALES_ARGENTINA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 t="str">
            <v>Sales - % Brazil</v>
          </cell>
          <cell r="C128" t="str">
            <v>SALES_BRAZIL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 t="str">
            <v>Sales - % Chile</v>
          </cell>
          <cell r="C129" t="str">
            <v>SALES_CHILE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 t="str">
            <v>Sales - % Colombia</v>
          </cell>
          <cell r="C130" t="str">
            <v>SALES_COLOMBIA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B131" t="str">
            <v>Sales - % Mexico</v>
          </cell>
          <cell r="C131" t="str">
            <v>SALES_MEXICO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</row>
        <row r="132">
          <cell r="B132" t="str">
            <v>Sales - % Venezuela</v>
          </cell>
          <cell r="C132" t="str">
            <v>SALES_VENEZUELA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B133" t="str">
            <v>Sales - % Other Latin Americas</v>
          </cell>
          <cell r="C133" t="str">
            <v>SALES_OTH_LATAM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 t="str">
            <v>Sales - % Austria</v>
          </cell>
          <cell r="C134" t="str">
            <v>SALES_AUSTRIA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 t="str">
            <v>Sales - % Belgium</v>
          </cell>
          <cell r="C135" t="str">
            <v>SALES_BEL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 t="str">
            <v>Sales - % France</v>
          </cell>
          <cell r="C136" t="str">
            <v>SALES_FRA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 t="str">
            <v>Sales - % Germany</v>
          </cell>
          <cell r="C137" t="str">
            <v>SALES_GER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B138" t="str">
            <v>Sales - % Greece</v>
          </cell>
          <cell r="C138" t="str">
            <v>SALES_GRE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 t="str">
            <v>Sales - % Ireland</v>
          </cell>
          <cell r="C139" t="str">
            <v>SALES_IRE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 t="str">
            <v>Sales - % Italy</v>
          </cell>
          <cell r="C140" t="str">
            <v>SALES_ITA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 t="str">
            <v>Sales - % Netherlands</v>
          </cell>
          <cell r="C141" t="str">
            <v>SALES_NETH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 t="str">
            <v>Sales - % Norway</v>
          </cell>
          <cell r="C142" t="str">
            <v>SALES_NOR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B143" t="str">
            <v>Sales - % Portugal</v>
          </cell>
          <cell r="C143" t="str">
            <v>SALES_POR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 t="str">
            <v>Sales - % Spain</v>
          </cell>
          <cell r="C144" t="str">
            <v>SALES_SPA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B145" t="str">
            <v>Sales - % Sweden</v>
          </cell>
          <cell r="C145" t="str">
            <v>SALES_SWE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 t="str">
            <v>Sales - % Switzerland</v>
          </cell>
          <cell r="C146" t="str">
            <v>SALES_SWIT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 t="str">
            <v>Sales - % UK</v>
          </cell>
          <cell r="C147" t="str">
            <v>SALES_UK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 t="str">
            <v>Sales - % Other Western Europe</v>
          </cell>
          <cell r="C148" t="str">
            <v>SALES_OTH_WEST_EURO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 t="str">
            <v>Sales - % Poland</v>
          </cell>
          <cell r="C149" t="str">
            <v>SALES_POLAND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 t="str">
            <v>Sales - % Russia</v>
          </cell>
          <cell r="C150" t="str">
            <v>SALES_RUSSIA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B151" t="str">
            <v>Sales - % Turkey</v>
          </cell>
          <cell r="C151" t="str">
            <v>SALES_TURKEY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 t="str">
            <v>Sales - % Other CEE</v>
          </cell>
          <cell r="C152" t="str">
            <v>SALES_OTH_CEE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 t="str">
            <v>Sales - % Saudi Arabia</v>
          </cell>
          <cell r="C153" t="str">
            <v>SALES_SAUDI_ARABIA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 t="str">
            <v>Sales - % United Arab Emirates</v>
          </cell>
          <cell r="C154" t="str">
            <v>SALES_UAE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 t="str">
            <v>Sales - % Other Middle East</v>
          </cell>
          <cell r="C155" t="str">
            <v>SALES_OTH_ME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B156" t="str">
            <v>Sales - % Nigeria</v>
          </cell>
          <cell r="C156" t="str">
            <v>SALES_NIGERIA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 t="str">
            <v>Sales - % South Africa</v>
          </cell>
          <cell r="C157" t="str">
            <v>SALES_SO_AFRICA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 t="str">
            <v>Sales - % Other Africa</v>
          </cell>
          <cell r="C158" t="str">
            <v>SALES_OTH_AFRICA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Sales - % Hong Kong</v>
          </cell>
          <cell r="C159" t="str">
            <v>SALES_HONG_KONG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 t="str">
            <v>Sales - % Japan</v>
          </cell>
          <cell r="C160" t="str">
            <v>SALES_JAPAN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0.05</v>
          </cell>
          <cell r="K160">
            <v>0.05</v>
          </cell>
          <cell r="L160">
            <v>0.05</v>
          </cell>
          <cell r="M160">
            <v>0.05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 t="str">
            <v>Sales - % Singapore</v>
          </cell>
          <cell r="C161" t="str">
            <v>SALES_SINGAPORE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 t="str">
            <v>Sales - % South Korea</v>
          </cell>
          <cell r="C162" t="str">
            <v>SALES_SK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B163" t="str">
            <v>Sales - % Taiwan</v>
          </cell>
          <cell r="C163" t="str">
            <v>SALES_TAIWAN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0.05</v>
          </cell>
          <cell r="K163">
            <v>0.05</v>
          </cell>
          <cell r="L163">
            <v>0.05</v>
          </cell>
          <cell r="M163">
            <v>0.05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B164" t="str">
            <v>Sales - % Other Developed Asia</v>
          </cell>
          <cell r="C164" t="str">
            <v>SALES_OTH_DEV_ASIA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 t="str">
            <v>Sales - % China</v>
          </cell>
          <cell r="C165" t="str">
            <v>SALES_CHINA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0.53161205781935572</v>
          </cell>
          <cell r="K165">
            <v>0.57673214909737436</v>
          </cell>
          <cell r="L165">
            <v>0.63403414789336854</v>
          </cell>
          <cell r="M165">
            <v>0.63403414789336854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B166" t="str">
            <v>Sales - % India</v>
          </cell>
          <cell r="C166" t="str">
            <v>SALES_INDIA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 t="str">
            <v>Sales - % Indonesia</v>
          </cell>
          <cell r="C167" t="str">
            <v>SALES_INDONESIA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B168" t="str">
            <v>Sales - % Thailand</v>
          </cell>
          <cell r="C168" t="str">
            <v>SALES_THAILAND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B169" t="str">
            <v>Sales - % Other Emerging Asia</v>
          </cell>
          <cell r="C169" t="str">
            <v>SALES_OTH_EMERG_ASIA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 t="str">
            <v>Sales - % Australia</v>
          </cell>
          <cell r="C170" t="str">
            <v>SALES_AUSTRA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B171" t="str">
            <v>Sales - % New Zealand</v>
          </cell>
          <cell r="C171" t="str">
            <v>SALES_NZ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 t="str">
            <v>Sales - % Others</v>
          </cell>
          <cell r="C172" t="str">
            <v>SALES_OTHER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0.26838794218064432</v>
          </cell>
          <cell r="K172">
            <v>0.22326785090262558</v>
          </cell>
          <cell r="L172">
            <v>0.1659658521066314</v>
          </cell>
          <cell r="M172">
            <v>0.1659658521066314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B173" t="str">
            <v>% of CoGS from U.S. (GS estimate)</v>
          </cell>
          <cell r="C173" t="str">
            <v>COGS_PCT_US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 t="str">
            <v>% of CoGS from non-U.S. (GS estimate)</v>
          </cell>
          <cell r="C174" t="str">
            <v>COGS_PCT_ROW</v>
          </cell>
          <cell r="F174">
            <v>1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B175" t="str">
            <v>% of SG&amp;A from U.S. (GS estimate)</v>
          </cell>
          <cell r="C175" t="str">
            <v>SGA_PCT_US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B176" t="str">
            <v>% of SG&amp;A from non-U.S. (GS estimate)</v>
          </cell>
          <cell r="C176" t="str">
            <v>SGA_PCT_ROW</v>
          </cell>
          <cell r="F176">
            <v>1</v>
          </cell>
          <cell r="G176">
            <v>1</v>
          </cell>
          <cell r="H176">
            <v>1</v>
          </cell>
          <cell r="I176">
            <v>1</v>
          </cell>
          <cell r="J176">
            <v>1</v>
          </cell>
          <cell r="K176">
            <v>1</v>
          </cell>
          <cell r="L176">
            <v>1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B177" t="str">
            <v>Sales -% Consumer (C)</v>
          </cell>
          <cell r="C177" t="str">
            <v>SALES_CONS</v>
          </cell>
          <cell r="F177">
            <v>0.73799399354905459</v>
          </cell>
          <cell r="G177">
            <v>0.71897687087632878</v>
          </cell>
          <cell r="H177">
            <v>0.76313981530959873</v>
          </cell>
          <cell r="I177">
            <v>0.68872025210132026</v>
          </cell>
          <cell r="J177">
            <v>0.66955392819898207</v>
          </cell>
          <cell r="K177">
            <v>0.69898237243294525</v>
          </cell>
          <cell r="L177">
            <v>0.79010367279288041</v>
          </cell>
          <cell r="M177">
            <v>0.79010367279288041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B178" t="str">
            <v>Sales -% Industry (I)</v>
          </cell>
          <cell r="C178" t="str">
            <v>SALES_IND</v>
          </cell>
          <cell r="F178">
            <v>0.26200600645094546</v>
          </cell>
          <cell r="G178">
            <v>0.28102312912367122</v>
          </cell>
          <cell r="H178">
            <v>0.23686018469040127</v>
          </cell>
          <cell r="I178">
            <v>0.31127974789867974</v>
          </cell>
          <cell r="J178">
            <v>0.33044607133634413</v>
          </cell>
          <cell r="K178">
            <v>0.30101762714974667</v>
          </cell>
          <cell r="L178">
            <v>0.20989632720711959</v>
          </cell>
          <cell r="M178">
            <v>0.20989632720711959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B179" t="str">
            <v>Sales -% Government (G)</v>
          </cell>
          <cell r="C179" t="str">
            <v>SALES_GOV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4.6467385494963764E-10</v>
          </cell>
          <cell r="K179">
            <v>4.173080769831472E-10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 t="str">
            <v>Sales - % Industry Sub-Segment: Financial Services</v>
          </cell>
          <cell r="C180" t="str">
            <v>SALES_FINAN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 t="str">
            <v>Sales - % Industry Sub-Segment: Oil &amp; Gas</v>
          </cell>
          <cell r="C181" t="str">
            <v>SALES_OIL_GAS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A182" t="str">
            <v>Commodities Exposure - Expense</v>
          </cell>
          <cell r="B182">
            <v>0</v>
          </cell>
          <cell r="C182">
            <v>0</v>
          </cell>
          <cell r="D182">
            <v>0</v>
          </cell>
        </row>
        <row r="183">
          <cell r="B183" t="str">
            <v>Expense - % Oil/Petrol/Fuel</v>
          </cell>
          <cell r="C183" t="str">
            <v>EXP_OIL_PETRO_FUEL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 t="str">
            <v>Expense - % Gold</v>
          </cell>
          <cell r="C185" t="str">
            <v>EXP_GOLD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 t="str">
            <v>Expense - % Copper</v>
          </cell>
          <cell r="C186" t="str">
            <v>EXP_COPPER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 t="str">
            <v>Expense - % Silver</v>
          </cell>
          <cell r="C187" t="str">
            <v>EXP_SILVER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 t="str">
            <v>Expense - % Platinum</v>
          </cell>
          <cell r="C188" t="str">
            <v>EXP_PLATINUM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B189" t="str">
            <v>Expense - % Palladium</v>
          </cell>
          <cell r="C189" t="str">
            <v>EXP_PALLADIUM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 t="str">
            <v>Expense - % Aluminium</v>
          </cell>
          <cell r="C190" t="str">
            <v>EXP_ALUMINIUM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 t="str">
            <v>Expense - % Nickel</v>
          </cell>
          <cell r="C191" t="str">
            <v>EXP_NICKEL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 t="str">
            <v>Expense - % Zinc</v>
          </cell>
          <cell r="C192" t="str">
            <v>EXP_ZINC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 t="str">
            <v>Expense - % Paper/pulp</v>
          </cell>
          <cell r="C193" t="str">
            <v>EXP_PAPER_PULP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 t="str">
            <v>Expense - % Glass</v>
          </cell>
          <cell r="C194" t="str">
            <v>EXP_GLASS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 t="str">
            <v>Expense - % Water</v>
          </cell>
          <cell r="C195" t="str">
            <v>EXP_WATER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 t="str">
            <v>Expense - % Other commodity</v>
          </cell>
          <cell r="C196" t="str">
            <v>EXP_OTH_COMMODITY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 t="str">
            <v>Expense - % Other (Non-Commodity) cost</v>
          </cell>
          <cell r="C197" t="str">
            <v>EXP_OTH_COST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A198" t="str">
            <v>FX Exposure - Sales</v>
          </cell>
          <cell r="B198">
            <v>0</v>
          </cell>
          <cell r="C198">
            <v>0</v>
          </cell>
          <cell r="D198">
            <v>0</v>
          </cell>
        </row>
        <row r="199">
          <cell r="B199" t="str">
            <v>Sales - % FX: British Pounds/Pence</v>
          </cell>
          <cell r="C199" t="str">
            <v>SALES_FX_GPB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 t="str">
            <v>Sales - % FX: Euro</v>
          </cell>
          <cell r="C200" t="str">
            <v>SALES_FX_EUR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B201" t="str">
            <v>Sales - % FX: New Russian Ruble</v>
          </cell>
          <cell r="C201" t="str">
            <v>SALES_FX_RUB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 t="str">
            <v>Sales - % FX: U.S. Dollar</v>
          </cell>
          <cell r="C202" t="str">
            <v>SALES_FX_USD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>
            <v>0.46838794218064428</v>
          </cell>
          <cell r="K202">
            <v>0.42326785090262564</v>
          </cell>
          <cell r="L202">
            <v>0.36596585210663146</v>
          </cell>
          <cell r="M202">
            <v>0.36596585210663146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 t="str">
            <v>Sales - % FX: Brazilian Real</v>
          </cell>
          <cell r="C203" t="str">
            <v>SALES_FX_BRL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 t="str">
            <v>Sales - % FX: Japanese Yen</v>
          </cell>
          <cell r="C204" t="str">
            <v>SALES_FX_YEN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 t="str">
            <v>Sales - % FX: Chinese Renminbi</v>
          </cell>
          <cell r="C205" t="str">
            <v>SALES_FX_CNY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0.53161205781935572</v>
          </cell>
          <cell r="K205">
            <v>0.57673214909737436</v>
          </cell>
          <cell r="L205">
            <v>0.63403414789336854</v>
          </cell>
          <cell r="M205">
            <v>0.63403414789336854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B206" t="str">
            <v>Sales - % FX: Indian Rupee</v>
          </cell>
          <cell r="C206" t="str">
            <v>SALES_FX_INR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 t="str">
            <v>Sales - % FX: South Korean Won</v>
          </cell>
          <cell r="C207" t="str">
            <v>SALES_FX_KRW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 t="str">
            <v>Sales - % FX: Taiwan Dollar</v>
          </cell>
          <cell r="C208" t="str">
            <v>SALES_FX_TWD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 t="str">
            <v>Sales - % FX: Other Currency</v>
          </cell>
          <cell r="C209" t="str">
            <v>SALES_FX_OTH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A210" t="str">
            <v>Items to be removed</v>
          </cell>
          <cell r="B210">
            <v>0</v>
          </cell>
          <cell r="C210">
            <v>0</v>
          </cell>
          <cell r="D210">
            <v>0</v>
          </cell>
        </row>
        <row r="211">
          <cell r="B211" t="str">
            <v>Sales - Total % Americas</v>
          </cell>
          <cell r="C211" t="str">
            <v>SALES_TOT_AM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 t="str">
            <v>Sales - % Other Americas</v>
          </cell>
          <cell r="C212" t="str">
            <v>SALES_OTH_AM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 t="str">
            <v>Sales - Total % EMEA</v>
          </cell>
          <cell r="C213" t="str">
            <v>SALES_TOT_EMEA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 t="str">
            <v>Sales - % Western Europe-Ex UK</v>
          </cell>
          <cell r="C214" t="str">
            <v>SALES_EU_EX_UK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 t="str">
            <v>Sales - % Central &amp; Eastern Europe</v>
          </cell>
          <cell r="C215" t="str">
            <v>SALES_CEE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 t="str">
            <v>Sales - % Middle East</v>
          </cell>
          <cell r="C216" t="str">
            <v>SALES_ME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 t="str">
            <v>Sales - % Total Africa</v>
          </cell>
          <cell r="C217" t="str">
            <v>SALES_TOT_AFRICA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 t="str">
            <v>Sales - % Other EMEA</v>
          </cell>
          <cell r="C218" t="str">
            <v>SALES_OTH_EMEA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 t="str">
            <v>Sales - Total % Asia (incl Australia &amp; New Zealand)</v>
          </cell>
          <cell r="C219" t="str">
            <v>SALES_TOT_ASIA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 t="str">
            <v>Sales - % Other Asia</v>
          </cell>
          <cell r="C220" t="str">
            <v>SALES_OTH_AEJ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A221" t="str">
            <v>Security: Will Semiconductor Co.</v>
          </cell>
          <cell r="B221">
            <v>0</v>
          </cell>
          <cell r="C221">
            <v>0</v>
          </cell>
          <cell r="D221">
            <v>0</v>
          </cell>
        </row>
        <row r="222">
          <cell r="A222" t="str">
            <v>Reference Data</v>
          </cell>
          <cell r="B222">
            <v>0</v>
          </cell>
          <cell r="C222">
            <v>0</v>
          </cell>
          <cell r="D222">
            <v>0</v>
          </cell>
        </row>
        <row r="223">
          <cell r="B223" t="str">
            <v>Ticker</v>
          </cell>
          <cell r="C223" t="str">
            <v>Ticker</v>
          </cell>
          <cell r="E223" t="str">
            <v>603501.SS</v>
          </cell>
        </row>
        <row r="224">
          <cell r="B224" t="str">
            <v>Security Name</v>
          </cell>
          <cell r="C224" t="str">
            <v>Security Name</v>
          </cell>
          <cell r="E224" t="str">
            <v>Will Semiconductor Co.</v>
          </cell>
        </row>
        <row r="225">
          <cell r="B225" t="str">
            <v>Interim Type</v>
          </cell>
          <cell r="C225" t="str">
            <v>Interim Type</v>
          </cell>
          <cell r="E225" t="str">
            <v>Q</v>
          </cell>
        </row>
        <row r="226">
          <cell r="B226" t="str">
            <v>Publishing Currency</v>
          </cell>
          <cell r="C226" t="str">
            <v>PUB_CURRENCY_ISO</v>
          </cell>
          <cell r="E226" t="str">
            <v>CNY</v>
          </cell>
        </row>
        <row r="227">
          <cell r="B227" t="str">
            <v>Pricing Currency</v>
          </cell>
          <cell r="C227" t="str">
            <v>PRICE_CURRENCY_ISO</v>
          </cell>
          <cell r="E227" t="str">
            <v>CNY</v>
          </cell>
        </row>
        <row r="228">
          <cell r="B228" t="str">
            <v>Reporting Currency</v>
          </cell>
          <cell r="C228" t="str">
            <v>CURRENCY_ISO</v>
          </cell>
          <cell r="E228" t="str">
            <v>CNY</v>
          </cell>
        </row>
        <row r="229">
          <cell r="A229" t="str">
            <v>General Information</v>
          </cell>
          <cell r="B229">
            <v>0</v>
          </cell>
          <cell r="C229">
            <v>0</v>
          </cell>
          <cell r="D229">
            <v>0</v>
          </cell>
        </row>
        <row r="230">
          <cell r="B230" t="str">
            <v>Asia ex. Japan Investment List</v>
          </cell>
          <cell r="C230" t="str">
            <v>AEJ_LIST</v>
          </cell>
          <cell r="E230" t="str">
            <v>Buy</v>
          </cell>
        </row>
        <row r="231">
          <cell r="B231" t="str">
            <v>Asia ex. Japan Conviction List</v>
          </cell>
          <cell r="C231" t="str">
            <v>AEJ_CONVICTION</v>
          </cell>
          <cell r="E231">
            <v>0</v>
          </cell>
        </row>
        <row r="232">
          <cell r="B232" t="str">
            <v>Legal rating</v>
          </cell>
          <cell r="C232" t="str">
            <v>LEGAL_RATING</v>
          </cell>
          <cell r="E232">
            <v>0</v>
          </cell>
        </row>
        <row r="233">
          <cell r="B233" t="str">
            <v>Target price</v>
          </cell>
          <cell r="C233" t="str">
            <v>TARGET_PRICE</v>
          </cell>
          <cell r="D233" t="str">
            <v>CNY</v>
          </cell>
          <cell r="E233">
            <v>130</v>
          </cell>
        </row>
        <row r="234">
          <cell r="B234" t="str">
            <v>Target price period</v>
          </cell>
          <cell r="C234" t="str">
            <v>TP_PERIOD</v>
          </cell>
          <cell r="E234" t="str">
            <v>12 months</v>
          </cell>
        </row>
        <row r="235">
          <cell r="B235" t="str">
            <v>Fundamental value</v>
          </cell>
          <cell r="C235" t="str">
            <v>TARGET_PRICE_FUNDAMENTAL</v>
          </cell>
          <cell r="D235" t="str">
            <v>CNY</v>
          </cell>
          <cell r="E235">
            <v>0</v>
          </cell>
        </row>
        <row r="236">
          <cell r="B236" t="str">
            <v>M&amp;A value</v>
          </cell>
          <cell r="C236" t="str">
            <v>TARGET_PRICE_MA</v>
          </cell>
          <cell r="D236" t="str">
            <v>CNY</v>
          </cell>
          <cell r="E236">
            <v>0</v>
          </cell>
        </row>
        <row r="237">
          <cell r="B237" t="str">
            <v>Current shares outstanding (mn)</v>
          </cell>
          <cell r="C237" t="str">
            <v>NUM_SH</v>
          </cell>
          <cell r="E237">
            <v>856.76394000000005</v>
          </cell>
        </row>
        <row r="238">
          <cell r="B238" t="str">
            <v>Free float</v>
          </cell>
          <cell r="C238" t="str">
            <v>FREE_FLOAT</v>
          </cell>
          <cell r="E238">
            <v>0</v>
          </cell>
        </row>
        <row r="239">
          <cell r="B239" t="str">
            <v>Foreign ownership</v>
          </cell>
          <cell r="C239" t="str">
            <v>FOREIGN_HOLDNG</v>
          </cell>
          <cell r="E239">
            <v>0</v>
          </cell>
        </row>
        <row r="240">
          <cell r="B240" t="str">
            <v>Catalyst 1 date</v>
          </cell>
          <cell r="C240" t="str">
            <v>CATALYST1_DATE</v>
          </cell>
          <cell r="E240">
            <v>0</v>
          </cell>
        </row>
        <row r="241">
          <cell r="B241" t="str">
            <v>Catalyst 1 description</v>
          </cell>
          <cell r="C241" t="str">
            <v>CATALYST1_EVENT</v>
          </cell>
          <cell r="E241">
            <v>0</v>
          </cell>
        </row>
        <row r="242">
          <cell r="B242" t="str">
            <v>Catalyst 2 date</v>
          </cell>
          <cell r="C242" t="str">
            <v>CATALYST2_DATE</v>
          </cell>
          <cell r="E242">
            <v>0</v>
          </cell>
        </row>
        <row r="243">
          <cell r="B243" t="str">
            <v>Catalyst 2 description</v>
          </cell>
          <cell r="C243" t="str">
            <v>CATALYST2_EVENT</v>
          </cell>
          <cell r="E243">
            <v>0</v>
          </cell>
        </row>
        <row r="244">
          <cell r="B244" t="str">
            <v>Catalyst 3 date</v>
          </cell>
          <cell r="C244" t="str">
            <v>CATALYST3_DATE</v>
          </cell>
          <cell r="E244">
            <v>0</v>
          </cell>
        </row>
        <row r="245">
          <cell r="B245" t="str">
            <v>Catalyst 3 description</v>
          </cell>
          <cell r="C245" t="str">
            <v>CATALYST3_EVENT</v>
          </cell>
          <cell r="E245">
            <v>0</v>
          </cell>
        </row>
        <row r="246">
          <cell r="B246" t="str">
            <v>Catalyst 4 date</v>
          </cell>
          <cell r="C246" t="str">
            <v>CATALYST4_DATE</v>
          </cell>
          <cell r="E246">
            <v>0</v>
          </cell>
        </row>
        <row r="247">
          <cell r="B247" t="str">
            <v>Catalyst 4 description</v>
          </cell>
          <cell r="C247" t="str">
            <v>CATALYST4_EVENT</v>
          </cell>
          <cell r="E247">
            <v>0</v>
          </cell>
        </row>
        <row r="248">
          <cell r="B248" t="str">
            <v>Catalyst 5 date</v>
          </cell>
          <cell r="C248" t="str">
            <v>CATALYST5_DATE</v>
          </cell>
          <cell r="E248">
            <v>0</v>
          </cell>
        </row>
        <row r="249">
          <cell r="B249" t="str">
            <v>Catalyst 5 description</v>
          </cell>
          <cell r="C249" t="str">
            <v>CATALYST5_EVENT</v>
          </cell>
          <cell r="E249">
            <v>0</v>
          </cell>
        </row>
        <row r="250">
          <cell r="B250" t="str">
            <v>Target price multiple</v>
          </cell>
          <cell r="C250" t="str">
            <v>PRI_TARG_MULT</v>
          </cell>
          <cell r="E250">
            <v>0</v>
          </cell>
        </row>
        <row r="251">
          <cell r="B251" t="str">
            <v>Target price methodology</v>
          </cell>
          <cell r="C251" t="str">
            <v>PRI_TARG_METH</v>
          </cell>
          <cell r="E251" t="str">
            <v>Discounted P/E</v>
          </cell>
        </row>
        <row r="252">
          <cell r="A252" t="str">
            <v>Publishing Items</v>
          </cell>
          <cell r="B252">
            <v>0</v>
          </cell>
          <cell r="C252">
            <v>0</v>
          </cell>
          <cell r="D252">
            <v>0</v>
          </cell>
        </row>
        <row r="253">
          <cell r="B253" t="str">
            <v>Book value per share, BVPS (Pub)</v>
          </cell>
          <cell r="C253" t="str">
            <v>BVPS_PUB</v>
          </cell>
          <cell r="D253" t="str">
            <v>CNY</v>
          </cell>
          <cell r="F253">
            <v>5.9022295100000006</v>
          </cell>
          <cell r="G253">
            <v>3.8875032392222217</v>
          </cell>
          <cell r="H253">
            <v>3.6086766915277781</v>
          </cell>
          <cell r="I253">
            <v>4.4603906206250006</v>
          </cell>
          <cell r="J253">
            <v>2.1601442816239316</v>
          </cell>
          <cell r="K253">
            <v>2.5882587440831668</v>
          </cell>
          <cell r="L253">
            <v>8.7402823617022332</v>
          </cell>
          <cell r="M253">
            <v>14.01875115604566</v>
          </cell>
          <cell r="N253">
            <v>14.727244345270631</v>
          </cell>
          <cell r="O253">
            <v>15.746834370483063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B254" t="str">
            <v>DPS, dividend per share (Pub)</v>
          </cell>
          <cell r="C254" t="str">
            <v>DPS_PUB</v>
          </cell>
          <cell r="D254" t="str">
            <v>CNY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4.4999999999999998E-2</v>
          </cell>
          <cell r="L254">
            <v>0.18</v>
          </cell>
          <cell r="M254">
            <v>0.37659543832080705</v>
          </cell>
          <cell r="N254">
            <v>1.0271568820605872</v>
          </cell>
          <cell r="O254">
            <v>1.4781778106052246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B255" t="str">
            <v>Special dividend per share</v>
          </cell>
          <cell r="C255" t="str">
            <v>DPS_SPECIAL_PUB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B256" t="str">
            <v>EBITDA (Pub)</v>
          </cell>
          <cell r="C256" t="str">
            <v>EBITDA_PUB</v>
          </cell>
          <cell r="D256" t="str">
            <v>CNY</v>
          </cell>
          <cell r="F256">
            <v>121.26675157</v>
          </cell>
          <cell r="G256">
            <v>174.87009185999977</v>
          </cell>
          <cell r="H256">
            <v>130.22345344000018</v>
          </cell>
          <cell r="I256">
            <v>167.29525980000017</v>
          </cell>
          <cell r="J256">
            <v>201.46750782000004</v>
          </cell>
          <cell r="K256">
            <v>220.67095528999971</v>
          </cell>
          <cell r="L256">
            <v>464.06921465500091</v>
          </cell>
          <cell r="M256">
            <v>781.50030985079593</v>
          </cell>
          <cell r="N256">
            <v>1947.2950033413763</v>
          </cell>
          <cell r="O256">
            <v>2610.59188489597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48.597043952499973</v>
          </cell>
          <cell r="Y256">
            <v>57.785370672499994</v>
          </cell>
          <cell r="Z256">
            <v>51.025254782500042</v>
          </cell>
          <cell r="AA256">
            <v>44.059838412500142</v>
          </cell>
          <cell r="AB256">
            <v>27.116854212499959</v>
          </cell>
          <cell r="AC256">
            <v>40.836378372500064</v>
          </cell>
          <cell r="AD256">
            <v>73.815362552499892</v>
          </cell>
          <cell r="AE256">
            <v>78.902360152500023</v>
          </cell>
          <cell r="AF256">
            <v>69.00788713750012</v>
          </cell>
          <cell r="AG256">
            <v>125.01822299750017</v>
          </cell>
          <cell r="AH256">
            <v>272.9556325475005</v>
          </cell>
          <cell r="AI256">
            <v>-2.9125280275000023</v>
          </cell>
          <cell r="AJ256">
            <v>25.166218954999977</v>
          </cell>
          <cell r="AK256">
            <v>-14.791129554999998</v>
          </cell>
          <cell r="AL256">
            <v>367.79280028227413</v>
          </cell>
          <cell r="AM256">
            <v>403.33242016852091</v>
          </cell>
          <cell r="AN256">
            <v>440.68591949172514</v>
          </cell>
          <cell r="AO256">
            <v>467.00524411345987</v>
          </cell>
          <cell r="AP256">
            <v>524.57769050244633</v>
          </cell>
          <cell r="AQ256">
            <v>515.02614923374631</v>
          </cell>
          <cell r="AR256">
            <v>600.11106155342713</v>
          </cell>
          <cell r="AS256">
            <v>634.25880436814941</v>
          </cell>
          <cell r="AT256">
            <v>698.69022724143269</v>
          </cell>
          <cell r="AU256">
            <v>677.53179173296076</v>
          </cell>
        </row>
        <row r="257">
          <cell r="B257" t="str">
            <v>EPS (Pub)</v>
          </cell>
          <cell r="C257" t="str">
            <v>EPS_PUB</v>
          </cell>
          <cell r="D257" t="str">
            <v>CNY</v>
          </cell>
          <cell r="F257">
            <v>1.9600000000000002</v>
          </cell>
          <cell r="G257">
            <v>1.8999999999999986</v>
          </cell>
          <cell r="H257">
            <v>0.27999999999999997</v>
          </cell>
          <cell r="I257">
            <v>0.31000000000000055</v>
          </cell>
          <cell r="J257">
            <v>0.38</v>
          </cell>
          <cell r="K257">
            <v>0.34</v>
          </cell>
          <cell r="L257">
            <v>0.31999999999999906</v>
          </cell>
          <cell r="M257">
            <v>0.63503786846888699</v>
          </cell>
          <cell r="N257">
            <v>1.7320536857147133</v>
          </cell>
          <cell r="O257">
            <v>2.4925922901517099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7.6086525146238343E-2</v>
          </cell>
          <cell r="Y257">
            <v>0.10914031284479618</v>
          </cell>
          <cell r="Z257">
            <v>0.10035091133022192</v>
          </cell>
          <cell r="AA257">
            <v>9.4422250678743561E-2</v>
          </cell>
          <cell r="AB257">
            <v>9.9999999999999992E-2</v>
          </cell>
          <cell r="AC257">
            <v>0.04</v>
          </cell>
          <cell r="AD257">
            <v>9.9999999999999908E-2</v>
          </cell>
          <cell r="AE257">
            <v>0.10000000000000024</v>
          </cell>
          <cell r="AF257">
            <v>8.9999999999999844E-2</v>
          </cell>
          <cell r="AG257">
            <v>0.25000000000000006</v>
          </cell>
          <cell r="AH257">
            <v>0.20000000000000034</v>
          </cell>
          <cell r="AI257">
            <v>-0.22000000000000003</v>
          </cell>
          <cell r="AJ257">
            <v>0.10999999999999997</v>
          </cell>
          <cell r="AK257">
            <v>-5.0000000000000142E-2</v>
          </cell>
          <cell r="AL257">
            <v>9.4259348351246594E-2</v>
          </cell>
          <cell r="AM257">
            <v>0.33815898294794172</v>
          </cell>
          <cell r="AN257">
            <v>0.38239322205030379</v>
          </cell>
          <cell r="AO257">
            <v>0.41126951339425388</v>
          </cell>
          <cell r="AP257">
            <v>0.47443521993139798</v>
          </cell>
          <cell r="AQ257">
            <v>0.46395573033875942</v>
          </cell>
          <cell r="AR257">
            <v>0.56550711359382033</v>
          </cell>
          <cell r="AS257">
            <v>0.60297236714526992</v>
          </cell>
          <cell r="AT257">
            <v>0.67366341128618734</v>
          </cell>
          <cell r="AU257">
            <v>0.65044939812643232</v>
          </cell>
        </row>
        <row r="258">
          <cell r="B258" t="str">
            <v>EV adjustment (Pub)</v>
          </cell>
          <cell r="C258" t="str">
            <v>EV_ADJ_PUB</v>
          </cell>
          <cell r="D258" t="str">
            <v>CNY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 t="str">
            <v>Net debt (Pub)</v>
          </cell>
          <cell r="C259" t="str">
            <v>NET_DEBT_PUB</v>
          </cell>
          <cell r="D259" t="str">
            <v>CNY</v>
          </cell>
          <cell r="F259">
            <v>118.26877578999999</v>
          </cell>
          <cell r="G259">
            <v>189.58654842000001</v>
          </cell>
          <cell r="H259">
            <v>202.30239562999998</v>
          </cell>
          <cell r="I259">
            <v>388.72842641999995</v>
          </cell>
          <cell r="J259">
            <v>388.87291777000002</v>
          </cell>
          <cell r="K259">
            <v>-229.23220765000002</v>
          </cell>
          <cell r="L259">
            <v>899.80596987000013</v>
          </cell>
          <cell r="M259">
            <v>-517.33436112404456</v>
          </cell>
          <cell r="N259">
            <v>-1284.8562975913285</v>
          </cell>
          <cell r="O259">
            <v>-2099.5813358805462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 t="str">
            <v>Net Debt (ex leases) (Pub)</v>
          </cell>
          <cell r="C260" t="str">
            <v>NET_DEBT_EX_LEASES_PUB</v>
          </cell>
          <cell r="D260" t="str">
            <v>CNY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 t="str">
            <v>Consensus equivalent net debt</v>
          </cell>
          <cell r="C261" t="str">
            <v>CEEE_NDEBT</v>
          </cell>
          <cell r="D261" t="str">
            <v>CNY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 t="str">
            <v>Net income (Pub)</v>
          </cell>
          <cell r="C262" t="str">
            <v>NI_PUB</v>
          </cell>
          <cell r="D262" t="str">
            <v>CNY</v>
          </cell>
          <cell r="F262">
            <v>86.299130190000014</v>
          </cell>
          <cell r="G262">
            <v>127.32109944999991</v>
          </cell>
          <cell r="H262">
            <v>97.972041229999974</v>
          </cell>
          <cell r="I262">
            <v>115.3697921700002</v>
          </cell>
          <cell r="J262">
            <v>141.69091938</v>
          </cell>
          <cell r="K262">
            <v>137.156318</v>
          </cell>
          <cell r="L262">
            <v>138.31836838000021</v>
          </cell>
          <cell r="M262">
            <v>374.33192399687198</v>
          </cell>
          <cell r="N262">
            <v>1483.9611400644596</v>
          </cell>
          <cell r="O262">
            <v>2135.5631913240022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28.370446579999999</v>
          </cell>
          <cell r="Y262">
            <v>40.695240179999985</v>
          </cell>
          <cell r="Z262">
            <v>37.417928650000007</v>
          </cell>
          <cell r="AA262">
            <v>35.207303970000012</v>
          </cell>
          <cell r="AB262">
            <v>35.966747939999991</v>
          </cell>
          <cell r="AC262">
            <v>22.843376279999998</v>
          </cell>
          <cell r="AD262">
            <v>41.547628759999967</v>
          </cell>
          <cell r="AE262">
            <v>36.798565020000083</v>
          </cell>
          <cell r="AF262">
            <v>42.880033519999934</v>
          </cell>
          <cell r="AG262">
            <v>112.90718924000001</v>
          </cell>
          <cell r="AH262">
            <v>89.653982890000123</v>
          </cell>
          <cell r="AI262">
            <v>-107.12283726999999</v>
          </cell>
          <cell r="AJ262">
            <v>51.068927419999987</v>
          </cell>
          <cell r="AK262">
            <v>-25.784506000000071</v>
          </cell>
          <cell r="AL262">
            <v>59.325079999999616</v>
          </cell>
          <cell r="AM262">
            <v>289.72242257687139</v>
          </cell>
          <cell r="AN262">
            <v>327.62072355311318</v>
          </cell>
          <cell r="AO262">
            <v>352.36088869754377</v>
          </cell>
          <cell r="AP262">
            <v>406.4789883031911</v>
          </cell>
          <cell r="AQ262">
            <v>397.50053951061307</v>
          </cell>
          <cell r="AR262">
            <v>484.50610274066912</v>
          </cell>
          <cell r="AS262">
            <v>516.60498098650805</v>
          </cell>
          <cell r="AT262">
            <v>577.17051848739436</v>
          </cell>
          <cell r="AU262">
            <v>557.2815891094308</v>
          </cell>
        </row>
        <row r="263">
          <cell r="B263" t="str">
            <v>EBIT, operating profit (Pub)</v>
          </cell>
          <cell r="C263" t="str">
            <v>EBIT_PUB</v>
          </cell>
          <cell r="D263" t="str">
            <v>CNY</v>
          </cell>
          <cell r="F263">
            <v>119.14335157000001</v>
          </cell>
          <cell r="G263">
            <v>171.05909185999977</v>
          </cell>
          <cell r="H263">
            <v>124.94366812000018</v>
          </cell>
          <cell r="I263">
            <v>154.13531583000017</v>
          </cell>
          <cell r="J263">
            <v>182.29393013000006</v>
          </cell>
          <cell r="K263">
            <v>195.70722215999973</v>
          </cell>
          <cell r="L263">
            <v>424.5073785450009</v>
          </cell>
          <cell r="M263">
            <v>614.72470089671492</v>
          </cell>
          <cell r="N263">
            <v>1602.1433037007437</v>
          </cell>
          <cell r="O263">
            <v>2255.8360515306294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43.80364952999998</v>
          </cell>
          <cell r="Y263">
            <v>52.99197625</v>
          </cell>
          <cell r="Z263">
            <v>46.231860360000049</v>
          </cell>
          <cell r="AA263">
            <v>39.266443990000148</v>
          </cell>
          <cell r="AB263">
            <v>20.875920929999957</v>
          </cell>
          <cell r="AC263">
            <v>34.595445090000069</v>
          </cell>
          <cell r="AD263">
            <v>67.574429269999897</v>
          </cell>
          <cell r="AE263">
            <v>72.661426870000028</v>
          </cell>
          <cell r="AF263">
            <v>59.11742811000012</v>
          </cell>
          <cell r="AG263">
            <v>115.12776397000017</v>
          </cell>
          <cell r="AH263">
            <v>263.06517352000049</v>
          </cell>
          <cell r="AI263">
            <v>-12.802987055000003</v>
          </cell>
          <cell r="AJ263">
            <v>12.880212509999977</v>
          </cell>
          <cell r="AK263">
            <v>-27.077135999999996</v>
          </cell>
          <cell r="AL263">
            <v>308.51706099999967</v>
          </cell>
          <cell r="AM263">
            <v>320.40456338671424</v>
          </cell>
          <cell r="AN263">
            <v>354.39799458156699</v>
          </cell>
          <cell r="AO263">
            <v>380.71731920330171</v>
          </cell>
          <cell r="AP263">
            <v>438.28976559228818</v>
          </cell>
          <cell r="AQ263">
            <v>428.73822432358816</v>
          </cell>
          <cell r="AR263">
            <v>511.422103212092</v>
          </cell>
          <cell r="AS263">
            <v>545.56984602681428</v>
          </cell>
          <cell r="AT263">
            <v>610.00126890009756</v>
          </cell>
          <cell r="AU263">
            <v>588.84283339162562</v>
          </cell>
        </row>
        <row r="264">
          <cell r="B264" t="str">
            <v>Pre-tax profit (Pub)</v>
          </cell>
          <cell r="C264" t="str">
            <v>PTP_PUB</v>
          </cell>
          <cell r="D264" t="str">
            <v>CNY</v>
          </cell>
          <cell r="F264">
            <v>100.92792333000001</v>
          </cell>
          <cell r="G264">
            <v>140.31674101999991</v>
          </cell>
          <cell r="H264">
            <v>116.42080672999998</v>
          </cell>
          <cell r="I264">
            <v>124.4717450700002</v>
          </cell>
          <cell r="J264">
            <v>141.89801775000001</v>
          </cell>
          <cell r="K264">
            <v>145.38774694</v>
          </cell>
          <cell r="L264">
            <v>135.98549396000021</v>
          </cell>
          <cell r="M264">
            <v>444.44526165071488</v>
          </cell>
          <cell r="N264">
            <v>1557.4054681536807</v>
          </cell>
          <cell r="O264">
            <v>2250.5991397063854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31.873876980000002</v>
          </cell>
          <cell r="Y264">
            <v>40.258052999999983</v>
          </cell>
          <cell r="Z264">
            <v>37.933565080000008</v>
          </cell>
          <cell r="AA264">
            <v>31.832522690000012</v>
          </cell>
          <cell r="AB264">
            <v>36.310543479999993</v>
          </cell>
          <cell r="AC264">
            <v>19.452287839999997</v>
          </cell>
          <cell r="AD264">
            <v>47.604965559999982</v>
          </cell>
          <cell r="AE264">
            <v>42.01995006000007</v>
          </cell>
          <cell r="AF264">
            <v>66.325600009999931</v>
          </cell>
          <cell r="AG264">
            <v>114.93924132000001</v>
          </cell>
          <cell r="AH264">
            <v>119.47975014000014</v>
          </cell>
          <cell r="AI264">
            <v>-164.75909751</v>
          </cell>
          <cell r="AJ264">
            <v>45.324317419999986</v>
          </cell>
          <cell r="AK264">
            <v>-51.031201000000074</v>
          </cell>
          <cell r="AL264">
            <v>147.25595099999964</v>
          </cell>
          <cell r="AM264">
            <v>302.89619423071423</v>
          </cell>
          <cell r="AN264">
            <v>343.21353569480124</v>
          </cell>
          <cell r="AO264">
            <v>369.53286031653596</v>
          </cell>
          <cell r="AP264">
            <v>427.10530670552242</v>
          </cell>
          <cell r="AQ264">
            <v>417.5537654368224</v>
          </cell>
          <cell r="AR264">
            <v>510.11287525603097</v>
          </cell>
          <cell r="AS264">
            <v>544.26061807075325</v>
          </cell>
          <cell r="AT264">
            <v>608.69204094403653</v>
          </cell>
          <cell r="AU264">
            <v>587.5336054355646</v>
          </cell>
        </row>
        <row r="265">
          <cell r="B265" t="str">
            <v>Sales, revenue (Pub)</v>
          </cell>
          <cell r="C265" t="str">
            <v>REVS_PUB</v>
          </cell>
          <cell r="D265" t="str">
            <v>CNY</v>
          </cell>
          <cell r="F265">
            <v>1005.6448243899999</v>
          </cell>
          <cell r="G265">
            <v>1141.4603508099999</v>
          </cell>
          <cell r="H265">
            <v>1407.6716329400001</v>
          </cell>
          <cell r="I265">
            <v>1983.2712341099998</v>
          </cell>
          <cell r="J265">
            <v>2160.76952987</v>
          </cell>
          <cell r="K265">
            <v>2405.9162668099998</v>
          </cell>
          <cell r="L265">
            <v>6237.4016116400007</v>
          </cell>
          <cell r="M265">
            <v>8795.6828147030647</v>
          </cell>
          <cell r="N265">
            <v>15450.899053850113</v>
          </cell>
          <cell r="O265">
            <v>18169.36846616969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462.36652586000002</v>
          </cell>
          <cell r="Y265">
            <v>582.34172343</v>
          </cell>
          <cell r="Z265">
            <v>568.66512189000002</v>
          </cell>
          <cell r="AA265">
            <v>547.39615869000011</v>
          </cell>
          <cell r="AB265">
            <v>398.24428783999997</v>
          </cell>
          <cell r="AC265">
            <v>516.28316026000005</v>
          </cell>
          <cell r="AD265">
            <v>703.70547779999993</v>
          </cell>
          <cell r="AE265">
            <v>787.68334090999997</v>
          </cell>
          <cell r="AF265">
            <v>820.27583133000007</v>
          </cell>
          <cell r="AG265">
            <v>1075.1524996300002</v>
          </cell>
          <cell r="AH265">
            <v>3491.8963530000001</v>
          </cell>
          <cell r="AI265">
            <v>850.07692767999993</v>
          </cell>
          <cell r="AJ265">
            <v>723.17116840999995</v>
          </cell>
          <cell r="AK265">
            <v>826.33351100000004</v>
          </cell>
          <cell r="AL265">
            <v>3702.5519079999999</v>
          </cell>
          <cell r="AM265">
            <v>3543.6262272930644</v>
          </cell>
          <cell r="AN265">
            <v>3540.9760185887881</v>
          </cell>
          <cell r="AO265">
            <v>3734.6904854252271</v>
          </cell>
          <cell r="AP265">
            <v>4260.3064801831497</v>
          </cell>
          <cell r="AQ265">
            <v>3914.9260696529482</v>
          </cell>
          <cell r="AR265">
            <v>4211.1254287562142</v>
          </cell>
          <cell r="AS265">
            <v>4433.3982322123993</v>
          </cell>
          <cell r="AT265">
            <v>4997.324509184682</v>
          </cell>
          <cell r="AU265">
            <v>4527.5202960163942</v>
          </cell>
        </row>
        <row r="266">
          <cell r="B266" t="str">
            <v>Total shareholders' equity (Pub)</v>
          </cell>
          <cell r="C266" t="str">
            <v>EQ_PUB</v>
          </cell>
          <cell r="D266" t="str">
            <v>CNY</v>
          </cell>
          <cell r="F266">
            <v>259.69809844000002</v>
          </cell>
          <cell r="G266">
            <v>349.87529152999997</v>
          </cell>
          <cell r="H266">
            <v>519.64944358000002</v>
          </cell>
          <cell r="I266">
            <v>652.13888353000004</v>
          </cell>
          <cell r="J266">
            <v>808.90037499999994</v>
          </cell>
          <cell r="K266">
            <v>1190.6408779799999</v>
          </cell>
          <cell r="L266">
            <v>7873.7253510999999</v>
          </cell>
          <cell r="M266">
            <v>11998.107522833236</v>
          </cell>
          <cell r="N266">
            <v>12585.118939096787</v>
          </cell>
          <cell r="O266">
            <v>13438.666906282489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</row>
        <row r="267">
          <cell r="B267" t="str">
            <v>EPS (consensus)</v>
          </cell>
          <cell r="C267" t="str">
            <v>EPS_CONS_PUB</v>
          </cell>
          <cell r="D267" t="str">
            <v>CNY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</row>
        <row r="268">
          <cell r="A268" t="str">
            <v>Income Statement</v>
          </cell>
          <cell r="B268">
            <v>0</v>
          </cell>
          <cell r="C268">
            <v>0</v>
          </cell>
          <cell r="D268">
            <v>0</v>
          </cell>
        </row>
        <row r="269">
          <cell r="B269" t="str">
            <v>Provision for income tax</v>
          </cell>
          <cell r="C269" t="str">
            <v>PROV_INC_TAX</v>
          </cell>
          <cell r="D269" t="str">
            <v>CNY</v>
          </cell>
          <cell r="F269">
            <v>-14.628793140000001</v>
          </cell>
          <cell r="G269">
            <v>-12.99564157</v>
          </cell>
          <cell r="H269">
            <v>-18.4487655</v>
          </cell>
          <cell r="I269">
            <v>-16.645063490000002</v>
          </cell>
          <cell r="J269">
            <v>-10.457812800000001</v>
          </cell>
          <cell r="K269">
            <v>-21.983751390000002</v>
          </cell>
          <cell r="L269">
            <v>-30.558238490000001</v>
          </cell>
          <cell r="M269">
            <v>-32.365405433842859</v>
          </cell>
          <cell r="N269">
            <v>-93.444328089220917</v>
          </cell>
          <cell r="O269">
            <v>-135.03594838238308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-4.4161338299999997</v>
          </cell>
          <cell r="Y269">
            <v>-2.3993011499999999</v>
          </cell>
          <cell r="Z269">
            <v>-2.9274432099999999</v>
          </cell>
          <cell r="AA269">
            <v>-0.71493461000000003</v>
          </cell>
          <cell r="AB269">
            <v>-3.4375408700000003</v>
          </cell>
          <cell r="AC269">
            <v>0.19569718999999999</v>
          </cell>
          <cell r="AD269">
            <v>-9.8895580299999999</v>
          </cell>
          <cell r="AE269">
            <v>-8.8523496799999997</v>
          </cell>
          <cell r="AF269">
            <v>-27.731740840000001</v>
          </cell>
          <cell r="AG269">
            <v>-9.0622843199999998</v>
          </cell>
          <cell r="AH269">
            <v>-43.602034259999996</v>
          </cell>
          <cell r="AI269">
            <v>49.837820929999999</v>
          </cell>
          <cell r="AJ269">
            <v>-0.75241278</v>
          </cell>
          <cell r="AK269">
            <v>20.263131000000001</v>
          </cell>
          <cell r="AL269">
            <v>-33.702351999999998</v>
          </cell>
          <cell r="AM269">
            <v>-18.173771653842863</v>
          </cell>
          <cell r="AN269">
            <v>-20.59281214168805</v>
          </cell>
          <cell r="AO269">
            <v>-22.171971618992174</v>
          </cell>
          <cell r="AP269">
            <v>-25.626318402331346</v>
          </cell>
          <cell r="AQ269">
            <v>-25.053225926209347</v>
          </cell>
          <cell r="AR269">
            <v>-30.60677251536184</v>
          </cell>
          <cell r="AS269">
            <v>-32.655637084245193</v>
          </cell>
          <cell r="AT269">
            <v>-36.521522456642181</v>
          </cell>
          <cell r="AU269">
            <v>-35.252016326133855</v>
          </cell>
        </row>
        <row r="270">
          <cell r="B270" t="str">
            <v>Minority interest</v>
          </cell>
          <cell r="C270" t="str">
            <v>INC_MINORITY</v>
          </cell>
          <cell r="D270" t="str">
            <v>CNY</v>
          </cell>
          <cell r="F270">
            <v>0</v>
          </cell>
          <cell r="G270">
            <v>0</v>
          </cell>
          <cell r="H270">
            <v>0</v>
          </cell>
          <cell r="I270">
            <v>7.5431105899999977</v>
          </cell>
          <cell r="J270">
            <v>10.250714429999988</v>
          </cell>
          <cell r="K270">
            <v>13.752322450000008</v>
          </cell>
          <cell r="L270">
            <v>32.891112910000011</v>
          </cell>
          <cell r="M270">
            <v>-37.747932220000017</v>
          </cell>
          <cell r="N270">
            <v>20</v>
          </cell>
          <cell r="O270">
            <v>20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0.91270342999999698</v>
          </cell>
          <cell r="Y270">
            <v>2.8364883300000017</v>
          </cell>
          <cell r="Z270">
            <v>2.4118067799999992</v>
          </cell>
          <cell r="AA270">
            <v>4.0897158899999972</v>
          </cell>
          <cell r="AB270">
            <v>3.0937453299999973</v>
          </cell>
          <cell r="AC270">
            <v>3.1953912500000001</v>
          </cell>
          <cell r="AD270">
            <v>3.8322212299999876</v>
          </cell>
          <cell r="AE270">
            <v>3.6309646400000091</v>
          </cell>
          <cell r="AF270">
            <v>4.2861743500000031</v>
          </cell>
          <cell r="AG270">
            <v>7.0302322400000037</v>
          </cell>
          <cell r="AH270">
            <v>13.776267009999984</v>
          </cell>
          <cell r="AI270">
            <v>7.7984393100000204</v>
          </cell>
          <cell r="AJ270">
            <v>6.4970227800000018</v>
          </cell>
          <cell r="AK270">
            <v>4.9835640000000012</v>
          </cell>
          <cell r="AL270">
            <v>-54.22851900000002</v>
          </cell>
          <cell r="AM270">
            <v>5</v>
          </cell>
          <cell r="AN270">
            <v>5</v>
          </cell>
          <cell r="AO270">
            <v>5</v>
          </cell>
          <cell r="AP270">
            <v>5</v>
          </cell>
          <cell r="AQ270">
            <v>5</v>
          </cell>
          <cell r="AR270">
            <v>5</v>
          </cell>
          <cell r="AS270">
            <v>5</v>
          </cell>
          <cell r="AT270">
            <v>5</v>
          </cell>
          <cell r="AU270">
            <v>5</v>
          </cell>
        </row>
        <row r="271">
          <cell r="B271" t="str">
            <v>Net income (pre-preferred dividends)</v>
          </cell>
          <cell r="C271" t="str">
            <v>NI_PRE_PREF</v>
          </cell>
          <cell r="D271" t="str">
            <v>CNY</v>
          </cell>
          <cell r="F271">
            <v>86.299130190000014</v>
          </cell>
          <cell r="G271">
            <v>127.32109944999991</v>
          </cell>
          <cell r="H271">
            <v>97.972041229999974</v>
          </cell>
          <cell r="I271">
            <v>115.3697921700002</v>
          </cell>
          <cell r="J271">
            <v>141.69091938</v>
          </cell>
          <cell r="K271">
            <v>137.156318</v>
          </cell>
          <cell r="L271">
            <v>138.31836838000021</v>
          </cell>
          <cell r="M271">
            <v>374.33192399687198</v>
          </cell>
          <cell r="N271">
            <v>1483.9611400644596</v>
          </cell>
          <cell r="O271">
            <v>2135.5631913240022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28.370446579999999</v>
          </cell>
          <cell r="Y271">
            <v>40.695240179999985</v>
          </cell>
          <cell r="Z271">
            <v>37.417928650000007</v>
          </cell>
          <cell r="AA271">
            <v>35.207303970000012</v>
          </cell>
          <cell r="AB271">
            <v>35.966747939999991</v>
          </cell>
          <cell r="AC271">
            <v>22.843376279999998</v>
          </cell>
          <cell r="AD271">
            <v>41.547628759999967</v>
          </cell>
          <cell r="AE271">
            <v>36.798565020000083</v>
          </cell>
          <cell r="AF271">
            <v>42.880033519999934</v>
          </cell>
          <cell r="AG271">
            <v>112.90718924000001</v>
          </cell>
          <cell r="AH271">
            <v>89.653982890000123</v>
          </cell>
          <cell r="AI271">
            <v>-107.12283726999999</v>
          </cell>
          <cell r="AJ271">
            <v>51.068927419999987</v>
          </cell>
          <cell r="AK271">
            <v>-25.784506000000071</v>
          </cell>
          <cell r="AL271">
            <v>59.325079999999616</v>
          </cell>
          <cell r="AM271">
            <v>289.72242257687139</v>
          </cell>
          <cell r="AN271">
            <v>327.62072355311318</v>
          </cell>
          <cell r="AO271">
            <v>352.36088869754377</v>
          </cell>
          <cell r="AP271">
            <v>406.4789883031911</v>
          </cell>
          <cell r="AQ271">
            <v>397.50053951061307</v>
          </cell>
          <cell r="AR271">
            <v>484.50610274066912</v>
          </cell>
          <cell r="AS271">
            <v>516.60498098650805</v>
          </cell>
          <cell r="AT271">
            <v>577.17051848739436</v>
          </cell>
          <cell r="AU271">
            <v>557.2815891094308</v>
          </cell>
        </row>
        <row r="272">
          <cell r="B272" t="str">
            <v>Preferred dividends</v>
          </cell>
          <cell r="C272" t="str">
            <v>PREF_DIV</v>
          </cell>
          <cell r="D272" t="str">
            <v>CNY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</row>
        <row r="273">
          <cell r="B273" t="str">
            <v>Net income (pre-exceptionals)</v>
          </cell>
          <cell r="C273" t="str">
            <v>NET_EARNING</v>
          </cell>
          <cell r="D273" t="str">
            <v>CNY</v>
          </cell>
          <cell r="F273">
            <v>86.299130190000014</v>
          </cell>
          <cell r="G273">
            <v>127.32109944999991</v>
          </cell>
          <cell r="H273">
            <v>97.972041229999974</v>
          </cell>
          <cell r="I273">
            <v>115.3697921700002</v>
          </cell>
          <cell r="J273">
            <v>141.69091938</v>
          </cell>
          <cell r="K273">
            <v>137.156318</v>
          </cell>
          <cell r="L273">
            <v>138.31836838000021</v>
          </cell>
          <cell r="M273">
            <v>374.33192399687198</v>
          </cell>
          <cell r="N273">
            <v>1483.9611400644596</v>
          </cell>
          <cell r="O273">
            <v>2135.5631913240022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28.370446579999999</v>
          </cell>
          <cell r="Y273">
            <v>40.695240179999985</v>
          </cell>
          <cell r="Z273">
            <v>37.417928650000007</v>
          </cell>
          <cell r="AA273">
            <v>35.207303970000012</v>
          </cell>
          <cell r="AB273">
            <v>35.966747939999991</v>
          </cell>
          <cell r="AC273">
            <v>22.843376279999998</v>
          </cell>
          <cell r="AD273">
            <v>41.547628759999967</v>
          </cell>
          <cell r="AE273">
            <v>36.798565020000083</v>
          </cell>
          <cell r="AF273">
            <v>42.880033519999934</v>
          </cell>
          <cell r="AG273">
            <v>112.90718924000001</v>
          </cell>
          <cell r="AH273">
            <v>89.653982890000123</v>
          </cell>
          <cell r="AI273">
            <v>-107.12283726999999</v>
          </cell>
          <cell r="AJ273">
            <v>51.068927419999987</v>
          </cell>
          <cell r="AK273">
            <v>-25.784506000000071</v>
          </cell>
          <cell r="AL273">
            <v>59.325079999999616</v>
          </cell>
          <cell r="AM273">
            <v>289.72242257687139</v>
          </cell>
          <cell r="AN273">
            <v>327.62072355311318</v>
          </cell>
          <cell r="AO273">
            <v>352.36088869754377</v>
          </cell>
          <cell r="AP273">
            <v>406.4789883031911</v>
          </cell>
          <cell r="AQ273">
            <v>397.50053951061307</v>
          </cell>
          <cell r="AR273">
            <v>484.50610274066912</v>
          </cell>
          <cell r="AS273">
            <v>516.60498098650805</v>
          </cell>
          <cell r="AT273">
            <v>577.17051848739436</v>
          </cell>
          <cell r="AU273">
            <v>557.2815891094308</v>
          </cell>
        </row>
        <row r="274">
          <cell r="B274" t="str">
            <v>Post-tax exceptionals</v>
          </cell>
          <cell r="C274" t="str">
            <v>TAX_EXC</v>
          </cell>
          <cell r="D274" t="str">
            <v>CNY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</row>
        <row r="275">
          <cell r="B275" t="str">
            <v>Net income (post-exceptionals)</v>
          </cell>
          <cell r="C275" t="str">
            <v>NET_INC</v>
          </cell>
          <cell r="D275" t="str">
            <v>CNY</v>
          </cell>
          <cell r="F275">
            <v>86.299130190000014</v>
          </cell>
          <cell r="G275">
            <v>127.32109944999991</v>
          </cell>
          <cell r="H275">
            <v>97.972041229999974</v>
          </cell>
          <cell r="I275">
            <v>115.3697921700002</v>
          </cell>
          <cell r="J275">
            <v>141.69091938</v>
          </cell>
          <cell r="K275">
            <v>137.156318</v>
          </cell>
          <cell r="L275">
            <v>138.31836838000021</v>
          </cell>
          <cell r="M275">
            <v>374.33192399687198</v>
          </cell>
          <cell r="N275">
            <v>1483.9611400644596</v>
          </cell>
          <cell r="O275">
            <v>2135.5631913240022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28.370446579999999</v>
          </cell>
          <cell r="Y275">
            <v>40.695240179999985</v>
          </cell>
          <cell r="Z275">
            <v>37.417928650000007</v>
          </cell>
          <cell r="AA275">
            <v>35.207303970000012</v>
          </cell>
          <cell r="AB275">
            <v>35.966747939999991</v>
          </cell>
          <cell r="AC275">
            <v>22.843376279999998</v>
          </cell>
          <cell r="AD275">
            <v>41.547628759999967</v>
          </cell>
          <cell r="AE275">
            <v>36.798565020000083</v>
          </cell>
          <cell r="AF275">
            <v>42.880033519999934</v>
          </cell>
          <cell r="AG275">
            <v>112.90718924000001</v>
          </cell>
          <cell r="AH275">
            <v>89.653982890000123</v>
          </cell>
          <cell r="AI275">
            <v>-107.12283726999999</v>
          </cell>
          <cell r="AJ275">
            <v>51.068927419999987</v>
          </cell>
          <cell r="AK275">
            <v>-25.784506000000071</v>
          </cell>
          <cell r="AL275">
            <v>59.325079999999616</v>
          </cell>
          <cell r="AM275">
            <v>289.72242257687139</v>
          </cell>
          <cell r="AN275">
            <v>327.62072355311318</v>
          </cell>
          <cell r="AO275">
            <v>352.36088869754377</v>
          </cell>
          <cell r="AP275">
            <v>406.4789883031911</v>
          </cell>
          <cell r="AQ275">
            <v>397.50053951061307</v>
          </cell>
          <cell r="AR275">
            <v>484.50610274066912</v>
          </cell>
          <cell r="AS275">
            <v>516.60498098650805</v>
          </cell>
          <cell r="AT275">
            <v>577.17051848739436</v>
          </cell>
          <cell r="AU275">
            <v>557.2815891094308</v>
          </cell>
        </row>
        <row r="276">
          <cell r="B276" t="str">
            <v>EPS (pre-exceptionals, basic)</v>
          </cell>
          <cell r="C276" t="str">
            <v>EPS</v>
          </cell>
          <cell r="D276" t="str">
            <v>CNY</v>
          </cell>
          <cell r="F276">
            <v>1.9600000000000002</v>
          </cell>
          <cell r="G276">
            <v>1.8999999999999986</v>
          </cell>
          <cell r="H276">
            <v>0.27999999999999997</v>
          </cell>
          <cell r="I276">
            <v>0.31000000000000055</v>
          </cell>
          <cell r="J276">
            <v>0.38</v>
          </cell>
          <cell r="K276">
            <v>0.34</v>
          </cell>
          <cell r="L276">
            <v>0.31999999999999906</v>
          </cell>
          <cell r="M276">
            <v>0.63503786846888699</v>
          </cell>
          <cell r="N276">
            <v>1.7320536857147133</v>
          </cell>
          <cell r="O276">
            <v>2.4925922901517099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7.6086525146238343E-2</v>
          </cell>
          <cell r="Y276">
            <v>0.10914031284479618</v>
          </cell>
          <cell r="Z276">
            <v>0.10035091133022192</v>
          </cell>
          <cell r="AA276">
            <v>9.4422250678743561E-2</v>
          </cell>
          <cell r="AB276">
            <v>9.9999999999999992E-2</v>
          </cell>
          <cell r="AC276">
            <v>0.04</v>
          </cell>
          <cell r="AD276">
            <v>9.9999999999999908E-2</v>
          </cell>
          <cell r="AE276">
            <v>0.10000000000000024</v>
          </cell>
          <cell r="AF276">
            <v>8.9999999999999844E-2</v>
          </cell>
          <cell r="AG276">
            <v>0.25000000000000006</v>
          </cell>
          <cell r="AH276">
            <v>0.20000000000000034</v>
          </cell>
          <cell r="AI276">
            <v>-0.22000000000000003</v>
          </cell>
          <cell r="AJ276">
            <v>0.10999999999999997</v>
          </cell>
          <cell r="AK276">
            <v>-5.0000000000000142E-2</v>
          </cell>
          <cell r="AL276">
            <v>9.4259348351246594E-2</v>
          </cell>
          <cell r="AM276">
            <v>0.33815898294794172</v>
          </cell>
          <cell r="AN276">
            <v>0.38239322205030379</v>
          </cell>
          <cell r="AO276">
            <v>0.41126951339425388</v>
          </cell>
          <cell r="AP276">
            <v>0.47443521993139798</v>
          </cell>
          <cell r="AQ276">
            <v>0.46395573033875942</v>
          </cell>
          <cell r="AR276">
            <v>0.56550711359382033</v>
          </cell>
          <cell r="AS276">
            <v>0.60297236714526992</v>
          </cell>
          <cell r="AT276">
            <v>0.67366341128618734</v>
          </cell>
          <cell r="AU276">
            <v>0.65044939812643232</v>
          </cell>
        </row>
        <row r="277">
          <cell r="B277" t="str">
            <v>EPS (pre-exceptionals, diluted)</v>
          </cell>
          <cell r="C277" t="str">
            <v>EPS_FUL_DIL</v>
          </cell>
          <cell r="D277" t="str">
            <v>CNY</v>
          </cell>
          <cell r="F277">
            <v>1.9600000000000002</v>
          </cell>
          <cell r="G277">
            <v>1.8999999999999986</v>
          </cell>
          <cell r="H277">
            <v>0.27999999999999997</v>
          </cell>
          <cell r="I277">
            <v>0.31000000000000055</v>
          </cell>
          <cell r="J277">
            <v>0.38</v>
          </cell>
          <cell r="K277">
            <v>0.34</v>
          </cell>
          <cell r="L277">
            <v>0.31999999999999906</v>
          </cell>
          <cell r="M277">
            <v>0.63503786846888699</v>
          </cell>
          <cell r="N277">
            <v>1.7320536857147133</v>
          </cell>
          <cell r="O277">
            <v>2.4925922901517099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7.6086525146238343E-2</v>
          </cell>
          <cell r="Y277">
            <v>0.10914031284479618</v>
          </cell>
          <cell r="Z277">
            <v>0.10035091133022192</v>
          </cell>
          <cell r="AA277">
            <v>9.4422250678743561E-2</v>
          </cell>
          <cell r="AB277">
            <v>9.9999999999999992E-2</v>
          </cell>
          <cell r="AC277">
            <v>0.04</v>
          </cell>
          <cell r="AD277">
            <v>0.10999999999999992</v>
          </cell>
          <cell r="AE277">
            <v>9.0000000000000219E-2</v>
          </cell>
          <cell r="AF277">
            <v>8.9999999999999844E-2</v>
          </cell>
          <cell r="AG277">
            <v>0.25000000000000006</v>
          </cell>
          <cell r="AH277">
            <v>0.20000000000000034</v>
          </cell>
          <cell r="AI277">
            <v>-0.22000000000000003</v>
          </cell>
          <cell r="AJ277">
            <v>0.10999999999999997</v>
          </cell>
          <cell r="AK277">
            <v>-5.0000000000000142E-2</v>
          </cell>
          <cell r="AL277">
            <v>9.4259348351246594E-2</v>
          </cell>
          <cell r="AM277">
            <v>0.33815898294794172</v>
          </cell>
          <cell r="AN277">
            <v>0.38239322205030379</v>
          </cell>
          <cell r="AO277">
            <v>0.41126951339425388</v>
          </cell>
          <cell r="AP277">
            <v>0.47443521993139798</v>
          </cell>
          <cell r="AQ277">
            <v>0.46395573033875942</v>
          </cell>
          <cell r="AR277">
            <v>0.56550711359382033</v>
          </cell>
          <cell r="AS277">
            <v>0.60297236714526992</v>
          </cell>
          <cell r="AT277">
            <v>0.67366341128618734</v>
          </cell>
          <cell r="AU277">
            <v>0.65044939812643232</v>
          </cell>
        </row>
        <row r="278">
          <cell r="B278" t="str">
            <v>EPS (post-exceptionals, basic)</v>
          </cell>
          <cell r="C278" t="str">
            <v>EPS_POST_BASIC</v>
          </cell>
          <cell r="D278" t="str">
            <v>CNY</v>
          </cell>
          <cell r="F278">
            <v>1.9600000000000002</v>
          </cell>
          <cell r="G278">
            <v>1.8999999999999986</v>
          </cell>
          <cell r="H278">
            <v>0.27999999999999997</v>
          </cell>
          <cell r="I278">
            <v>0.31000000000000055</v>
          </cell>
          <cell r="J278">
            <v>0.38</v>
          </cell>
          <cell r="K278">
            <v>0.34</v>
          </cell>
          <cell r="L278">
            <v>0.31999999999999906</v>
          </cell>
          <cell r="M278">
            <v>0.63503786846888699</v>
          </cell>
          <cell r="N278">
            <v>1.7320536857147133</v>
          </cell>
          <cell r="O278">
            <v>2.4925922901517099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7.6086525146238343E-2</v>
          </cell>
          <cell r="Y278">
            <v>0.10914031284479618</v>
          </cell>
          <cell r="Z278">
            <v>0.10035091133022192</v>
          </cell>
          <cell r="AA278">
            <v>9.4422250678743561E-2</v>
          </cell>
          <cell r="AB278">
            <v>9.9999999999999992E-2</v>
          </cell>
          <cell r="AC278">
            <v>0.04</v>
          </cell>
          <cell r="AD278">
            <v>9.9999999999999908E-2</v>
          </cell>
          <cell r="AE278">
            <v>0.10000000000000024</v>
          </cell>
          <cell r="AF278">
            <v>8.9999999999999844E-2</v>
          </cell>
          <cell r="AG278">
            <v>0.25000000000000006</v>
          </cell>
          <cell r="AH278">
            <v>0.20000000000000034</v>
          </cell>
          <cell r="AI278">
            <v>-0.22000000000000003</v>
          </cell>
          <cell r="AJ278">
            <v>0.10999999999999997</v>
          </cell>
          <cell r="AK278">
            <v>-5.0000000000000142E-2</v>
          </cell>
          <cell r="AL278">
            <v>9.4259348351246594E-2</v>
          </cell>
          <cell r="AM278">
            <v>0.33815898294794172</v>
          </cell>
          <cell r="AN278">
            <v>0.38239322205030379</v>
          </cell>
          <cell r="AO278">
            <v>0.41126951339425388</v>
          </cell>
          <cell r="AP278">
            <v>0.47443521993139798</v>
          </cell>
          <cell r="AQ278">
            <v>0.46395573033875942</v>
          </cell>
          <cell r="AR278">
            <v>0.56550711359382033</v>
          </cell>
          <cell r="AS278">
            <v>0.60297236714526992</v>
          </cell>
          <cell r="AT278">
            <v>0.67366341128618734</v>
          </cell>
          <cell r="AU278">
            <v>0.65044939812643232</v>
          </cell>
        </row>
        <row r="279">
          <cell r="B279" t="str">
            <v>EPS (post-exceptionals, diluted)</v>
          </cell>
          <cell r="C279" t="str">
            <v>FULLY_DIL_EPS</v>
          </cell>
          <cell r="D279" t="str">
            <v>CNY</v>
          </cell>
          <cell r="F279">
            <v>1.9600000000000002</v>
          </cell>
          <cell r="G279">
            <v>1.8999999999999986</v>
          </cell>
          <cell r="H279">
            <v>0.27999999999999997</v>
          </cell>
          <cell r="I279">
            <v>0.31000000000000055</v>
          </cell>
          <cell r="J279">
            <v>0.38</v>
          </cell>
          <cell r="K279">
            <v>0.34</v>
          </cell>
          <cell r="L279">
            <v>0.31999999999999906</v>
          </cell>
          <cell r="M279">
            <v>0.63503786846888699</v>
          </cell>
          <cell r="N279">
            <v>1.7320536857147133</v>
          </cell>
          <cell r="O279">
            <v>2.4925922901517099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7.6086525146238343E-2</v>
          </cell>
          <cell r="Y279">
            <v>0.10914031284479618</v>
          </cell>
          <cell r="Z279">
            <v>0.10035091133022192</v>
          </cell>
          <cell r="AA279">
            <v>9.4422250678743561E-2</v>
          </cell>
          <cell r="AB279">
            <v>9.9999999999999992E-2</v>
          </cell>
          <cell r="AC279">
            <v>0.04</v>
          </cell>
          <cell r="AD279">
            <v>0.10999999999999992</v>
          </cell>
          <cell r="AE279">
            <v>9.0000000000000219E-2</v>
          </cell>
          <cell r="AF279">
            <v>8.9999999999999844E-2</v>
          </cell>
          <cell r="AG279">
            <v>0.25000000000000006</v>
          </cell>
          <cell r="AH279">
            <v>0.20000000000000034</v>
          </cell>
          <cell r="AI279">
            <v>-0.22000000000000003</v>
          </cell>
          <cell r="AJ279">
            <v>0.10999999999999997</v>
          </cell>
          <cell r="AK279">
            <v>-5.0000000000000142E-2</v>
          </cell>
          <cell r="AL279">
            <v>9.4259348351246594E-2</v>
          </cell>
          <cell r="AM279">
            <v>0.33815898294794172</v>
          </cell>
          <cell r="AN279">
            <v>0.38239322205030379</v>
          </cell>
          <cell r="AO279">
            <v>0.41126951339425388</v>
          </cell>
          <cell r="AP279">
            <v>0.47443521993139798</v>
          </cell>
          <cell r="AQ279">
            <v>0.46395573033875942</v>
          </cell>
          <cell r="AR279">
            <v>0.56550711359382033</v>
          </cell>
          <cell r="AS279">
            <v>0.60297236714526992</v>
          </cell>
          <cell r="AT279">
            <v>0.67366341128618734</v>
          </cell>
          <cell r="AU279">
            <v>0.65044939812643232</v>
          </cell>
        </row>
        <row r="280">
          <cell r="B280" t="str">
            <v>Common dividends paid</v>
          </cell>
          <cell r="C280" t="str">
            <v>COMMON_DIV_PAID</v>
          </cell>
          <cell r="D280" t="str">
            <v>CNY</v>
          </cell>
          <cell r="F280">
            <v>-15.5886514</v>
          </cell>
          <cell r="G280">
            <v>-120.04779309</v>
          </cell>
          <cell r="H280">
            <v>-24.146021190000003</v>
          </cell>
          <cell r="I280">
            <v>-41.26079112</v>
          </cell>
          <cell r="J280">
            <v>-31.402496410000001</v>
          </cell>
          <cell r="K280">
            <v>-30.88499079</v>
          </cell>
          <cell r="L280">
            <v>-120.58205256999999</v>
          </cell>
          <cell r="M280">
            <v>-221.98943085860995</v>
          </cell>
          <cell r="N280">
            <v>-880.03097727234399</v>
          </cell>
          <cell r="O280">
            <v>-1266.4494450347061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</row>
        <row r="281">
          <cell r="B281" t="str">
            <v>DPS, dividend per share</v>
          </cell>
          <cell r="C281" t="str">
            <v>DPS</v>
          </cell>
          <cell r="D281" t="str">
            <v>CNY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4.4999999999999998E-2</v>
          </cell>
          <cell r="L281">
            <v>0.18</v>
          </cell>
          <cell r="M281">
            <v>0.37659543832080705</v>
          </cell>
          <cell r="N281">
            <v>1.0271568820605872</v>
          </cell>
          <cell r="O281">
            <v>1.4781778106052246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</row>
        <row r="282">
          <cell r="B282" t="str">
            <v>Weighted average shares outstanding, basic</v>
          </cell>
          <cell r="C282" t="str">
            <v>SH</v>
          </cell>
          <cell r="F282">
            <v>44.030168464285715</v>
          </cell>
          <cell r="G282">
            <v>67.011104973684212</v>
          </cell>
          <cell r="H282">
            <v>349.90014724999997</v>
          </cell>
          <cell r="I282">
            <v>372.16061990322578</v>
          </cell>
          <cell r="J282">
            <v>372.87084047368421</v>
          </cell>
          <cell r="K282">
            <v>403.40093529411763</v>
          </cell>
          <cell r="L282">
            <v>432.24490118750191</v>
          </cell>
          <cell r="M282">
            <v>589.46394000000009</v>
          </cell>
          <cell r="N282">
            <v>856.76394000000005</v>
          </cell>
          <cell r="O282">
            <v>856.76394000000005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372.87084047368421</v>
          </cell>
          <cell r="Y282">
            <v>372.87084047368421</v>
          </cell>
          <cell r="Z282">
            <v>372.87084047368421</v>
          </cell>
          <cell r="AA282">
            <v>372.87084047368421</v>
          </cell>
          <cell r="AB282">
            <v>359.66747939999993</v>
          </cell>
          <cell r="AC282">
            <v>571.08440699999994</v>
          </cell>
          <cell r="AD282">
            <v>415.47628760000003</v>
          </cell>
          <cell r="AE282">
            <v>367.98565019999995</v>
          </cell>
          <cell r="AF282">
            <v>476.44481688888897</v>
          </cell>
          <cell r="AG282">
            <v>451.62875695999998</v>
          </cell>
          <cell r="AH282">
            <v>448.26991444999982</v>
          </cell>
          <cell r="AI282">
            <v>486.921987590909</v>
          </cell>
          <cell r="AJ282">
            <v>464.26297654545453</v>
          </cell>
          <cell r="AK282">
            <v>515.69011999999998</v>
          </cell>
          <cell r="AL282">
            <v>629.38139333333334</v>
          </cell>
          <cell r="AM282">
            <v>856.76394000000005</v>
          </cell>
          <cell r="AN282">
            <v>856.76394000000005</v>
          </cell>
          <cell r="AO282">
            <v>856.76394000000005</v>
          </cell>
          <cell r="AP282">
            <v>856.76394000000005</v>
          </cell>
          <cell r="AQ282">
            <v>856.76394000000005</v>
          </cell>
          <cell r="AR282">
            <v>856.76394000000005</v>
          </cell>
          <cell r="AS282">
            <v>856.76394000000005</v>
          </cell>
          <cell r="AT282">
            <v>856.76394000000005</v>
          </cell>
          <cell r="AU282">
            <v>856.76394000000005</v>
          </cell>
        </row>
        <row r="283">
          <cell r="B283" t="str">
            <v>Diluted average shares outstanding (mn)</v>
          </cell>
          <cell r="C283" t="str">
            <v>DILUTE_SHARES</v>
          </cell>
          <cell r="F283">
            <v>44.030168464285715</v>
          </cell>
          <cell r="G283">
            <v>67.011104973684212</v>
          </cell>
          <cell r="H283">
            <v>349.90014724999997</v>
          </cell>
          <cell r="I283">
            <v>372.16061990322578</v>
          </cell>
          <cell r="J283">
            <v>372.87084047368421</v>
          </cell>
          <cell r="K283">
            <v>403.40093529411763</v>
          </cell>
          <cell r="L283">
            <v>432.24490118750191</v>
          </cell>
          <cell r="M283">
            <v>589.46394000000009</v>
          </cell>
          <cell r="N283">
            <v>856.76394000000005</v>
          </cell>
          <cell r="O283">
            <v>856.76394000000005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372.87084047368421</v>
          </cell>
          <cell r="Y283">
            <v>372.87084047368421</v>
          </cell>
          <cell r="Z283">
            <v>372.87084047368421</v>
          </cell>
          <cell r="AA283">
            <v>372.87084047368421</v>
          </cell>
          <cell r="AB283">
            <v>359.66747939999993</v>
          </cell>
          <cell r="AC283">
            <v>571.08440699999994</v>
          </cell>
          <cell r="AD283">
            <v>377.705716</v>
          </cell>
          <cell r="AE283">
            <v>408.87294466666663</v>
          </cell>
          <cell r="AF283">
            <v>476.44481688888897</v>
          </cell>
          <cell r="AG283">
            <v>451.62875695999998</v>
          </cell>
          <cell r="AH283">
            <v>448.26991444999982</v>
          </cell>
          <cell r="AI283">
            <v>486.921987590909</v>
          </cell>
          <cell r="AJ283">
            <v>464.26297654545453</v>
          </cell>
          <cell r="AK283">
            <v>515.69011999999998</v>
          </cell>
          <cell r="AL283">
            <v>629.38139333333334</v>
          </cell>
          <cell r="AM283">
            <v>856.76394000000005</v>
          </cell>
          <cell r="AN283">
            <v>856.76394000000005</v>
          </cell>
          <cell r="AO283">
            <v>856.76394000000005</v>
          </cell>
          <cell r="AP283">
            <v>856.76394000000005</v>
          </cell>
          <cell r="AQ283">
            <v>856.76394000000005</v>
          </cell>
          <cell r="AR283">
            <v>856.76394000000005</v>
          </cell>
          <cell r="AS283">
            <v>856.76394000000005</v>
          </cell>
          <cell r="AT283">
            <v>856.76394000000005</v>
          </cell>
          <cell r="AU283">
            <v>856.76394000000005</v>
          </cell>
        </row>
        <row r="284">
          <cell r="B284" t="str">
            <v>Period-end shares outstanding</v>
          </cell>
          <cell r="C284" t="str">
            <v>NON_OP_ADD</v>
          </cell>
          <cell r="F284">
            <v>44</v>
          </cell>
          <cell r="G284">
            <v>90</v>
          </cell>
          <cell r="H284">
            <v>144</v>
          </cell>
          <cell r="I284">
            <v>144</v>
          </cell>
          <cell r="J284">
            <v>374.4</v>
          </cell>
          <cell r="K284">
            <v>455.81394</v>
          </cell>
          <cell r="L284">
            <v>455.81394</v>
          </cell>
          <cell r="M284">
            <v>856.76394000000005</v>
          </cell>
          <cell r="N284">
            <v>856.76394000000005</v>
          </cell>
          <cell r="O284">
            <v>856.76394000000005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</row>
        <row r="285">
          <cell r="A285" t="str">
            <v>Additional Income Statement Items</v>
          </cell>
          <cell r="B285">
            <v>0</v>
          </cell>
          <cell r="C285">
            <v>0</v>
          </cell>
          <cell r="D285">
            <v>0</v>
          </cell>
        </row>
        <row r="286">
          <cell r="B286" t="str">
            <v>Marginal tax rate</v>
          </cell>
          <cell r="C286" t="str">
            <v>MARGIN_TAX_RATE</v>
          </cell>
          <cell r="F286">
            <v>0.14494297174993703</v>
          </cell>
          <cell r="G286">
            <v>9.261647238619708E-2</v>
          </cell>
          <cell r="H286">
            <v>0.15846622281862277</v>
          </cell>
          <cell r="I286">
            <v>0.13372563773922513</v>
          </cell>
          <cell r="J286">
            <v>7.3699498878306222E-2</v>
          </cell>
          <cell r="K286">
            <v>0.15120773141269234</v>
          </cell>
          <cell r="L286">
            <v>0.22471689884061119</v>
          </cell>
          <cell r="M286">
            <v>7.2822028327255608E-2</v>
          </cell>
          <cell r="N286">
            <v>0.06</v>
          </cell>
          <cell r="O286">
            <v>6.0000000000000005E-2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0.13855025646145916</v>
          </cell>
          <cell r="Y286">
            <v>5.9598042409055405E-2</v>
          </cell>
          <cell r="Z286">
            <v>7.7172899616109583E-2</v>
          </cell>
          <cell r="AA286">
            <v>2.2459250778280055E-2</v>
          </cell>
          <cell r="AB286">
            <v>9.4670598138896278E-2</v>
          </cell>
          <cell r="AC286">
            <v>0</v>
          </cell>
          <cell r="AD286">
            <v>0.20774215281251426</v>
          </cell>
          <cell r="AE286">
            <v>0.21067016184835513</v>
          </cell>
          <cell r="AF286">
            <v>0.4181151898485479</v>
          </cell>
          <cell r="AG286">
            <v>7.8844128566760582E-2</v>
          </cell>
          <cell r="AH286">
            <v>0.36493241916650693</v>
          </cell>
          <cell r="AI286">
            <v>0.30248903813627109</v>
          </cell>
          <cell r="AJ286">
            <v>1.6600642278354248E-2</v>
          </cell>
          <cell r="AK286">
            <v>0.39707337085795807</v>
          </cell>
          <cell r="AL286">
            <v>0.22886920203313207</v>
          </cell>
          <cell r="AM286">
            <v>6.0000000000000005E-2</v>
          </cell>
          <cell r="AN286">
            <v>5.9999999999999991E-2</v>
          </cell>
          <cell r="AO286">
            <v>5.9999999999999991E-2</v>
          </cell>
          <cell r="AP286">
            <v>6.0000000000000005E-2</v>
          </cell>
          <cell r="AQ286">
            <v>5.9999999999999991E-2</v>
          </cell>
          <cell r="AR286">
            <v>5.9999999999999991E-2</v>
          </cell>
          <cell r="AS286">
            <v>0.06</v>
          </cell>
          <cell r="AT286">
            <v>5.9999999999999984E-2</v>
          </cell>
          <cell r="AU286">
            <v>5.9999999999999977E-2</v>
          </cell>
        </row>
        <row r="287">
          <cell r="B287" t="str">
            <v>Net income (consensus) (Pub)</v>
          </cell>
          <cell r="C287" t="str">
            <v>NI_CONS</v>
          </cell>
          <cell r="D287" t="str">
            <v>CNY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</row>
        <row r="288">
          <cell r="A288" t="str">
            <v>Balance Sheet</v>
          </cell>
          <cell r="B288">
            <v>0</v>
          </cell>
          <cell r="C288">
            <v>0</v>
          </cell>
          <cell r="D288">
            <v>0</v>
          </cell>
        </row>
        <row r="289">
          <cell r="B289" t="str">
            <v>BVPS, book value per share</v>
          </cell>
          <cell r="C289" t="str">
            <v>BVPS</v>
          </cell>
          <cell r="D289" t="str">
            <v>CNY</v>
          </cell>
          <cell r="F289">
            <v>5.9022295100000006</v>
          </cell>
          <cell r="G289">
            <v>3.8875032392222217</v>
          </cell>
          <cell r="H289">
            <v>3.6086766915277781</v>
          </cell>
          <cell r="I289">
            <v>4.4603906206250006</v>
          </cell>
          <cell r="J289">
            <v>2.1601442816239316</v>
          </cell>
          <cell r="K289">
            <v>2.5882587440831668</v>
          </cell>
          <cell r="L289">
            <v>8.7402823617022332</v>
          </cell>
          <cell r="M289">
            <v>14.01875115604566</v>
          </cell>
          <cell r="N289">
            <v>14.727244345270631</v>
          </cell>
          <cell r="O289">
            <v>15.746834370483063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</row>
        <row r="290">
          <cell r="A290" t="str">
            <v>Cash Flow Statement</v>
          </cell>
          <cell r="B290">
            <v>0</v>
          </cell>
          <cell r="C290">
            <v>0</v>
          </cell>
          <cell r="D290">
            <v>0</v>
          </cell>
        </row>
        <row r="291">
          <cell r="B291" t="str">
            <v>Net income (pre-preferred dividends)</v>
          </cell>
          <cell r="C291" t="str">
            <v>CF_NI_PRE_PREF</v>
          </cell>
          <cell r="D291" t="str">
            <v>CNY</v>
          </cell>
          <cell r="F291">
            <v>86.29913019</v>
          </cell>
          <cell r="G291">
            <v>127.32109945000001</v>
          </cell>
          <cell r="H291">
            <v>97.972041230000002</v>
          </cell>
          <cell r="I291">
            <v>115.36979217</v>
          </cell>
          <cell r="J291">
            <v>141.69091938</v>
          </cell>
          <cell r="K291">
            <v>137.156318</v>
          </cell>
          <cell r="L291">
            <v>138.31836838000061</v>
          </cell>
          <cell r="M291">
            <v>374.33192399687158</v>
          </cell>
          <cell r="N291">
            <v>1483.961140064461</v>
          </cell>
          <cell r="O291">
            <v>2135.5631913240013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</row>
        <row r="292">
          <cell r="A292" t="str">
            <v>Other Items</v>
          </cell>
          <cell r="B292">
            <v>0</v>
          </cell>
          <cell r="C292">
            <v>0</v>
          </cell>
          <cell r="D292">
            <v>0</v>
          </cell>
        </row>
        <row r="293">
          <cell r="B293" t="str">
            <v>Beta</v>
          </cell>
          <cell r="C293" t="str">
            <v>BETA_ANALYST</v>
          </cell>
          <cell r="E293">
            <v>0</v>
          </cell>
        </row>
        <row r="294">
          <cell r="B294" t="str">
            <v>Market equity risk premium</v>
          </cell>
          <cell r="C294" t="str">
            <v>MKT_EQ_RISK_PREM</v>
          </cell>
          <cell r="E294">
            <v>0</v>
          </cell>
        </row>
        <row r="295">
          <cell r="B295" t="str">
            <v>Risk-free rate</v>
          </cell>
          <cell r="C295" t="str">
            <v>RISK_FR_RATE</v>
          </cell>
          <cell r="E29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Issuer: Will Semiconductor Co.</v>
          </cell>
          <cell r="C1">
            <v>1057220570</v>
          </cell>
          <cell r="F1">
            <v>2012</v>
          </cell>
          <cell r="G1">
            <v>2013</v>
          </cell>
          <cell r="H1">
            <v>2014</v>
          </cell>
          <cell r="I1">
            <v>2015</v>
          </cell>
          <cell r="J1">
            <v>2016</v>
          </cell>
          <cell r="K1">
            <v>2017</v>
          </cell>
          <cell r="L1">
            <v>2018</v>
          </cell>
          <cell r="M1">
            <v>2019</v>
          </cell>
          <cell r="N1">
            <v>2020</v>
          </cell>
          <cell r="O1">
            <v>2021</v>
          </cell>
          <cell r="Q1" t="str">
            <v>2014 Q1</v>
          </cell>
          <cell r="R1" t="str">
            <v>2014 Q2</v>
          </cell>
          <cell r="S1" t="str">
            <v>2014 Q3</v>
          </cell>
          <cell r="T1" t="str">
            <v>2014 Q4</v>
          </cell>
          <cell r="U1" t="str">
            <v>2015 Q2</v>
          </cell>
          <cell r="V1" t="str">
            <v>2015 Q3</v>
          </cell>
          <cell r="W1" t="str">
            <v>2015 Q4</v>
          </cell>
          <cell r="X1" t="str">
            <v>2016 Q1</v>
          </cell>
          <cell r="Y1" t="str">
            <v>2016 Q2</v>
          </cell>
          <cell r="Z1" t="str">
            <v>2016 Q3</v>
          </cell>
          <cell r="AA1" t="str">
            <v>2016 Q4</v>
          </cell>
          <cell r="AB1" t="str">
            <v>2017 Q1</v>
          </cell>
          <cell r="AC1" t="str">
            <v>2017 Q2</v>
          </cell>
          <cell r="AD1" t="str">
            <v>2017 Q3</v>
          </cell>
          <cell r="AE1" t="str">
            <v>2017 Q4</v>
          </cell>
          <cell r="AF1" t="str">
            <v>2018 Q1</v>
          </cell>
          <cell r="AG1" t="str">
            <v>2018 Q2</v>
          </cell>
          <cell r="AH1" t="str">
            <v>2018 Q3</v>
          </cell>
          <cell r="AI1" t="str">
            <v>2018 Q4</v>
          </cell>
          <cell r="AJ1" t="str">
            <v>2019 Q1</v>
          </cell>
          <cell r="AK1" t="str">
            <v>2019 Q2</v>
          </cell>
          <cell r="AL1" t="str">
            <v>2019 Q3</v>
          </cell>
          <cell r="AM1" t="str">
            <v>2019 Q4</v>
          </cell>
          <cell r="AN1" t="str">
            <v>2020 Q1</v>
          </cell>
          <cell r="AO1" t="str">
            <v>2020 Q2</v>
          </cell>
          <cell r="AP1" t="str">
            <v>2020 Q3</v>
          </cell>
          <cell r="AQ1" t="str">
            <v>2020 Q4</v>
          </cell>
          <cell r="AR1" t="str">
            <v>2021 Q1</v>
          </cell>
          <cell r="AS1" t="str">
            <v>2021 Q2</v>
          </cell>
          <cell r="AT1" t="str">
            <v>2021 Q3</v>
          </cell>
          <cell r="AU1" t="str">
            <v>2021 Q4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Estimate</v>
          </cell>
          <cell r="N2" t="str">
            <v>Estimate</v>
          </cell>
          <cell r="O2" t="str">
            <v>Estimate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Estimate</v>
          </cell>
          <cell r="AN2" t="str">
            <v>Estimate</v>
          </cell>
          <cell r="AO2" t="str">
            <v>Estimate</v>
          </cell>
          <cell r="AP2" t="str">
            <v>Estimate</v>
          </cell>
          <cell r="AQ2" t="str">
            <v>Estimate</v>
          </cell>
          <cell r="AR2" t="str">
            <v>Estimate</v>
          </cell>
          <cell r="AS2" t="str">
            <v>Estimate</v>
          </cell>
          <cell r="AT2" t="str">
            <v>Estimate</v>
          </cell>
          <cell r="AU2" t="str">
            <v>Estimate</v>
          </cell>
        </row>
        <row r="3">
          <cell r="F3">
            <v>41274</v>
          </cell>
          <cell r="G3">
            <v>41639</v>
          </cell>
          <cell r="H3">
            <v>42004</v>
          </cell>
          <cell r="I3">
            <v>42369</v>
          </cell>
          <cell r="J3">
            <v>42735</v>
          </cell>
          <cell r="K3">
            <v>43100</v>
          </cell>
          <cell r="L3">
            <v>43465</v>
          </cell>
          <cell r="M3">
            <v>43830</v>
          </cell>
          <cell r="N3">
            <v>44196</v>
          </cell>
          <cell r="O3">
            <v>44561</v>
          </cell>
          <cell r="U3">
            <v>42185</v>
          </cell>
          <cell r="V3">
            <v>42277</v>
          </cell>
          <cell r="W3">
            <v>42369</v>
          </cell>
          <cell r="X3">
            <v>42460</v>
          </cell>
          <cell r="Y3">
            <v>42551</v>
          </cell>
          <cell r="Z3">
            <v>42643</v>
          </cell>
          <cell r="AA3">
            <v>42735</v>
          </cell>
          <cell r="AB3">
            <v>42825</v>
          </cell>
          <cell r="AC3">
            <v>42916</v>
          </cell>
          <cell r="AD3">
            <v>43008</v>
          </cell>
          <cell r="AE3">
            <v>43100</v>
          </cell>
          <cell r="AF3">
            <v>43190</v>
          </cell>
          <cell r="AG3">
            <v>43281</v>
          </cell>
          <cell r="AH3">
            <v>43373</v>
          </cell>
          <cell r="AI3">
            <v>43465</v>
          </cell>
          <cell r="AJ3">
            <v>43555</v>
          </cell>
          <cell r="AK3">
            <v>43646</v>
          </cell>
          <cell r="AL3">
            <v>43738</v>
          </cell>
          <cell r="AM3">
            <v>43830</v>
          </cell>
          <cell r="AN3">
            <v>43921</v>
          </cell>
          <cell r="AO3">
            <v>44012</v>
          </cell>
          <cell r="AP3">
            <v>44104</v>
          </cell>
          <cell r="AQ3">
            <v>44196</v>
          </cell>
          <cell r="AR3">
            <v>44286</v>
          </cell>
          <cell r="AS3">
            <v>44377</v>
          </cell>
          <cell r="AT3">
            <v>44469</v>
          </cell>
          <cell r="AU3">
            <v>44561</v>
          </cell>
        </row>
        <row r="4">
          <cell r="A4" t="str">
            <v>Issuer: Will Semiconductor Co.</v>
          </cell>
          <cell r="B4" t="str">
            <v>44RFU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Will Semiconductor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F11">
            <v>1005.6448243900001</v>
          </cell>
          <cell r="G11">
            <v>1141.4603508099999</v>
          </cell>
          <cell r="H11">
            <v>1407.6716329400001</v>
          </cell>
          <cell r="I11">
            <v>1983.27123411</v>
          </cell>
          <cell r="J11">
            <v>2160.76952987</v>
          </cell>
          <cell r="K11">
            <v>2405.9162668099998</v>
          </cell>
          <cell r="L11">
            <v>6237.4016116399998</v>
          </cell>
          <cell r="M11">
            <v>8795.6828147030592</v>
          </cell>
          <cell r="N11">
            <v>15450.8990538501</v>
          </cell>
          <cell r="O11">
            <v>18169.368466169701</v>
          </cell>
          <cell r="X11">
            <v>462.36652586000002</v>
          </cell>
          <cell r="Y11">
            <v>582.34172343</v>
          </cell>
          <cell r="Z11">
            <v>568.66512189000002</v>
          </cell>
          <cell r="AA11">
            <v>547.39615868999999</v>
          </cell>
          <cell r="AB11">
            <v>398.24428784000003</v>
          </cell>
          <cell r="AC11">
            <v>516.28316026000005</v>
          </cell>
          <cell r="AD11">
            <v>703.70547780000004</v>
          </cell>
          <cell r="AE11">
            <v>787.68334090999997</v>
          </cell>
          <cell r="AF11">
            <v>820.27583132999996</v>
          </cell>
          <cell r="AG11">
            <v>1075.15249963</v>
          </cell>
          <cell r="AH11">
            <v>3491.8963530000001</v>
          </cell>
          <cell r="AI11">
            <v>850.07692768000004</v>
          </cell>
          <cell r="AJ11">
            <v>723.17116840999995</v>
          </cell>
          <cell r="AK11">
            <v>826.33351100000004</v>
          </cell>
          <cell r="AL11">
            <v>3702.5519079999999</v>
          </cell>
          <cell r="AM11">
            <v>3543.6262272930599</v>
          </cell>
          <cell r="AN11">
            <v>3540.9760185887899</v>
          </cell>
          <cell r="AO11">
            <v>3734.6904854252298</v>
          </cell>
          <cell r="AP11">
            <v>4260.3064801831497</v>
          </cell>
          <cell r="AQ11">
            <v>3914.92606965295</v>
          </cell>
          <cell r="AR11">
            <v>4211.1254287562097</v>
          </cell>
          <cell r="AS11">
            <v>4433.3982322124002</v>
          </cell>
          <cell r="AT11">
            <v>4997.3245091846802</v>
          </cell>
          <cell r="AU11">
            <v>4527.5202960163897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F13">
            <v>-816.74913963999995</v>
          </cell>
          <cell r="G13">
            <v>-859.05520920000004</v>
          </cell>
          <cell r="H13">
            <v>-1139.5017300699999</v>
          </cell>
          <cell r="I13">
            <v>-1601.28951011</v>
          </cell>
          <cell r="J13">
            <v>-1726.09116535</v>
          </cell>
          <cell r="K13">
            <v>-1911.8527869100001</v>
          </cell>
          <cell r="L13">
            <v>-4783.0174637600003</v>
          </cell>
          <cell r="M13">
            <v>-6658.81761106251</v>
          </cell>
          <cell r="N13">
            <v>-11559.2281055283</v>
          </cell>
          <cell r="O13">
            <v>-13446.4917038362</v>
          </cell>
          <cell r="X13">
            <v>-366.17314321999999</v>
          </cell>
          <cell r="Y13">
            <v>-467.28726377999999</v>
          </cell>
          <cell r="Z13">
            <v>-454.49046150999999</v>
          </cell>
          <cell r="AA13">
            <v>-438.14029684000002</v>
          </cell>
          <cell r="AB13">
            <v>-321.66957879</v>
          </cell>
          <cell r="AC13">
            <v>-417.72692153000003</v>
          </cell>
          <cell r="AD13">
            <v>-569.80781772</v>
          </cell>
          <cell r="AE13">
            <v>-602.64846886999999</v>
          </cell>
          <cell r="AF13">
            <v>-591.50219956000001</v>
          </cell>
          <cell r="AG13">
            <v>-770.67852169000003</v>
          </cell>
          <cell r="AH13">
            <v>-2671.2022277000001</v>
          </cell>
          <cell r="AI13">
            <v>-749.63451481000004</v>
          </cell>
          <cell r="AJ13">
            <v>-563.28415716999996</v>
          </cell>
          <cell r="AK13">
            <v>-715.46789899999999</v>
          </cell>
          <cell r="AL13">
            <v>-2764.1690579999999</v>
          </cell>
          <cell r="AM13">
            <v>-2615.8964968925102</v>
          </cell>
          <cell r="AN13">
            <v>-2659.75392099283</v>
          </cell>
          <cell r="AO13">
            <v>-2797.8616575420001</v>
          </cell>
          <cell r="AP13">
            <v>-3194.1050693296402</v>
          </cell>
          <cell r="AQ13">
            <v>-2907.5074576638699</v>
          </cell>
          <cell r="AR13">
            <v>-3128.5893091686798</v>
          </cell>
          <cell r="AS13">
            <v>-3285.6252053099101</v>
          </cell>
          <cell r="AT13">
            <v>-3707.1429680861602</v>
          </cell>
          <cell r="AU13">
            <v>-3325.1342212714699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F14">
            <v>-69.752333179999994</v>
          </cell>
          <cell r="G14">
            <v>-111.34604975000001</v>
          </cell>
          <cell r="H14">
            <v>-103.58913475</v>
          </cell>
          <cell r="I14">
            <v>-161.34980816999999</v>
          </cell>
          <cell r="J14">
            <v>-170.44843438999999</v>
          </cell>
          <cell r="K14">
            <v>-213.37014171000001</v>
          </cell>
          <cell r="L14">
            <v>-735.39810659</v>
          </cell>
          <cell r="M14">
            <v>-772.88449832680305</v>
          </cell>
          <cell r="N14">
            <v>-999.34106269876804</v>
          </cell>
          <cell r="O14">
            <v>-1066.72742500967</v>
          </cell>
          <cell r="X14">
            <v>-29.8344915775</v>
          </cell>
          <cell r="Y14">
            <v>-39.507241867499999</v>
          </cell>
          <cell r="Z14">
            <v>-39.943252707500001</v>
          </cell>
          <cell r="AA14">
            <v>-41.989870547499997</v>
          </cell>
          <cell r="AB14">
            <v>-28.873239032499999</v>
          </cell>
          <cell r="AC14">
            <v>-37.135244552499998</v>
          </cell>
          <cell r="AD14">
            <v>-38.173855317499999</v>
          </cell>
          <cell r="AE14">
            <v>-84.224069677499998</v>
          </cell>
          <cell r="AF14">
            <v>-131.55117311250001</v>
          </cell>
          <cell r="AG14">
            <v>-147.06823611249999</v>
          </cell>
          <cell r="AH14">
            <v>-347.23312078250001</v>
          </cell>
          <cell r="AI14">
            <v>-69.983740472500003</v>
          </cell>
          <cell r="AJ14">
            <v>-108.616428795</v>
          </cell>
          <cell r="AK14">
            <v>-78.699570554999994</v>
          </cell>
          <cell r="AL14">
            <v>-235.77276171772601</v>
          </cell>
          <cell r="AM14">
            <v>-183.020128304997</v>
          </cell>
          <cell r="AN14">
            <v>-141.226545071342</v>
          </cell>
          <cell r="AO14">
            <v>-158.63710899441901</v>
          </cell>
          <cell r="AP14">
            <v>-195.26072152991901</v>
          </cell>
          <cell r="AQ14">
            <v>-159.064987462456</v>
          </cell>
          <cell r="AR14">
            <v>-154.24355920307599</v>
          </cell>
          <cell r="AS14">
            <v>-173.101137656905</v>
          </cell>
          <cell r="AT14">
            <v>-215.200370807209</v>
          </cell>
          <cell r="AU14">
            <v>-169.42652397713701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F15">
            <v>-886.50147282</v>
          </cell>
          <cell r="G15">
            <v>-970.40125895000006</v>
          </cell>
          <cell r="H15">
            <v>-1243.09086482</v>
          </cell>
          <cell r="I15">
            <v>-1762.63931828</v>
          </cell>
          <cell r="J15">
            <v>-1896.5395997400001</v>
          </cell>
          <cell r="K15">
            <v>-2125.2229286199999</v>
          </cell>
          <cell r="L15">
            <v>-5518.4155703500001</v>
          </cell>
          <cell r="M15">
            <v>-7431.70210938931</v>
          </cell>
          <cell r="N15">
            <v>-12558.569168227101</v>
          </cell>
          <cell r="O15">
            <v>-14513.2191288459</v>
          </cell>
          <cell r="X15">
            <v>-396.00763479749997</v>
          </cell>
          <cell r="Y15">
            <v>-506.79450564749999</v>
          </cell>
          <cell r="Z15">
            <v>-494.43371421749998</v>
          </cell>
          <cell r="AA15">
            <v>-480.13016738750002</v>
          </cell>
          <cell r="AB15">
            <v>-350.54281782250001</v>
          </cell>
          <cell r="AC15">
            <v>-454.86216608249998</v>
          </cell>
          <cell r="AD15">
            <v>-607.98167303749995</v>
          </cell>
          <cell r="AE15">
            <v>-686.87253854749997</v>
          </cell>
          <cell r="AF15">
            <v>-723.05337267250002</v>
          </cell>
          <cell r="AG15">
            <v>-917.74675780250004</v>
          </cell>
          <cell r="AH15">
            <v>-3018.4353484825001</v>
          </cell>
          <cell r="AI15">
            <v>-819.61825528249994</v>
          </cell>
          <cell r="AJ15">
            <v>-671.900585965</v>
          </cell>
          <cell r="AK15">
            <v>-794.16746955500003</v>
          </cell>
          <cell r="AL15">
            <v>-2999.9418197177301</v>
          </cell>
          <cell r="AM15">
            <v>-2798.9166251975098</v>
          </cell>
          <cell r="AN15">
            <v>-2800.9804660641698</v>
          </cell>
          <cell r="AO15">
            <v>-2956.4987665364201</v>
          </cell>
          <cell r="AP15">
            <v>-3389.3657908595501</v>
          </cell>
          <cell r="AQ15">
            <v>-3066.57244512632</v>
          </cell>
          <cell r="AR15">
            <v>-3282.83286837176</v>
          </cell>
          <cell r="AS15">
            <v>-3458.7263429668201</v>
          </cell>
          <cell r="AT15">
            <v>-3922.3433388933699</v>
          </cell>
          <cell r="AU15">
            <v>-3494.5607452486101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F16">
            <v>0</v>
          </cell>
          <cell r="G16">
            <v>0</v>
          </cell>
          <cell r="H16">
            <v>-39.637099999999997</v>
          </cell>
          <cell r="I16">
            <v>-66.496600000000001</v>
          </cell>
          <cell r="J16">
            <v>-81.936000000000007</v>
          </cell>
          <cell r="K16">
            <v>-84.986116030000005</v>
          </cell>
          <cell r="L16">
            <v>-294.47866274500001</v>
          </cell>
          <cell r="M16">
            <v>-749.256004417035</v>
          </cell>
          <cell r="N16">
            <v>-1290.1865819222701</v>
          </cell>
          <cell r="O16">
            <v>-1400.3132857931701</v>
          </cell>
          <cell r="X16">
            <v>-17.761847110000001</v>
          </cell>
          <cell r="Y16">
            <v>-17.761847110000001</v>
          </cell>
          <cell r="Z16">
            <v>-23.206152889999998</v>
          </cell>
          <cell r="AA16">
            <v>-23.206152889999998</v>
          </cell>
          <cell r="AB16">
            <v>-20.584615804999999</v>
          </cell>
          <cell r="AC16">
            <v>-20.584615804999999</v>
          </cell>
          <cell r="AD16">
            <v>-21.90844221</v>
          </cell>
          <cell r="AE16">
            <v>-21.90844221</v>
          </cell>
          <cell r="AF16">
            <v>-28.21457152</v>
          </cell>
          <cell r="AG16">
            <v>-32.387518829999998</v>
          </cell>
          <cell r="AH16">
            <v>-200.50537197</v>
          </cell>
          <cell r="AI16">
            <v>-33.371200424999998</v>
          </cell>
          <cell r="AJ16">
            <v>-26.104363490000001</v>
          </cell>
          <cell r="AK16">
            <v>-46.957171000000002</v>
          </cell>
          <cell r="AL16">
            <v>-334.81728800000002</v>
          </cell>
          <cell r="AM16">
            <v>-341.377181927035</v>
          </cell>
          <cell r="AN16">
            <v>-299.30963303289502</v>
          </cell>
          <cell r="AO16">
            <v>-311.186474775345</v>
          </cell>
          <cell r="AP16">
            <v>-346.36299882114901</v>
          </cell>
          <cell r="AQ16">
            <v>-333.327475292879</v>
          </cell>
          <cell r="AR16">
            <v>-328.18149883103098</v>
          </cell>
          <cell r="AS16">
            <v>-340.41308487743402</v>
          </cell>
          <cell r="AT16">
            <v>-376.29094304987802</v>
          </cell>
          <cell r="AU16">
            <v>-355.427759034828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F18">
            <v>-886.50147282</v>
          </cell>
          <cell r="G18">
            <v>-970.40125895000006</v>
          </cell>
          <cell r="H18">
            <v>-1282.7279648199999</v>
          </cell>
          <cell r="I18">
            <v>-1829.1359182799999</v>
          </cell>
          <cell r="J18">
            <v>-1978.47559974</v>
          </cell>
          <cell r="K18">
            <v>-2210.2090446500001</v>
          </cell>
          <cell r="L18">
            <v>-5812.8942330950003</v>
          </cell>
          <cell r="M18">
            <v>-8180.9581138063504</v>
          </cell>
          <cell r="N18">
            <v>-13848.755750149399</v>
          </cell>
          <cell r="O18">
            <v>-15913.532414639099</v>
          </cell>
          <cell r="X18">
            <v>-418.56287632999999</v>
          </cell>
          <cell r="Y18">
            <v>-529.34974718000001</v>
          </cell>
          <cell r="Z18">
            <v>-522.43326152999998</v>
          </cell>
          <cell r="AA18">
            <v>-508.12971470000002</v>
          </cell>
          <cell r="AB18">
            <v>-377.36836691000002</v>
          </cell>
          <cell r="AC18">
            <v>-481.68771516999999</v>
          </cell>
          <cell r="AD18">
            <v>-636.13104853000004</v>
          </cell>
          <cell r="AE18">
            <v>-715.02191403999996</v>
          </cell>
          <cell r="AF18">
            <v>-761.15840321999997</v>
          </cell>
          <cell r="AG18">
            <v>-960.02473566000003</v>
          </cell>
          <cell r="AH18">
            <v>-3228.8311794800002</v>
          </cell>
          <cell r="AI18">
            <v>-862.87991473500006</v>
          </cell>
          <cell r="AJ18">
            <v>-710.29095589999997</v>
          </cell>
          <cell r="AK18">
            <v>-853.41064700000004</v>
          </cell>
          <cell r="AL18">
            <v>-3394.0348469999999</v>
          </cell>
          <cell r="AM18">
            <v>-3223.2216639063499</v>
          </cell>
          <cell r="AN18">
            <v>-3186.5780240072199</v>
          </cell>
          <cell r="AO18">
            <v>-3353.9731662219301</v>
          </cell>
          <cell r="AP18">
            <v>-3822.0167145908599</v>
          </cell>
          <cell r="AQ18">
            <v>-3486.1878453293598</v>
          </cell>
          <cell r="AR18">
            <v>-3699.7033255441202</v>
          </cell>
          <cell r="AS18">
            <v>-3887.8283861855898</v>
          </cell>
          <cell r="AT18">
            <v>-4387.3232402845897</v>
          </cell>
          <cell r="AU18">
            <v>-3938.6774626247702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F19">
            <v>-884.37807282000006</v>
          </cell>
          <cell r="G19">
            <v>-966.59025895000002</v>
          </cell>
          <cell r="H19">
            <v>-1277.4481794999999</v>
          </cell>
          <cell r="I19">
            <v>-1815.9759743100001</v>
          </cell>
          <cell r="J19">
            <v>-1959.30202205</v>
          </cell>
          <cell r="K19">
            <v>-2185.2453115200001</v>
          </cell>
          <cell r="L19">
            <v>-5773.3323969849998</v>
          </cell>
          <cell r="M19">
            <v>-8014.1825048522696</v>
          </cell>
          <cell r="N19">
            <v>-13503.6040505087</v>
          </cell>
          <cell r="O19">
            <v>-15558.7765812737</v>
          </cell>
          <cell r="X19">
            <v>-413.76948190749999</v>
          </cell>
          <cell r="Y19">
            <v>-524.55635275750001</v>
          </cell>
          <cell r="Z19">
            <v>-517.63986710749998</v>
          </cell>
          <cell r="AA19">
            <v>-503.33632027750002</v>
          </cell>
          <cell r="AB19">
            <v>-371.12743362750001</v>
          </cell>
          <cell r="AC19">
            <v>-475.44678188749998</v>
          </cell>
          <cell r="AD19">
            <v>-629.89011524750003</v>
          </cell>
          <cell r="AE19">
            <v>-708.78098075749995</v>
          </cell>
          <cell r="AF19">
            <v>-751.26794419249995</v>
          </cell>
          <cell r="AG19">
            <v>-950.13427663250002</v>
          </cell>
          <cell r="AH19">
            <v>-3218.9407204525</v>
          </cell>
          <cell r="AI19">
            <v>-852.98945570750004</v>
          </cell>
          <cell r="AJ19">
            <v>-698.00494945499997</v>
          </cell>
          <cell r="AK19">
            <v>-841.12464055500004</v>
          </cell>
          <cell r="AL19">
            <v>-3334.7591077177299</v>
          </cell>
          <cell r="AM19">
            <v>-3140.2938071245399</v>
          </cell>
          <cell r="AN19">
            <v>-3100.2900990970602</v>
          </cell>
          <cell r="AO19">
            <v>-3267.6852413117699</v>
          </cell>
          <cell r="AP19">
            <v>-3735.7287896807002</v>
          </cell>
          <cell r="AQ19">
            <v>-3399.8999204192</v>
          </cell>
          <cell r="AR19">
            <v>-3611.0143672027898</v>
          </cell>
          <cell r="AS19">
            <v>-3799.1394278442499</v>
          </cell>
          <cell r="AT19">
            <v>-4298.6342819432502</v>
          </cell>
          <cell r="AU19">
            <v>-3849.9885042834298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F20">
            <v>121.26675157</v>
          </cell>
          <cell r="G20">
            <v>174.87009186</v>
          </cell>
          <cell r="H20">
            <v>130.22345343999999</v>
          </cell>
          <cell r="I20">
            <v>167.2952598</v>
          </cell>
          <cell r="J20">
            <v>201.46750782000001</v>
          </cell>
          <cell r="K20">
            <v>220.67095528999999</v>
          </cell>
          <cell r="L20">
            <v>464.06921465500102</v>
          </cell>
          <cell r="M20">
            <v>781.50030985079604</v>
          </cell>
          <cell r="N20">
            <v>1947.2950033413799</v>
          </cell>
          <cell r="O20">
            <v>2610.59188489597</v>
          </cell>
          <cell r="X20">
            <v>48.597043952500002</v>
          </cell>
          <cell r="Y20">
            <v>57.785370672500001</v>
          </cell>
          <cell r="Z20">
            <v>51.025254782499999</v>
          </cell>
          <cell r="AA20">
            <v>44.0598384125</v>
          </cell>
          <cell r="AB20">
            <v>27.116854212500002</v>
          </cell>
          <cell r="AC20">
            <v>40.8363783725</v>
          </cell>
          <cell r="AD20">
            <v>73.815362552500005</v>
          </cell>
          <cell r="AE20">
            <v>78.902360152499995</v>
          </cell>
          <cell r="AF20">
            <v>69.007887137500006</v>
          </cell>
          <cell r="AG20">
            <v>125.0182229975</v>
          </cell>
          <cell r="AH20">
            <v>272.95563254750101</v>
          </cell>
          <cell r="AI20">
            <v>-2.9125280275000001</v>
          </cell>
          <cell r="AJ20">
            <v>25.166218955000002</v>
          </cell>
          <cell r="AK20">
            <v>-14.791129554999999</v>
          </cell>
          <cell r="AL20">
            <v>367.79280028227402</v>
          </cell>
          <cell r="AM20">
            <v>403.33242016852103</v>
          </cell>
          <cell r="AN20">
            <v>440.68591949172497</v>
          </cell>
          <cell r="AO20">
            <v>467.00524411345998</v>
          </cell>
          <cell r="AP20">
            <v>524.57769050244599</v>
          </cell>
          <cell r="AQ20">
            <v>515.02614923374597</v>
          </cell>
          <cell r="AR20">
            <v>600.11106155342702</v>
          </cell>
          <cell r="AS20">
            <v>634.25880436814896</v>
          </cell>
          <cell r="AT20">
            <v>698.69022724143304</v>
          </cell>
          <cell r="AU20">
            <v>677.53179173296098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F21">
            <v>-1.8873</v>
          </cell>
          <cell r="G21">
            <v>-3.4186000000000001</v>
          </cell>
          <cell r="H21">
            <v>-4.4071510500000004</v>
          </cell>
          <cell r="I21">
            <v>-11.168734349999999</v>
          </cell>
          <cell r="J21">
            <v>-12.90361111</v>
          </cell>
          <cell r="K21">
            <v>-16.466920250000001</v>
          </cell>
          <cell r="L21">
            <v>-21.909429299999999</v>
          </cell>
          <cell r="M21">
            <v>-143.08520626775999</v>
          </cell>
          <cell r="N21">
            <v>-317.322323254217</v>
          </cell>
          <cell r="O21">
            <v>-324.089240186967</v>
          </cell>
          <cell r="X21">
            <v>-3.2259027775</v>
          </cell>
          <cell r="Y21">
            <v>-3.2259027775</v>
          </cell>
          <cell r="Z21">
            <v>-3.2259027775</v>
          </cell>
          <cell r="AA21">
            <v>-3.2259027775</v>
          </cell>
          <cell r="AB21">
            <v>-4.1167300625000003</v>
          </cell>
          <cell r="AC21">
            <v>-4.1167300625000003</v>
          </cell>
          <cell r="AD21">
            <v>-4.1167300625000003</v>
          </cell>
          <cell r="AE21">
            <v>-4.1167300625000003</v>
          </cell>
          <cell r="AF21">
            <v>-5.4773573249999998</v>
          </cell>
          <cell r="AG21">
            <v>-5.4773573249999998</v>
          </cell>
          <cell r="AH21">
            <v>-5.4773573249999998</v>
          </cell>
          <cell r="AI21">
            <v>-5.4773573249999998</v>
          </cell>
          <cell r="AJ21">
            <v>-7.5678106749999996</v>
          </cell>
          <cell r="AK21">
            <v>-7.5678106749999996</v>
          </cell>
          <cell r="AL21">
            <v>-52.148733709113998</v>
          </cell>
          <cell r="AM21">
            <v>-75.800851208645994</v>
          </cell>
          <cell r="AN21">
            <v>-79.330580813553993</v>
          </cell>
          <cell r="AO21">
            <v>-79.330580813553993</v>
          </cell>
          <cell r="AP21">
            <v>-79.330580813553993</v>
          </cell>
          <cell r="AQ21">
            <v>-79.330580813553993</v>
          </cell>
          <cell r="AR21">
            <v>-81.022310046742007</v>
          </cell>
          <cell r="AS21">
            <v>-81.022310046742007</v>
          </cell>
          <cell r="AT21">
            <v>-81.022310046742007</v>
          </cell>
          <cell r="AU21">
            <v>-81.022310046742007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F22">
            <v>-0.2361</v>
          </cell>
          <cell r="G22">
            <v>-0.39240000000000003</v>
          </cell>
          <cell r="H22">
            <v>-0.87263427000000005</v>
          </cell>
          <cell r="I22">
            <v>-1.99120962</v>
          </cell>
          <cell r="J22">
            <v>-6.2699665800000002</v>
          </cell>
          <cell r="K22">
            <v>-8.4968128800000002</v>
          </cell>
          <cell r="L22">
            <v>-17.652406809999999</v>
          </cell>
          <cell r="M22">
            <v>-23.690402686321001</v>
          </cell>
          <cell r="N22">
            <v>-27.829376386416001</v>
          </cell>
          <cell r="O22">
            <v>-30.666593178374001</v>
          </cell>
          <cell r="X22">
            <v>-1.567491645</v>
          </cell>
          <cell r="Y22">
            <v>-1.567491645</v>
          </cell>
          <cell r="Z22">
            <v>-1.567491645</v>
          </cell>
          <cell r="AA22">
            <v>-1.567491645</v>
          </cell>
          <cell r="AB22">
            <v>-2.1242032200000001</v>
          </cell>
          <cell r="AC22">
            <v>-2.1242032200000001</v>
          </cell>
          <cell r="AD22">
            <v>-2.1242032200000001</v>
          </cell>
          <cell r="AE22">
            <v>-2.1242032200000001</v>
          </cell>
          <cell r="AF22">
            <v>-4.4131017024999997</v>
          </cell>
          <cell r="AG22">
            <v>-4.4131017024999997</v>
          </cell>
          <cell r="AH22">
            <v>-4.4131017024999997</v>
          </cell>
          <cell r="AI22">
            <v>-4.4131017024999997</v>
          </cell>
          <cell r="AJ22">
            <v>-4.7181957700000003</v>
          </cell>
          <cell r="AK22">
            <v>-4.7181957700000003</v>
          </cell>
          <cell r="AL22">
            <v>-7.127005573161</v>
          </cell>
          <cell r="AM22">
            <v>-7.127005573161</v>
          </cell>
          <cell r="AN22">
            <v>-6.9573440966040003</v>
          </cell>
          <cell r="AO22">
            <v>-6.9573440966040003</v>
          </cell>
          <cell r="AP22">
            <v>-6.9573440966040003</v>
          </cell>
          <cell r="AQ22">
            <v>-6.9573440966040003</v>
          </cell>
          <cell r="AR22">
            <v>-7.6666482945930001</v>
          </cell>
          <cell r="AS22">
            <v>-7.6666482945930001</v>
          </cell>
          <cell r="AT22">
            <v>-7.6666482945930001</v>
          </cell>
          <cell r="AU22">
            <v>-7.6666482945930001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F23">
            <v>119.14335156999999</v>
          </cell>
          <cell r="G23">
            <v>171.05909186</v>
          </cell>
          <cell r="H23">
            <v>124.94366812</v>
          </cell>
          <cell r="I23">
            <v>154.13531583</v>
          </cell>
          <cell r="J23">
            <v>182.29393013000001</v>
          </cell>
          <cell r="K23">
            <v>195.70722215999999</v>
          </cell>
          <cell r="L23">
            <v>424.50737854500102</v>
          </cell>
          <cell r="M23">
            <v>614.72470089671504</v>
          </cell>
          <cell r="N23">
            <v>1602.14330370074</v>
          </cell>
          <cell r="O23">
            <v>2255.8360515306299</v>
          </cell>
          <cell r="X23">
            <v>43.803649530000001</v>
          </cell>
          <cell r="Y23">
            <v>52.99197625</v>
          </cell>
          <cell r="Z23">
            <v>46.231860359999999</v>
          </cell>
          <cell r="AA23">
            <v>39.266443989999999</v>
          </cell>
          <cell r="AB23">
            <v>20.875920929999999</v>
          </cell>
          <cell r="AC23">
            <v>34.595445089999998</v>
          </cell>
          <cell r="AD23">
            <v>67.574429269999996</v>
          </cell>
          <cell r="AE23">
            <v>72.66142687</v>
          </cell>
          <cell r="AF23">
            <v>59.117428109999999</v>
          </cell>
          <cell r="AG23">
            <v>115.12776397</v>
          </cell>
          <cell r="AH23">
            <v>263.06517351999997</v>
          </cell>
          <cell r="AI23">
            <v>-12.802987054999999</v>
          </cell>
          <cell r="AJ23">
            <v>12.88021251</v>
          </cell>
          <cell r="AK23">
            <v>-27.077135999999999</v>
          </cell>
          <cell r="AL23">
            <v>308.51706100000001</v>
          </cell>
          <cell r="AM23">
            <v>320.40456338671402</v>
          </cell>
          <cell r="AN23">
            <v>354.39799458156699</v>
          </cell>
          <cell r="AO23">
            <v>380.717319203302</v>
          </cell>
          <cell r="AP23">
            <v>438.28976559228801</v>
          </cell>
          <cell r="AQ23">
            <v>428.73822432358799</v>
          </cell>
          <cell r="AR23">
            <v>511.422103212092</v>
          </cell>
          <cell r="AS23">
            <v>545.56984602681405</v>
          </cell>
          <cell r="AT23">
            <v>610.00126890009801</v>
          </cell>
          <cell r="AU23">
            <v>588.84283339162596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F24">
            <v>0</v>
          </cell>
          <cell r="G24">
            <v>0</v>
          </cell>
          <cell r="H24">
            <v>3.8961999999999999</v>
          </cell>
          <cell r="I24">
            <v>1.2295</v>
          </cell>
          <cell r="J24">
            <v>2.3163999999999998</v>
          </cell>
          <cell r="K24">
            <v>2.19018501</v>
          </cell>
          <cell r="L24">
            <v>6.2486782200000004</v>
          </cell>
          <cell r="M24">
            <v>9.2586019700000008</v>
          </cell>
          <cell r="N24">
            <v>2.1450117537370001</v>
          </cell>
          <cell r="O24">
            <v>1.6459354765559999</v>
          </cell>
          <cell r="X24">
            <v>0.19733693499999999</v>
          </cell>
          <cell r="Y24">
            <v>0.19733693499999999</v>
          </cell>
          <cell r="Z24">
            <v>0.96086306499999996</v>
          </cell>
          <cell r="AA24">
            <v>0.96086306499999996</v>
          </cell>
          <cell r="AB24">
            <v>0.205946145</v>
          </cell>
          <cell r="AC24">
            <v>0.205946145</v>
          </cell>
          <cell r="AD24">
            <v>0.59276424000000005</v>
          </cell>
          <cell r="AE24">
            <v>1.1855284800000001</v>
          </cell>
          <cell r="AF24">
            <v>1.1478574800000001</v>
          </cell>
          <cell r="AG24">
            <v>0.27990748999999998</v>
          </cell>
          <cell r="AH24">
            <v>4.5530561199999999</v>
          </cell>
          <cell r="AI24">
            <v>0.26785713</v>
          </cell>
          <cell r="AJ24">
            <v>1.31264716</v>
          </cell>
          <cell r="AK24">
            <v>2.899521</v>
          </cell>
          <cell r="AL24">
            <v>6.7114700000000003</v>
          </cell>
          <cell r="AM24">
            <v>0</v>
          </cell>
          <cell r="AN24">
            <v>0.53625293843400001</v>
          </cell>
          <cell r="AO24">
            <v>0.53625293843400001</v>
          </cell>
          <cell r="AP24">
            <v>0.53625293843400001</v>
          </cell>
          <cell r="AQ24">
            <v>0.53625293843400001</v>
          </cell>
          <cell r="AR24">
            <v>0.41148386913899998</v>
          </cell>
          <cell r="AS24">
            <v>0.41148386913899998</v>
          </cell>
          <cell r="AT24">
            <v>0.41148386913899998</v>
          </cell>
          <cell r="AU24">
            <v>0.41148386913899998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F25">
            <v>0</v>
          </cell>
          <cell r="G25">
            <v>0</v>
          </cell>
          <cell r="H25">
            <v>-20.565300000000001</v>
          </cell>
          <cell r="I25">
            <v>-27.660499999999999</v>
          </cell>
          <cell r="J25">
            <v>-31.191700000000001</v>
          </cell>
          <cell r="K25">
            <v>-30.33639878</v>
          </cell>
          <cell r="L25">
            <v>-89.644167510000003</v>
          </cell>
          <cell r="M25">
            <v>-160.46928439600001</v>
          </cell>
          <cell r="N25">
            <v>-86.882847300799995</v>
          </cell>
          <cell r="O25">
            <v>-46.882847300800002</v>
          </cell>
          <cell r="X25">
            <v>-7.8117491499999998</v>
          </cell>
          <cell r="Y25">
            <v>-7.8117491499999998</v>
          </cell>
          <cell r="Z25">
            <v>-7.7841008499999997</v>
          </cell>
          <cell r="AA25">
            <v>-7.7841008499999997</v>
          </cell>
          <cell r="AB25">
            <v>-7.4584348150000004</v>
          </cell>
          <cell r="AC25">
            <v>-7.4584348150000004</v>
          </cell>
          <cell r="AD25">
            <v>-7.4835449799999996</v>
          </cell>
          <cell r="AE25">
            <v>-7.9359841700000002</v>
          </cell>
          <cell r="AF25">
            <v>-7.9363266799999996</v>
          </cell>
          <cell r="AG25">
            <v>-8.7667770600000008</v>
          </cell>
          <cell r="AH25">
            <v>-48.077724930000002</v>
          </cell>
          <cell r="AI25">
            <v>-24.863338840000001</v>
          </cell>
          <cell r="AJ25">
            <v>-31.90261143</v>
          </cell>
          <cell r="AK25">
            <v>-44.522592000000003</v>
          </cell>
          <cell r="AL25">
            <v>-58.200747999999997</v>
          </cell>
          <cell r="AM25">
            <v>-27.508369156000001</v>
          </cell>
          <cell r="AN25">
            <v>-21.720711825199999</v>
          </cell>
          <cell r="AO25">
            <v>-21.720711825199999</v>
          </cell>
          <cell r="AP25">
            <v>-21.720711825199999</v>
          </cell>
          <cell r="AQ25">
            <v>-21.720711825199999</v>
          </cell>
          <cell r="AR25">
            <v>-11.7207118252</v>
          </cell>
          <cell r="AS25">
            <v>-11.7207118252</v>
          </cell>
          <cell r="AT25">
            <v>-11.7207118252</v>
          </cell>
          <cell r="AU25">
            <v>-11.7207118252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F26">
            <v>0</v>
          </cell>
          <cell r="G26">
            <v>0</v>
          </cell>
          <cell r="H26">
            <v>-16.6691</v>
          </cell>
          <cell r="I26">
            <v>-26.431000000000001</v>
          </cell>
          <cell r="J26">
            <v>-28.875299999999999</v>
          </cell>
          <cell r="K26">
            <v>-28.146213769999999</v>
          </cell>
          <cell r="L26">
            <v>-83.39548929</v>
          </cell>
          <cell r="M26">
            <v>-151.21068242600001</v>
          </cell>
          <cell r="N26">
            <v>-84.737835547063</v>
          </cell>
          <cell r="O26">
            <v>-45.236911824243997</v>
          </cell>
          <cell r="X26">
            <v>-7.6144122149999998</v>
          </cell>
          <cell r="Y26">
            <v>-7.6144122149999998</v>
          </cell>
          <cell r="Z26">
            <v>-6.8232377849999999</v>
          </cell>
          <cell r="AA26">
            <v>-6.8232377849999999</v>
          </cell>
          <cell r="AB26">
            <v>-7.25248867</v>
          </cell>
          <cell r="AC26">
            <v>-7.25248867</v>
          </cell>
          <cell r="AD26">
            <v>-6.8907807400000003</v>
          </cell>
          <cell r="AE26">
            <v>-6.7504556899999999</v>
          </cell>
          <cell r="AF26">
            <v>-6.7884691999999998</v>
          </cell>
          <cell r="AG26">
            <v>-8.4868695699999996</v>
          </cell>
          <cell r="AH26">
            <v>-43.524668810000001</v>
          </cell>
          <cell r="AI26">
            <v>-24.595481710000001</v>
          </cell>
          <cell r="AJ26">
            <v>-30.589964269999999</v>
          </cell>
          <cell r="AK26">
            <v>-41.623071000000003</v>
          </cell>
          <cell r="AL26">
            <v>-51.489277999999999</v>
          </cell>
          <cell r="AM26">
            <v>-27.508369156000001</v>
          </cell>
          <cell r="AN26">
            <v>-21.184458886765999</v>
          </cell>
          <cell r="AO26">
            <v>-21.184458886765999</v>
          </cell>
          <cell r="AP26">
            <v>-21.184458886765999</v>
          </cell>
          <cell r="AQ26">
            <v>-21.184458886765999</v>
          </cell>
          <cell r="AR26">
            <v>-11.309227956060999</v>
          </cell>
          <cell r="AS26">
            <v>-11.309227956060999</v>
          </cell>
          <cell r="AT26">
            <v>-11.309227956060999</v>
          </cell>
          <cell r="AU26">
            <v>-11.309227956060999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L27">
            <v>0.13997029999999999</v>
          </cell>
          <cell r="AI27">
            <v>0.13997029999999999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H28">
            <v>0.44519999999999998</v>
          </cell>
          <cell r="I28">
            <v>0.2455</v>
          </cell>
          <cell r="J28">
            <v>0.41189013000000002</v>
          </cell>
          <cell r="K28">
            <v>0.60580792000000006</v>
          </cell>
          <cell r="L28">
            <v>0.39528827</v>
          </cell>
          <cell r="M28">
            <v>2.22612962</v>
          </cell>
          <cell r="AE28">
            <v>0.60580792000000006</v>
          </cell>
          <cell r="AH28">
            <v>-0.53044555000000004</v>
          </cell>
          <cell r="AI28">
            <v>0.92573382000000004</v>
          </cell>
          <cell r="AJ28">
            <v>0.62172961999999998</v>
          </cell>
          <cell r="AK28">
            <v>0.58013099999999995</v>
          </cell>
          <cell r="AL28">
            <v>1.0242690000000001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F29">
            <v>-18.215428240000001</v>
          </cell>
          <cell r="G29">
            <v>-30.74235084</v>
          </cell>
          <cell r="H29">
            <v>7.7010386100000003</v>
          </cell>
          <cell r="I29">
            <v>-3.47807076</v>
          </cell>
          <cell r="J29">
            <v>-11.932502510000001</v>
          </cell>
          <cell r="K29">
            <v>-22.779069369999998</v>
          </cell>
          <cell r="L29">
            <v>-205.661653865001</v>
          </cell>
          <cell r="M29">
            <v>-21.294886439999999</v>
          </cell>
          <cell r="N29">
            <v>40</v>
          </cell>
          <cell r="O29">
            <v>40</v>
          </cell>
          <cell r="X29">
            <v>-4.3153603350000003</v>
          </cell>
          <cell r="Y29">
            <v>-5.1195110350000004</v>
          </cell>
          <cell r="Z29">
            <v>-1.4750574949999999</v>
          </cell>
          <cell r="AA29">
            <v>-0.61068351499999995</v>
          </cell>
          <cell r="AB29">
            <v>22.687111219999998</v>
          </cell>
          <cell r="AC29">
            <v>-7.8906685799999998</v>
          </cell>
          <cell r="AD29">
            <v>-13.078682969999999</v>
          </cell>
          <cell r="AE29">
            <v>-24.496829040000001</v>
          </cell>
          <cell r="AF29">
            <v>13.9966411</v>
          </cell>
          <cell r="AG29">
            <v>8.2983469200000002</v>
          </cell>
          <cell r="AH29">
            <v>-99.530309020000004</v>
          </cell>
          <cell r="AI29">
            <v>-128.42633286500001</v>
          </cell>
          <cell r="AJ29">
            <v>62.412339559999999</v>
          </cell>
          <cell r="AK29">
            <v>17.088875000000002</v>
          </cell>
          <cell r="AL29">
            <v>-110.79610099999999</v>
          </cell>
          <cell r="AM29">
            <v>10</v>
          </cell>
          <cell r="AN29">
            <v>10</v>
          </cell>
          <cell r="AO29">
            <v>10</v>
          </cell>
          <cell r="AP29">
            <v>10</v>
          </cell>
          <cell r="AQ29">
            <v>10</v>
          </cell>
          <cell r="AR29">
            <v>10</v>
          </cell>
          <cell r="AS29">
            <v>10</v>
          </cell>
          <cell r="AT29">
            <v>10</v>
          </cell>
          <cell r="AU29">
            <v>10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F30">
            <v>100.92792333</v>
          </cell>
          <cell r="G30">
            <v>140.31674101999999</v>
          </cell>
          <cell r="H30">
            <v>116.42080673</v>
          </cell>
          <cell r="I30">
            <v>124.47174507</v>
          </cell>
          <cell r="J30">
            <v>141.89801775000001</v>
          </cell>
          <cell r="K30">
            <v>145.38774694</v>
          </cell>
          <cell r="L30">
            <v>135.98549396000001</v>
          </cell>
          <cell r="M30">
            <v>444.445261650715</v>
          </cell>
          <cell r="N30">
            <v>1557.40546815368</v>
          </cell>
          <cell r="O30">
            <v>2250.5991397063899</v>
          </cell>
          <cell r="X30">
            <v>31.873876979999999</v>
          </cell>
          <cell r="Y30">
            <v>40.258052999999997</v>
          </cell>
          <cell r="Z30">
            <v>37.933565080000001</v>
          </cell>
          <cell r="AA30">
            <v>31.832522690000001</v>
          </cell>
          <cell r="AB30">
            <v>36.31054348</v>
          </cell>
          <cell r="AC30">
            <v>19.45228784</v>
          </cell>
          <cell r="AD30">
            <v>47.604965559999997</v>
          </cell>
          <cell r="AE30">
            <v>42.019950059999999</v>
          </cell>
          <cell r="AF30">
            <v>66.325600010000002</v>
          </cell>
          <cell r="AG30">
            <v>114.93924131999999</v>
          </cell>
          <cell r="AH30">
            <v>119.47975013999999</v>
          </cell>
          <cell r="AI30">
            <v>-164.75909751</v>
          </cell>
          <cell r="AJ30">
            <v>45.32431742</v>
          </cell>
          <cell r="AK30">
            <v>-51.031201000000003</v>
          </cell>
          <cell r="AL30">
            <v>147.25595100000001</v>
          </cell>
          <cell r="AM30">
            <v>302.896194230714</v>
          </cell>
          <cell r="AN30">
            <v>343.21353569480101</v>
          </cell>
          <cell r="AO30">
            <v>369.53286031653602</v>
          </cell>
          <cell r="AP30">
            <v>427.10530670552203</v>
          </cell>
          <cell r="AQ30">
            <v>417.553765436822</v>
          </cell>
          <cell r="AR30">
            <v>510.11287525603097</v>
          </cell>
          <cell r="AS30">
            <v>544.26061807075303</v>
          </cell>
          <cell r="AT30">
            <v>608.69204094403699</v>
          </cell>
          <cell r="AU30">
            <v>587.53360543556505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</row>
        <row r="33">
          <cell r="B33" t="str">
            <v>Operating lease cost</v>
          </cell>
          <cell r="C33" t="str">
            <v>LEASE_PAY</v>
          </cell>
          <cell r="D33" t="str">
            <v>CNY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</row>
        <row r="38">
          <cell r="B38" t="str">
            <v>Depreciation ROU assets   (applicable to IFRS cos.)</v>
          </cell>
          <cell r="C38" t="str">
            <v>DEPR_ROU_ASSETS</v>
          </cell>
          <cell r="D38" t="str">
            <v>CNY</v>
          </cell>
        </row>
        <row r="39">
          <cell r="B39" t="str">
            <v>Lease interest charge  (applicable to IFRS cos.)</v>
          </cell>
          <cell r="C39" t="str">
            <v>LEASE_INT_CHG</v>
          </cell>
          <cell r="D39" t="str">
            <v>CNY</v>
          </cell>
        </row>
        <row r="40">
          <cell r="B40" t="str">
            <v>Lease standard adopted (US GAAP ASC 842/ IFRS 16)</v>
          </cell>
          <cell r="C40" t="str">
            <v>LEASE_ADOPT</v>
          </cell>
        </row>
        <row r="41">
          <cell r="A41" t="str">
            <v>Balance Sheet</v>
          </cell>
        </row>
        <row r="42">
          <cell r="B42" t="str">
            <v>Cash &amp; cash equivalents</v>
          </cell>
          <cell r="C42" t="str">
            <v>CASH_EQ</v>
          </cell>
          <cell r="D42" t="str">
            <v>CNY</v>
          </cell>
          <cell r="F42">
            <v>53.63937232</v>
          </cell>
          <cell r="G42">
            <v>85.203369409999993</v>
          </cell>
          <cell r="H42">
            <v>145.72827415</v>
          </cell>
          <cell r="I42">
            <v>157.19948403000001</v>
          </cell>
          <cell r="J42">
            <v>165.68212251</v>
          </cell>
          <cell r="K42">
            <v>788.61685432000002</v>
          </cell>
          <cell r="L42">
            <v>3004.2283174099998</v>
          </cell>
          <cell r="M42">
            <v>2821.36864840404</v>
          </cell>
          <cell r="N42">
            <v>2588.8905848713298</v>
          </cell>
          <cell r="O42">
            <v>3155.2861739605501</v>
          </cell>
        </row>
        <row r="43">
          <cell r="B43" t="str">
            <v>Accounts receivable</v>
          </cell>
          <cell r="C43" t="str">
            <v>DEBTORS</v>
          </cell>
          <cell r="D43" t="str">
            <v>CNY</v>
          </cell>
          <cell r="F43">
            <v>317.59792255999997</v>
          </cell>
          <cell r="G43">
            <v>384.09689567999999</v>
          </cell>
          <cell r="H43">
            <v>432.98559353000002</v>
          </cell>
          <cell r="I43">
            <v>610.78266903999997</v>
          </cell>
          <cell r="J43">
            <v>712.4948091</v>
          </cell>
          <cell r="K43">
            <v>892.53697532000001</v>
          </cell>
          <cell r="L43">
            <v>1578.8193276300001</v>
          </cell>
          <cell r="M43">
            <v>1553.93477569064</v>
          </cell>
          <cell r="N43">
            <v>1625.47465803563</v>
          </cell>
          <cell r="O43">
            <v>1936.2190869287101</v>
          </cell>
        </row>
        <row r="44">
          <cell r="B44" t="str">
            <v>Inventory</v>
          </cell>
          <cell r="C44" t="str">
            <v>STOCKS</v>
          </cell>
          <cell r="D44" t="str">
            <v>CNY</v>
          </cell>
          <cell r="F44">
            <v>164.94419199999999</v>
          </cell>
          <cell r="G44">
            <v>162.13489992000001</v>
          </cell>
          <cell r="H44">
            <v>239.33055324</v>
          </cell>
          <cell r="I44">
            <v>279.18046270000002</v>
          </cell>
          <cell r="J44">
            <v>327.84568268999999</v>
          </cell>
          <cell r="K44">
            <v>548.09128034000003</v>
          </cell>
          <cell r="L44">
            <v>3815.32764391</v>
          </cell>
          <cell r="M44">
            <v>2977.6860558052399</v>
          </cell>
          <cell r="N44">
            <v>3379.0107288126401</v>
          </cell>
          <cell r="O44">
            <v>2968.3863610031599</v>
          </cell>
        </row>
        <row r="45">
          <cell r="B45" t="str">
            <v>Other current assets</v>
          </cell>
          <cell r="C45" t="str">
            <v>OTH_CUR_ASS</v>
          </cell>
          <cell r="D45" t="str">
            <v>CNY</v>
          </cell>
          <cell r="F45">
            <v>22.222054799999999</v>
          </cell>
          <cell r="G45">
            <v>20.717024540000001</v>
          </cell>
          <cell r="H45">
            <v>57.802314459999998</v>
          </cell>
          <cell r="I45">
            <v>98.545494230000003</v>
          </cell>
          <cell r="J45">
            <v>82.574111389999999</v>
          </cell>
          <cell r="K45">
            <v>157.08439959</v>
          </cell>
          <cell r="L45">
            <v>475.096945400001</v>
          </cell>
          <cell r="M45">
            <v>649.52216946999999</v>
          </cell>
          <cell r="N45">
            <v>649.52216946999999</v>
          </cell>
          <cell r="O45">
            <v>649.52216946999999</v>
          </cell>
        </row>
        <row r="46">
          <cell r="B46" t="str">
            <v>Total current assets</v>
          </cell>
          <cell r="C46" t="str">
            <v>CUR_ASS</v>
          </cell>
          <cell r="D46" t="str">
            <v>CNY</v>
          </cell>
          <cell r="F46">
            <v>558.40354167999999</v>
          </cell>
          <cell r="G46">
            <v>652.15218955</v>
          </cell>
          <cell r="H46">
            <v>875.84673538000004</v>
          </cell>
          <cell r="I46">
            <v>1145.70811</v>
          </cell>
          <cell r="J46">
            <v>1288.5967256900001</v>
          </cell>
          <cell r="K46">
            <v>2386.32950957</v>
          </cell>
          <cell r="L46">
            <v>8873.4722343499998</v>
          </cell>
          <cell r="M46">
            <v>8002.5116493699297</v>
          </cell>
          <cell r="N46">
            <v>8242.8981411896002</v>
          </cell>
          <cell r="O46">
            <v>8709.4137913624199</v>
          </cell>
        </row>
        <row r="47">
          <cell r="B47" t="str">
            <v>Gross fixed assets, PP&amp;E</v>
          </cell>
          <cell r="C47" t="str">
            <v>GR_FIX_ASS</v>
          </cell>
          <cell r="D47" t="str">
            <v>CNY</v>
          </cell>
          <cell r="F47">
            <v>7.0483073699999998</v>
          </cell>
          <cell r="G47">
            <v>13.69513882</v>
          </cell>
          <cell r="H47">
            <v>108.39102509999999</v>
          </cell>
          <cell r="I47">
            <v>124.93439334</v>
          </cell>
          <cell r="J47">
            <v>195.89606178</v>
          </cell>
          <cell r="K47">
            <v>239.41624751000001</v>
          </cell>
          <cell r="L47">
            <v>1659.8012811977601</v>
          </cell>
          <cell r="M47">
            <v>1672.3331872799999</v>
          </cell>
          <cell r="N47">
            <v>2027.63387635</v>
          </cell>
          <cell r="O47">
            <v>2382.9345654200001</v>
          </cell>
        </row>
        <row r="48">
          <cell r="B48" t="str">
            <v>Accumulated depreciation</v>
          </cell>
          <cell r="C48" t="str">
            <v>ACC_DDA</v>
          </cell>
          <cell r="D48" t="str">
            <v>CNY</v>
          </cell>
          <cell r="F48">
            <v>0</v>
          </cell>
          <cell r="G48">
            <v>0</v>
          </cell>
          <cell r="H48">
            <v>-11.713699999999999</v>
          </cell>
          <cell r="I48">
            <v>-21.8309</v>
          </cell>
          <cell r="J48">
            <v>-34.28669429</v>
          </cell>
          <cell r="K48">
            <v>-49.345802390000003</v>
          </cell>
          <cell r="L48">
            <v>-192.43100865776</v>
          </cell>
          <cell r="M48">
            <v>-377.81062521448501</v>
          </cell>
          <cell r="N48">
            <v>-695.13294846870201</v>
          </cell>
          <cell r="O48">
            <v>-1019.22218865567</v>
          </cell>
        </row>
        <row r="49">
          <cell r="B49" t="str">
            <v>Net PP&amp;E</v>
          </cell>
          <cell r="C49" t="str">
            <v>NET_FIX_ASS</v>
          </cell>
          <cell r="D49" t="str">
            <v>CNY</v>
          </cell>
          <cell r="F49">
            <v>7.0483073699999998</v>
          </cell>
          <cell r="G49">
            <v>13.69513882</v>
          </cell>
          <cell r="H49">
            <v>96.677325100000004</v>
          </cell>
          <cell r="I49">
            <v>103.10349334</v>
          </cell>
          <cell r="J49">
            <v>161.60936749000001</v>
          </cell>
          <cell r="K49">
            <v>190.07044511999999</v>
          </cell>
          <cell r="L49">
            <v>1467.3702725400001</v>
          </cell>
          <cell r="M49">
            <v>1294.5225620655101</v>
          </cell>
          <cell r="N49">
            <v>1332.5009278813</v>
          </cell>
          <cell r="O49">
            <v>1363.71237676433</v>
          </cell>
        </row>
        <row r="50">
          <cell r="B50" t="str">
            <v>Gross intangibles</v>
          </cell>
          <cell r="C50" t="str">
            <v>GR_INTANG</v>
          </cell>
          <cell r="D50" t="str">
            <v>CNY</v>
          </cell>
          <cell r="F50">
            <v>2.0707299099999998</v>
          </cell>
          <cell r="G50">
            <v>2.1079637899999999</v>
          </cell>
          <cell r="H50">
            <v>11.34397534</v>
          </cell>
          <cell r="I50">
            <v>20.952476099999998</v>
          </cell>
          <cell r="J50">
            <v>38.061691199999999</v>
          </cell>
          <cell r="K50">
            <v>78.354725619999996</v>
          </cell>
          <cell r="L50">
            <v>1389.16828508</v>
          </cell>
          <cell r="M50">
            <v>1381.0082965300001</v>
          </cell>
          <cell r="N50">
            <v>1417.85868568</v>
          </cell>
          <cell r="O50">
            <v>1454.70907483</v>
          </cell>
        </row>
        <row r="51">
          <cell r="B51" t="str">
            <v>Accumulated amortization</v>
          </cell>
          <cell r="C51" t="str">
            <v>ACC_AMORT</v>
          </cell>
          <cell r="D51" t="str">
            <v>CNY</v>
          </cell>
          <cell r="H51">
            <v>-5.4668999999999999</v>
          </cell>
          <cell r="I51">
            <v>-7.4581999999999997</v>
          </cell>
          <cell r="J51">
            <v>-13.72812587</v>
          </cell>
          <cell r="K51">
            <v>-22.228388150000001</v>
          </cell>
          <cell r="L51">
            <v>-40</v>
          </cell>
          <cell r="M51">
            <v>-63.571197646320996</v>
          </cell>
          <cell r="N51">
            <v>-91.400574032736998</v>
          </cell>
          <cell r="O51">
            <v>-122.067167211111</v>
          </cell>
        </row>
        <row r="52">
          <cell r="B52" t="str">
            <v>Net intangible assets</v>
          </cell>
          <cell r="C52" t="str">
            <v>NET_INTANG</v>
          </cell>
          <cell r="D52" t="str">
            <v>CNY</v>
          </cell>
          <cell r="F52">
            <v>2.0707299099999998</v>
          </cell>
          <cell r="G52">
            <v>2.1079637899999999</v>
          </cell>
          <cell r="H52">
            <v>5.8770753400000002</v>
          </cell>
          <cell r="I52">
            <v>13.4942761</v>
          </cell>
          <cell r="J52">
            <v>24.333565329999999</v>
          </cell>
          <cell r="K52">
            <v>56.126337470000003</v>
          </cell>
          <cell r="L52">
            <v>1349.16828508</v>
          </cell>
          <cell r="M52">
            <v>1317.4370988836799</v>
          </cell>
          <cell r="N52">
            <v>1326.45811164726</v>
          </cell>
          <cell r="O52">
            <v>1332.6419076188899</v>
          </cell>
        </row>
        <row r="53">
          <cell r="B53" t="str">
            <v>Equity method investments</v>
          </cell>
          <cell r="C53" t="str">
            <v>FIX_ASS_INV</v>
          </cell>
          <cell r="D53" t="str">
            <v>CNY</v>
          </cell>
          <cell r="L53">
            <v>24.622475130000002</v>
          </cell>
          <cell r="M53">
            <v>576.47493454000005</v>
          </cell>
          <cell r="N53">
            <v>613.76595778000001</v>
          </cell>
          <cell r="O53">
            <v>613.76595778000001</v>
          </cell>
        </row>
        <row r="54">
          <cell r="B54" t="str">
            <v>Investments in securities</v>
          </cell>
          <cell r="C54" t="str">
            <v>INV_SECUR</v>
          </cell>
          <cell r="D54" t="str">
            <v>CNY</v>
          </cell>
          <cell r="I54">
            <v>7.5034682200000002</v>
          </cell>
          <cell r="J54">
            <v>19.885349300000001</v>
          </cell>
          <cell r="K54">
            <v>36.926793580000002</v>
          </cell>
          <cell r="L54">
            <v>37.291023240000001</v>
          </cell>
          <cell r="M54">
            <v>37.291023240000001</v>
          </cell>
        </row>
        <row r="55">
          <cell r="B55" t="str">
            <v>Other long-term assets</v>
          </cell>
          <cell r="C55" t="str">
            <v>OTH_LT_ASS</v>
          </cell>
          <cell r="D55" t="str">
            <v>CNY</v>
          </cell>
          <cell r="F55">
            <v>56.941234950000002</v>
          </cell>
          <cell r="G55">
            <v>112.61986177999999</v>
          </cell>
          <cell r="H55">
            <v>169.71962773000001</v>
          </cell>
          <cell r="I55">
            <v>198.33678456999999</v>
          </cell>
          <cell r="J55">
            <v>151.24685267000001</v>
          </cell>
          <cell r="K55">
            <v>155.45511789</v>
          </cell>
          <cell r="L55">
            <v>3837.4318062799998</v>
          </cell>
          <cell r="M55">
            <v>6849.53327188</v>
          </cell>
          <cell r="N55">
            <v>6688.5664989300003</v>
          </cell>
          <cell r="O55">
            <v>6527.5997259799997</v>
          </cell>
        </row>
        <row r="56">
          <cell r="B56" t="str">
            <v>Total assets</v>
          </cell>
          <cell r="C56" t="str">
            <v>TOT_ASSET</v>
          </cell>
          <cell r="D56" t="str">
            <v>CNY</v>
          </cell>
          <cell r="F56">
            <v>624.46381391</v>
          </cell>
          <cell r="G56">
            <v>780.57515393999995</v>
          </cell>
          <cell r="H56">
            <v>1148.12076355</v>
          </cell>
          <cell r="I56">
            <v>1468.1461322299999</v>
          </cell>
          <cell r="J56">
            <v>1645.6718604800001</v>
          </cell>
          <cell r="K56">
            <v>2824.9082036300001</v>
          </cell>
          <cell r="L56">
            <v>15589.35609662</v>
          </cell>
          <cell r="M56">
            <v>18077.770539979101</v>
          </cell>
          <cell r="N56">
            <v>18204.189637428201</v>
          </cell>
          <cell r="O56">
            <v>18547.133759505599</v>
          </cell>
        </row>
        <row r="57">
          <cell r="B57" t="str">
            <v>Accounts payable</v>
          </cell>
          <cell r="C57" t="str">
            <v>ACC_PAY_GQ</v>
          </cell>
          <cell r="D57" t="str">
            <v>CNY</v>
          </cell>
          <cell r="F57">
            <v>183.04360892</v>
          </cell>
          <cell r="G57">
            <v>148.18216423999999</v>
          </cell>
          <cell r="H57">
            <v>210.92410536</v>
          </cell>
          <cell r="I57">
            <v>219.36193298000001</v>
          </cell>
          <cell r="J57">
            <v>239.73557061</v>
          </cell>
          <cell r="K57">
            <v>287.61953051</v>
          </cell>
          <cell r="L57">
            <v>1395.43288727</v>
          </cell>
          <cell r="M57">
            <v>1218.2240761758901</v>
          </cell>
          <cell r="N57">
            <v>1757.6317573613801</v>
          </cell>
          <cell r="O57">
            <v>1495.3573614531499</v>
          </cell>
        </row>
        <row r="58">
          <cell r="B58" t="str">
            <v>Short-term debt</v>
          </cell>
          <cell r="C58" t="str">
            <v>SHORT_T_DEBT</v>
          </cell>
          <cell r="D58" t="str">
            <v>CNY</v>
          </cell>
          <cell r="F58">
            <v>165.1192787</v>
          </cell>
          <cell r="G58">
            <v>272.28040863000001</v>
          </cell>
          <cell r="H58">
            <v>346.66196977999999</v>
          </cell>
          <cell r="I58">
            <v>545.31769784000005</v>
          </cell>
          <cell r="J58">
            <v>554.50324028</v>
          </cell>
          <cell r="K58">
            <v>489.38464667</v>
          </cell>
          <cell r="L58">
            <v>1613.7048380799999</v>
          </cell>
          <cell r="M58">
            <v>1013.7048380799999</v>
          </cell>
          <cell r="N58">
            <v>1013.7048380799999</v>
          </cell>
          <cell r="O58">
            <v>1013.7048380799999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 t="str">
            <v>CNY</v>
          </cell>
        </row>
        <row r="60">
          <cell r="B60" t="str">
            <v>Other current liabilities</v>
          </cell>
          <cell r="C60" t="str">
            <v>OTH_CUR_LIABS</v>
          </cell>
          <cell r="D60" t="str">
            <v>CNY</v>
          </cell>
          <cell r="F60">
            <v>2.47895844</v>
          </cell>
          <cell r="G60">
            <v>1.5597803400000001</v>
          </cell>
          <cell r="H60">
            <v>3.6285656799999999</v>
          </cell>
          <cell r="I60">
            <v>48.183405270000002</v>
          </cell>
          <cell r="J60">
            <v>38.986998669999998</v>
          </cell>
          <cell r="K60">
            <v>780.97664879000001</v>
          </cell>
          <cell r="L60">
            <v>1533.39305767</v>
          </cell>
          <cell r="M60">
            <v>1707.9028685400001</v>
          </cell>
          <cell r="N60">
            <v>1707.9028685400001</v>
          </cell>
          <cell r="O60">
            <v>1707.9028685400001</v>
          </cell>
        </row>
        <row r="61">
          <cell r="B61" t="str">
            <v>Total current liabilities</v>
          </cell>
          <cell r="C61" t="str">
            <v>SHORT_TERM_LIABS</v>
          </cell>
          <cell r="D61" t="str">
            <v>CNY</v>
          </cell>
          <cell r="F61">
            <v>350.64184605999998</v>
          </cell>
          <cell r="G61">
            <v>422.02235321000001</v>
          </cell>
          <cell r="H61">
            <v>561.21464082</v>
          </cell>
          <cell r="I61">
            <v>812.86303609000004</v>
          </cell>
          <cell r="J61">
            <v>833.22580956000002</v>
          </cell>
          <cell r="K61">
            <v>1557.9808259700001</v>
          </cell>
          <cell r="L61">
            <v>4542.5307830199999</v>
          </cell>
          <cell r="M61">
            <v>3939.8317827958899</v>
          </cell>
          <cell r="N61">
            <v>4479.2394639813801</v>
          </cell>
          <cell r="O61">
            <v>4216.9650680731502</v>
          </cell>
        </row>
        <row r="62">
          <cell r="B62" t="str">
            <v>Long-term  debt</v>
          </cell>
          <cell r="C62" t="str">
            <v>LT_DEBT</v>
          </cell>
          <cell r="D62" t="str">
            <v>CNY</v>
          </cell>
          <cell r="F62">
            <v>6.7888694100000002</v>
          </cell>
          <cell r="G62">
            <v>2.5095092000000001</v>
          </cell>
          <cell r="H62">
            <v>1.3687</v>
          </cell>
          <cell r="I62">
            <v>0.61021261000000004</v>
          </cell>
          <cell r="J62">
            <v>5.1799999999999999E-2</v>
          </cell>
          <cell r="K62">
            <v>70</v>
          </cell>
          <cell r="L62">
            <v>2290.3294492</v>
          </cell>
          <cell r="M62">
            <v>1290.3294492</v>
          </cell>
          <cell r="N62">
            <v>290.3294492</v>
          </cell>
          <cell r="O62">
            <v>42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 t="str">
            <v>CNY</v>
          </cell>
        </row>
        <row r="64">
          <cell r="B64" t="str">
            <v>Other long-term liabilities</v>
          </cell>
          <cell r="C64" t="str">
            <v>OTH_LT_CRED_GQ</v>
          </cell>
          <cell r="D64" t="str">
            <v>CNY</v>
          </cell>
          <cell r="F64">
            <v>7.335</v>
          </cell>
          <cell r="G64">
            <v>6.1680000000000001</v>
          </cell>
          <cell r="H64">
            <v>65.887979150000007</v>
          </cell>
          <cell r="I64">
            <v>2.5339999999999998</v>
          </cell>
          <cell r="J64">
            <v>3.4938759199999998</v>
          </cell>
          <cell r="K64">
            <v>6.2864996800000004</v>
          </cell>
          <cell r="L64">
            <v>882.77051329999995</v>
          </cell>
          <cell r="M64">
            <v>849.50178515000005</v>
          </cell>
          <cell r="N64">
            <v>849.50178515000005</v>
          </cell>
          <cell r="O64">
            <v>849.50178515000005</v>
          </cell>
        </row>
        <row r="65">
          <cell r="B65" t="str">
            <v>Total long-term liabilities</v>
          </cell>
          <cell r="C65" t="str">
            <v>TOT_LT_LIAB</v>
          </cell>
          <cell r="D65" t="str">
            <v>CNY</v>
          </cell>
          <cell r="F65">
            <v>14.123869409999999</v>
          </cell>
          <cell r="G65">
            <v>8.6775091999999994</v>
          </cell>
          <cell r="H65">
            <v>67.256679149999997</v>
          </cell>
          <cell r="I65">
            <v>3.1442126099999999</v>
          </cell>
          <cell r="J65">
            <v>3.5456759199999999</v>
          </cell>
          <cell r="K65">
            <v>76.286499680000006</v>
          </cell>
          <cell r="L65">
            <v>3173.0999624999999</v>
          </cell>
          <cell r="M65">
            <v>2139.8312343500002</v>
          </cell>
          <cell r="N65">
            <v>1139.8312343499999</v>
          </cell>
          <cell r="O65">
            <v>891.50178515000005</v>
          </cell>
        </row>
        <row r="66">
          <cell r="B66" t="str">
            <v>Total liabilities</v>
          </cell>
          <cell r="C66" t="str">
            <v>TOT_LIAB</v>
          </cell>
          <cell r="D66" t="str">
            <v>CNY</v>
          </cell>
          <cell r="F66">
            <v>364.76571546999998</v>
          </cell>
          <cell r="G66">
            <v>430.69986240999998</v>
          </cell>
          <cell r="H66">
            <v>628.47131996999997</v>
          </cell>
          <cell r="I66">
            <v>816.00724869999999</v>
          </cell>
          <cell r="J66">
            <v>836.77148548000002</v>
          </cell>
          <cell r="K66">
            <v>1634.26732565</v>
          </cell>
          <cell r="L66">
            <v>7715.6307455200003</v>
          </cell>
          <cell r="M66">
            <v>6079.6630171458901</v>
          </cell>
          <cell r="N66">
            <v>5619.0706983313803</v>
          </cell>
          <cell r="O66">
            <v>5108.4668532231499</v>
          </cell>
        </row>
        <row r="67">
          <cell r="B67" t="str">
            <v>Preferred shares</v>
          </cell>
          <cell r="C67" t="str">
            <v>PREF_SH</v>
          </cell>
          <cell r="D67" t="str">
            <v>CNY</v>
          </cell>
        </row>
        <row r="68">
          <cell r="B68" t="str">
            <v>Total common equity</v>
          </cell>
          <cell r="C68" t="str">
            <v>ORD_SH_FUND</v>
          </cell>
          <cell r="D68" t="str">
            <v>CNY</v>
          </cell>
          <cell r="F68">
            <v>259.69809844000002</v>
          </cell>
          <cell r="G68">
            <v>349.87529153000003</v>
          </cell>
          <cell r="H68">
            <v>519.64944358000002</v>
          </cell>
          <cell r="I68">
            <v>642.29624937000006</v>
          </cell>
          <cell r="J68">
            <v>808.75801904000002</v>
          </cell>
          <cell r="K68">
            <v>1179.7644158799999</v>
          </cell>
          <cell r="L68">
            <v>3983.94254</v>
          </cell>
          <cell r="M68">
            <v>12010.760474333199</v>
          </cell>
          <cell r="N68">
            <v>12617.771890596799</v>
          </cell>
          <cell r="O68">
            <v>13491.319857782501</v>
          </cell>
        </row>
        <row r="69">
          <cell r="B69" t="str">
            <v>Minority interest</v>
          </cell>
          <cell r="C69" t="str">
            <v>MINORITIES</v>
          </cell>
          <cell r="D69" t="str">
            <v>CNY</v>
          </cell>
          <cell r="I69">
            <v>9.8426341599999994</v>
          </cell>
          <cell r="J69">
            <v>0.14235596</v>
          </cell>
          <cell r="K69">
            <v>10.876462099999999</v>
          </cell>
          <cell r="L69">
            <v>3889.7828110999999</v>
          </cell>
          <cell r="M69">
            <v>-12.6529515</v>
          </cell>
          <cell r="N69">
            <v>-32.6529515</v>
          </cell>
          <cell r="O69">
            <v>-52.6529515</v>
          </cell>
        </row>
        <row r="70">
          <cell r="B70" t="str">
            <v>Total shareholders' equity</v>
          </cell>
          <cell r="C70" t="str">
            <v>EQ</v>
          </cell>
          <cell r="D70" t="str">
            <v>CNY</v>
          </cell>
          <cell r="F70">
            <v>259.69809844000002</v>
          </cell>
          <cell r="G70">
            <v>349.87529153000003</v>
          </cell>
          <cell r="H70">
            <v>519.64944358000002</v>
          </cell>
          <cell r="I70">
            <v>652.13888353000004</v>
          </cell>
          <cell r="J70">
            <v>808.90037500000005</v>
          </cell>
          <cell r="K70">
            <v>1190.6408779799999</v>
          </cell>
          <cell r="L70">
            <v>7873.7253510999999</v>
          </cell>
          <cell r="M70">
            <v>11998.107522833199</v>
          </cell>
          <cell r="N70">
            <v>12585.118939096799</v>
          </cell>
          <cell r="O70">
            <v>13438.6669062825</v>
          </cell>
        </row>
        <row r="71">
          <cell r="B71" t="str">
            <v>Total liabilities and equity</v>
          </cell>
          <cell r="C71" t="str">
            <v>TOT_LIAB_EQ</v>
          </cell>
          <cell r="D71" t="str">
            <v>CNY</v>
          </cell>
          <cell r="F71">
            <v>624.46381391</v>
          </cell>
          <cell r="G71">
            <v>780.57515393999995</v>
          </cell>
          <cell r="H71">
            <v>1148.12076355</v>
          </cell>
          <cell r="I71">
            <v>1468.1461322299999</v>
          </cell>
          <cell r="J71">
            <v>1645.6718604800001</v>
          </cell>
          <cell r="K71">
            <v>2824.9082036300001</v>
          </cell>
          <cell r="L71">
            <v>15589.35609662</v>
          </cell>
          <cell r="M71">
            <v>18077.770539979101</v>
          </cell>
          <cell r="N71">
            <v>18204.189637428201</v>
          </cell>
          <cell r="O71">
            <v>18547.133759505599</v>
          </cell>
        </row>
        <row r="72">
          <cell r="A72" t="str">
            <v>Additional Balance Sheet Items</v>
          </cell>
        </row>
        <row r="73">
          <cell r="B73" t="str">
            <v>Total US$ debt (in US$)</v>
          </cell>
          <cell r="C73" t="str">
            <v>TOT_USD_DEBT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% US$ debt hedged (principal)</v>
          </cell>
          <cell r="C74" t="str">
            <v>TOT_PCT_USD_DEBT_HEDGED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% Floating debt (local currency debt)</v>
          </cell>
          <cell r="C75" t="str">
            <v>FLOATING_PCT_LOCAL_DEBT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% floating debt hedged (rates)</v>
          </cell>
          <cell r="C76" t="str">
            <v>FLOATING_PCT_LOCAL_DEBT_HEDGED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 t="str">
            <v>Net debt</v>
          </cell>
          <cell r="C77" t="str">
            <v>NET_DEBT</v>
          </cell>
          <cell r="D77" t="str">
            <v>CNY</v>
          </cell>
          <cell r="F77">
            <v>118.26877579000001</v>
          </cell>
          <cell r="G77">
            <v>189.58654842000001</v>
          </cell>
          <cell r="H77">
            <v>202.30239563000001</v>
          </cell>
          <cell r="I77">
            <v>388.72842642000001</v>
          </cell>
          <cell r="J77">
            <v>388.87291777000002</v>
          </cell>
          <cell r="K77">
            <v>-229.23220764999999</v>
          </cell>
          <cell r="L77">
            <v>899.80596987000001</v>
          </cell>
          <cell r="M77">
            <v>-517.33436112404502</v>
          </cell>
          <cell r="N77">
            <v>-1284.8562975913301</v>
          </cell>
          <cell r="O77">
            <v>-2099.5813358805499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 t="str">
            <v>CNY</v>
          </cell>
        </row>
        <row r="79">
          <cell r="B79" t="str">
            <v>Deferred income taxes</v>
          </cell>
          <cell r="C79" t="str">
            <v>DEF_INC_TAX</v>
          </cell>
          <cell r="D79" t="str">
            <v>CNY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 t="str">
            <v>CNY</v>
          </cell>
        </row>
        <row r="81">
          <cell r="B81" t="str">
            <v>Net debt adjustment</v>
          </cell>
          <cell r="C81" t="str">
            <v>NET_DEBT_ADJ</v>
          </cell>
          <cell r="D81" t="str">
            <v>CNY</v>
          </cell>
        </row>
        <row r="82">
          <cell r="B82" t="str">
            <v>Company borrowing margin</v>
          </cell>
          <cell r="C82" t="str">
            <v>CO_BOR_MARGIN</v>
          </cell>
        </row>
        <row r="83">
          <cell r="B83" t="str">
            <v>Unfunded pensions &amp; other provisions</v>
          </cell>
          <cell r="C83" t="str">
            <v>UNF_PENS</v>
          </cell>
          <cell r="D83" t="str">
            <v>CNY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 t="str">
            <v>CNY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 t="str">
            <v>CNY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 t="str">
            <v>CNY</v>
          </cell>
        </row>
        <row r="87">
          <cell r="B87" t="str">
            <v>Other GCI adjustments</v>
          </cell>
          <cell r="C87" t="str">
            <v>OTH_GCI_ADJ</v>
          </cell>
          <cell r="D87" t="str">
            <v>CNY</v>
          </cell>
          <cell r="K87">
            <v>229.23220764999999</v>
          </cell>
          <cell r="M87">
            <v>517.33436112404502</v>
          </cell>
          <cell r="N87">
            <v>1284.8562975913301</v>
          </cell>
          <cell r="O87">
            <v>2099.5813358805499</v>
          </cell>
        </row>
        <row r="88">
          <cell r="B88" t="str">
            <v>GCI inflator</v>
          </cell>
          <cell r="C88" t="str">
            <v>GCI_INFL</v>
          </cell>
        </row>
        <row r="89">
          <cell r="B89" t="str">
            <v>Minority interest</v>
          </cell>
          <cell r="C89" t="str">
            <v>BAL_MINO_INT</v>
          </cell>
          <cell r="D89" t="str">
            <v>CNY</v>
          </cell>
          <cell r="I89">
            <v>9.8426341599999994</v>
          </cell>
          <cell r="J89">
            <v>0.14235596</v>
          </cell>
          <cell r="K89">
            <v>10.876462099999999</v>
          </cell>
          <cell r="L89">
            <v>3889.7828110999999</v>
          </cell>
          <cell r="M89">
            <v>-12.6529515</v>
          </cell>
          <cell r="N89">
            <v>-32.6529515</v>
          </cell>
          <cell r="O89">
            <v>-52.6529515</v>
          </cell>
        </row>
        <row r="90">
          <cell r="B90" t="str">
            <v>Right-of-use assets (op lease assets under US GAAP)</v>
          </cell>
          <cell r="C90" t="str">
            <v>ROU_ASSET</v>
          </cell>
          <cell r="D90" t="str">
            <v>CNY</v>
          </cell>
        </row>
        <row r="91">
          <cell r="A91" t="str">
            <v>Cash Flow Statement</v>
          </cell>
        </row>
        <row r="92">
          <cell r="B92" t="str">
            <v>Minority interest add-back</v>
          </cell>
          <cell r="C92" t="str">
            <v>CF_INC_MINORITY</v>
          </cell>
          <cell r="D92" t="str">
            <v>CNY</v>
          </cell>
          <cell r="I92">
            <v>-7.5431105900000004</v>
          </cell>
          <cell r="J92">
            <v>-10.25071443</v>
          </cell>
          <cell r="K92">
            <v>-13.752322449999999</v>
          </cell>
          <cell r="L92">
            <v>-32.891112909999997</v>
          </cell>
          <cell r="M92">
            <v>37.747932220000003</v>
          </cell>
          <cell r="N92">
            <v>-20</v>
          </cell>
          <cell r="O92">
            <v>-20</v>
          </cell>
        </row>
        <row r="93">
          <cell r="B93" t="str">
            <v>Depreciation &amp; amortization add-back</v>
          </cell>
          <cell r="C93" t="str">
            <v>DEPR_AMORT</v>
          </cell>
          <cell r="D93" t="str">
            <v>CNY</v>
          </cell>
          <cell r="F93">
            <v>2.1234000000000002</v>
          </cell>
          <cell r="G93">
            <v>3.8109999999999999</v>
          </cell>
          <cell r="H93">
            <v>5.2797853200000002</v>
          </cell>
          <cell r="I93">
            <v>13.15994397</v>
          </cell>
          <cell r="J93">
            <v>19.173577689999998</v>
          </cell>
          <cell r="K93">
            <v>24.963733130000001</v>
          </cell>
          <cell r="L93">
            <v>39.561836110000002</v>
          </cell>
          <cell r="M93">
            <v>166.77560895408101</v>
          </cell>
          <cell r="N93">
            <v>345.15169964063301</v>
          </cell>
          <cell r="O93">
            <v>354.755833365341</v>
          </cell>
        </row>
        <row r="94">
          <cell r="B94" t="str">
            <v>(Increase)/decrease in working capital</v>
          </cell>
          <cell r="C94" t="str">
            <v>WORK_CAP</v>
          </cell>
          <cell r="D94" t="str">
            <v>CNY</v>
          </cell>
          <cell r="F94">
            <v>-299.49850564000002</v>
          </cell>
          <cell r="G94">
            <v>-98.551125720000002</v>
          </cell>
          <cell r="H94">
            <v>-63.342410049999998</v>
          </cell>
          <cell r="I94">
            <v>-209.20915735</v>
          </cell>
          <cell r="J94">
            <v>-130.00372242</v>
          </cell>
          <cell r="K94">
            <v>-352.40380397000001</v>
          </cell>
          <cell r="L94">
            <v>-2845.7053591200001</v>
          </cell>
          <cell r="M94">
            <v>641.07435460639397</v>
          </cell>
          <cell r="N94">
            <v>66.543125833101001</v>
          </cell>
          <cell r="O94">
            <v>-162.39445699182701</v>
          </cell>
        </row>
        <row r="95">
          <cell r="B95" t="str">
            <v>Other operating cash flow items</v>
          </cell>
          <cell r="C95" t="str">
            <v>OTH_OP_CF</v>
          </cell>
          <cell r="D95" t="str">
            <v>CNY</v>
          </cell>
          <cell r="F95">
            <v>183.48467545</v>
          </cell>
          <cell r="G95">
            <v>12.163826269999999</v>
          </cell>
          <cell r="H95">
            <v>-19.992826340000001</v>
          </cell>
          <cell r="I95">
            <v>41.43098045</v>
          </cell>
          <cell r="J95">
            <v>49.506393029999998</v>
          </cell>
          <cell r="K95">
            <v>-67.918200589999998</v>
          </cell>
          <cell r="L95">
            <v>2706.11812586</v>
          </cell>
          <cell r="M95">
            <v>2.22612962</v>
          </cell>
        </row>
        <row r="96">
          <cell r="B96" t="str">
            <v>Cash flow from operating activities</v>
          </cell>
          <cell r="C96" t="str">
            <v>CF_OPS</v>
          </cell>
          <cell r="D96" t="str">
            <v>CNY</v>
          </cell>
          <cell r="F96">
            <v>-27.5913</v>
          </cell>
          <cell r="G96">
            <v>44.744799999999998</v>
          </cell>
          <cell r="H96">
            <v>19.916590159999998</v>
          </cell>
          <cell r="I96">
            <v>-46.791551349999999</v>
          </cell>
          <cell r="J96">
            <v>70.116453250000006</v>
          </cell>
          <cell r="K96">
            <v>-271.95427588000001</v>
          </cell>
          <cell r="L96">
            <v>5.4018583199999997</v>
          </cell>
          <cell r="M96">
            <v>1222.15594939735</v>
          </cell>
          <cell r="N96">
            <v>1875.65596553819</v>
          </cell>
          <cell r="O96">
            <v>2307.9245676975102</v>
          </cell>
        </row>
        <row r="97">
          <cell r="B97" t="str">
            <v>Capital expenditures, Capex</v>
          </cell>
          <cell r="C97" t="str">
            <v>CAPEX</v>
          </cell>
          <cell r="D97" t="str">
            <v>CNY</v>
          </cell>
          <cell r="F97">
            <v>-55.425103970000002</v>
          </cell>
          <cell r="G97">
            <v>-64.623436870000006</v>
          </cell>
          <cell r="H97">
            <v>-25.673497040000001</v>
          </cell>
          <cell r="I97">
            <v>-27.13971347</v>
          </cell>
          <cell r="J97">
            <v>-88.237199660000002</v>
          </cell>
          <cell r="K97">
            <v>-61.332607060000001</v>
          </cell>
          <cell r="L97">
            <v>-176.18662562</v>
          </cell>
          <cell r="M97">
            <v>-147.47549657249999</v>
          </cell>
          <cell r="N97">
            <v>-231.18430527000001</v>
          </cell>
          <cell r="O97">
            <v>-231.18430527000001</v>
          </cell>
        </row>
        <row r="98">
          <cell r="B98" t="str">
            <v>Acquisitions</v>
          </cell>
          <cell r="C98" t="str">
            <v>ACQ</v>
          </cell>
          <cell r="D98" t="str">
            <v>CNY</v>
          </cell>
          <cell r="G98">
            <v>-71.085344829999997</v>
          </cell>
          <cell r="H98">
            <v>-22.158309880000001</v>
          </cell>
        </row>
        <row r="99">
          <cell r="B99" t="str">
            <v>Divestitures</v>
          </cell>
          <cell r="C99" t="str">
            <v>DIVEST</v>
          </cell>
          <cell r="D99" t="str">
            <v>CNY</v>
          </cell>
        </row>
        <row r="100">
          <cell r="B100" t="str">
            <v>Other investing cash flow items</v>
          </cell>
          <cell r="C100" t="str">
            <v>OTH_INV_CF</v>
          </cell>
          <cell r="D100" t="str">
            <v>CNY</v>
          </cell>
          <cell r="F100">
            <v>4.4967699999999998E-3</v>
          </cell>
          <cell r="G100">
            <v>7.3243779999999994E-2</v>
          </cell>
          <cell r="H100">
            <v>-12.4150606</v>
          </cell>
          <cell r="I100">
            <v>-7.5208720800000002</v>
          </cell>
          <cell r="J100">
            <v>-5.0136807399999999</v>
          </cell>
          <cell r="K100">
            <v>2.6305671300000002</v>
          </cell>
          <cell r="L100">
            <v>-1455.86356578</v>
          </cell>
          <cell r="M100">
            <v>-551.85245941000005</v>
          </cell>
        </row>
        <row r="101">
          <cell r="B101" t="str">
            <v>Cash flow from investing</v>
          </cell>
          <cell r="C101" t="str">
            <v>CF_INV</v>
          </cell>
          <cell r="D101" t="str">
            <v>CNY</v>
          </cell>
          <cell r="F101">
            <v>-55.420607199999999</v>
          </cell>
          <cell r="G101">
            <v>-135.63553791999999</v>
          </cell>
          <cell r="H101">
            <v>-60.246867520000002</v>
          </cell>
          <cell r="I101">
            <v>-34.66058555</v>
          </cell>
          <cell r="J101">
            <v>-93.2508804</v>
          </cell>
          <cell r="K101">
            <v>-58.702039929999998</v>
          </cell>
          <cell r="L101">
            <v>-1632.0501913999999</v>
          </cell>
          <cell r="M101">
            <v>-699.32795598250004</v>
          </cell>
          <cell r="N101">
            <v>-231.18430527000001</v>
          </cell>
          <cell r="O101">
            <v>-231.18430527000001</v>
          </cell>
        </row>
        <row r="102">
          <cell r="B102" t="str">
            <v>Dividends paid</v>
          </cell>
          <cell r="C102" t="str">
            <v>DIV_PAID</v>
          </cell>
          <cell r="D102" t="str">
            <v>CNY</v>
          </cell>
          <cell r="F102">
            <v>-15.5886514</v>
          </cell>
          <cell r="G102">
            <v>-120.04779309</v>
          </cell>
          <cell r="H102">
            <v>-24.146021189999999</v>
          </cell>
          <cell r="I102">
            <v>-41.26079112</v>
          </cell>
          <cell r="J102">
            <v>-31.402496410000001</v>
          </cell>
          <cell r="K102">
            <v>-30.88499079</v>
          </cell>
          <cell r="L102">
            <v>-120.58205257</v>
          </cell>
          <cell r="M102">
            <v>-221.98943085861001</v>
          </cell>
          <cell r="N102">
            <v>-880.03097727234399</v>
          </cell>
          <cell r="O102">
            <v>-1266.4494450347099</v>
          </cell>
        </row>
        <row r="103">
          <cell r="B103" t="str">
            <v>Common stock issuance/(repurchase)</v>
          </cell>
          <cell r="C103" t="str">
            <v>SH_REPUR</v>
          </cell>
          <cell r="D103" t="str">
            <v>CNY</v>
          </cell>
          <cell r="F103">
            <v>44</v>
          </cell>
          <cell r="G103">
            <v>46</v>
          </cell>
          <cell r="H103">
            <v>54</v>
          </cell>
          <cell r="J103">
            <v>230.4</v>
          </cell>
          <cell r="K103">
            <v>81.413939999999997</v>
          </cell>
        </row>
        <row r="104">
          <cell r="B104" t="str">
            <v>Increase/(decrease) in total debt</v>
          </cell>
          <cell r="C104" t="str">
            <v>CHG_LT_DEBT</v>
          </cell>
          <cell r="D104" t="str">
            <v>CNY</v>
          </cell>
          <cell r="F104">
            <v>171.90814811000001</v>
          </cell>
          <cell r="G104">
            <v>102.88176971999999</v>
          </cell>
          <cell r="H104">
            <v>73.240751950000003</v>
          </cell>
          <cell r="I104">
            <v>197.89724067</v>
          </cell>
          <cell r="J104">
            <v>8.6271298299999994</v>
          </cell>
          <cell r="K104">
            <v>4.8296063900000004</v>
          </cell>
          <cell r="L104">
            <v>3344.64964061</v>
          </cell>
          <cell r="M104">
            <v>-1016.66666666667</v>
          </cell>
          <cell r="N104">
            <v>-1000</v>
          </cell>
          <cell r="O104">
            <v>-248.3294492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str">
            <v>CNY</v>
          </cell>
        </row>
        <row r="106">
          <cell r="B106" t="str">
            <v>Other financing cash flow items</v>
          </cell>
          <cell r="C106" t="str">
            <v>OTH_FIN_CF</v>
          </cell>
          <cell r="D106" t="str">
            <v>CNY</v>
          </cell>
          <cell r="F106">
            <v>-63.66821719</v>
          </cell>
          <cell r="G106">
            <v>93.620758379999998</v>
          </cell>
          <cell r="H106">
            <v>-2.2395486600000001</v>
          </cell>
          <cell r="I106">
            <v>-63.713102769999999</v>
          </cell>
          <cell r="J106">
            <v>-176.00756779</v>
          </cell>
          <cell r="K106">
            <v>898.23249202</v>
          </cell>
          <cell r="L106">
            <v>618.19220813000004</v>
          </cell>
          <cell r="M106">
            <v>532.96843510447502</v>
          </cell>
          <cell r="N106">
            <v>3.0812534714340001</v>
          </cell>
          <cell r="O106">
            <v>4.4342208964090002</v>
          </cell>
        </row>
        <row r="107">
          <cell r="B107" t="str">
            <v>Cash flow from financing</v>
          </cell>
          <cell r="C107" t="str">
            <v>CF_FIN</v>
          </cell>
          <cell r="D107" t="str">
            <v>CNY</v>
          </cell>
          <cell r="F107">
            <v>136.65127952</v>
          </cell>
          <cell r="G107">
            <v>122.45473500999999</v>
          </cell>
          <cell r="H107">
            <v>100.85518209999999</v>
          </cell>
          <cell r="I107">
            <v>92.923346780000003</v>
          </cell>
          <cell r="J107">
            <v>31.617065629999999</v>
          </cell>
          <cell r="K107">
            <v>953.59104762000004</v>
          </cell>
          <cell r="L107">
            <v>3842.2597961699998</v>
          </cell>
          <cell r="M107">
            <v>-705.68766242080096</v>
          </cell>
          <cell r="N107">
            <v>-1876.9497238009101</v>
          </cell>
          <cell r="O107">
            <v>-1510.3446733383</v>
          </cell>
        </row>
        <row r="108">
          <cell r="B108" t="str">
            <v>Total cash flow</v>
          </cell>
          <cell r="C108" t="str">
            <v>TOT_CF</v>
          </cell>
          <cell r="D108" t="str">
            <v>CNY</v>
          </cell>
          <cell r="F108">
            <v>53.63937232</v>
          </cell>
          <cell r="G108">
            <v>31.563997090000001</v>
          </cell>
          <cell r="H108">
            <v>60.524904739999997</v>
          </cell>
          <cell r="I108">
            <v>11.47120988</v>
          </cell>
          <cell r="J108">
            <v>8.4826384800000003</v>
          </cell>
          <cell r="K108">
            <v>622.93473181000002</v>
          </cell>
          <cell r="L108">
            <v>2215.6114630900001</v>
          </cell>
          <cell r="M108">
            <v>-182.85966900595599</v>
          </cell>
          <cell r="N108">
            <v>-232.47806353271599</v>
          </cell>
          <cell r="O108">
            <v>566.39558908921799</v>
          </cell>
        </row>
        <row r="109">
          <cell r="A109" t="str">
            <v>Additional Cash Flow Items</v>
          </cell>
        </row>
        <row r="110">
          <cell r="B110" t="str">
            <v>Associate and JV add-back</v>
          </cell>
          <cell r="C110" t="str">
            <v>ASSOC_JV_ADDBK</v>
          </cell>
          <cell r="D110" t="str">
            <v>CNY</v>
          </cell>
        </row>
        <row r="111">
          <cell r="B111" t="str">
            <v>Profit/(loss) on sale of assets</v>
          </cell>
          <cell r="C111" t="str">
            <v>PL_SALE_ASSETS</v>
          </cell>
          <cell r="D111" t="str">
            <v>CNY</v>
          </cell>
        </row>
        <row r="112">
          <cell r="B112" t="str">
            <v>Other non-cash adjustments</v>
          </cell>
          <cell r="C112" t="str">
            <v>OTH_NONCASH_ADJ</v>
          </cell>
          <cell r="D112" t="str">
            <v>CNY</v>
          </cell>
        </row>
        <row r="113">
          <cell r="B113" t="str">
            <v>Other DACF adjustments</v>
          </cell>
          <cell r="C113" t="str">
            <v>OTH_DACF_ADJ</v>
          </cell>
          <cell r="D113" t="str">
            <v>CNY</v>
          </cell>
        </row>
        <row r="114">
          <cell r="B114" t="str">
            <v>Cash interest expense</v>
          </cell>
          <cell r="C114" t="str">
            <v>CASH_INT_EXP</v>
          </cell>
          <cell r="D114" t="str">
            <v>CNY</v>
          </cell>
        </row>
        <row r="115">
          <cell r="B115" t="str">
            <v>Cash tax expense</v>
          </cell>
          <cell r="C115" t="str">
            <v>CASH_TAX_EXP</v>
          </cell>
          <cell r="D115" t="str">
            <v>CNY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 t="str">
            <v>CNY</v>
          </cell>
        </row>
        <row r="117">
          <cell r="B117" t="str">
            <v>Capex maintenance</v>
          </cell>
          <cell r="C117" t="str">
            <v>CAPEX_MAINTENANCE</v>
          </cell>
          <cell r="D117" t="str">
            <v>CNY</v>
          </cell>
        </row>
        <row r="118">
          <cell r="B118" t="str">
            <v>Capex expansion</v>
          </cell>
          <cell r="C118" t="str">
            <v>CAPEX_EXPANSION</v>
          </cell>
          <cell r="D118" t="str">
            <v>CNY</v>
          </cell>
        </row>
        <row r="119">
          <cell r="B119" t="str">
            <v>Non-PP&amp;E capex</v>
          </cell>
          <cell r="C119" t="str">
            <v>NONPPE_CAPEX</v>
          </cell>
          <cell r="D119" t="str">
            <v>CNY</v>
          </cell>
        </row>
        <row r="120">
          <cell r="B120" t="str">
            <v>Dividends paid to minorities</v>
          </cell>
          <cell r="C120" t="str">
            <v>DIVDS_PD_MINORITIES</v>
          </cell>
          <cell r="D120" t="str">
            <v>CNY</v>
          </cell>
        </row>
        <row r="121">
          <cell r="A121" t="str">
            <v>Other Items</v>
          </cell>
        </row>
        <row r="122">
          <cell r="B122" t="str">
            <v>Number of employees</v>
          </cell>
          <cell r="C122" t="str">
            <v>EMPLOYEES</v>
          </cell>
          <cell r="F122">
            <v>0.29199999999999998</v>
          </cell>
          <cell r="G122">
            <v>0.33900000000000002</v>
          </cell>
          <cell r="H122">
            <v>0.45900000000000002</v>
          </cell>
          <cell r="I122">
            <v>0.56999999999999995</v>
          </cell>
          <cell r="J122">
            <v>0.625</v>
          </cell>
          <cell r="K122">
            <v>0.80300000000000005</v>
          </cell>
          <cell r="L122">
            <v>0.91800000000000004</v>
          </cell>
        </row>
        <row r="123">
          <cell r="A123" t="str">
            <v>Geographical Breakdown</v>
          </cell>
        </row>
        <row r="124">
          <cell r="B124" t="str">
            <v>Sales - % Canada</v>
          </cell>
          <cell r="C124" t="str">
            <v>SALES_CANADA</v>
          </cell>
        </row>
        <row r="125">
          <cell r="B125" t="str">
            <v>Sales - % United States</v>
          </cell>
          <cell r="C125" t="str">
            <v>SALES_US</v>
          </cell>
          <cell r="J125">
            <v>0.1</v>
          </cell>
          <cell r="K125">
            <v>0.1</v>
          </cell>
          <cell r="L125">
            <v>0.1</v>
          </cell>
          <cell r="M125">
            <v>0.1</v>
          </cell>
        </row>
        <row r="126">
          <cell r="B126" t="str">
            <v>Sales - % Other North Americas</v>
          </cell>
          <cell r="C126" t="str">
            <v>SALES_OTH_NO_AMER</v>
          </cell>
        </row>
        <row r="127">
          <cell r="B127" t="str">
            <v>Sales - % Argentina</v>
          </cell>
          <cell r="C127" t="str">
            <v>SALES_ARGENTINA</v>
          </cell>
        </row>
        <row r="128">
          <cell r="B128" t="str">
            <v>Sales - % Brazil</v>
          </cell>
          <cell r="C128" t="str">
            <v>SALES_BRAZIL</v>
          </cell>
        </row>
        <row r="129">
          <cell r="B129" t="str">
            <v>Sales - % Chile</v>
          </cell>
          <cell r="C129" t="str">
            <v>SALES_CHILE</v>
          </cell>
        </row>
        <row r="130">
          <cell r="B130" t="str">
            <v>Sales - % Colombia</v>
          </cell>
          <cell r="C130" t="str">
            <v>SALES_COLOMBIA</v>
          </cell>
        </row>
        <row r="131">
          <cell r="B131" t="str">
            <v>Sales - % Mexico</v>
          </cell>
          <cell r="C131" t="str">
            <v>SALES_MEXICO</v>
          </cell>
        </row>
        <row r="132">
          <cell r="B132" t="str">
            <v>Sales - % Venezuela</v>
          </cell>
          <cell r="C132" t="str">
            <v>SALES_VENEZUELA</v>
          </cell>
        </row>
        <row r="133">
          <cell r="B133" t="str">
            <v>Sales - % Other Latin Americas</v>
          </cell>
          <cell r="C133" t="str">
            <v>SALES_OTH_LATAM</v>
          </cell>
        </row>
        <row r="134">
          <cell r="B134" t="str">
            <v>Sales - % Austria</v>
          </cell>
          <cell r="C134" t="str">
            <v>SALES_AUSTRIA</v>
          </cell>
        </row>
        <row r="135">
          <cell r="B135" t="str">
            <v>Sales - % Belgium</v>
          </cell>
          <cell r="C135" t="str">
            <v>SALES_BEL</v>
          </cell>
        </row>
        <row r="136">
          <cell r="B136" t="str">
            <v>Sales - % France</v>
          </cell>
          <cell r="C136" t="str">
            <v>SALES_FRA</v>
          </cell>
        </row>
        <row r="137">
          <cell r="B137" t="str">
            <v>Sales - % Germany</v>
          </cell>
          <cell r="C137" t="str">
            <v>SALES_GER</v>
          </cell>
        </row>
        <row r="138">
          <cell r="B138" t="str">
            <v>Sales - % Greece</v>
          </cell>
          <cell r="C138" t="str">
            <v>SALES_GRE</v>
          </cell>
        </row>
        <row r="139">
          <cell r="B139" t="str">
            <v>Sales - % Ireland</v>
          </cell>
          <cell r="C139" t="str">
            <v>SALES_IRE</v>
          </cell>
        </row>
        <row r="140">
          <cell r="B140" t="str">
            <v>Sales - % Italy</v>
          </cell>
          <cell r="C140" t="str">
            <v>SALES_ITA</v>
          </cell>
        </row>
        <row r="141">
          <cell r="B141" t="str">
            <v>Sales - % Netherlands</v>
          </cell>
          <cell r="C141" t="str">
            <v>SALES_NETH</v>
          </cell>
        </row>
        <row r="142">
          <cell r="B142" t="str">
            <v>Sales - % Norway</v>
          </cell>
          <cell r="C142" t="str">
            <v>SALES_NOR</v>
          </cell>
        </row>
        <row r="143">
          <cell r="B143" t="str">
            <v>Sales - % Portugal</v>
          </cell>
          <cell r="C143" t="str">
            <v>SALES_POR</v>
          </cell>
        </row>
        <row r="144">
          <cell r="B144" t="str">
            <v>Sales - % Spain</v>
          </cell>
          <cell r="C144" t="str">
            <v>SALES_SPA</v>
          </cell>
        </row>
        <row r="145">
          <cell r="B145" t="str">
            <v>Sales - % Sweden</v>
          </cell>
          <cell r="C145" t="str">
            <v>SALES_SWE</v>
          </cell>
        </row>
        <row r="146">
          <cell r="B146" t="str">
            <v>Sales - % Switzerland</v>
          </cell>
          <cell r="C146" t="str">
            <v>SALES_SWIT</v>
          </cell>
        </row>
        <row r="147">
          <cell r="B147" t="str">
            <v>Sales - % UK</v>
          </cell>
          <cell r="C147" t="str">
            <v>SALES_UK</v>
          </cell>
        </row>
        <row r="148">
          <cell r="B148" t="str">
            <v>Sales - % Other Western Europe</v>
          </cell>
          <cell r="C148" t="str">
            <v>SALES_OTH_WEST_EURO</v>
          </cell>
        </row>
        <row r="149">
          <cell r="B149" t="str">
            <v>Sales - % Poland</v>
          </cell>
          <cell r="C149" t="str">
            <v>SALES_POLAND</v>
          </cell>
        </row>
        <row r="150">
          <cell r="B150" t="str">
            <v>Sales - % Russia</v>
          </cell>
          <cell r="C150" t="str">
            <v>SALES_RUSSIA</v>
          </cell>
        </row>
        <row r="151">
          <cell r="B151" t="str">
            <v>Sales - % Turkey</v>
          </cell>
          <cell r="C151" t="str">
            <v>SALES_TURKEY</v>
          </cell>
        </row>
        <row r="152">
          <cell r="B152" t="str">
            <v>Sales - % Other CEE</v>
          </cell>
          <cell r="C152" t="str">
            <v>SALES_OTH_CEE</v>
          </cell>
        </row>
        <row r="153">
          <cell r="B153" t="str">
            <v>Sales - % Saudi Arabia</v>
          </cell>
          <cell r="C153" t="str">
            <v>SALES_SAUDI_ARABIA</v>
          </cell>
        </row>
        <row r="154">
          <cell r="B154" t="str">
            <v>Sales - % United Arab Emirates</v>
          </cell>
          <cell r="C154" t="str">
            <v>SALES_UAE</v>
          </cell>
        </row>
        <row r="155">
          <cell r="B155" t="str">
            <v>Sales - % Other Middle East</v>
          </cell>
          <cell r="C155" t="str">
            <v>SALES_OTH_ME</v>
          </cell>
        </row>
        <row r="156">
          <cell r="B156" t="str">
            <v>Sales - % Nigeria</v>
          </cell>
          <cell r="C156" t="str">
            <v>SALES_NIGERIA</v>
          </cell>
        </row>
        <row r="157">
          <cell r="B157" t="str">
            <v>Sales - % South Africa</v>
          </cell>
          <cell r="C157" t="str">
            <v>SALES_SO_AFRICA</v>
          </cell>
        </row>
        <row r="158">
          <cell r="B158" t="str">
            <v>Sales - % Other Africa</v>
          </cell>
          <cell r="C158" t="str">
            <v>SALES_OTH_AFRICA</v>
          </cell>
        </row>
        <row r="159">
          <cell r="B159" t="str">
            <v>Sales - % Hong Kong</v>
          </cell>
          <cell r="C159" t="str">
            <v>SALES_HONG_KONG</v>
          </cell>
        </row>
        <row r="160">
          <cell r="B160" t="str">
            <v>Sales - % Japan</v>
          </cell>
          <cell r="C160" t="str">
            <v>SALES_JAPAN</v>
          </cell>
          <cell r="J160">
            <v>0.05</v>
          </cell>
          <cell r="K160">
            <v>0.05</v>
          </cell>
          <cell r="L160">
            <v>0.05</v>
          </cell>
          <cell r="M160">
            <v>0.05</v>
          </cell>
        </row>
        <row r="161">
          <cell r="B161" t="str">
            <v>Sales - % Singapore</v>
          </cell>
          <cell r="C161" t="str">
            <v>SALES_SINGAPORE</v>
          </cell>
        </row>
        <row r="162">
          <cell r="B162" t="str">
            <v>Sales - % South Korea</v>
          </cell>
          <cell r="C162" t="str">
            <v>SALES_SK</v>
          </cell>
        </row>
        <row r="163">
          <cell r="B163" t="str">
            <v>Sales - % Taiwan</v>
          </cell>
          <cell r="C163" t="str">
            <v>SALES_TAIWAN</v>
          </cell>
          <cell r="J163">
            <v>0.05</v>
          </cell>
          <cell r="K163">
            <v>0.05</v>
          </cell>
          <cell r="L163">
            <v>0.05</v>
          </cell>
          <cell r="M163">
            <v>0.05</v>
          </cell>
        </row>
        <row r="164">
          <cell r="B164" t="str">
            <v>Sales - % Other Developed Asia</v>
          </cell>
          <cell r="C164" t="str">
            <v>SALES_OTH_DEV_ASIA</v>
          </cell>
        </row>
        <row r="165">
          <cell r="B165" t="str">
            <v>Sales - % China</v>
          </cell>
          <cell r="C165" t="str">
            <v>SALES_CHINA</v>
          </cell>
          <cell r="J165">
            <v>0.53161205781900001</v>
          </cell>
          <cell r="K165">
            <v>0.57673214909699999</v>
          </cell>
          <cell r="L165">
            <v>0.63403414789300006</v>
          </cell>
          <cell r="M165">
            <v>0.63403414789300006</v>
          </cell>
        </row>
        <row r="166">
          <cell r="B166" t="str">
            <v>Sales - % India</v>
          </cell>
          <cell r="C166" t="str">
            <v>SALES_INDIA</v>
          </cell>
        </row>
        <row r="167">
          <cell r="B167" t="str">
            <v>Sales - % Indonesia</v>
          </cell>
          <cell r="C167" t="str">
            <v>SALES_INDONESIA</v>
          </cell>
        </row>
        <row r="168">
          <cell r="B168" t="str">
            <v>Sales - % Thailand</v>
          </cell>
          <cell r="C168" t="str">
            <v>SALES_THAILAND</v>
          </cell>
        </row>
        <row r="169">
          <cell r="B169" t="str">
            <v>Sales - % Other Emerging Asia</v>
          </cell>
          <cell r="C169" t="str">
            <v>SALES_OTH_EMERG_ASIA</v>
          </cell>
        </row>
        <row r="170">
          <cell r="B170" t="str">
            <v>Sales - % Australia</v>
          </cell>
          <cell r="C170" t="str">
            <v>SALES_AUSTRA</v>
          </cell>
        </row>
        <row r="171">
          <cell r="B171" t="str">
            <v>Sales - % New Zealand</v>
          </cell>
          <cell r="C171" t="str">
            <v>SALES_NZ</v>
          </cell>
        </row>
        <row r="172">
          <cell r="B172" t="str">
            <v>Sales - % Others</v>
          </cell>
          <cell r="C172" t="str">
            <v>SALES_OTHER</v>
          </cell>
          <cell r="J172">
            <v>0.26838794218099998</v>
          </cell>
          <cell r="K172">
            <v>0.223267850903</v>
          </cell>
          <cell r="L172">
            <v>0.16596585210699999</v>
          </cell>
          <cell r="M172">
            <v>0.16596585210699999</v>
          </cell>
        </row>
        <row r="173">
          <cell r="B173" t="str">
            <v>% of CoGS from U.S. (GS estimate)</v>
          </cell>
          <cell r="C173" t="str">
            <v>COGS_PCT_US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</row>
        <row r="174">
          <cell r="B174" t="str">
            <v>% of CoGS from non-U.S. (GS estimate)</v>
          </cell>
          <cell r="C174" t="str">
            <v>COGS_PCT_ROW</v>
          </cell>
          <cell r="F174">
            <v>1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</row>
        <row r="175">
          <cell r="B175" t="str">
            <v>% of SG&amp;A from U.S. (GS estimate)</v>
          </cell>
          <cell r="C175" t="str">
            <v>SGA_PCT_US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</row>
        <row r="176">
          <cell r="B176" t="str">
            <v>% of SG&amp;A from non-U.S. (GS estimate)</v>
          </cell>
          <cell r="C176" t="str">
            <v>SGA_PCT_ROW</v>
          </cell>
          <cell r="F176">
            <v>1</v>
          </cell>
          <cell r="G176">
            <v>1</v>
          </cell>
          <cell r="H176">
            <v>1</v>
          </cell>
          <cell r="I176">
            <v>1</v>
          </cell>
          <cell r="J176">
            <v>1</v>
          </cell>
          <cell r="K176">
            <v>1</v>
          </cell>
          <cell r="L176">
            <v>1</v>
          </cell>
          <cell r="M176">
            <v>1</v>
          </cell>
        </row>
        <row r="177">
          <cell r="B177" t="str">
            <v>Sales -% Consumer (C)</v>
          </cell>
          <cell r="C177" t="str">
            <v>SALES_CONS</v>
          </cell>
          <cell r="F177">
            <v>0.73799399354899997</v>
          </cell>
          <cell r="G177">
            <v>0.71897687087600004</v>
          </cell>
          <cell r="H177">
            <v>0.76313981530999997</v>
          </cell>
          <cell r="I177">
            <v>0.68872025210099996</v>
          </cell>
          <cell r="J177">
            <v>0.66955392819899995</v>
          </cell>
          <cell r="K177">
            <v>0.69898237243299999</v>
          </cell>
          <cell r="L177">
            <v>0.79010367279299998</v>
          </cell>
          <cell r="M177">
            <v>0.79010367279299998</v>
          </cell>
        </row>
        <row r="178">
          <cell r="B178" t="str">
            <v>Sales -% Industry (I)</v>
          </cell>
          <cell r="C178" t="str">
            <v>SALES_IND</v>
          </cell>
          <cell r="F178">
            <v>0.26200600645099997</v>
          </cell>
          <cell r="G178">
            <v>0.28102312912400002</v>
          </cell>
          <cell r="H178">
            <v>0.23686018469</v>
          </cell>
          <cell r="I178">
            <v>0.31127974789899998</v>
          </cell>
          <cell r="J178">
            <v>0.33044607133600001</v>
          </cell>
          <cell r="K178">
            <v>0.30101762715000002</v>
          </cell>
          <cell r="L178">
            <v>0.20989632720699999</v>
          </cell>
          <cell r="M178">
            <v>0.20989632720699999</v>
          </cell>
        </row>
        <row r="179">
          <cell r="B179" t="str">
            <v>Sales -% Government (G)</v>
          </cell>
          <cell r="C179" t="str">
            <v>SALES_GOV</v>
          </cell>
        </row>
        <row r="180">
          <cell r="B180" t="str">
            <v>Sales - % Industry Sub-Segment: Financial Services</v>
          </cell>
          <cell r="C180" t="str">
            <v>SALES_FINAN</v>
          </cell>
        </row>
        <row r="181">
          <cell r="B181" t="str">
            <v>Sales - % Industry Sub-Segment: Oil &amp; Gas</v>
          </cell>
          <cell r="C181" t="str">
            <v>SALES_OIL_GAS</v>
          </cell>
        </row>
        <row r="182">
          <cell r="A182" t="str">
            <v>Commodities Exposure - Expense</v>
          </cell>
        </row>
        <row r="183">
          <cell r="B183" t="str">
            <v>Expense - % Oil/Petrol/Fuel</v>
          </cell>
          <cell r="C183" t="str">
            <v>EXP_OIL_PETRO_FUEL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B185" t="str">
            <v>Expense - % Gold</v>
          </cell>
          <cell r="C185" t="str">
            <v>EXP_GOLD</v>
          </cell>
        </row>
        <row r="186">
          <cell r="B186" t="str">
            <v>Expense - % Copper</v>
          </cell>
          <cell r="C186" t="str">
            <v>EXP_COPPER</v>
          </cell>
        </row>
        <row r="187">
          <cell r="B187" t="str">
            <v>Expense - % Silver</v>
          </cell>
          <cell r="C187" t="str">
            <v>EXP_SILVER</v>
          </cell>
        </row>
        <row r="188">
          <cell r="B188" t="str">
            <v>Expense - % Platinum</v>
          </cell>
          <cell r="C188" t="str">
            <v>EXP_PLATINUM</v>
          </cell>
        </row>
        <row r="189">
          <cell r="B189" t="str">
            <v>Expense - % Palladium</v>
          </cell>
          <cell r="C189" t="str">
            <v>EXP_PALLADIUM</v>
          </cell>
        </row>
        <row r="190">
          <cell r="B190" t="str">
            <v>Expense - % Aluminium</v>
          </cell>
          <cell r="C190" t="str">
            <v>EXP_ALUMINIUM</v>
          </cell>
        </row>
        <row r="191">
          <cell r="B191" t="str">
            <v>Expense - % Nickel</v>
          </cell>
          <cell r="C191" t="str">
            <v>EXP_NICKEL</v>
          </cell>
        </row>
        <row r="192">
          <cell r="B192" t="str">
            <v>Expense - % Zinc</v>
          </cell>
          <cell r="C192" t="str">
            <v>EXP_ZINC</v>
          </cell>
        </row>
        <row r="193">
          <cell r="B193" t="str">
            <v>Expense - % Paper/pulp</v>
          </cell>
          <cell r="C193" t="str">
            <v>EXP_PAPER_PULP</v>
          </cell>
        </row>
        <row r="194">
          <cell r="B194" t="str">
            <v>Expense - % Glass</v>
          </cell>
          <cell r="C194" t="str">
            <v>EXP_GLASS</v>
          </cell>
        </row>
        <row r="195">
          <cell r="B195" t="str">
            <v>Expense - % Water</v>
          </cell>
          <cell r="C195" t="str">
            <v>EXP_WATER</v>
          </cell>
        </row>
        <row r="196">
          <cell r="B196" t="str">
            <v>Expense - % Other commodity</v>
          </cell>
          <cell r="C196" t="str">
            <v>EXP_OTH_COMMODITY</v>
          </cell>
        </row>
        <row r="197">
          <cell r="B197" t="str">
            <v>Expense - % Other (Non-Commodity) cost</v>
          </cell>
          <cell r="C197" t="str">
            <v>EXP_OTH_COST</v>
          </cell>
        </row>
        <row r="198">
          <cell r="A198" t="str">
            <v>FX Exposure - Sales</v>
          </cell>
        </row>
        <row r="199">
          <cell r="B199" t="str">
            <v>Sales - % FX: British Pounds/Pence</v>
          </cell>
          <cell r="C199" t="str">
            <v>SALES_FX_GPB</v>
          </cell>
        </row>
        <row r="200">
          <cell r="B200" t="str">
            <v>Sales - % FX: Euro</v>
          </cell>
          <cell r="C200" t="str">
            <v>SALES_FX_EUR</v>
          </cell>
        </row>
        <row r="201">
          <cell r="B201" t="str">
            <v>Sales - % FX: New Russian Ruble</v>
          </cell>
          <cell r="C201" t="str">
            <v>SALES_FX_RUB</v>
          </cell>
        </row>
        <row r="202">
          <cell r="B202" t="str">
            <v>Sales - % FX: U.S. Dollar</v>
          </cell>
          <cell r="C202" t="str">
            <v>SALES_FX_USD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>
            <v>0.46838794218099999</v>
          </cell>
          <cell r="K202">
            <v>0.42326785090300001</v>
          </cell>
          <cell r="L202">
            <v>0.365965852107</v>
          </cell>
          <cell r="M202">
            <v>0.365965852107</v>
          </cell>
        </row>
        <row r="203">
          <cell r="B203" t="str">
            <v>Sales - % FX: Brazilian Real</v>
          </cell>
          <cell r="C203" t="str">
            <v>SALES_FX_BRL</v>
          </cell>
        </row>
        <row r="204">
          <cell r="B204" t="str">
            <v>Sales - % FX: Japanese Yen</v>
          </cell>
          <cell r="C204" t="str">
            <v>SALES_FX_YEN</v>
          </cell>
        </row>
        <row r="205">
          <cell r="B205" t="str">
            <v>Sales - % FX: Chinese Renminbi</v>
          </cell>
          <cell r="C205" t="str">
            <v>SALES_FX_CNY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0.53161205781900001</v>
          </cell>
          <cell r="K205">
            <v>0.57673214909699999</v>
          </cell>
          <cell r="L205">
            <v>0.63403414789300006</v>
          </cell>
          <cell r="M205">
            <v>0.63403414789300006</v>
          </cell>
        </row>
        <row r="206">
          <cell r="B206" t="str">
            <v>Sales - % FX: Indian Rupee</v>
          </cell>
          <cell r="C206" t="str">
            <v>SALES_FX_INR</v>
          </cell>
        </row>
        <row r="207">
          <cell r="B207" t="str">
            <v>Sales - % FX: South Korean Won</v>
          </cell>
          <cell r="C207" t="str">
            <v>SALES_FX_KRW</v>
          </cell>
        </row>
        <row r="208">
          <cell r="B208" t="str">
            <v>Sales - % FX: Taiwan Dollar</v>
          </cell>
          <cell r="C208" t="str">
            <v>SALES_FX_TWD</v>
          </cell>
        </row>
        <row r="209">
          <cell r="B209" t="str">
            <v>Sales - % FX: Other Currency</v>
          </cell>
          <cell r="C209" t="str">
            <v>SALES_FX_OTH</v>
          </cell>
        </row>
        <row r="210">
          <cell r="A210" t="str">
            <v>Items to be removed</v>
          </cell>
        </row>
        <row r="211">
          <cell r="B211" t="str">
            <v>Sales - Total % Americas</v>
          </cell>
          <cell r="C211" t="str">
            <v>SALES_TOT_AM</v>
          </cell>
        </row>
        <row r="212">
          <cell r="B212" t="str">
            <v>Sales - % Other Americas</v>
          </cell>
          <cell r="C212" t="str">
            <v>SALES_OTH_AM</v>
          </cell>
        </row>
        <row r="213">
          <cell r="B213" t="str">
            <v>Sales - Total % EMEA</v>
          </cell>
          <cell r="C213" t="str">
            <v>SALES_TOT_EMEA</v>
          </cell>
        </row>
        <row r="214">
          <cell r="B214" t="str">
            <v>Sales - % Western Europe-Ex UK</v>
          </cell>
          <cell r="C214" t="str">
            <v>SALES_EU_EX_UK</v>
          </cell>
        </row>
        <row r="215">
          <cell r="B215" t="str">
            <v>Sales - % Central &amp; Eastern Europe</v>
          </cell>
          <cell r="C215" t="str">
            <v>SALES_CEE</v>
          </cell>
        </row>
        <row r="216">
          <cell r="B216" t="str">
            <v>Sales - % Middle East</v>
          </cell>
          <cell r="C216" t="str">
            <v>SALES_ME</v>
          </cell>
        </row>
        <row r="217">
          <cell r="B217" t="str">
            <v>Sales - % Total Africa</v>
          </cell>
          <cell r="C217" t="str">
            <v>SALES_TOT_AFRICA</v>
          </cell>
        </row>
        <row r="218">
          <cell r="B218" t="str">
            <v>Sales - % Other EMEA</v>
          </cell>
          <cell r="C218" t="str">
            <v>SALES_OTH_EMEA</v>
          </cell>
        </row>
        <row r="219">
          <cell r="B219" t="str">
            <v>Sales - Total % Asia (incl Australia &amp; New Zealand)</v>
          </cell>
          <cell r="C219" t="str">
            <v>SALES_TOT_ASIA</v>
          </cell>
        </row>
        <row r="220">
          <cell r="B220" t="str">
            <v>Sales - % Other Asia</v>
          </cell>
          <cell r="C220" t="str">
            <v>SALES_OTH_AEJ</v>
          </cell>
        </row>
        <row r="221">
          <cell r="A221" t="str">
            <v>Security: Will Semiconductor Co.</v>
          </cell>
          <cell r="B221" t="str">
            <v>44RFU</v>
          </cell>
        </row>
        <row r="222">
          <cell r="A222" t="str">
            <v>Reference Data</v>
          </cell>
        </row>
        <row r="223">
          <cell r="B223" t="str">
            <v>Ticker</v>
          </cell>
          <cell r="C223" t="str">
            <v>Ticker</v>
          </cell>
          <cell r="E223" t="str">
            <v>603501.SS</v>
          </cell>
        </row>
        <row r="224">
          <cell r="B224" t="str">
            <v>Security Name</v>
          </cell>
          <cell r="C224" t="str">
            <v>Security Name</v>
          </cell>
          <cell r="E224" t="str">
            <v>Will Semiconductor Co.</v>
          </cell>
        </row>
        <row r="225">
          <cell r="B225" t="str">
            <v>Interim Type</v>
          </cell>
          <cell r="C225" t="str">
            <v>Interim Type</v>
          </cell>
          <cell r="E225" t="str">
            <v>Q</v>
          </cell>
        </row>
        <row r="226">
          <cell r="B226" t="str">
            <v>Publishing Currency</v>
          </cell>
          <cell r="C226" t="str">
            <v>PUB_CURRENCY_ISO</v>
          </cell>
          <cell r="E226" t="str">
            <v>CNY</v>
          </cell>
        </row>
        <row r="227">
          <cell r="B227" t="str">
            <v>Pricing Currency</v>
          </cell>
          <cell r="C227" t="str">
            <v>PRICE_CURRENCY_ISO</v>
          </cell>
          <cell r="E227" t="str">
            <v>CNY</v>
          </cell>
        </row>
        <row r="228">
          <cell r="B228" t="str">
            <v>Reporting Currency</v>
          </cell>
          <cell r="C228" t="str">
            <v>CURRENCY_ISO</v>
          </cell>
          <cell r="E228" t="str">
            <v>CNY</v>
          </cell>
        </row>
        <row r="229">
          <cell r="A229" t="str">
            <v>General Information</v>
          </cell>
        </row>
        <row r="230">
          <cell r="B230" t="str">
            <v>Asia ex. Japan Investment List</v>
          </cell>
          <cell r="C230" t="str">
            <v>AEJ_LIST</v>
          </cell>
          <cell r="E230" t="str">
            <v>Buy</v>
          </cell>
        </row>
        <row r="231">
          <cell r="B231" t="str">
            <v>Asia ex. Japan Conviction List</v>
          </cell>
          <cell r="C231" t="str">
            <v>AEJ_CONVICTION</v>
          </cell>
        </row>
        <row r="232">
          <cell r="B232" t="str">
            <v>Legal rating</v>
          </cell>
          <cell r="C232" t="str">
            <v>LEGAL_RATING</v>
          </cell>
        </row>
        <row r="233">
          <cell r="B233" t="str">
            <v>Target price</v>
          </cell>
          <cell r="C233" t="str">
            <v>TARGET_PRICE</v>
          </cell>
          <cell r="D233" t="str">
            <v>CNY</v>
          </cell>
          <cell r="E233">
            <v>130</v>
          </cell>
        </row>
        <row r="234">
          <cell r="B234" t="str">
            <v>Target price period</v>
          </cell>
          <cell r="C234" t="str">
            <v>TP_PERIOD</v>
          </cell>
          <cell r="E234" t="str">
            <v>12 months</v>
          </cell>
        </row>
        <row r="235">
          <cell r="B235" t="str">
            <v>Fundamental value</v>
          </cell>
          <cell r="C235" t="str">
            <v>TARGET_PRICE_FUNDAMENTAL</v>
          </cell>
          <cell r="D235" t="str">
            <v>CNY</v>
          </cell>
        </row>
        <row r="236">
          <cell r="B236" t="str">
            <v>M&amp;A value</v>
          </cell>
          <cell r="C236" t="str">
            <v>TARGET_PRICE_MA</v>
          </cell>
          <cell r="D236" t="str">
            <v>CNY</v>
          </cell>
        </row>
        <row r="237">
          <cell r="B237" t="str">
            <v>Current shares outstanding (mn)</v>
          </cell>
          <cell r="C237" t="str">
            <v>NUM_SH</v>
          </cell>
          <cell r="E237">
            <v>856.76394000000005</v>
          </cell>
        </row>
        <row r="238">
          <cell r="B238" t="str">
            <v>Free float</v>
          </cell>
          <cell r="C238" t="str">
            <v>FREE_FLOAT</v>
          </cell>
        </row>
        <row r="239">
          <cell r="B239" t="str">
            <v>Foreign ownership</v>
          </cell>
          <cell r="C239" t="str">
            <v>FOREIGN_HOLDNG</v>
          </cell>
        </row>
        <row r="240">
          <cell r="B240" t="str">
            <v>Catalyst 1 date</v>
          </cell>
          <cell r="C240" t="str">
            <v>CATALYST1_DATE</v>
          </cell>
        </row>
        <row r="241">
          <cell r="B241" t="str">
            <v>Catalyst 1 description</v>
          </cell>
          <cell r="C241" t="str">
            <v>CATALYST1_EVENT</v>
          </cell>
        </row>
        <row r="242">
          <cell r="B242" t="str">
            <v>Catalyst 2 date</v>
          </cell>
          <cell r="C242" t="str">
            <v>CATALYST2_DATE</v>
          </cell>
        </row>
        <row r="243">
          <cell r="B243" t="str">
            <v>Catalyst 2 description</v>
          </cell>
          <cell r="C243" t="str">
            <v>CATALYST2_EVENT</v>
          </cell>
        </row>
        <row r="244">
          <cell r="B244" t="str">
            <v>Catalyst 3 date</v>
          </cell>
          <cell r="C244" t="str">
            <v>CATALYST3_DATE</v>
          </cell>
        </row>
        <row r="245">
          <cell r="B245" t="str">
            <v>Catalyst 3 description</v>
          </cell>
          <cell r="C245" t="str">
            <v>CATALYST3_EVENT</v>
          </cell>
        </row>
        <row r="246">
          <cell r="B246" t="str">
            <v>Catalyst 4 date</v>
          </cell>
          <cell r="C246" t="str">
            <v>CATALYST4_DATE</v>
          </cell>
        </row>
        <row r="247">
          <cell r="B247" t="str">
            <v>Catalyst 4 description</v>
          </cell>
          <cell r="C247" t="str">
            <v>CATALYST4_EVENT</v>
          </cell>
        </row>
        <row r="248">
          <cell r="B248" t="str">
            <v>Catalyst 5 date</v>
          </cell>
          <cell r="C248" t="str">
            <v>CATALYST5_DATE</v>
          </cell>
        </row>
        <row r="249">
          <cell r="B249" t="str">
            <v>Catalyst 5 description</v>
          </cell>
          <cell r="C249" t="str">
            <v>CATALYST5_EVENT</v>
          </cell>
        </row>
        <row r="250">
          <cell r="B250" t="str">
            <v>Target price multiple</v>
          </cell>
          <cell r="C250" t="str">
            <v>PRI_TARG_MULT</v>
          </cell>
        </row>
        <row r="251">
          <cell r="B251" t="str">
            <v>Target price methodology</v>
          </cell>
          <cell r="C251" t="str">
            <v>PRI_TARG_METH</v>
          </cell>
          <cell r="E251" t="str">
            <v>Discounted P/E</v>
          </cell>
        </row>
        <row r="252">
          <cell r="A252" t="str">
            <v>Publishing Items</v>
          </cell>
        </row>
        <row r="253">
          <cell r="B253" t="str">
            <v>Book value per share, BVPS (Pub)</v>
          </cell>
          <cell r="C253" t="str">
            <v>BVPS_PUB</v>
          </cell>
          <cell r="D253" t="str">
            <v>CNY</v>
          </cell>
          <cell r="F253">
            <v>5.9022295099999997</v>
          </cell>
          <cell r="G253">
            <v>3.8875032392220001</v>
          </cell>
          <cell r="H253">
            <v>3.6086766915280002</v>
          </cell>
          <cell r="I253">
            <v>4.4603906206249997</v>
          </cell>
          <cell r="J253">
            <v>2.160144281624</v>
          </cell>
          <cell r="K253">
            <v>2.5882587440829998</v>
          </cell>
          <cell r="L253">
            <v>8.7402823617020005</v>
          </cell>
          <cell r="M253">
            <v>14.018751156045999</v>
          </cell>
          <cell r="N253">
            <v>14.727244345271</v>
          </cell>
          <cell r="O253">
            <v>15.746834370483</v>
          </cell>
        </row>
        <row r="254">
          <cell r="B254" t="str">
            <v>DPS, dividend per share (Pub)</v>
          </cell>
          <cell r="C254" t="str">
            <v>DPS_PUB</v>
          </cell>
          <cell r="D254" t="str">
            <v>CNY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4.4999999999999998E-2</v>
          </cell>
          <cell r="L254">
            <v>0.18</v>
          </cell>
          <cell r="M254">
            <v>0.37659543832100001</v>
          </cell>
          <cell r="N254">
            <v>1.027156882061</v>
          </cell>
          <cell r="O254">
            <v>1.4781778106050001</v>
          </cell>
        </row>
        <row r="255">
          <cell r="B255" t="str">
            <v>Special dividend per share</v>
          </cell>
          <cell r="C255" t="str">
            <v>DPS_SPECIAL_PUB</v>
          </cell>
          <cell r="D255" t="str">
            <v>CNY</v>
          </cell>
        </row>
        <row r="256">
          <cell r="B256" t="str">
            <v>EBITDA (Pub)</v>
          </cell>
          <cell r="C256" t="str">
            <v>EBITDA_PUB</v>
          </cell>
          <cell r="D256" t="str">
            <v>CNY</v>
          </cell>
          <cell r="F256">
            <v>121.26675157</v>
          </cell>
          <cell r="G256">
            <v>174.87009186</v>
          </cell>
          <cell r="H256">
            <v>130.22345343999999</v>
          </cell>
          <cell r="I256">
            <v>167.2952598</v>
          </cell>
          <cell r="J256">
            <v>201.46750782000001</v>
          </cell>
          <cell r="K256">
            <v>220.67095528999999</v>
          </cell>
          <cell r="L256">
            <v>464.06921465500102</v>
          </cell>
          <cell r="M256">
            <v>781.50030985079604</v>
          </cell>
          <cell r="N256">
            <v>1947.2950033413799</v>
          </cell>
          <cell r="O256">
            <v>2610.59188489597</v>
          </cell>
          <cell r="X256">
            <v>48.597043952500002</v>
          </cell>
          <cell r="Y256">
            <v>57.785370672500001</v>
          </cell>
          <cell r="Z256">
            <v>51.025254782499999</v>
          </cell>
          <cell r="AA256">
            <v>44.0598384125</v>
          </cell>
          <cell r="AB256">
            <v>27.116854212500002</v>
          </cell>
          <cell r="AC256">
            <v>40.8363783725</v>
          </cell>
          <cell r="AD256">
            <v>73.815362552500005</v>
          </cell>
          <cell r="AE256">
            <v>78.902360152499995</v>
          </cell>
          <cell r="AF256">
            <v>69.007887137500006</v>
          </cell>
          <cell r="AG256">
            <v>125.0182229975</v>
          </cell>
          <cell r="AH256">
            <v>272.95563254750101</v>
          </cell>
          <cell r="AI256">
            <v>-2.9125280275000001</v>
          </cell>
          <cell r="AJ256">
            <v>25.166218955000002</v>
          </cell>
          <cell r="AK256">
            <v>-14.791129554999999</v>
          </cell>
          <cell r="AL256">
            <v>367.79280028227402</v>
          </cell>
          <cell r="AM256">
            <v>403.33242016852103</v>
          </cell>
          <cell r="AN256">
            <v>440.68591949172497</v>
          </cell>
          <cell r="AO256">
            <v>467.00524411345998</v>
          </cell>
          <cell r="AP256">
            <v>524.57769050244599</v>
          </cell>
          <cell r="AQ256">
            <v>515.02614923374597</v>
          </cell>
          <cell r="AR256">
            <v>600.11106155342702</v>
          </cell>
          <cell r="AS256">
            <v>634.25880436814896</v>
          </cell>
          <cell r="AT256">
            <v>698.69022724143304</v>
          </cell>
          <cell r="AU256">
            <v>677.53179173296098</v>
          </cell>
        </row>
        <row r="257">
          <cell r="B257" t="str">
            <v>EPS (Pub)</v>
          </cell>
          <cell r="C257" t="str">
            <v>EPS_PUB</v>
          </cell>
          <cell r="D257" t="str">
            <v>CNY</v>
          </cell>
          <cell r="F257">
            <v>1.96</v>
          </cell>
          <cell r="G257">
            <v>1.9</v>
          </cell>
          <cell r="H257">
            <v>0.28000000000000003</v>
          </cell>
          <cell r="I257">
            <v>0.31</v>
          </cell>
          <cell r="J257">
            <v>0.38</v>
          </cell>
          <cell r="K257">
            <v>0.34</v>
          </cell>
          <cell r="L257">
            <v>0.32</v>
          </cell>
          <cell r="M257">
            <v>0.63503786846900001</v>
          </cell>
          <cell r="N257">
            <v>1.732053685715</v>
          </cell>
          <cell r="O257">
            <v>2.4925922901519999</v>
          </cell>
          <cell r="X257">
            <v>7.6086525146000006E-2</v>
          </cell>
          <cell r="Y257">
            <v>0.109140312845</v>
          </cell>
          <cell r="Z257">
            <v>0.10035091133</v>
          </cell>
          <cell r="AA257">
            <v>9.4422250678999994E-2</v>
          </cell>
          <cell r="AB257">
            <v>0.1</v>
          </cell>
          <cell r="AC257">
            <v>0.04</v>
          </cell>
          <cell r="AD257">
            <v>0.1</v>
          </cell>
          <cell r="AE257">
            <v>0.1</v>
          </cell>
          <cell r="AF257">
            <v>0.09</v>
          </cell>
          <cell r="AG257">
            <v>0.25</v>
          </cell>
          <cell r="AH257">
            <v>0.2</v>
          </cell>
          <cell r="AI257">
            <v>-0.22</v>
          </cell>
          <cell r="AJ257">
            <v>0.11</v>
          </cell>
          <cell r="AK257">
            <v>-0.05</v>
          </cell>
          <cell r="AL257">
            <v>9.4259348351E-2</v>
          </cell>
          <cell r="AM257">
            <v>0.33815898294800001</v>
          </cell>
          <cell r="AN257">
            <v>0.38239322204999998</v>
          </cell>
          <cell r="AO257">
            <v>0.41126951339399997</v>
          </cell>
          <cell r="AP257">
            <v>0.47443521993100002</v>
          </cell>
          <cell r="AQ257">
            <v>0.46395573033900001</v>
          </cell>
          <cell r="AR257">
            <v>0.56550711359399997</v>
          </cell>
          <cell r="AS257">
            <v>0.60297236714500002</v>
          </cell>
          <cell r="AT257">
            <v>0.67366341128600005</v>
          </cell>
          <cell r="AU257">
            <v>0.650449398126</v>
          </cell>
        </row>
        <row r="258">
          <cell r="B258" t="str">
            <v>EV adjustment (Pub)</v>
          </cell>
          <cell r="C258" t="str">
            <v>EV_ADJ_PUB</v>
          </cell>
          <cell r="D258" t="str">
            <v>CNY</v>
          </cell>
        </row>
        <row r="259">
          <cell r="B259" t="str">
            <v>Net debt (Pub)</v>
          </cell>
          <cell r="C259" t="str">
            <v>NET_DEBT_PUB</v>
          </cell>
          <cell r="D259" t="str">
            <v>CNY</v>
          </cell>
          <cell r="F259">
            <v>118.26877579000001</v>
          </cell>
          <cell r="G259">
            <v>189.58654842000001</v>
          </cell>
          <cell r="H259">
            <v>202.30239563000001</v>
          </cell>
          <cell r="I259">
            <v>388.72842642000001</v>
          </cell>
          <cell r="J259">
            <v>388.87291777000002</v>
          </cell>
          <cell r="K259">
            <v>-229.23220764999999</v>
          </cell>
          <cell r="L259">
            <v>899.80596987000001</v>
          </cell>
          <cell r="M259">
            <v>-517.33436112404502</v>
          </cell>
          <cell r="N259">
            <v>-1284.8562975913301</v>
          </cell>
          <cell r="O259">
            <v>-2099.5813358805499</v>
          </cell>
        </row>
        <row r="260">
          <cell r="B260" t="str">
            <v>Net Debt (ex leases) (Pub)</v>
          </cell>
          <cell r="C260" t="str">
            <v>NET_DEBT_EX_LEASES_PUB</v>
          </cell>
          <cell r="D260" t="str">
            <v>CNY</v>
          </cell>
        </row>
        <row r="261">
          <cell r="B261" t="str">
            <v>Consensus equivalent net debt</v>
          </cell>
          <cell r="C261" t="str">
            <v>CEEE_NDEBT</v>
          </cell>
          <cell r="D261" t="str">
            <v>CNY</v>
          </cell>
        </row>
        <row r="262">
          <cell r="B262" t="str">
            <v>Net income (Pub)</v>
          </cell>
          <cell r="C262" t="str">
            <v>NI_PUB</v>
          </cell>
          <cell r="D262" t="str">
            <v>CNY</v>
          </cell>
          <cell r="F262">
            <v>86.29913019</v>
          </cell>
          <cell r="G262">
            <v>127.32109945000001</v>
          </cell>
          <cell r="H262">
            <v>97.972041230000002</v>
          </cell>
          <cell r="I262">
            <v>115.36979217</v>
          </cell>
          <cell r="J262">
            <v>141.69091938</v>
          </cell>
          <cell r="K262">
            <v>137.156318</v>
          </cell>
          <cell r="L262">
            <v>138.31836838000001</v>
          </cell>
          <cell r="M262">
            <v>374.33192399687198</v>
          </cell>
          <cell r="N262">
            <v>1483.9611400644601</v>
          </cell>
          <cell r="O262">
            <v>2135.5631913239999</v>
          </cell>
          <cell r="X262">
            <v>28.370446579999999</v>
          </cell>
          <cell r="Y262">
            <v>40.695240179999999</v>
          </cell>
          <cell r="Z262">
            <v>37.41792865</v>
          </cell>
          <cell r="AA262">
            <v>35.207303969999998</v>
          </cell>
          <cell r="AB262">
            <v>35.966747939999998</v>
          </cell>
          <cell r="AC262">
            <v>22.843376280000001</v>
          </cell>
          <cell r="AD262">
            <v>41.547628760000002</v>
          </cell>
          <cell r="AE262">
            <v>36.798565019999998</v>
          </cell>
          <cell r="AF262">
            <v>42.880033519999998</v>
          </cell>
          <cell r="AG262">
            <v>112.90718923999999</v>
          </cell>
          <cell r="AH262">
            <v>89.653982889999995</v>
          </cell>
          <cell r="AI262">
            <v>-107.12283727000001</v>
          </cell>
          <cell r="AJ262">
            <v>51.068927420000001</v>
          </cell>
          <cell r="AK262">
            <v>-25.784506</v>
          </cell>
          <cell r="AL262">
            <v>59.32508</v>
          </cell>
          <cell r="AM262">
            <v>289.722422576871</v>
          </cell>
          <cell r="AN262">
            <v>327.62072355311301</v>
          </cell>
          <cell r="AO262">
            <v>352.360888697544</v>
          </cell>
          <cell r="AP262">
            <v>406.47898830319099</v>
          </cell>
          <cell r="AQ262">
            <v>397.50053951061301</v>
          </cell>
          <cell r="AR262">
            <v>484.50610274066901</v>
          </cell>
          <cell r="AS262">
            <v>516.60498098650805</v>
          </cell>
          <cell r="AT262">
            <v>577.17051848739402</v>
          </cell>
          <cell r="AU262">
            <v>557.28158910943102</v>
          </cell>
        </row>
        <row r="263">
          <cell r="B263" t="str">
            <v>EBIT, operating profit (Pub)</v>
          </cell>
          <cell r="C263" t="str">
            <v>EBIT_PUB</v>
          </cell>
          <cell r="D263" t="str">
            <v>CNY</v>
          </cell>
          <cell r="F263">
            <v>119.14335156999999</v>
          </cell>
          <cell r="G263">
            <v>171.05909186</v>
          </cell>
          <cell r="H263">
            <v>124.94366812</v>
          </cell>
          <cell r="I263">
            <v>154.13531583</v>
          </cell>
          <cell r="J263">
            <v>182.29393013000001</v>
          </cell>
          <cell r="K263">
            <v>195.70722215999999</v>
          </cell>
          <cell r="L263">
            <v>424.50737854500102</v>
          </cell>
          <cell r="M263">
            <v>614.72470089671504</v>
          </cell>
          <cell r="N263">
            <v>1602.14330370074</v>
          </cell>
          <cell r="O263">
            <v>2255.8360515306299</v>
          </cell>
          <cell r="X263">
            <v>43.803649530000001</v>
          </cell>
          <cell r="Y263">
            <v>52.99197625</v>
          </cell>
          <cell r="Z263">
            <v>46.231860359999999</v>
          </cell>
          <cell r="AA263">
            <v>39.266443989999999</v>
          </cell>
          <cell r="AB263">
            <v>20.875920929999999</v>
          </cell>
          <cell r="AC263">
            <v>34.595445089999998</v>
          </cell>
          <cell r="AD263">
            <v>67.574429269999996</v>
          </cell>
          <cell r="AE263">
            <v>72.66142687</v>
          </cell>
          <cell r="AF263">
            <v>59.117428109999999</v>
          </cell>
          <cell r="AG263">
            <v>115.12776397</v>
          </cell>
          <cell r="AH263">
            <v>263.06517351999997</v>
          </cell>
          <cell r="AI263">
            <v>-12.802987054999999</v>
          </cell>
          <cell r="AJ263">
            <v>12.88021251</v>
          </cell>
          <cell r="AK263">
            <v>-27.077135999999999</v>
          </cell>
          <cell r="AL263">
            <v>308.51706100000001</v>
          </cell>
          <cell r="AM263">
            <v>320.40456338671402</v>
          </cell>
          <cell r="AN263">
            <v>354.39799458156699</v>
          </cell>
          <cell r="AO263">
            <v>380.717319203302</v>
          </cell>
          <cell r="AP263">
            <v>438.28976559228801</v>
          </cell>
          <cell r="AQ263">
            <v>428.73822432358799</v>
          </cell>
          <cell r="AR263">
            <v>511.422103212092</v>
          </cell>
          <cell r="AS263">
            <v>545.56984602681405</v>
          </cell>
          <cell r="AT263">
            <v>610.00126890009801</v>
          </cell>
          <cell r="AU263">
            <v>588.84283339162596</v>
          </cell>
        </row>
        <row r="264">
          <cell r="B264" t="str">
            <v>Pre-tax profit (Pub)</v>
          </cell>
          <cell r="C264" t="str">
            <v>PTP_PUB</v>
          </cell>
          <cell r="D264" t="str">
            <v>CNY</v>
          </cell>
          <cell r="F264">
            <v>100.92792333</v>
          </cell>
          <cell r="G264">
            <v>140.31674101999999</v>
          </cell>
          <cell r="H264">
            <v>116.42080673</v>
          </cell>
          <cell r="I264">
            <v>124.47174507</v>
          </cell>
          <cell r="J264">
            <v>141.89801775000001</v>
          </cell>
          <cell r="K264">
            <v>145.38774694</v>
          </cell>
          <cell r="L264">
            <v>135.98549396000001</v>
          </cell>
          <cell r="M264">
            <v>444.445261650715</v>
          </cell>
          <cell r="N264">
            <v>1557.40546815368</v>
          </cell>
          <cell r="O264">
            <v>2250.5991397063899</v>
          </cell>
          <cell r="X264">
            <v>31.873876979999999</v>
          </cell>
          <cell r="Y264">
            <v>40.258052999999997</v>
          </cell>
          <cell r="Z264">
            <v>37.933565080000001</v>
          </cell>
          <cell r="AA264">
            <v>31.832522690000001</v>
          </cell>
          <cell r="AB264">
            <v>36.31054348</v>
          </cell>
          <cell r="AC264">
            <v>19.45228784</v>
          </cell>
          <cell r="AD264">
            <v>47.604965559999997</v>
          </cell>
          <cell r="AE264">
            <v>42.019950059999999</v>
          </cell>
          <cell r="AF264">
            <v>66.325600010000002</v>
          </cell>
          <cell r="AG264">
            <v>114.93924131999999</v>
          </cell>
          <cell r="AH264">
            <v>119.47975013999999</v>
          </cell>
          <cell r="AI264">
            <v>-164.75909751</v>
          </cell>
          <cell r="AJ264">
            <v>45.32431742</v>
          </cell>
          <cell r="AK264">
            <v>-51.031201000000003</v>
          </cell>
          <cell r="AL264">
            <v>147.25595100000001</v>
          </cell>
          <cell r="AM264">
            <v>302.896194230714</v>
          </cell>
          <cell r="AN264">
            <v>343.21353569480101</v>
          </cell>
          <cell r="AO264">
            <v>369.53286031653602</v>
          </cell>
          <cell r="AP264">
            <v>427.10530670552203</v>
          </cell>
          <cell r="AQ264">
            <v>417.553765436822</v>
          </cell>
          <cell r="AR264">
            <v>510.11287525603097</v>
          </cell>
          <cell r="AS264">
            <v>544.26061807075303</v>
          </cell>
          <cell r="AT264">
            <v>608.69204094403699</v>
          </cell>
          <cell r="AU264">
            <v>587.53360543556505</v>
          </cell>
        </row>
        <row r="265">
          <cell r="B265" t="str">
            <v>Sales, revenue (Pub)</v>
          </cell>
          <cell r="C265" t="str">
            <v>REVS_PUB</v>
          </cell>
          <cell r="D265" t="str">
            <v>CNY</v>
          </cell>
          <cell r="F265">
            <v>1005.6448243900001</v>
          </cell>
          <cell r="G265">
            <v>1141.4603508099999</v>
          </cell>
          <cell r="H265">
            <v>1407.6716329400001</v>
          </cell>
          <cell r="I265">
            <v>1983.27123411</v>
          </cell>
          <cell r="J265">
            <v>2160.76952987</v>
          </cell>
          <cell r="K265">
            <v>2405.9162668099998</v>
          </cell>
          <cell r="L265">
            <v>6237.4016116399998</v>
          </cell>
          <cell r="M265">
            <v>8795.6828147030592</v>
          </cell>
          <cell r="N265">
            <v>15450.8990538501</v>
          </cell>
          <cell r="O265">
            <v>18169.368466169701</v>
          </cell>
          <cell r="X265">
            <v>462.36652586000002</v>
          </cell>
          <cell r="Y265">
            <v>582.34172343</v>
          </cell>
          <cell r="Z265">
            <v>568.66512189000002</v>
          </cell>
          <cell r="AA265">
            <v>547.39615868999999</v>
          </cell>
          <cell r="AB265">
            <v>398.24428784000003</v>
          </cell>
          <cell r="AC265">
            <v>516.28316026000005</v>
          </cell>
          <cell r="AD265">
            <v>703.70547780000004</v>
          </cell>
          <cell r="AE265">
            <v>787.68334090999997</v>
          </cell>
          <cell r="AF265">
            <v>820.27583132999996</v>
          </cell>
          <cell r="AG265">
            <v>1075.15249963</v>
          </cell>
          <cell r="AH265">
            <v>3491.8963530000001</v>
          </cell>
          <cell r="AI265">
            <v>850.07692768000004</v>
          </cell>
          <cell r="AJ265">
            <v>723.17116840999995</v>
          </cell>
          <cell r="AK265">
            <v>826.33351100000004</v>
          </cell>
          <cell r="AL265">
            <v>3702.5519079999999</v>
          </cell>
          <cell r="AM265">
            <v>3543.6262272930599</v>
          </cell>
          <cell r="AN265">
            <v>3540.9760185887899</v>
          </cell>
          <cell r="AO265">
            <v>3734.6904854252298</v>
          </cell>
          <cell r="AP265">
            <v>4260.3064801831497</v>
          </cell>
          <cell r="AQ265">
            <v>3914.92606965295</v>
          </cell>
          <cell r="AR265">
            <v>4211.1254287562097</v>
          </cell>
          <cell r="AS265">
            <v>4433.3982322124002</v>
          </cell>
          <cell r="AT265">
            <v>4997.3245091846802</v>
          </cell>
          <cell r="AU265">
            <v>4527.5202960163897</v>
          </cell>
        </row>
        <row r="266">
          <cell r="B266" t="str">
            <v>Total shareholders' equity (Pub)</v>
          </cell>
          <cell r="C266" t="str">
            <v>EQ_PUB</v>
          </cell>
          <cell r="D266" t="str">
            <v>CNY</v>
          </cell>
          <cell r="F266">
            <v>259.69809844000002</v>
          </cell>
          <cell r="G266">
            <v>349.87529153000003</v>
          </cell>
          <cell r="H266">
            <v>519.64944358000002</v>
          </cell>
          <cell r="I266">
            <v>652.13888353000004</v>
          </cell>
          <cell r="J266">
            <v>808.90037500000005</v>
          </cell>
          <cell r="K266">
            <v>1190.6408779799999</v>
          </cell>
          <cell r="L266">
            <v>7873.7253510999999</v>
          </cell>
          <cell r="M266">
            <v>11998.107522833199</v>
          </cell>
          <cell r="N266">
            <v>12585.118939096799</v>
          </cell>
          <cell r="O266">
            <v>13438.6669062825</v>
          </cell>
        </row>
        <row r="267">
          <cell r="B267" t="str">
            <v>EPS (consensus)</v>
          </cell>
          <cell r="C267" t="str">
            <v>EPS_CONS_PUB</v>
          </cell>
          <cell r="D267" t="str">
            <v>CNY</v>
          </cell>
        </row>
        <row r="268">
          <cell r="A268" t="str">
            <v>Income Statement</v>
          </cell>
        </row>
        <row r="269">
          <cell r="B269" t="str">
            <v>Provision for income tax</v>
          </cell>
          <cell r="C269" t="str">
            <v>PROV_INC_TAX</v>
          </cell>
          <cell r="D269" t="str">
            <v>CNY</v>
          </cell>
          <cell r="F269">
            <v>-14.628793140000001</v>
          </cell>
          <cell r="G269">
            <v>-12.99564157</v>
          </cell>
          <cell r="H269">
            <v>-18.4487655</v>
          </cell>
          <cell r="I269">
            <v>-16.645063489999998</v>
          </cell>
          <cell r="J269">
            <v>-10.457812799999999</v>
          </cell>
          <cell r="K269">
            <v>-21.983751389999998</v>
          </cell>
          <cell r="L269">
            <v>-30.558238490000001</v>
          </cell>
          <cell r="M269">
            <v>-32.365405433843002</v>
          </cell>
          <cell r="N269">
            <v>-93.444328089221003</v>
          </cell>
          <cell r="O269">
            <v>-135.035948382383</v>
          </cell>
          <cell r="X269">
            <v>-4.4161338299999997</v>
          </cell>
          <cell r="Y269">
            <v>-2.3993011499999999</v>
          </cell>
          <cell r="Z269">
            <v>-2.9274432099999999</v>
          </cell>
          <cell r="AA269">
            <v>-0.71493461000000003</v>
          </cell>
          <cell r="AB269">
            <v>-3.4375408699999999</v>
          </cell>
          <cell r="AC269">
            <v>0.19569718999999999</v>
          </cell>
          <cell r="AD269">
            <v>-9.8895580299999999</v>
          </cell>
          <cell r="AE269">
            <v>-8.8523496799999997</v>
          </cell>
          <cell r="AF269">
            <v>-27.731740840000001</v>
          </cell>
          <cell r="AG269">
            <v>-9.0622843199999998</v>
          </cell>
          <cell r="AH269">
            <v>-43.602034260000003</v>
          </cell>
          <cell r="AI269">
            <v>49.837820929999999</v>
          </cell>
          <cell r="AJ269">
            <v>-0.75241278</v>
          </cell>
          <cell r="AK269">
            <v>20.263131000000001</v>
          </cell>
          <cell r="AL269">
            <v>-33.702351999999998</v>
          </cell>
          <cell r="AM269">
            <v>-18.173771653843001</v>
          </cell>
          <cell r="AN269">
            <v>-20.592812141688</v>
          </cell>
          <cell r="AO269">
            <v>-22.171971618992</v>
          </cell>
          <cell r="AP269">
            <v>-25.626318402330998</v>
          </cell>
          <cell r="AQ269">
            <v>-25.053225926208999</v>
          </cell>
          <cell r="AR269">
            <v>-30.606772515362</v>
          </cell>
          <cell r="AS269">
            <v>-32.655637084245001</v>
          </cell>
          <cell r="AT269">
            <v>-36.521522456642003</v>
          </cell>
          <cell r="AU269">
            <v>-35.252016326133997</v>
          </cell>
        </row>
        <row r="270">
          <cell r="B270" t="str">
            <v>Minority interest</v>
          </cell>
          <cell r="C270" t="str">
            <v>INC_MINORITY</v>
          </cell>
          <cell r="D270" t="str">
            <v>CNY</v>
          </cell>
          <cell r="I270">
            <v>7.5431105900000004</v>
          </cell>
          <cell r="J270">
            <v>10.25071443</v>
          </cell>
          <cell r="K270">
            <v>13.752322449999999</v>
          </cell>
          <cell r="L270">
            <v>32.891112909999997</v>
          </cell>
          <cell r="M270">
            <v>-37.747932220000003</v>
          </cell>
          <cell r="N270">
            <v>20</v>
          </cell>
          <cell r="O270">
            <v>20</v>
          </cell>
          <cell r="X270">
            <v>0.91270342999999998</v>
          </cell>
          <cell r="Y270">
            <v>2.8364883299999999</v>
          </cell>
          <cell r="Z270">
            <v>2.41180678</v>
          </cell>
          <cell r="AA270">
            <v>4.0897158899999999</v>
          </cell>
          <cell r="AB270">
            <v>3.09374533</v>
          </cell>
          <cell r="AC270">
            <v>3.1953912500000001</v>
          </cell>
          <cell r="AD270">
            <v>3.83222123</v>
          </cell>
          <cell r="AE270">
            <v>3.6309646400000002</v>
          </cell>
          <cell r="AF270">
            <v>4.2861743499999996</v>
          </cell>
          <cell r="AG270">
            <v>7.0302322400000001</v>
          </cell>
          <cell r="AH270">
            <v>13.77626701</v>
          </cell>
          <cell r="AI270">
            <v>7.79843931</v>
          </cell>
          <cell r="AJ270">
            <v>6.49702278</v>
          </cell>
          <cell r="AK270">
            <v>4.9835640000000003</v>
          </cell>
          <cell r="AL270">
            <v>-54.228518999999999</v>
          </cell>
          <cell r="AM270">
            <v>5</v>
          </cell>
          <cell r="AN270">
            <v>5</v>
          </cell>
          <cell r="AO270">
            <v>5</v>
          </cell>
          <cell r="AP270">
            <v>5</v>
          </cell>
          <cell r="AQ270">
            <v>5</v>
          </cell>
          <cell r="AR270">
            <v>5</v>
          </cell>
          <cell r="AS270">
            <v>5</v>
          </cell>
          <cell r="AT270">
            <v>5</v>
          </cell>
          <cell r="AU270">
            <v>5</v>
          </cell>
        </row>
        <row r="271">
          <cell r="B271" t="str">
            <v>Net income (pre-preferred dividends)</v>
          </cell>
          <cell r="C271" t="str">
            <v>NI_PRE_PREF</v>
          </cell>
          <cell r="D271" t="str">
            <v>CNY</v>
          </cell>
          <cell r="F271">
            <v>86.29913019</v>
          </cell>
          <cell r="G271">
            <v>127.32109945000001</v>
          </cell>
          <cell r="H271">
            <v>97.972041230000002</v>
          </cell>
          <cell r="I271">
            <v>115.36979217</v>
          </cell>
          <cell r="J271">
            <v>141.69091938</v>
          </cell>
          <cell r="K271">
            <v>137.156318</v>
          </cell>
          <cell r="L271">
            <v>138.31836838000001</v>
          </cell>
          <cell r="M271">
            <v>374.33192399687198</v>
          </cell>
          <cell r="N271">
            <v>1483.9611400644601</v>
          </cell>
          <cell r="O271">
            <v>2135.5631913239999</v>
          </cell>
          <cell r="X271">
            <v>28.370446579999999</v>
          </cell>
          <cell r="Y271">
            <v>40.695240179999999</v>
          </cell>
          <cell r="Z271">
            <v>37.41792865</v>
          </cell>
          <cell r="AA271">
            <v>35.207303969999998</v>
          </cell>
          <cell r="AB271">
            <v>35.966747939999998</v>
          </cell>
          <cell r="AC271">
            <v>22.843376280000001</v>
          </cell>
          <cell r="AD271">
            <v>41.547628760000002</v>
          </cell>
          <cell r="AE271">
            <v>36.798565019999998</v>
          </cell>
          <cell r="AF271">
            <v>42.880033519999998</v>
          </cell>
          <cell r="AG271">
            <v>112.90718923999999</v>
          </cell>
          <cell r="AH271">
            <v>89.653982889999995</v>
          </cell>
          <cell r="AI271">
            <v>-107.12283727000001</v>
          </cell>
          <cell r="AJ271">
            <v>51.068927420000001</v>
          </cell>
          <cell r="AK271">
            <v>-25.784506</v>
          </cell>
          <cell r="AL271">
            <v>59.32508</v>
          </cell>
          <cell r="AM271">
            <v>289.722422576871</v>
          </cell>
          <cell r="AN271">
            <v>327.62072355311301</v>
          </cell>
          <cell r="AO271">
            <v>352.360888697544</v>
          </cell>
          <cell r="AP271">
            <v>406.47898830319099</v>
          </cell>
          <cell r="AQ271">
            <v>397.50053951061301</v>
          </cell>
          <cell r="AR271">
            <v>484.50610274066901</v>
          </cell>
          <cell r="AS271">
            <v>516.60498098650805</v>
          </cell>
          <cell r="AT271">
            <v>577.17051848739402</v>
          </cell>
          <cell r="AU271">
            <v>557.28158910943102</v>
          </cell>
        </row>
        <row r="272">
          <cell r="B272" t="str">
            <v>Preferred dividends</v>
          </cell>
          <cell r="C272" t="str">
            <v>PREF_DIV</v>
          </cell>
          <cell r="D272" t="str">
            <v>CNY</v>
          </cell>
        </row>
        <row r="273">
          <cell r="B273" t="str">
            <v>Net income (pre-exceptionals)</v>
          </cell>
          <cell r="C273" t="str">
            <v>NET_EARNING</v>
          </cell>
          <cell r="D273" t="str">
            <v>CNY</v>
          </cell>
          <cell r="F273">
            <v>86.29913019</v>
          </cell>
          <cell r="G273">
            <v>127.32109945000001</v>
          </cell>
          <cell r="H273">
            <v>97.972041230000002</v>
          </cell>
          <cell r="I273">
            <v>115.36979217</v>
          </cell>
          <cell r="J273">
            <v>141.69091938</v>
          </cell>
          <cell r="K273">
            <v>137.156318</v>
          </cell>
          <cell r="L273">
            <v>138.31836838000001</v>
          </cell>
          <cell r="M273">
            <v>374.33192399687198</v>
          </cell>
          <cell r="N273">
            <v>1483.9611400644601</v>
          </cell>
          <cell r="O273">
            <v>2135.5631913239999</v>
          </cell>
          <cell r="X273">
            <v>28.370446579999999</v>
          </cell>
          <cell r="Y273">
            <v>40.695240179999999</v>
          </cell>
          <cell r="Z273">
            <v>37.41792865</v>
          </cell>
          <cell r="AA273">
            <v>35.207303969999998</v>
          </cell>
          <cell r="AB273">
            <v>35.966747939999998</v>
          </cell>
          <cell r="AC273">
            <v>22.843376280000001</v>
          </cell>
          <cell r="AD273">
            <v>41.547628760000002</v>
          </cell>
          <cell r="AE273">
            <v>36.798565019999998</v>
          </cell>
          <cell r="AF273">
            <v>42.880033519999998</v>
          </cell>
          <cell r="AG273">
            <v>112.90718923999999</v>
          </cell>
          <cell r="AH273">
            <v>89.653982889999995</v>
          </cell>
          <cell r="AI273">
            <v>-107.12283727000001</v>
          </cell>
          <cell r="AJ273">
            <v>51.068927420000001</v>
          </cell>
          <cell r="AK273">
            <v>-25.784506</v>
          </cell>
          <cell r="AL273">
            <v>59.32508</v>
          </cell>
          <cell r="AM273">
            <v>289.722422576871</v>
          </cell>
          <cell r="AN273">
            <v>327.62072355311301</v>
          </cell>
          <cell r="AO273">
            <v>352.360888697544</v>
          </cell>
          <cell r="AP273">
            <v>406.47898830319099</v>
          </cell>
          <cell r="AQ273">
            <v>397.50053951061301</v>
          </cell>
          <cell r="AR273">
            <v>484.50610274066901</v>
          </cell>
          <cell r="AS273">
            <v>516.60498098650805</v>
          </cell>
          <cell r="AT273">
            <v>577.17051848739402</v>
          </cell>
          <cell r="AU273">
            <v>557.28158910943102</v>
          </cell>
        </row>
        <row r="274">
          <cell r="B274" t="str">
            <v>Post-tax exceptionals</v>
          </cell>
          <cell r="C274" t="str">
            <v>TAX_EXC</v>
          </cell>
          <cell r="D274" t="str">
            <v>CNY</v>
          </cell>
        </row>
        <row r="275">
          <cell r="B275" t="str">
            <v>Net income (post-exceptionals)</v>
          </cell>
          <cell r="C275" t="str">
            <v>NET_INC</v>
          </cell>
          <cell r="D275" t="str">
            <v>CNY</v>
          </cell>
          <cell r="F275">
            <v>86.29913019</v>
          </cell>
          <cell r="G275">
            <v>127.32109945000001</v>
          </cell>
          <cell r="H275">
            <v>97.972041230000002</v>
          </cell>
          <cell r="I275">
            <v>115.36979217</v>
          </cell>
          <cell r="J275">
            <v>141.69091938</v>
          </cell>
          <cell r="K275">
            <v>137.156318</v>
          </cell>
          <cell r="L275">
            <v>138.31836838000001</v>
          </cell>
          <cell r="M275">
            <v>374.33192399687198</v>
          </cell>
          <cell r="N275">
            <v>1483.9611400644601</v>
          </cell>
          <cell r="O275">
            <v>2135.5631913239999</v>
          </cell>
          <cell r="X275">
            <v>28.370446579999999</v>
          </cell>
          <cell r="Y275">
            <v>40.695240179999999</v>
          </cell>
          <cell r="Z275">
            <v>37.41792865</v>
          </cell>
          <cell r="AA275">
            <v>35.207303969999998</v>
          </cell>
          <cell r="AB275">
            <v>35.966747939999998</v>
          </cell>
          <cell r="AC275">
            <v>22.843376280000001</v>
          </cell>
          <cell r="AD275">
            <v>41.547628760000002</v>
          </cell>
          <cell r="AE275">
            <v>36.798565019999998</v>
          </cell>
          <cell r="AF275">
            <v>42.880033519999998</v>
          </cell>
          <cell r="AG275">
            <v>112.90718923999999</v>
          </cell>
          <cell r="AH275">
            <v>89.653982889999995</v>
          </cell>
          <cell r="AI275">
            <v>-107.12283727000001</v>
          </cell>
          <cell r="AJ275">
            <v>51.068927420000001</v>
          </cell>
          <cell r="AK275">
            <v>-25.784506</v>
          </cell>
          <cell r="AL275">
            <v>59.32508</v>
          </cell>
          <cell r="AM275">
            <v>289.722422576871</v>
          </cell>
          <cell r="AN275">
            <v>327.62072355311301</v>
          </cell>
          <cell r="AO275">
            <v>352.360888697544</v>
          </cell>
          <cell r="AP275">
            <v>406.47898830319099</v>
          </cell>
          <cell r="AQ275">
            <v>397.50053951061301</v>
          </cell>
          <cell r="AR275">
            <v>484.50610274066901</v>
          </cell>
          <cell r="AS275">
            <v>516.60498098650805</v>
          </cell>
          <cell r="AT275">
            <v>577.17051848739402</v>
          </cell>
          <cell r="AU275">
            <v>557.28158910943102</v>
          </cell>
        </row>
        <row r="276">
          <cell r="B276" t="str">
            <v>EPS (pre-exceptionals, basic)</v>
          </cell>
          <cell r="C276" t="str">
            <v>EPS</v>
          </cell>
          <cell r="D276" t="str">
            <v>CNY</v>
          </cell>
          <cell r="F276">
            <v>1.96</v>
          </cell>
          <cell r="G276">
            <v>1.9</v>
          </cell>
          <cell r="H276">
            <v>0.28000000000000003</v>
          </cell>
          <cell r="I276">
            <v>0.31</v>
          </cell>
          <cell r="J276">
            <v>0.38</v>
          </cell>
          <cell r="K276">
            <v>0.34</v>
          </cell>
          <cell r="L276">
            <v>0.32</v>
          </cell>
          <cell r="M276">
            <v>0.63503786846900001</v>
          </cell>
          <cell r="N276">
            <v>1.732053685715</v>
          </cell>
          <cell r="O276">
            <v>2.4925922901519999</v>
          </cell>
          <cell r="X276">
            <v>7.6086525146000006E-2</v>
          </cell>
          <cell r="Y276">
            <v>0.109140312845</v>
          </cell>
          <cell r="Z276">
            <v>0.10035091133</v>
          </cell>
          <cell r="AA276">
            <v>9.4422250678999994E-2</v>
          </cell>
          <cell r="AB276">
            <v>0.1</v>
          </cell>
          <cell r="AC276">
            <v>0.04</v>
          </cell>
          <cell r="AD276">
            <v>0.1</v>
          </cell>
          <cell r="AE276">
            <v>0.1</v>
          </cell>
          <cell r="AF276">
            <v>0.09</v>
          </cell>
          <cell r="AG276">
            <v>0.25</v>
          </cell>
          <cell r="AH276">
            <v>0.2</v>
          </cell>
          <cell r="AI276">
            <v>-0.22</v>
          </cell>
          <cell r="AJ276">
            <v>0.11</v>
          </cell>
          <cell r="AK276">
            <v>-0.05</v>
          </cell>
          <cell r="AL276">
            <v>9.4259348351E-2</v>
          </cell>
          <cell r="AM276">
            <v>0.33815898294800001</v>
          </cell>
          <cell r="AN276">
            <v>0.38239322204999998</v>
          </cell>
          <cell r="AO276">
            <v>0.41126951339399997</v>
          </cell>
          <cell r="AP276">
            <v>0.47443521993100002</v>
          </cell>
          <cell r="AQ276">
            <v>0.46395573033900001</v>
          </cell>
          <cell r="AR276">
            <v>0.56550711359399997</v>
          </cell>
          <cell r="AS276">
            <v>0.60297236714500002</v>
          </cell>
          <cell r="AT276">
            <v>0.67366341128600005</v>
          </cell>
          <cell r="AU276">
            <v>0.650449398126</v>
          </cell>
        </row>
        <row r="277">
          <cell r="B277" t="str">
            <v>EPS (pre-exceptionals, diluted)</v>
          </cell>
          <cell r="C277" t="str">
            <v>EPS_FUL_DIL</v>
          </cell>
          <cell r="D277" t="str">
            <v>CNY</v>
          </cell>
          <cell r="F277">
            <v>1.96</v>
          </cell>
          <cell r="G277">
            <v>1.9</v>
          </cell>
          <cell r="H277">
            <v>0.28000000000000003</v>
          </cell>
          <cell r="I277">
            <v>0.31</v>
          </cell>
          <cell r="J277">
            <v>0.38</v>
          </cell>
          <cell r="K277">
            <v>0.34</v>
          </cell>
          <cell r="L277">
            <v>0.32</v>
          </cell>
          <cell r="M277">
            <v>0.63503786846900001</v>
          </cell>
          <cell r="N277">
            <v>1.732053685715</v>
          </cell>
          <cell r="O277">
            <v>2.4925922901519999</v>
          </cell>
          <cell r="X277">
            <v>7.6086525146000006E-2</v>
          </cell>
          <cell r="Y277">
            <v>0.109140312845</v>
          </cell>
          <cell r="Z277">
            <v>0.10035091133</v>
          </cell>
          <cell r="AA277">
            <v>9.4422250678999994E-2</v>
          </cell>
          <cell r="AB277">
            <v>0.1</v>
          </cell>
          <cell r="AC277">
            <v>0.04</v>
          </cell>
          <cell r="AD277">
            <v>0.11</v>
          </cell>
          <cell r="AE277">
            <v>0.09</v>
          </cell>
          <cell r="AF277">
            <v>0.09</v>
          </cell>
          <cell r="AG277">
            <v>0.25</v>
          </cell>
          <cell r="AH277">
            <v>0.2</v>
          </cell>
          <cell r="AI277">
            <v>-0.22</v>
          </cell>
          <cell r="AJ277">
            <v>0.11</v>
          </cell>
          <cell r="AK277">
            <v>-0.05</v>
          </cell>
          <cell r="AL277">
            <v>9.4259348351E-2</v>
          </cell>
          <cell r="AM277">
            <v>0.33815898294800001</v>
          </cell>
          <cell r="AN277">
            <v>0.38239322204999998</v>
          </cell>
          <cell r="AO277">
            <v>0.41126951339399997</v>
          </cell>
          <cell r="AP277">
            <v>0.47443521993100002</v>
          </cell>
          <cell r="AQ277">
            <v>0.46395573033900001</v>
          </cell>
          <cell r="AR277">
            <v>0.56550711359399997</v>
          </cell>
          <cell r="AS277">
            <v>0.60297236714500002</v>
          </cell>
          <cell r="AT277">
            <v>0.67366341128600005</v>
          </cell>
          <cell r="AU277">
            <v>0.650449398126</v>
          </cell>
        </row>
        <row r="278">
          <cell r="B278" t="str">
            <v>EPS (post-exceptionals, basic)</v>
          </cell>
          <cell r="C278" t="str">
            <v>EPS_POST_BASIC</v>
          </cell>
          <cell r="D278" t="str">
            <v>CNY</v>
          </cell>
          <cell r="F278">
            <v>1.96</v>
          </cell>
          <cell r="G278">
            <v>1.9</v>
          </cell>
          <cell r="H278">
            <v>0.28000000000000003</v>
          </cell>
          <cell r="I278">
            <v>0.31</v>
          </cell>
          <cell r="J278">
            <v>0.38</v>
          </cell>
          <cell r="K278">
            <v>0.34</v>
          </cell>
          <cell r="L278">
            <v>0.32</v>
          </cell>
          <cell r="M278">
            <v>0.63503786846900001</v>
          </cell>
          <cell r="N278">
            <v>1.732053685715</v>
          </cell>
          <cell r="O278">
            <v>2.4925922901519999</v>
          </cell>
          <cell r="X278">
            <v>7.6086525146000006E-2</v>
          </cell>
          <cell r="Y278">
            <v>0.109140312845</v>
          </cell>
          <cell r="Z278">
            <v>0.10035091133</v>
          </cell>
          <cell r="AA278">
            <v>9.4422250678999994E-2</v>
          </cell>
          <cell r="AB278">
            <v>0.1</v>
          </cell>
          <cell r="AC278">
            <v>0.04</v>
          </cell>
          <cell r="AD278">
            <v>0.1</v>
          </cell>
          <cell r="AE278">
            <v>0.1</v>
          </cell>
          <cell r="AF278">
            <v>0.09</v>
          </cell>
          <cell r="AG278">
            <v>0.25</v>
          </cell>
          <cell r="AH278">
            <v>0.2</v>
          </cell>
          <cell r="AI278">
            <v>-0.22</v>
          </cell>
          <cell r="AJ278">
            <v>0.11</v>
          </cell>
          <cell r="AK278">
            <v>-0.05</v>
          </cell>
          <cell r="AL278">
            <v>9.4259348351E-2</v>
          </cell>
          <cell r="AM278">
            <v>0.33815898294800001</v>
          </cell>
          <cell r="AN278">
            <v>0.38239322204999998</v>
          </cell>
          <cell r="AO278">
            <v>0.41126951339399997</v>
          </cell>
          <cell r="AP278">
            <v>0.47443521993100002</v>
          </cell>
          <cell r="AQ278">
            <v>0.46395573033900001</v>
          </cell>
          <cell r="AR278">
            <v>0.56550711359399997</v>
          </cell>
          <cell r="AS278">
            <v>0.60297236714500002</v>
          </cell>
          <cell r="AT278">
            <v>0.67366341128600005</v>
          </cell>
          <cell r="AU278">
            <v>0.650449398126</v>
          </cell>
        </row>
        <row r="279">
          <cell r="B279" t="str">
            <v>EPS (post-exceptionals, diluted)</v>
          </cell>
          <cell r="C279" t="str">
            <v>FULLY_DIL_EPS</v>
          </cell>
          <cell r="D279" t="str">
            <v>CNY</v>
          </cell>
          <cell r="F279">
            <v>1.96</v>
          </cell>
          <cell r="G279">
            <v>1.9</v>
          </cell>
          <cell r="H279">
            <v>0.28000000000000003</v>
          </cell>
          <cell r="I279">
            <v>0.31</v>
          </cell>
          <cell r="J279">
            <v>0.38</v>
          </cell>
          <cell r="K279">
            <v>0.34</v>
          </cell>
          <cell r="L279">
            <v>0.32</v>
          </cell>
          <cell r="M279">
            <v>0.63503786846900001</v>
          </cell>
          <cell r="N279">
            <v>1.732053685715</v>
          </cell>
          <cell r="O279">
            <v>2.4925922901519999</v>
          </cell>
          <cell r="X279">
            <v>7.6086525146000006E-2</v>
          </cell>
          <cell r="Y279">
            <v>0.109140312845</v>
          </cell>
          <cell r="Z279">
            <v>0.10035091133</v>
          </cell>
          <cell r="AA279">
            <v>9.4422250678999994E-2</v>
          </cell>
          <cell r="AB279">
            <v>0.1</v>
          </cell>
          <cell r="AC279">
            <v>0.04</v>
          </cell>
          <cell r="AD279">
            <v>0.11</v>
          </cell>
          <cell r="AE279">
            <v>0.09</v>
          </cell>
          <cell r="AF279">
            <v>0.09</v>
          </cell>
          <cell r="AG279">
            <v>0.25</v>
          </cell>
          <cell r="AH279">
            <v>0.2</v>
          </cell>
          <cell r="AI279">
            <v>-0.22</v>
          </cell>
          <cell r="AJ279">
            <v>0.11</v>
          </cell>
          <cell r="AK279">
            <v>-0.05</v>
          </cell>
          <cell r="AL279">
            <v>9.4259348351E-2</v>
          </cell>
          <cell r="AM279">
            <v>0.33815898294800001</v>
          </cell>
          <cell r="AN279">
            <v>0.38239322204999998</v>
          </cell>
          <cell r="AO279">
            <v>0.41126951339399997</v>
          </cell>
          <cell r="AP279">
            <v>0.47443521993100002</v>
          </cell>
          <cell r="AQ279">
            <v>0.46395573033900001</v>
          </cell>
          <cell r="AR279">
            <v>0.56550711359399997</v>
          </cell>
          <cell r="AS279">
            <v>0.60297236714500002</v>
          </cell>
          <cell r="AT279">
            <v>0.67366341128600005</v>
          </cell>
          <cell r="AU279">
            <v>0.650449398126</v>
          </cell>
        </row>
        <row r="280">
          <cell r="B280" t="str">
            <v>Common dividends paid</v>
          </cell>
          <cell r="C280" t="str">
            <v>COMMON_DIV_PAID</v>
          </cell>
          <cell r="D280" t="str">
            <v>CNY</v>
          </cell>
          <cell r="F280">
            <v>-15.5886514</v>
          </cell>
          <cell r="G280">
            <v>-120.04779309</v>
          </cell>
          <cell r="H280">
            <v>-24.146021189999999</v>
          </cell>
          <cell r="I280">
            <v>-41.26079112</v>
          </cell>
          <cell r="J280">
            <v>-31.402496410000001</v>
          </cell>
          <cell r="K280">
            <v>-30.88499079</v>
          </cell>
          <cell r="L280">
            <v>-120.58205257</v>
          </cell>
          <cell r="M280">
            <v>-221.98943085861001</v>
          </cell>
          <cell r="N280">
            <v>-880.03097727234399</v>
          </cell>
          <cell r="O280">
            <v>-1266.4494450347099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</row>
        <row r="281">
          <cell r="B281" t="str">
            <v>DPS, dividend per share</v>
          </cell>
          <cell r="C281" t="str">
            <v>DPS</v>
          </cell>
          <cell r="D281" t="str">
            <v>CNY</v>
          </cell>
          <cell r="K281">
            <v>4.4999999999999998E-2</v>
          </cell>
          <cell r="L281">
            <v>0.18</v>
          </cell>
          <cell r="M281">
            <v>0.37659543832100001</v>
          </cell>
          <cell r="N281">
            <v>1.027156882061</v>
          </cell>
          <cell r="O281">
            <v>1.4781778106050001</v>
          </cell>
        </row>
        <row r="282">
          <cell r="B282" t="str">
            <v>Weighted average shares outstanding, basic</v>
          </cell>
          <cell r="C282" t="str">
            <v>SH</v>
          </cell>
          <cell r="F282">
            <v>44.030168464286</v>
          </cell>
          <cell r="G282">
            <v>67.011104973683999</v>
          </cell>
          <cell r="H282">
            <v>349.90014724999997</v>
          </cell>
          <cell r="I282">
            <v>372.16061990322601</v>
          </cell>
          <cell r="J282">
            <v>372.87084047368398</v>
          </cell>
          <cell r="K282">
            <v>403.40093529411803</v>
          </cell>
          <cell r="L282">
            <v>432.24490118750202</v>
          </cell>
          <cell r="M282">
            <v>589.46393999999998</v>
          </cell>
          <cell r="N282">
            <v>856.76394000000005</v>
          </cell>
          <cell r="O282">
            <v>856.76394000000005</v>
          </cell>
          <cell r="X282">
            <v>372.87084047368398</v>
          </cell>
          <cell r="Y282">
            <v>372.87084047368398</v>
          </cell>
          <cell r="Z282">
            <v>372.87084047368398</v>
          </cell>
          <cell r="AA282">
            <v>372.87084047368398</v>
          </cell>
          <cell r="AB282">
            <v>359.66747939999999</v>
          </cell>
          <cell r="AC282">
            <v>571.08440700000006</v>
          </cell>
          <cell r="AD282">
            <v>415.47628759999998</v>
          </cell>
          <cell r="AE282">
            <v>367.98565020000001</v>
          </cell>
          <cell r="AF282">
            <v>476.44481688888902</v>
          </cell>
          <cell r="AG282">
            <v>451.62875695999998</v>
          </cell>
          <cell r="AH282">
            <v>448.26991444999999</v>
          </cell>
          <cell r="AI282">
            <v>486.921987590909</v>
          </cell>
          <cell r="AJ282">
            <v>464.26297654545499</v>
          </cell>
          <cell r="AK282">
            <v>515.69011999999998</v>
          </cell>
          <cell r="AL282">
            <v>629.38139333333299</v>
          </cell>
          <cell r="AM282">
            <v>856.76394000000005</v>
          </cell>
          <cell r="AN282">
            <v>856.76394000000005</v>
          </cell>
          <cell r="AO282">
            <v>856.76394000000005</v>
          </cell>
          <cell r="AP282">
            <v>856.76394000000005</v>
          </cell>
          <cell r="AQ282">
            <v>856.76394000000005</v>
          </cell>
          <cell r="AR282">
            <v>856.76394000000005</v>
          </cell>
          <cell r="AS282">
            <v>856.76394000000005</v>
          </cell>
          <cell r="AT282">
            <v>856.76394000000005</v>
          </cell>
          <cell r="AU282">
            <v>856.76394000000005</v>
          </cell>
        </row>
        <row r="283">
          <cell r="B283" t="str">
            <v>Diluted average shares outstanding (mn)</v>
          </cell>
          <cell r="C283" t="str">
            <v>DILUTE_SHARES</v>
          </cell>
          <cell r="F283">
            <v>44.030168464286</v>
          </cell>
          <cell r="G283">
            <v>67.011104973683999</v>
          </cell>
          <cell r="H283">
            <v>349.90014724999997</v>
          </cell>
          <cell r="I283">
            <v>372.16061990322601</v>
          </cell>
          <cell r="J283">
            <v>372.87084047368398</v>
          </cell>
          <cell r="K283">
            <v>403.40093529411803</v>
          </cell>
          <cell r="L283">
            <v>432.24490118750202</v>
          </cell>
          <cell r="M283">
            <v>589.46393999999998</v>
          </cell>
          <cell r="N283">
            <v>856.76394000000005</v>
          </cell>
          <cell r="O283">
            <v>856.76394000000005</v>
          </cell>
          <cell r="X283">
            <v>372.87084047368398</v>
          </cell>
          <cell r="Y283">
            <v>372.87084047368398</v>
          </cell>
          <cell r="Z283">
            <v>372.87084047368398</v>
          </cell>
          <cell r="AA283">
            <v>372.87084047368398</v>
          </cell>
          <cell r="AB283">
            <v>359.66747939999999</v>
          </cell>
          <cell r="AC283">
            <v>571.08440700000006</v>
          </cell>
          <cell r="AD283">
            <v>377.705716</v>
          </cell>
          <cell r="AE283">
            <v>408.87294466666702</v>
          </cell>
          <cell r="AF283">
            <v>476.44481688888902</v>
          </cell>
          <cell r="AG283">
            <v>451.62875695999998</v>
          </cell>
          <cell r="AH283">
            <v>448.26991444999999</v>
          </cell>
          <cell r="AI283">
            <v>486.921987590909</v>
          </cell>
          <cell r="AJ283">
            <v>464.26297654545499</v>
          </cell>
          <cell r="AK283">
            <v>515.69011999999998</v>
          </cell>
          <cell r="AL283">
            <v>629.38139333333299</v>
          </cell>
          <cell r="AM283">
            <v>856.76394000000005</v>
          </cell>
          <cell r="AN283">
            <v>856.76394000000005</v>
          </cell>
          <cell r="AO283">
            <v>856.76394000000005</v>
          </cell>
          <cell r="AP283">
            <v>856.76394000000005</v>
          </cell>
          <cell r="AQ283">
            <v>856.76394000000005</v>
          </cell>
          <cell r="AR283">
            <v>856.76394000000005</v>
          </cell>
          <cell r="AS283">
            <v>856.76394000000005</v>
          </cell>
          <cell r="AT283">
            <v>856.76394000000005</v>
          </cell>
          <cell r="AU283">
            <v>856.76394000000005</v>
          </cell>
        </row>
        <row r="284">
          <cell r="B284" t="str">
            <v>Period-end shares outstanding</v>
          </cell>
          <cell r="C284" t="str">
            <v>NON_OP_ADD</v>
          </cell>
          <cell r="F284">
            <v>44</v>
          </cell>
          <cell r="G284">
            <v>90</v>
          </cell>
          <cell r="H284">
            <v>144</v>
          </cell>
          <cell r="I284">
            <v>144</v>
          </cell>
          <cell r="J284">
            <v>374.4</v>
          </cell>
          <cell r="K284">
            <v>455.81394</v>
          </cell>
          <cell r="L284">
            <v>455.81394</v>
          </cell>
          <cell r="M284">
            <v>856.76394000000005</v>
          </cell>
          <cell r="N284">
            <v>856.76394000000005</v>
          </cell>
          <cell r="O284">
            <v>856.76394000000005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</row>
        <row r="285">
          <cell r="A285" t="str">
            <v>Additional Income Statement Items</v>
          </cell>
        </row>
        <row r="286">
          <cell r="B286" t="str">
            <v>Marginal tax rate</v>
          </cell>
          <cell r="C286" t="str">
            <v>MARGIN_TAX_RATE</v>
          </cell>
          <cell r="F286">
            <v>0.14494297175000001</v>
          </cell>
          <cell r="G286">
            <v>9.2616472386000001E-2</v>
          </cell>
          <cell r="H286">
            <v>0.158466222819</v>
          </cell>
          <cell r="I286">
            <v>0.13372563773900001</v>
          </cell>
          <cell r="J286">
            <v>7.3699498877999994E-2</v>
          </cell>
          <cell r="K286">
            <v>0.15120773141300001</v>
          </cell>
          <cell r="L286">
            <v>0.22471689884099999</v>
          </cell>
          <cell r="M286">
            <v>7.2822028326999994E-2</v>
          </cell>
          <cell r="N286">
            <v>0.06</v>
          </cell>
          <cell r="O286">
            <v>0.06</v>
          </cell>
          <cell r="X286">
            <v>0.138550256461</v>
          </cell>
          <cell r="Y286">
            <v>5.9598042408999997E-2</v>
          </cell>
          <cell r="Z286">
            <v>7.7172899616000004E-2</v>
          </cell>
          <cell r="AA286">
            <v>2.2459250778000001E-2</v>
          </cell>
          <cell r="AB286">
            <v>9.4670598139000001E-2</v>
          </cell>
          <cell r="AC286">
            <v>0</v>
          </cell>
          <cell r="AD286">
            <v>0.20774215281299999</v>
          </cell>
          <cell r="AE286">
            <v>0.210670161848</v>
          </cell>
          <cell r="AF286">
            <v>0.41811518984899998</v>
          </cell>
          <cell r="AG286">
            <v>7.8844128567000002E-2</v>
          </cell>
          <cell r="AH286">
            <v>0.36493241916699998</v>
          </cell>
          <cell r="AI286">
            <v>0.30248903813599998</v>
          </cell>
          <cell r="AJ286">
            <v>1.6600642278E-2</v>
          </cell>
          <cell r="AK286">
            <v>0.39707337085799999</v>
          </cell>
          <cell r="AL286">
            <v>0.22886920203300001</v>
          </cell>
          <cell r="AM286">
            <v>0.06</v>
          </cell>
          <cell r="AN286">
            <v>0.06</v>
          </cell>
          <cell r="AO286">
            <v>0.06</v>
          </cell>
          <cell r="AP286">
            <v>0.06</v>
          </cell>
          <cell r="AQ286">
            <v>0.06</v>
          </cell>
          <cell r="AR286">
            <v>0.06</v>
          </cell>
          <cell r="AS286">
            <v>0.06</v>
          </cell>
          <cell r="AT286">
            <v>0.06</v>
          </cell>
          <cell r="AU286">
            <v>0.06</v>
          </cell>
        </row>
        <row r="287">
          <cell r="B287" t="str">
            <v>Net income (consensus) (Pub)</v>
          </cell>
          <cell r="C287" t="str">
            <v>NI_CONS</v>
          </cell>
          <cell r="D287" t="str">
            <v>CNY</v>
          </cell>
        </row>
        <row r="288">
          <cell r="A288" t="str">
            <v>Balance Sheet</v>
          </cell>
        </row>
        <row r="289">
          <cell r="B289" t="str">
            <v>BVPS, book value per share</v>
          </cell>
          <cell r="C289" t="str">
            <v>BVPS</v>
          </cell>
          <cell r="D289" t="str">
            <v>CNY</v>
          </cell>
          <cell r="F289">
            <v>5.9022295099999997</v>
          </cell>
          <cell r="G289">
            <v>3.8875032392220001</v>
          </cell>
          <cell r="H289">
            <v>3.6086766915280002</v>
          </cell>
          <cell r="I289">
            <v>4.4603906206249997</v>
          </cell>
          <cell r="J289">
            <v>2.160144281624</v>
          </cell>
          <cell r="K289">
            <v>2.5882587440829998</v>
          </cell>
          <cell r="L289">
            <v>8.7402823617020005</v>
          </cell>
          <cell r="M289">
            <v>14.018751156045999</v>
          </cell>
          <cell r="N289">
            <v>14.727244345271</v>
          </cell>
          <cell r="O289">
            <v>15.746834370483</v>
          </cell>
        </row>
        <row r="290">
          <cell r="A290" t="str">
            <v>Cash Flow Statement</v>
          </cell>
        </row>
        <row r="291">
          <cell r="B291" t="str">
            <v>Net income (pre-preferred dividends)</v>
          </cell>
          <cell r="C291" t="str">
            <v>CF_NI_PRE_PREF</v>
          </cell>
          <cell r="D291" t="str">
            <v>CNY</v>
          </cell>
          <cell r="F291">
            <v>86.29913019</v>
          </cell>
          <cell r="G291">
            <v>127.32109945000001</v>
          </cell>
          <cell r="H291">
            <v>97.972041230000002</v>
          </cell>
          <cell r="I291">
            <v>115.36979217</v>
          </cell>
          <cell r="J291">
            <v>141.69091938</v>
          </cell>
          <cell r="K291">
            <v>137.156318</v>
          </cell>
          <cell r="L291">
            <v>138.318368380001</v>
          </cell>
          <cell r="M291">
            <v>374.33192399687198</v>
          </cell>
          <cell r="N291">
            <v>1483.9611400644601</v>
          </cell>
          <cell r="O291">
            <v>2135.5631913239999</v>
          </cell>
        </row>
        <row r="292">
          <cell r="A292" t="str">
            <v>Other Items</v>
          </cell>
        </row>
        <row r="293">
          <cell r="B293" t="str">
            <v>Beta</v>
          </cell>
          <cell r="C293" t="str">
            <v>BETA_ANALYST</v>
          </cell>
        </row>
        <row r="294">
          <cell r="B294" t="str">
            <v>Market equity risk premium</v>
          </cell>
          <cell r="C294" t="str">
            <v>MKT_EQ_RISK_PREM</v>
          </cell>
        </row>
        <row r="295">
          <cell r="B295" t="str">
            <v>Risk-free rate</v>
          </cell>
          <cell r="C295" t="str">
            <v>RISK_FR_RATE</v>
          </cell>
        </row>
      </sheetData>
      <sheetData sheetId="22">
        <row r="1">
          <cell r="A1" t="str">
            <v>509c62e7-bb50-4043-8e88-bbda3cf6aad5</v>
          </cell>
        </row>
        <row r="2">
          <cell r="A2" t="str">
            <v>\\firmwide.corp.gs.com\root\Projects\Research\hk\gc_tech_telco\GC Tech\Models\Will Semi\[Will Semi model_Lynn pub 1104.xlsx]603501.SS_Validation_Sheet</v>
          </cell>
        </row>
        <row r="3">
          <cell r="A3" t="str">
            <v>Enabled</v>
          </cell>
        </row>
        <row r="7">
          <cell r="A7" t="str">
            <v>Scalar|||208019322|||ISSR|||CURRENCY_ISO|||False|||</v>
          </cell>
          <cell r="C7" t="str">
            <v>V_KEYWORD_ISSR_208019322_CURRENCY_ISO</v>
          </cell>
        </row>
        <row r="9">
          <cell r="A9" t="str">
            <v>Scalar|||208019322|||ISSR|||MA_PROB|||False|||</v>
          </cell>
          <cell r="C9" t="str">
            <v>V_KEYWORD_ISSR_208019322_MA_PROB</v>
          </cell>
        </row>
        <row r="11">
          <cell r="A11" t="str">
            <v>Vector|||208019322|||ISSR|||SALES|||False|||</v>
          </cell>
          <cell r="C11" t="str">
            <v>V_KEYWORD_ISSR_208019322_SALES</v>
          </cell>
        </row>
        <row r="12">
          <cell r="A12" t="str">
            <v>Vector|||208019322|||ISSR|||PERSONNEL|||False|||</v>
          </cell>
          <cell r="C12" t="str">
            <v>V_KEYWORD_ISSR_208019322_PERSONNEL</v>
          </cell>
        </row>
        <row r="13">
          <cell r="A13" t="str">
            <v>Vector|||208019322|||ISSR|||COST_GD_SD|||False|||</v>
          </cell>
          <cell r="C13" t="str">
            <v>V_KEYWORD_ISSR_208019322_COST_GD_SD</v>
          </cell>
        </row>
        <row r="14">
          <cell r="A14" t="str">
            <v>Vector|||208019322|||ISSR|||SEL_GL_AD|||False|||</v>
          </cell>
          <cell r="C14" t="str">
            <v>V_KEYWORD_ISSR_208019322_SEL_GL_AD</v>
          </cell>
        </row>
        <row r="15">
          <cell r="A15" t="str">
            <v>Vector|||208019322|||ISSR|||OP_COST|||False|||</v>
          </cell>
          <cell r="C15" t="str">
            <v>V_KEYWORD_ISSR_208019322_OP_COST</v>
          </cell>
        </row>
        <row r="16">
          <cell r="A16" t="str">
            <v>Vector|||208019322|||ISSR|||RD_EXP|||False|||</v>
          </cell>
          <cell r="C16" t="str">
            <v>V_KEYWORD_ISSR_208019322_RD_EXP</v>
          </cell>
        </row>
        <row r="17">
          <cell r="A17" t="str">
            <v>Vector|||208019322|||ISSR|||OTH_OP_INC_EXP|||False|||</v>
          </cell>
          <cell r="C17" t="str">
            <v>V_KEYWORD_ISSR_208019322_OTH_OP_INC_EXP</v>
          </cell>
        </row>
        <row r="18">
          <cell r="A18" t="str">
            <v>Vector|||208019322|||ISSR|||TOT_OPS_EXP_DDA|||False|||</v>
          </cell>
          <cell r="C18" t="str">
            <v>V_KEYWORD_ISSR_208019322_TOT_OPS_EXP_DDA</v>
          </cell>
        </row>
        <row r="19">
          <cell r="A19" t="str">
            <v>Vector|||208019322|||ISSR|||TOT_OPS_EXP|||False|||</v>
          </cell>
          <cell r="C19" t="str">
            <v>V_KEYWORD_ISSR_208019322_TOT_OPS_EXP</v>
          </cell>
        </row>
        <row r="20">
          <cell r="A20" t="str">
            <v>Vector|||208019322|||ISSR|||EBITDA_CALC|||False|||</v>
          </cell>
          <cell r="C20" t="str">
            <v>V_KEYWORD_ISSR_208019322_EBITDA_CALC</v>
          </cell>
        </row>
        <row r="21">
          <cell r="A21" t="str">
            <v>Vector|||208019322|||ISSR|||DEPREC|||False|||</v>
          </cell>
          <cell r="C21" t="str">
            <v>V_KEYWORD_ISSR_208019322_DEPREC</v>
          </cell>
        </row>
        <row r="22">
          <cell r="A22" t="str">
            <v>Vector|||208019322|||ISSR|||GOODWILL_AMORT|||False|||</v>
          </cell>
          <cell r="C22" t="str">
            <v>V_KEYWORD_ISSR_208019322_GOODWILL_AMORT</v>
          </cell>
        </row>
        <row r="23">
          <cell r="A23" t="str">
            <v>Vector|||208019322|||ISSR|||EBIT|||False|||</v>
          </cell>
          <cell r="C23" t="str">
            <v>V_KEYWORD_ISSR_208019322_EBIT</v>
          </cell>
        </row>
        <row r="24">
          <cell r="A24" t="str">
            <v>Vector|||208019322|||ISSR|||INT_INC_IND|||False|||</v>
          </cell>
          <cell r="C24" t="str">
            <v>V_KEYWORD_ISSR_208019322_INT_INC_IND</v>
          </cell>
        </row>
        <row r="25">
          <cell r="A25" t="str">
            <v>Vector|||208019322|||ISSR|||INT_EXP_IND|||False|||</v>
          </cell>
          <cell r="C25" t="str">
            <v>V_KEYWORD_ISSR_208019322_INT_EXP_IND</v>
          </cell>
        </row>
        <row r="26">
          <cell r="A26" t="str">
            <v>Vector|||208019322|||ISSR|||NET_INT_EXP|||False|||</v>
          </cell>
          <cell r="C26" t="str">
            <v>V_KEYWORD_ISSR_208019322_NET_INT_EXP</v>
          </cell>
        </row>
        <row r="27">
          <cell r="A27" t="str">
            <v>Vector|||208019322|||ISSR|||ASSOCIATE|||False|||</v>
          </cell>
          <cell r="C27" t="str">
            <v>V_KEYWORD_ISSR_208019322_ASSOCIATE</v>
          </cell>
        </row>
        <row r="28">
          <cell r="A28" t="str">
            <v>Vector|||208019322|||ISSR|||PROFIT_ON_DISP|||False|||</v>
          </cell>
          <cell r="C28" t="str">
            <v>V_KEYWORD_ISSR_208019322_PROFIT_ON_DISP</v>
          </cell>
        </row>
        <row r="29">
          <cell r="A29" t="str">
            <v>Vector|||208019322|||ISSR|||OTH_COST_INC|||False|||</v>
          </cell>
          <cell r="C29" t="str">
            <v>V_KEYWORD_ISSR_208019322_OTH_COST_INC</v>
          </cell>
        </row>
        <row r="30">
          <cell r="A30" t="str">
            <v>Vector|||208019322|||ISSR|||PT_PROF|||False|||</v>
          </cell>
          <cell r="C30" t="str">
            <v>V_KEYWORD_ISSR_208019322_PT_PROF</v>
          </cell>
        </row>
        <row r="32">
          <cell r="A32" t="str">
            <v>Vector|||208019322|||ISSR|||CONTRIB_MARGIN_RATIO|||False|||</v>
          </cell>
          <cell r="C32" t="str">
            <v>V_KEYWORD_ISSR_208019322_CONTRIB_MARGIN_RATIO</v>
          </cell>
        </row>
        <row r="33">
          <cell r="A33" t="str">
            <v>Vector|||208019322|||ISSR|||LEASE_PAY|||False|||</v>
          </cell>
          <cell r="C33" t="str">
            <v>V_KEYWORD_ISSR_208019322_LEASE_PAY</v>
          </cell>
        </row>
        <row r="34">
          <cell r="A34" t="str">
            <v>Vector|||208019322|||ISSR|||LEASE_DEEM_INT|||False|||</v>
          </cell>
          <cell r="C34" t="str">
            <v>V_KEYWORD_ISSR_208019322_LEASE_DEEM_INT</v>
          </cell>
        </row>
        <row r="35">
          <cell r="A35" t="str">
            <v>Vector|||208019322|||ISSR|||LEASE_DEEM_DEPR|||False|||</v>
          </cell>
          <cell r="C35" t="str">
            <v>V_KEYWORD_ISSR_208019322_LEASE_DEEM_DEPR</v>
          </cell>
        </row>
        <row r="36">
          <cell r="A36" t="str">
            <v>Vector|||208019322|||ISSR|||NET_INT_CH|||False|||</v>
          </cell>
          <cell r="C36" t="str">
            <v>V_KEYWORD_ISSR_208019322_NET_INT_CH</v>
          </cell>
        </row>
        <row r="37">
          <cell r="A37" t="str">
            <v>Vector|||208019322|||ISSR|||ASSOCIATE_OP|||False|||</v>
          </cell>
          <cell r="C37" t="str">
            <v>V_KEYWORD_ISSR_208019322_ASSOCIATE_OP</v>
          </cell>
        </row>
        <row r="38">
          <cell r="A38" t="str">
            <v>Vector|||208019322|||ISSR|||DEPR_ROU_ASSETS|||False|||</v>
          </cell>
          <cell r="C38" t="str">
            <v>V_KEYWORD_ISSR_208019322_DEPR_ROU_ASSETS</v>
          </cell>
        </row>
        <row r="39">
          <cell r="A39" t="str">
            <v>Vector|||208019322|||ISSR|||LEASE_INT_CHG|||False|||</v>
          </cell>
          <cell r="C39" t="str">
            <v>V_KEYWORD_ISSR_208019322_LEASE_INT_CHG</v>
          </cell>
        </row>
        <row r="40">
          <cell r="A40" t="str">
            <v>Scalar|||208019322|||ISSR|||LEASE_ADOPT|||False|||</v>
          </cell>
          <cell r="C40" t="str">
            <v>V_KEYWORD_ISSR_208019322_LEASE_ADOPT</v>
          </cell>
        </row>
        <row r="42">
          <cell r="A42" t="str">
            <v>Vector|||208019322|||ISSR|||CASH_EQ|||False|||</v>
          </cell>
          <cell r="C42" t="str">
            <v>V_KEYWORD_ISSR_208019322_CASH_EQ</v>
          </cell>
        </row>
        <row r="43">
          <cell r="A43" t="str">
            <v>Vector|||208019322|||ISSR|||DEBTORS|||False|||</v>
          </cell>
          <cell r="C43" t="str">
            <v>V_KEYWORD_ISSR_208019322_DEBTORS</v>
          </cell>
        </row>
        <row r="44">
          <cell r="A44" t="str">
            <v>Vector|||208019322|||ISSR|||STOCKS|||False|||</v>
          </cell>
          <cell r="C44" t="str">
            <v>V_KEYWORD_ISSR_208019322_STOCKS</v>
          </cell>
        </row>
        <row r="45">
          <cell r="A45" t="str">
            <v>Vector|||208019322|||ISSR|||OTH_CUR_ASS|||False|||</v>
          </cell>
          <cell r="C45" t="str">
            <v>V_KEYWORD_ISSR_208019322_OTH_CUR_ASS</v>
          </cell>
        </row>
        <row r="46">
          <cell r="A46" t="str">
            <v>Vector|||208019322|||ISSR|||CUR_ASS|||False|||</v>
          </cell>
          <cell r="C46" t="str">
            <v>V_KEYWORD_ISSR_208019322_CUR_ASS</v>
          </cell>
        </row>
        <row r="47">
          <cell r="A47" t="str">
            <v>Vector|||208019322|||ISSR|||GR_FIX_ASS|||False|||</v>
          </cell>
          <cell r="C47" t="str">
            <v>V_KEYWORD_ISSR_208019322_GR_FIX_ASS</v>
          </cell>
        </row>
        <row r="48">
          <cell r="A48" t="str">
            <v>Vector|||208019322|||ISSR|||ACC_DDA|||False|||</v>
          </cell>
          <cell r="C48" t="str">
            <v>V_KEYWORD_ISSR_208019322_ACC_DDA</v>
          </cell>
        </row>
        <row r="49">
          <cell r="A49" t="str">
            <v>Vector|||208019322|||ISSR|||NET_FIX_ASS|||False|||</v>
          </cell>
          <cell r="C49" t="str">
            <v>V_KEYWORD_ISSR_208019322_NET_FIX_ASS</v>
          </cell>
        </row>
        <row r="50">
          <cell r="A50" t="str">
            <v>Vector|||208019322|||ISSR|||GR_INTANG|||False|||</v>
          </cell>
          <cell r="C50" t="str">
            <v>V_KEYWORD_ISSR_208019322_GR_INTANG</v>
          </cell>
        </row>
        <row r="51">
          <cell r="A51" t="str">
            <v>Vector|||208019322|||ISSR|||ACC_AMORT|||False|||</v>
          </cell>
          <cell r="C51" t="str">
            <v>V_KEYWORD_ISSR_208019322_ACC_AMORT</v>
          </cell>
        </row>
        <row r="52">
          <cell r="A52" t="str">
            <v>Vector|||208019322|||ISSR|||NET_INTANG|||False|||</v>
          </cell>
          <cell r="C52" t="str">
            <v>V_KEYWORD_ISSR_208019322_NET_INTANG</v>
          </cell>
        </row>
        <row r="53">
          <cell r="A53" t="str">
            <v>Vector|||208019322|||ISSR|||FIX_ASS_INV|||False|||</v>
          </cell>
          <cell r="C53" t="str">
            <v>V_KEYWORD_ISSR_208019322_FIX_ASS_INV</v>
          </cell>
        </row>
        <row r="54">
          <cell r="A54" t="str">
            <v>Vector|||208019322|||ISSR|||INV_SECUR|||False|||</v>
          </cell>
          <cell r="C54" t="str">
            <v>V_KEYWORD_ISSR_208019322_INV_SECUR</v>
          </cell>
        </row>
        <row r="55">
          <cell r="A55" t="str">
            <v>Vector|||208019322|||ISSR|||OTH_LT_ASS|||False|||</v>
          </cell>
          <cell r="C55" t="str">
            <v>V_KEYWORD_ISSR_208019322_OTH_LT_ASS</v>
          </cell>
        </row>
        <row r="56">
          <cell r="A56" t="str">
            <v>Vector|||208019322|||ISSR|||TOT_ASSET|||False|||</v>
          </cell>
          <cell r="C56" t="str">
            <v>V_KEYWORD_ISSR_208019322_TOT_ASSET</v>
          </cell>
        </row>
        <row r="57">
          <cell r="A57" t="str">
            <v>Vector|||208019322|||ISSR|||ACC_PAY_GQ|||False|||</v>
          </cell>
          <cell r="C57" t="str">
            <v>V_KEYWORD_ISSR_208019322_ACC_PAY_GQ</v>
          </cell>
        </row>
        <row r="58">
          <cell r="A58" t="str">
            <v>Vector|||208019322|||ISSR|||SHORT_T_DEBT|||False|||</v>
          </cell>
          <cell r="C58" t="str">
            <v>V_KEYWORD_ISSR_208019322_SHORT_T_DEBT</v>
          </cell>
        </row>
        <row r="59">
          <cell r="A59" t="str">
            <v>Vector|||208019322|||ISSR|||ST_LEASE_LIAB|||False|||</v>
          </cell>
          <cell r="C59" t="str">
            <v>V_KEYWORD_ISSR_208019322_ST_LEASE_LIAB</v>
          </cell>
        </row>
        <row r="60">
          <cell r="A60" t="str">
            <v>Vector|||208019322|||ISSR|||OTH_CUR_LIABS|||False|||</v>
          </cell>
          <cell r="C60" t="str">
            <v>V_KEYWORD_ISSR_208019322_OTH_CUR_LIABS</v>
          </cell>
        </row>
        <row r="61">
          <cell r="A61" t="str">
            <v>Vector|||208019322|||ISSR|||SHORT_TERM_LIABS|||False|||</v>
          </cell>
          <cell r="C61" t="str">
            <v>V_KEYWORD_ISSR_208019322_SHORT_TERM_LIABS</v>
          </cell>
        </row>
        <row r="62">
          <cell r="A62" t="str">
            <v>Vector|||208019322|||ISSR|||LT_DEBT|||False|||</v>
          </cell>
          <cell r="C62" t="str">
            <v>V_KEYWORD_ISSR_208019322_LT_DEBT</v>
          </cell>
        </row>
        <row r="63">
          <cell r="A63" t="str">
            <v>Vector|||208019322|||ISSR|||LT_LEASE_LIAB|||False|||</v>
          </cell>
          <cell r="C63" t="str">
            <v>V_KEYWORD_ISSR_208019322_LT_LEASE_LIAB</v>
          </cell>
        </row>
        <row r="64">
          <cell r="A64" t="str">
            <v>Vector|||208019322|||ISSR|||OTH_LT_CRED_GQ|||False|||</v>
          </cell>
          <cell r="C64" t="str">
            <v>V_KEYWORD_ISSR_208019322_OTH_LT_CRED_GQ</v>
          </cell>
        </row>
        <row r="65">
          <cell r="A65" t="str">
            <v>Vector|||208019322|||ISSR|||TOT_LT_LIAB|||False|||</v>
          </cell>
          <cell r="C65" t="str">
            <v>V_KEYWORD_ISSR_208019322_TOT_LT_LIAB</v>
          </cell>
        </row>
        <row r="66">
          <cell r="A66" t="str">
            <v>Vector|||208019322|||ISSR|||TOT_LIAB|||False|||</v>
          </cell>
          <cell r="C66" t="str">
            <v>V_KEYWORD_ISSR_208019322_TOT_LIAB</v>
          </cell>
        </row>
        <row r="67">
          <cell r="A67" t="str">
            <v>Vector|||208019322|||ISSR|||PREF_SH|||False|||</v>
          </cell>
          <cell r="C67" t="str">
            <v>V_KEYWORD_ISSR_208019322_PREF_SH</v>
          </cell>
        </row>
        <row r="68">
          <cell r="A68" t="str">
            <v>Vector|||208019322|||ISSR|||ORD_SH_FUND|||False|||</v>
          </cell>
          <cell r="C68" t="str">
            <v>V_KEYWORD_ISSR_208019322_ORD_SH_FUND</v>
          </cell>
        </row>
        <row r="69">
          <cell r="A69" t="str">
            <v>Vector|||208019322|||ISSR|||MINORITIES|||False|||</v>
          </cell>
          <cell r="C69" t="str">
            <v>V_KEYWORD_ISSR_208019322_MINORITIES</v>
          </cell>
        </row>
        <row r="70">
          <cell r="A70" t="str">
            <v>Vector|||208019322|||ISSR|||EQ|||False|||</v>
          </cell>
          <cell r="C70" t="str">
            <v>V_KEYWORD_ISSR_208019322_EQ</v>
          </cell>
        </row>
        <row r="71">
          <cell r="A71" t="str">
            <v>Vector|||208019322|||ISSR|||TOT_LIAB_EQ|||False|||</v>
          </cell>
          <cell r="C71" t="str">
            <v>V_KEYWORD_ISSR_208019322_TOT_LIAB_EQ</v>
          </cell>
        </row>
        <row r="73">
          <cell r="A73" t="str">
            <v>Vector|||208019322|||ISSR|||TOT_USD_DEBT|||False|||</v>
          </cell>
          <cell r="C73" t="str">
            <v>V_KEYWORD_ISSR_208019322_TOT_USD_DEBT</v>
          </cell>
        </row>
        <row r="74">
          <cell r="A74" t="str">
            <v>Vector|||208019322|||ISSR|||TOT_PCT_USD_DEBT_HEDGED|||False|||</v>
          </cell>
          <cell r="C74" t="str">
            <v>V_KEYWORD_ISSR_208019322_TOT_PCT_USD_DEBT_HEDGED</v>
          </cell>
        </row>
        <row r="75">
          <cell r="A75" t="str">
            <v>Vector|||208019322|||ISSR|||FLOATING_PCT_LOCAL_DEBT|||False|||</v>
          </cell>
          <cell r="C75" t="str">
            <v>V_KEYWORD_ISSR_208019322_FLOATING_PCT_LOCAL_DEBT</v>
          </cell>
        </row>
        <row r="76">
          <cell r="A76" t="str">
            <v>Vector|||208019322|||ISSR|||FLOATING_PCT_LOCAL_DEBT_HEDGED|||False|||</v>
          </cell>
          <cell r="C76" t="str">
            <v>V_KEYWORD_ISSR_208019322_FLOATING_PCT_LOCAL_DEBT_HEDGED</v>
          </cell>
        </row>
        <row r="77">
          <cell r="A77" t="str">
            <v>Vector|||208019322|||ISSR|||NET_DEBT|||False|||</v>
          </cell>
          <cell r="C77" t="str">
            <v>V_KEYWORD_ISSR_208019322_NET_DEBT</v>
          </cell>
        </row>
        <row r="78">
          <cell r="A78" t="str">
            <v>Vector|||208019322|||ISSR|||CAP_LEASES|||False|||</v>
          </cell>
          <cell r="C78" t="str">
            <v>V_KEYWORD_ISSR_208019322_CAP_LEASES</v>
          </cell>
        </row>
        <row r="79">
          <cell r="A79" t="str">
            <v>Vector|||208019322|||ISSR|||DEF_INC_TAX|||False|||</v>
          </cell>
          <cell r="C79" t="str">
            <v>V_KEYWORD_ISSR_208019322_DEF_INC_TAX</v>
          </cell>
        </row>
        <row r="80">
          <cell r="A80" t="str">
            <v>Vector|||208019322|||ISSR|||MV_ASSOCIATES|||False|||</v>
          </cell>
          <cell r="C80" t="str">
            <v>V_KEYWORD_ISSR_208019322_MV_ASSOCIATES</v>
          </cell>
        </row>
        <row r="81">
          <cell r="A81" t="str">
            <v>Vector|||208019322|||ISSR|||NET_DEBT_ADJ|||False|||</v>
          </cell>
          <cell r="C81" t="str">
            <v>V_KEYWORD_ISSR_208019322_NET_DEBT_ADJ</v>
          </cell>
        </row>
        <row r="82">
          <cell r="A82" t="str">
            <v>Vector|||208019322|||ISSR|||CO_BOR_MARGIN|||False|||</v>
          </cell>
          <cell r="C82" t="str">
            <v>V_KEYWORD_ISSR_208019322_CO_BOR_MARGIN</v>
          </cell>
        </row>
        <row r="83">
          <cell r="A83" t="str">
            <v>Vector|||208019322|||ISSR|||UNF_PENS|||False|||</v>
          </cell>
          <cell r="C83" t="str">
            <v>V_KEYWORD_ISSR_208019322_UNF_PENS</v>
          </cell>
        </row>
        <row r="84">
          <cell r="A84" t="str">
            <v>Vector|||208019322|||ISSR|||UNF_PENS_OFF|||False|||</v>
          </cell>
          <cell r="C84" t="str">
            <v>V_KEYWORD_ISSR_208019322_UNF_PENS_OFF</v>
          </cell>
        </row>
        <row r="85">
          <cell r="A85" t="str">
            <v>Vector|||208019322|||ISSR|||UNF_PENS_LIAB_OTH|||False|||</v>
          </cell>
          <cell r="C85" t="str">
            <v>V_KEYWORD_ISSR_208019322_UNF_PENS_LIAB_OTH</v>
          </cell>
        </row>
        <row r="86">
          <cell r="A86" t="str">
            <v>Vector|||208019322|||ISSR|||ADJ_UNF_PENS_GOOD|||False|||</v>
          </cell>
          <cell r="C86" t="str">
            <v>V_KEYWORD_ISSR_208019322_ADJ_UNF_PENS_GOOD</v>
          </cell>
        </row>
        <row r="87">
          <cell r="A87" t="str">
            <v>Vector|||208019322|||ISSR|||OTH_GCI_ADJ|||False|||</v>
          </cell>
          <cell r="C87" t="str">
            <v>V_KEYWORD_ISSR_208019322_OTH_GCI_ADJ</v>
          </cell>
        </row>
        <row r="88">
          <cell r="A88" t="str">
            <v>Vector|||208019322|||ISSR|||GCI_INFL|||False|||</v>
          </cell>
          <cell r="C88" t="str">
            <v>V_KEYWORD_ISSR_208019322_GCI_INFL</v>
          </cell>
        </row>
        <row r="89">
          <cell r="A89" t="str">
            <v>Vector|||208019322|||ISSR|||BAL_MINO_INT|||False|||</v>
          </cell>
          <cell r="C89" t="str">
            <v>V_KEYWORD_ISSR_208019322_BAL_MINO_INT</v>
          </cell>
        </row>
        <row r="90">
          <cell r="A90" t="str">
            <v>Vector|||208019322|||ISSR|||ROU_ASSET|||False|||</v>
          </cell>
          <cell r="C90" t="str">
            <v>V_KEYWORD_ISSR_208019322_ROU_ASSET</v>
          </cell>
        </row>
        <row r="92">
          <cell r="A92" t="str">
            <v>Vector|||208019322|||ISSR|||CF_INC_MINORITY|||False|||</v>
          </cell>
          <cell r="C92" t="str">
            <v>V_KEYWORD_ISSR_208019322_CF_INC_MINORITY</v>
          </cell>
        </row>
        <row r="93">
          <cell r="A93" t="str">
            <v>Vector|||208019322|||ISSR|||DEPR_AMORT|||False|||</v>
          </cell>
          <cell r="C93" t="str">
            <v>V_KEYWORD_ISSR_208019322_DEPR_AMORT</v>
          </cell>
        </row>
        <row r="94">
          <cell r="A94" t="str">
            <v>Vector|||208019322|||ISSR|||WORK_CAP|||False|||</v>
          </cell>
          <cell r="C94" t="str">
            <v>V_KEYWORD_ISSR_208019322_WORK_CAP</v>
          </cell>
        </row>
        <row r="95">
          <cell r="A95" t="str">
            <v>Vector|||208019322|||ISSR|||OTH_OP_CF|||False|||</v>
          </cell>
          <cell r="C95" t="str">
            <v>V_KEYWORD_ISSR_208019322_OTH_OP_CF</v>
          </cell>
        </row>
        <row r="96">
          <cell r="A96" t="str">
            <v>Vector|||208019322|||ISSR|||CF_OPS|||False|||</v>
          </cell>
          <cell r="C96" t="str">
            <v>V_KEYWORD_ISSR_208019322_CF_OPS</v>
          </cell>
        </row>
        <row r="97">
          <cell r="A97" t="str">
            <v>Vector|||208019322|||ISSR|||CAPEX|||False|||</v>
          </cell>
          <cell r="C97" t="str">
            <v>V_KEYWORD_ISSR_208019322_CAPEX</v>
          </cell>
        </row>
        <row r="98">
          <cell r="A98" t="str">
            <v>Vector|||208019322|||ISSR|||ACQ|||False|||</v>
          </cell>
          <cell r="C98" t="str">
            <v>V_KEYWORD_ISSR_208019322_ACQ</v>
          </cell>
        </row>
        <row r="99">
          <cell r="A99" t="str">
            <v>Vector|||208019322|||ISSR|||DIVEST|||False|||</v>
          </cell>
          <cell r="C99" t="str">
            <v>V_KEYWORD_ISSR_208019322_DIVEST</v>
          </cell>
        </row>
        <row r="100">
          <cell r="A100" t="str">
            <v>Vector|||208019322|||ISSR|||OTH_INV_CF|||False|||</v>
          </cell>
          <cell r="C100" t="str">
            <v>V_KEYWORD_ISSR_208019322_OTH_INV_CF</v>
          </cell>
        </row>
        <row r="101">
          <cell r="A101" t="str">
            <v>Vector|||208019322|||ISSR|||CF_INV|||False|||</v>
          </cell>
          <cell r="C101" t="str">
            <v>V_KEYWORD_ISSR_208019322_CF_INV</v>
          </cell>
        </row>
        <row r="102">
          <cell r="A102" t="str">
            <v>Vector|||208019322|||ISSR|||DIV_PAID|||False|||</v>
          </cell>
          <cell r="C102" t="str">
            <v>V_KEYWORD_ISSR_208019322_DIV_PAID</v>
          </cell>
        </row>
        <row r="103">
          <cell r="A103" t="str">
            <v>Vector|||208019322|||ISSR|||SH_REPUR|||False|||</v>
          </cell>
          <cell r="C103" t="str">
            <v>V_KEYWORD_ISSR_208019322_SH_REPUR</v>
          </cell>
        </row>
        <row r="104">
          <cell r="A104" t="str">
            <v>Vector|||208019322|||ISSR|||CHG_LT_DEBT|||False|||</v>
          </cell>
          <cell r="C104" t="str">
            <v>V_KEYWORD_ISSR_208019322_CHG_LT_DEBT</v>
          </cell>
        </row>
        <row r="105">
          <cell r="A105" t="str">
            <v>Vector|||208019322|||ISSR|||LEASE_PRINCIPAL_CASH|||False|||</v>
          </cell>
          <cell r="C105" t="str">
            <v>V_KEYWORD_ISSR_208019322_LEASE_PRINCIPAL_CASH</v>
          </cell>
        </row>
        <row r="106">
          <cell r="A106" t="str">
            <v>Vector|||208019322|||ISSR|||OTH_FIN_CF|||False|||</v>
          </cell>
          <cell r="C106" t="str">
            <v>V_KEYWORD_ISSR_208019322_OTH_FIN_CF</v>
          </cell>
        </row>
        <row r="107">
          <cell r="A107" t="str">
            <v>Vector|||208019322|||ISSR|||CF_FIN|||False|||</v>
          </cell>
          <cell r="C107" t="str">
            <v>V_KEYWORD_ISSR_208019322_CF_FIN</v>
          </cell>
        </row>
        <row r="108">
          <cell r="A108" t="str">
            <v>Vector|||208019322|||ISSR|||TOT_CF|||False|||</v>
          </cell>
          <cell r="C108" t="str">
            <v>V_KEYWORD_ISSR_208019322_TOT_CF</v>
          </cell>
        </row>
        <row r="110">
          <cell r="A110" t="str">
            <v>Vector|||208019322|||ISSR|||ASSOC_JV_ADDBK|||False|||</v>
          </cell>
          <cell r="C110" t="str">
            <v>V_KEYWORD_ISSR_208019322_ASSOC_JV_ADDBK</v>
          </cell>
        </row>
        <row r="111">
          <cell r="A111" t="str">
            <v>Vector|||208019322|||ISSR|||PL_SALE_ASSETS|||False|||</v>
          </cell>
          <cell r="C111" t="str">
            <v>V_KEYWORD_ISSR_208019322_PL_SALE_ASSETS</v>
          </cell>
        </row>
        <row r="112">
          <cell r="A112" t="str">
            <v>Vector|||208019322|||ISSR|||OTH_NONCASH_ADJ|||False|||</v>
          </cell>
          <cell r="C112" t="str">
            <v>V_KEYWORD_ISSR_208019322_OTH_NONCASH_ADJ</v>
          </cell>
        </row>
        <row r="113">
          <cell r="A113" t="str">
            <v>Vector|||208019322|||ISSR|||OTH_DACF_ADJ|||False|||</v>
          </cell>
          <cell r="C113" t="str">
            <v>V_KEYWORD_ISSR_208019322_OTH_DACF_ADJ</v>
          </cell>
        </row>
        <row r="114">
          <cell r="A114" t="str">
            <v>Vector|||208019322|||ISSR|||CASH_INT_EXP|||False|||</v>
          </cell>
          <cell r="C114" t="str">
            <v>V_KEYWORD_ISSR_208019322_CASH_INT_EXP</v>
          </cell>
        </row>
        <row r="115">
          <cell r="A115" t="str">
            <v>Vector|||208019322|||ISSR|||CASH_TAX_EXP|||False|||</v>
          </cell>
          <cell r="C115" t="str">
            <v>V_KEYWORD_ISSR_208019322_CASH_TAX_EXP</v>
          </cell>
        </row>
        <row r="116">
          <cell r="A116" t="str">
            <v>Vector|||208019322|||ISSR|||DIVDS_ASSOC_JV|||False|||</v>
          </cell>
          <cell r="C116" t="str">
            <v>V_KEYWORD_ISSR_208019322_DIVDS_ASSOC_JV</v>
          </cell>
        </row>
        <row r="117">
          <cell r="A117" t="str">
            <v>Vector|||208019322|||ISSR|||CAPEX_MAINTENANCE|||False|||</v>
          </cell>
          <cell r="C117" t="str">
            <v>V_KEYWORD_ISSR_208019322_CAPEX_MAINTENANCE</v>
          </cell>
        </row>
        <row r="118">
          <cell r="A118" t="str">
            <v>Vector|||208019322|||ISSR|||CAPEX_EXPANSION|||False|||</v>
          </cell>
          <cell r="C118" t="str">
            <v>V_KEYWORD_ISSR_208019322_CAPEX_EXPANSION</v>
          </cell>
        </row>
        <row r="119">
          <cell r="A119" t="str">
            <v>Vector|||208019322|||ISSR|||NONPPE_CAPEX|||False|||</v>
          </cell>
          <cell r="C119" t="str">
            <v>V_KEYWORD_ISSR_208019322_NONPPE_CAPEX</v>
          </cell>
        </row>
        <row r="120">
          <cell r="A120" t="str">
            <v>Vector|||208019322|||ISSR|||DIVDS_PD_MINORITIES|||False|||</v>
          </cell>
          <cell r="C120" t="str">
            <v>V_KEYWORD_ISSR_208019322_DIVDS_PD_MINORITIES</v>
          </cell>
        </row>
        <row r="122">
          <cell r="A122" t="str">
            <v>Vector|||208019322|||ISSR|||EMPLOYEES|||False|||</v>
          </cell>
          <cell r="C122" t="str">
            <v>V_KEYWORD_ISSR_208019322_EMPLOYEES</v>
          </cell>
        </row>
        <row r="124">
          <cell r="A124" t="str">
            <v>Vector|||208019322|||ISSR|||SALES_CANADA|||False|||</v>
          </cell>
          <cell r="C124" t="str">
            <v>V_KEYWORD_ISSR_208019322_SALES_CANADA</v>
          </cell>
        </row>
        <row r="125">
          <cell r="A125" t="str">
            <v>Vector|||208019322|||ISSR|||SALES_US|||False|||</v>
          </cell>
          <cell r="C125" t="str">
            <v>V_KEYWORD_ISSR_208019322_SALES_US</v>
          </cell>
        </row>
        <row r="126">
          <cell r="A126" t="str">
            <v>Vector|||208019322|||ISSR|||SALES_OTH_NO_AMER|||False|||</v>
          </cell>
          <cell r="C126" t="str">
            <v>V_KEYWORD_ISSR_208019322_SALES_OTH_NO_AMER</v>
          </cell>
        </row>
        <row r="127">
          <cell r="A127" t="str">
            <v>Vector|||208019322|||ISSR|||SALES_ARGENTINA|||False|||</v>
          </cell>
          <cell r="C127" t="str">
            <v>V_KEYWORD_ISSR_208019322_SALES_ARGENTINA</v>
          </cell>
        </row>
        <row r="128">
          <cell r="A128" t="str">
            <v>Vector|||208019322|||ISSR|||SALES_BRAZIL|||False|||</v>
          </cell>
          <cell r="C128" t="str">
            <v>V_KEYWORD_ISSR_208019322_SALES_BRAZIL</v>
          </cell>
        </row>
        <row r="129">
          <cell r="A129" t="str">
            <v>Vector|||208019322|||ISSR|||SALES_CHILE|||False|||</v>
          </cell>
          <cell r="C129" t="str">
            <v>V_KEYWORD_ISSR_208019322_SALES_CHILE</v>
          </cell>
        </row>
        <row r="130">
          <cell r="A130" t="str">
            <v>Vector|||208019322|||ISSR|||SALES_COLOMBIA|||False|||</v>
          </cell>
          <cell r="C130" t="str">
            <v>V_KEYWORD_ISSR_208019322_SALES_COLOMBIA</v>
          </cell>
        </row>
        <row r="131">
          <cell r="A131" t="str">
            <v>Vector|||208019322|||ISSR|||SALES_MEXICO|||False|||</v>
          </cell>
          <cell r="C131" t="str">
            <v>V_KEYWORD_ISSR_208019322_SALES_MEXICO</v>
          </cell>
        </row>
        <row r="132">
          <cell r="A132" t="str">
            <v>Vector|||208019322|||ISSR|||SALES_VENEZUELA|||False|||</v>
          </cell>
          <cell r="C132" t="str">
            <v>V_KEYWORD_ISSR_208019322_SALES_VENEZUELA</v>
          </cell>
        </row>
        <row r="133">
          <cell r="A133" t="str">
            <v>Vector|||208019322|||ISSR|||SALES_OTH_LATAM|||False|||</v>
          </cell>
          <cell r="C133" t="str">
            <v>V_KEYWORD_ISSR_208019322_SALES_OTH_LATAM</v>
          </cell>
        </row>
        <row r="134">
          <cell r="A134" t="str">
            <v>Vector|||208019322|||ISSR|||SALES_AUSTRIA|||False|||</v>
          </cell>
          <cell r="C134" t="str">
            <v>V_KEYWORD_ISSR_208019322_SALES_AUSTRIA</v>
          </cell>
        </row>
        <row r="135">
          <cell r="A135" t="str">
            <v>Vector|||208019322|||ISSR|||SALES_BEL|||False|||</v>
          </cell>
          <cell r="C135" t="str">
            <v>V_KEYWORD_ISSR_208019322_SALES_BEL</v>
          </cell>
        </row>
        <row r="136">
          <cell r="A136" t="str">
            <v>Vector|||208019322|||ISSR|||SALES_FRA|||False|||</v>
          </cell>
          <cell r="C136" t="str">
            <v>V_KEYWORD_ISSR_208019322_SALES_FRA</v>
          </cell>
        </row>
        <row r="137">
          <cell r="A137" t="str">
            <v>Vector|||208019322|||ISSR|||SALES_GER|||False|||</v>
          </cell>
          <cell r="C137" t="str">
            <v>V_KEYWORD_ISSR_208019322_SALES_GER</v>
          </cell>
        </row>
        <row r="138">
          <cell r="A138" t="str">
            <v>Vector|||208019322|||ISSR|||SALES_GRE|||False|||</v>
          </cell>
          <cell r="C138" t="str">
            <v>V_KEYWORD_ISSR_208019322_SALES_GRE</v>
          </cell>
        </row>
        <row r="139">
          <cell r="A139" t="str">
            <v>Vector|||208019322|||ISSR|||SALES_IRE|||False|||</v>
          </cell>
          <cell r="C139" t="str">
            <v>V_KEYWORD_ISSR_208019322_SALES_IRE</v>
          </cell>
        </row>
        <row r="140">
          <cell r="A140" t="str">
            <v>Vector|||208019322|||ISSR|||SALES_ITA|||False|||</v>
          </cell>
          <cell r="C140" t="str">
            <v>V_KEYWORD_ISSR_208019322_SALES_ITA</v>
          </cell>
        </row>
        <row r="141">
          <cell r="A141" t="str">
            <v>Vector|||208019322|||ISSR|||SALES_NETH|||False|||</v>
          </cell>
          <cell r="C141" t="str">
            <v>V_KEYWORD_ISSR_208019322_SALES_NETH</v>
          </cell>
        </row>
        <row r="142">
          <cell r="A142" t="str">
            <v>Vector|||208019322|||ISSR|||SALES_NOR|||False|||</v>
          </cell>
          <cell r="C142" t="str">
            <v>V_KEYWORD_ISSR_208019322_SALES_NOR</v>
          </cell>
        </row>
        <row r="143">
          <cell r="A143" t="str">
            <v>Vector|||208019322|||ISSR|||SALES_POR|||False|||</v>
          </cell>
          <cell r="C143" t="str">
            <v>V_KEYWORD_ISSR_208019322_SALES_POR</v>
          </cell>
        </row>
        <row r="144">
          <cell r="A144" t="str">
            <v>Vector|||208019322|||ISSR|||SALES_SPA|||False|||</v>
          </cell>
          <cell r="C144" t="str">
            <v>V_KEYWORD_ISSR_208019322_SALES_SPA</v>
          </cell>
        </row>
        <row r="145">
          <cell r="A145" t="str">
            <v>Vector|||208019322|||ISSR|||SALES_SWE|||False|||</v>
          </cell>
          <cell r="C145" t="str">
            <v>V_KEYWORD_ISSR_208019322_SALES_SWE</v>
          </cell>
        </row>
        <row r="146">
          <cell r="A146" t="str">
            <v>Vector|||208019322|||ISSR|||SALES_SWIT|||False|||</v>
          </cell>
          <cell r="C146" t="str">
            <v>V_KEYWORD_ISSR_208019322_SALES_SWIT</v>
          </cell>
        </row>
        <row r="147">
          <cell r="A147" t="str">
            <v>Vector|||208019322|||ISSR|||SALES_UK|||False|||</v>
          </cell>
          <cell r="C147" t="str">
            <v>V_KEYWORD_ISSR_208019322_SALES_UK</v>
          </cell>
        </row>
        <row r="148">
          <cell r="A148" t="str">
            <v>Vector|||208019322|||ISSR|||SALES_OTH_WEST_EURO|||False|||</v>
          </cell>
          <cell r="C148" t="str">
            <v>V_KEYWORD_ISSR_208019322_SALES_OTH_WEST_EURO</v>
          </cell>
        </row>
        <row r="149">
          <cell r="A149" t="str">
            <v>Vector|||208019322|||ISSR|||SALES_POLAND|||False|||</v>
          </cell>
          <cell r="C149" t="str">
            <v>V_KEYWORD_ISSR_208019322_SALES_POLAND</v>
          </cell>
        </row>
        <row r="150">
          <cell r="A150" t="str">
            <v>Vector|||208019322|||ISSR|||SALES_RUSSIA|||False|||</v>
          </cell>
          <cell r="C150" t="str">
            <v>V_KEYWORD_ISSR_208019322_SALES_RUSSIA</v>
          </cell>
        </row>
        <row r="151">
          <cell r="A151" t="str">
            <v>Vector|||208019322|||ISSR|||SALES_TURKEY|||False|||</v>
          </cell>
          <cell r="C151" t="str">
            <v>V_KEYWORD_ISSR_208019322_SALES_TURKEY</v>
          </cell>
        </row>
        <row r="152">
          <cell r="A152" t="str">
            <v>Vector|||208019322|||ISSR|||SALES_OTH_CEE|||False|||</v>
          </cell>
          <cell r="C152" t="str">
            <v>V_KEYWORD_ISSR_208019322_SALES_OTH_CEE</v>
          </cell>
        </row>
        <row r="153">
          <cell r="A153" t="str">
            <v>Vector|||208019322|||ISSR|||SALES_SAUDI_ARABIA|||False|||</v>
          </cell>
          <cell r="C153" t="str">
            <v>V_KEYWORD_ISSR_208019322_SALES_SAUDI_ARABIA</v>
          </cell>
        </row>
        <row r="154">
          <cell r="A154" t="str">
            <v>Vector|||208019322|||ISSR|||SALES_UAE|||False|||</v>
          </cell>
          <cell r="C154" t="str">
            <v>V_KEYWORD_ISSR_208019322_SALES_UAE</v>
          </cell>
        </row>
        <row r="155">
          <cell r="A155" t="str">
            <v>Vector|||208019322|||ISSR|||SALES_OTH_ME|||False|||</v>
          </cell>
          <cell r="C155" t="str">
            <v>V_KEYWORD_ISSR_208019322_SALES_OTH_ME</v>
          </cell>
        </row>
        <row r="156">
          <cell r="A156" t="str">
            <v>Vector|||208019322|||ISSR|||SALES_NIGERIA|||False|||</v>
          </cell>
          <cell r="C156" t="str">
            <v>V_KEYWORD_ISSR_208019322_SALES_NIGERIA</v>
          </cell>
        </row>
        <row r="157">
          <cell r="A157" t="str">
            <v>Vector|||208019322|||ISSR|||SALES_SO_AFRICA|||False|||</v>
          </cell>
          <cell r="C157" t="str">
            <v>V_KEYWORD_ISSR_208019322_SALES_SO_AFRICA</v>
          </cell>
        </row>
        <row r="158">
          <cell r="A158" t="str">
            <v>Vector|||208019322|||ISSR|||SALES_OTH_AFRICA|||False|||</v>
          </cell>
          <cell r="C158" t="str">
            <v>V_KEYWORD_ISSR_208019322_SALES_OTH_AFRICA</v>
          </cell>
        </row>
        <row r="159">
          <cell r="A159" t="str">
            <v>Vector|||208019322|||ISSR|||SALES_HONG_KONG|||False|||</v>
          </cell>
          <cell r="C159" t="str">
            <v>V_KEYWORD_ISSR_208019322_SALES_HONG_KONG</v>
          </cell>
        </row>
        <row r="160">
          <cell r="A160" t="str">
            <v>Vector|||208019322|||ISSR|||SALES_JAPAN|||False|||</v>
          </cell>
          <cell r="C160" t="str">
            <v>V_KEYWORD_ISSR_208019322_SALES_JAPAN</v>
          </cell>
        </row>
        <row r="161">
          <cell r="A161" t="str">
            <v>Vector|||208019322|||ISSR|||SALES_SINGAPORE|||False|||</v>
          </cell>
          <cell r="C161" t="str">
            <v>V_KEYWORD_ISSR_208019322_SALES_SINGAPORE</v>
          </cell>
        </row>
        <row r="162">
          <cell r="A162" t="str">
            <v>Vector|||208019322|||ISSR|||SALES_SK|||False|||</v>
          </cell>
          <cell r="C162" t="str">
            <v>V_KEYWORD_ISSR_208019322_SALES_SK</v>
          </cell>
        </row>
        <row r="163">
          <cell r="A163" t="str">
            <v>Vector|||208019322|||ISSR|||SALES_TAIWAN|||False|||</v>
          </cell>
          <cell r="C163" t="str">
            <v>V_KEYWORD_ISSR_208019322_SALES_TAIWAN</v>
          </cell>
        </row>
        <row r="164">
          <cell r="A164" t="str">
            <v>Vector|||208019322|||ISSR|||SALES_OTH_DEV_ASIA|||False|||</v>
          </cell>
          <cell r="C164" t="str">
            <v>V_KEYWORD_ISSR_208019322_SALES_OTH_DEV_ASIA</v>
          </cell>
        </row>
        <row r="165">
          <cell r="A165" t="str">
            <v>Vector|||208019322|||ISSR|||SALES_CHINA|||False|||</v>
          </cell>
          <cell r="C165" t="str">
            <v>V_KEYWORD_ISSR_208019322_SALES_CHINA</v>
          </cell>
        </row>
        <row r="166">
          <cell r="A166" t="str">
            <v>Vector|||208019322|||ISSR|||SALES_INDIA|||False|||</v>
          </cell>
          <cell r="C166" t="str">
            <v>V_KEYWORD_ISSR_208019322_SALES_INDIA</v>
          </cell>
        </row>
        <row r="167">
          <cell r="A167" t="str">
            <v>Vector|||208019322|||ISSR|||SALES_INDONESIA|||False|||</v>
          </cell>
          <cell r="C167" t="str">
            <v>V_KEYWORD_ISSR_208019322_SALES_INDONESIA</v>
          </cell>
        </row>
        <row r="168">
          <cell r="A168" t="str">
            <v>Vector|||208019322|||ISSR|||SALES_THAILAND|||False|||</v>
          </cell>
          <cell r="C168" t="str">
            <v>V_KEYWORD_ISSR_208019322_SALES_THAILAND</v>
          </cell>
        </row>
        <row r="169">
          <cell r="A169" t="str">
            <v>Vector|||208019322|||ISSR|||SALES_OTH_EMERG_ASIA|||False|||</v>
          </cell>
          <cell r="C169" t="str">
            <v>V_KEYWORD_ISSR_208019322_SALES_OTH_EMERG_ASIA</v>
          </cell>
        </row>
        <row r="170">
          <cell r="A170" t="str">
            <v>Vector|||208019322|||ISSR|||SALES_AUSTRA|||False|||</v>
          </cell>
          <cell r="C170" t="str">
            <v>V_KEYWORD_ISSR_208019322_SALES_AUSTRA</v>
          </cell>
        </row>
        <row r="171">
          <cell r="A171" t="str">
            <v>Vector|||208019322|||ISSR|||SALES_NZ|||False|||</v>
          </cell>
          <cell r="C171" t="str">
            <v>V_KEYWORD_ISSR_208019322_SALES_NZ</v>
          </cell>
        </row>
        <row r="172">
          <cell r="A172" t="str">
            <v>Vector|||208019322|||ISSR|||SALES_OTHER|||False|||</v>
          </cell>
          <cell r="C172" t="str">
            <v>V_KEYWORD_ISSR_208019322_SALES_OTHER</v>
          </cell>
        </row>
        <row r="173">
          <cell r="A173" t="str">
            <v>Vector|||208019322|||ISSR|||COGS_PCT_US|||False|||</v>
          </cell>
          <cell r="C173" t="str">
            <v>V_KEYWORD_ISSR_208019322_COGS_PCT_US</v>
          </cell>
        </row>
        <row r="174">
          <cell r="A174" t="str">
            <v>Vector|||208019322|||ISSR|||COGS_PCT_ROW|||False|||</v>
          </cell>
          <cell r="C174" t="str">
            <v>V_KEYWORD_ISSR_208019322_COGS_PCT_ROW</v>
          </cell>
        </row>
        <row r="175">
          <cell r="A175" t="str">
            <v>Vector|||208019322|||ISSR|||SGA_PCT_US|||False|||</v>
          </cell>
          <cell r="C175" t="str">
            <v>V_KEYWORD_ISSR_208019322_SGA_PCT_US</v>
          </cell>
        </row>
        <row r="176">
          <cell r="A176" t="str">
            <v>Vector|||208019322|||ISSR|||SGA_PCT_ROW|||False|||</v>
          </cell>
          <cell r="C176" t="str">
            <v>V_KEYWORD_ISSR_208019322_SGA_PCT_ROW</v>
          </cell>
        </row>
        <row r="177">
          <cell r="A177" t="str">
            <v>Vector|||208019322|||ISSR|||SALES_CONS|||False|||</v>
          </cell>
          <cell r="C177" t="str">
            <v>V_KEYWORD_ISSR_208019322_SALES_CONS</v>
          </cell>
        </row>
        <row r="178">
          <cell r="A178" t="str">
            <v>Vector|||208019322|||ISSR|||SALES_IND|||False|||</v>
          </cell>
          <cell r="C178" t="str">
            <v>V_KEYWORD_ISSR_208019322_SALES_IND</v>
          </cell>
        </row>
        <row r="179">
          <cell r="A179" t="str">
            <v>Vector|||208019322|||ISSR|||SALES_GOV|||False|||</v>
          </cell>
          <cell r="C179" t="str">
            <v>V_KEYWORD_ISSR_208019322_SALES_GOV</v>
          </cell>
        </row>
        <row r="180">
          <cell r="A180" t="str">
            <v>Vector|||208019322|||ISSR|||SALES_FINAN|||False|||</v>
          </cell>
          <cell r="C180" t="str">
            <v>V_KEYWORD_ISSR_208019322_SALES_FINAN</v>
          </cell>
        </row>
        <row r="181">
          <cell r="A181" t="str">
            <v>Vector|||208019322|||ISSR|||SALES_OIL_GAS|||False|||</v>
          </cell>
          <cell r="C181" t="str">
            <v>V_KEYWORD_ISSR_208019322_SALES_OIL_GAS</v>
          </cell>
        </row>
        <row r="183">
          <cell r="A183" t="str">
            <v>Vector|||208019322|||ISSR|||EXP_OIL_PETRO_FUEL|||False|||</v>
          </cell>
          <cell r="C183" t="str">
            <v>V_KEYWORD_ISSR_208019322_EXP_OIL_PETRO_FUEL</v>
          </cell>
        </row>
        <row r="184">
          <cell r="A184" t="str">
            <v>Vector|||208019322|||ISSR|||EXP_OIL_DERIV_NGLS_PLASTICS|||False|||</v>
          </cell>
          <cell r="C184" t="str">
            <v>V_KEYWORD_ISSR_208019322_EXP_OIL_DERIV_NGLS_PLASTICS</v>
          </cell>
        </row>
        <row r="185">
          <cell r="A185" t="str">
            <v>Vector|||208019322|||ISSR|||EXP_GOLD|||False|||</v>
          </cell>
          <cell r="C185" t="str">
            <v>V_KEYWORD_ISSR_208019322_EXP_GOLD</v>
          </cell>
        </row>
        <row r="186">
          <cell r="A186" t="str">
            <v>Vector|||208019322|||ISSR|||EXP_COPPER|||False|||</v>
          </cell>
          <cell r="C186" t="str">
            <v>V_KEYWORD_ISSR_208019322_EXP_COPPER</v>
          </cell>
        </row>
        <row r="187">
          <cell r="A187" t="str">
            <v>Vector|||208019322|||ISSR|||EXP_SILVER|||False|||</v>
          </cell>
          <cell r="C187" t="str">
            <v>V_KEYWORD_ISSR_208019322_EXP_SILVER</v>
          </cell>
        </row>
        <row r="188">
          <cell r="A188" t="str">
            <v>Vector|||208019322|||ISSR|||EXP_PLATINUM|||False|||</v>
          </cell>
          <cell r="C188" t="str">
            <v>V_KEYWORD_ISSR_208019322_EXP_PLATINUM</v>
          </cell>
        </row>
        <row r="189">
          <cell r="A189" t="str">
            <v>Vector|||208019322|||ISSR|||EXP_PALLADIUM|||False|||</v>
          </cell>
          <cell r="C189" t="str">
            <v>V_KEYWORD_ISSR_208019322_EXP_PALLADIUM</v>
          </cell>
        </row>
        <row r="190">
          <cell r="A190" t="str">
            <v>Vector|||208019322|||ISSR|||EXP_ALUMINIUM|||False|||</v>
          </cell>
          <cell r="C190" t="str">
            <v>V_KEYWORD_ISSR_208019322_EXP_ALUMINIUM</v>
          </cell>
        </row>
        <row r="191">
          <cell r="A191" t="str">
            <v>Vector|||208019322|||ISSR|||EXP_NICKEL|||False|||</v>
          </cell>
          <cell r="C191" t="str">
            <v>V_KEYWORD_ISSR_208019322_EXP_NICKEL</v>
          </cell>
        </row>
        <row r="192">
          <cell r="A192" t="str">
            <v>Vector|||208019322|||ISSR|||EXP_ZINC|||False|||</v>
          </cell>
          <cell r="C192" t="str">
            <v>V_KEYWORD_ISSR_208019322_EXP_ZINC</v>
          </cell>
        </row>
        <row r="193">
          <cell r="A193" t="str">
            <v>Vector|||208019322|||ISSR|||EXP_PAPER_PULP|||False|||</v>
          </cell>
          <cell r="C193" t="str">
            <v>V_KEYWORD_ISSR_208019322_EXP_PAPER_PULP</v>
          </cell>
        </row>
        <row r="194">
          <cell r="A194" t="str">
            <v>Vector|||208019322|||ISSR|||EXP_GLASS|||False|||</v>
          </cell>
          <cell r="C194" t="str">
            <v>V_KEYWORD_ISSR_208019322_EXP_GLASS</v>
          </cell>
        </row>
        <row r="195">
          <cell r="A195" t="str">
            <v>Vector|||208019322|||ISSR|||EXP_WATER|||False|||</v>
          </cell>
          <cell r="C195" t="str">
            <v>V_KEYWORD_ISSR_208019322_EXP_WATER</v>
          </cell>
        </row>
        <row r="196">
          <cell r="A196" t="str">
            <v>Vector|||208019322|||ISSR|||EXP_OTH_COMMODITY|||False|||</v>
          </cell>
          <cell r="C196" t="str">
            <v>V_KEYWORD_ISSR_208019322_EXP_OTH_COMMODITY</v>
          </cell>
        </row>
        <row r="197">
          <cell r="A197" t="str">
            <v>Vector|||208019322|||ISSR|||EXP_OTH_COST|||False|||</v>
          </cell>
          <cell r="C197" t="str">
            <v>V_KEYWORD_ISSR_208019322_EXP_OTH_COST</v>
          </cell>
        </row>
        <row r="199">
          <cell r="A199" t="str">
            <v>Vector|||208019322|||ISSR|||SALES_FX_GPB|||False|||</v>
          </cell>
          <cell r="C199" t="str">
            <v>V_KEYWORD_ISSR_208019322_SALES_FX_GPB</v>
          </cell>
        </row>
        <row r="200">
          <cell r="A200" t="str">
            <v>Vector|||208019322|||ISSR|||SALES_FX_EUR|||False|||</v>
          </cell>
          <cell r="C200" t="str">
            <v>V_KEYWORD_ISSR_208019322_SALES_FX_EUR</v>
          </cell>
        </row>
        <row r="201">
          <cell r="A201" t="str">
            <v>Vector|||208019322|||ISSR|||SALES_FX_RUB|||False|||</v>
          </cell>
          <cell r="C201" t="str">
            <v>V_KEYWORD_ISSR_208019322_SALES_FX_RUB</v>
          </cell>
        </row>
        <row r="202">
          <cell r="A202" t="str">
            <v>Vector|||208019322|||ISSR|||SALES_FX_USD|||False|||</v>
          </cell>
          <cell r="C202" t="str">
            <v>V_KEYWORD_ISSR_208019322_SALES_FX_USD</v>
          </cell>
        </row>
        <row r="203">
          <cell r="A203" t="str">
            <v>Vector|||208019322|||ISSR|||SALES_FX_BRL|||False|||</v>
          </cell>
          <cell r="C203" t="str">
            <v>V_KEYWORD_ISSR_208019322_SALES_FX_BRL</v>
          </cell>
        </row>
        <row r="204">
          <cell r="A204" t="str">
            <v>Vector|||208019322|||ISSR|||SALES_FX_YEN|||False|||</v>
          </cell>
          <cell r="C204" t="str">
            <v>V_KEYWORD_ISSR_208019322_SALES_FX_YEN</v>
          </cell>
        </row>
        <row r="205">
          <cell r="A205" t="str">
            <v>Vector|||208019322|||ISSR|||SALES_FX_CNY|||False|||</v>
          </cell>
          <cell r="C205" t="str">
            <v>V_KEYWORD_ISSR_208019322_SALES_FX_CNY</v>
          </cell>
        </row>
        <row r="206">
          <cell r="A206" t="str">
            <v>Vector|||208019322|||ISSR|||SALES_FX_INR|||False|||</v>
          </cell>
          <cell r="C206" t="str">
            <v>V_KEYWORD_ISSR_208019322_SALES_FX_INR</v>
          </cell>
        </row>
        <row r="207">
          <cell r="A207" t="str">
            <v>Vector|||208019322|||ISSR|||SALES_FX_KRW|||False|||</v>
          </cell>
          <cell r="C207" t="str">
            <v>V_KEYWORD_ISSR_208019322_SALES_FX_KRW</v>
          </cell>
        </row>
        <row r="208">
          <cell r="A208" t="str">
            <v>Vector|||208019322|||ISSR|||SALES_FX_TWD|||False|||</v>
          </cell>
          <cell r="C208" t="str">
            <v>V_KEYWORD_ISSR_208019322_SALES_FX_TWD</v>
          </cell>
        </row>
        <row r="209">
          <cell r="A209" t="str">
            <v>Vector|||208019322|||ISSR|||SALES_FX_OTH|||False|||</v>
          </cell>
          <cell r="C209" t="str">
            <v>V_KEYWORD_ISSR_208019322_SALES_FX_OTH</v>
          </cell>
        </row>
        <row r="211">
          <cell r="A211" t="str">
            <v>Vector|||208019322|||ISSR|||SALES_TOT_AM|||False|||</v>
          </cell>
          <cell r="C211" t="str">
            <v>V_KEYWORD_ISSR_208019322_SALES_TOT_AM</v>
          </cell>
        </row>
        <row r="212">
          <cell r="A212" t="str">
            <v>Vector|||208019322|||ISSR|||SALES_OTH_AM|||False|||</v>
          </cell>
          <cell r="C212" t="str">
            <v>V_KEYWORD_ISSR_208019322_SALES_OTH_AM</v>
          </cell>
        </row>
        <row r="213">
          <cell r="A213" t="str">
            <v>Vector|||208019322|||ISSR|||SALES_TOT_EMEA|||False|||</v>
          </cell>
          <cell r="C213" t="str">
            <v>V_KEYWORD_ISSR_208019322_SALES_TOT_EMEA</v>
          </cell>
        </row>
        <row r="214">
          <cell r="A214" t="str">
            <v>Vector|||208019322|||ISSR|||SALES_EU_EX_UK|||False|||</v>
          </cell>
          <cell r="C214" t="str">
            <v>V_KEYWORD_ISSR_208019322_SALES_EU_EX_UK</v>
          </cell>
        </row>
        <row r="215">
          <cell r="A215" t="str">
            <v>Vector|||208019322|||ISSR|||SALES_CEE|||False|||</v>
          </cell>
          <cell r="C215" t="str">
            <v>V_KEYWORD_ISSR_208019322_SALES_CEE</v>
          </cell>
        </row>
        <row r="216">
          <cell r="A216" t="str">
            <v>Vector|||208019322|||ISSR|||SALES_ME|||False|||</v>
          </cell>
          <cell r="C216" t="str">
            <v>V_KEYWORD_ISSR_208019322_SALES_ME</v>
          </cell>
        </row>
        <row r="217">
          <cell r="A217" t="str">
            <v>Vector|||208019322|||ISSR|||SALES_TOT_AFRICA|||False|||</v>
          </cell>
          <cell r="C217" t="str">
            <v>V_KEYWORD_ISSR_208019322_SALES_TOT_AFRICA</v>
          </cell>
        </row>
        <row r="218">
          <cell r="A218" t="str">
            <v>Vector|||208019322|||ISSR|||SALES_OTH_EMEA|||False|||</v>
          </cell>
          <cell r="C218" t="str">
            <v>V_KEYWORD_ISSR_208019322_SALES_OTH_EMEA</v>
          </cell>
        </row>
        <row r="219">
          <cell r="A219" t="str">
            <v>Vector|||208019322|||ISSR|||SALES_TOT_ASIA|||False|||</v>
          </cell>
          <cell r="C219" t="str">
            <v>V_KEYWORD_ISSR_208019322_SALES_TOT_ASIA</v>
          </cell>
        </row>
        <row r="220">
          <cell r="A220" t="str">
            <v>Vector|||208019322|||ISSR|||SALES_OTH_AEJ|||False|||</v>
          </cell>
          <cell r="C220" t="str">
            <v>V_KEYWORD_ISSR_208019322_SALES_OTH_AEJ</v>
          </cell>
        </row>
        <row r="226">
          <cell r="A226" t="str">
            <v>Scalar|||200020296|||EQTY|||PUB_CURRENCY_ISO|||False|||</v>
          </cell>
          <cell r="C226" t="str">
            <v>V_KEYWORD_EQTY_200020296_PUB_CURRENCY_ISO</v>
          </cell>
        </row>
        <row r="227">
          <cell r="A227" t="str">
            <v>Scalar|||200020296|||EQTY|||PRICE_CURRENCY_ISO|||False|||</v>
          </cell>
          <cell r="C227" t="str">
            <v>V_KEYWORD_EQTY_200020296_PRICE_CURRENCY_ISO</v>
          </cell>
        </row>
        <row r="228">
          <cell r="A228" t="str">
            <v>Scalar|||200020296|||EQTY|||CURRENCY_ISO|||False|||</v>
          </cell>
          <cell r="C228" t="str">
            <v>V_KEYWORD_EQTY_200020296_CURRENCY_ISO</v>
          </cell>
        </row>
        <row r="230">
          <cell r="A230" t="str">
            <v>Scalar|||200020296|||EQTY|||AEJ_LIST|||False|||</v>
          </cell>
          <cell r="C230" t="str">
            <v>V_KEYWORD_EQTY_200020296_AEJ_LIST</v>
          </cell>
        </row>
        <row r="231">
          <cell r="A231" t="str">
            <v>Scalar|||200020296|||EQTY|||AEJ_CONVICTION|||False|||</v>
          </cell>
          <cell r="C231" t="str">
            <v>V_KEYWORD_EQTY_200020296_AEJ_CONVICTION</v>
          </cell>
        </row>
        <row r="232">
          <cell r="A232" t="str">
            <v>Scalar|||200020296|||EQTY|||LEGAL_RATING|||False|||</v>
          </cell>
          <cell r="C232" t="str">
            <v>V_KEYWORD_EQTY_200020296_LEGAL_RATING</v>
          </cell>
        </row>
        <row r="233">
          <cell r="A233" t="str">
            <v>Scalar|||200020296|||EQTY|||TARGET_PRICE|||False|||</v>
          </cell>
          <cell r="C233" t="str">
            <v>V_KEYWORD_EQTY_200020296_TARGET_PRICE</v>
          </cell>
        </row>
        <row r="234">
          <cell r="A234" t="str">
            <v>Scalar|||200020296|||EQTY|||TP_PERIOD|||False|||</v>
          </cell>
          <cell r="C234" t="str">
            <v>V_KEYWORD_EQTY_200020296_TP_PERIOD</v>
          </cell>
        </row>
        <row r="235">
          <cell r="A235" t="str">
            <v>Scalar|||200020296|||EQTY|||TARGET_PRICE_FUNDAMENTAL|||False|||</v>
          </cell>
          <cell r="C235" t="str">
            <v>V_KEYWORD_EQTY_200020296_TARGET_PRICE_FUNDAMENTAL</v>
          </cell>
        </row>
        <row r="236">
          <cell r="A236" t="str">
            <v>Scalar|||200020296|||EQTY|||TARGET_PRICE_MA|||False|||</v>
          </cell>
          <cell r="C236" t="str">
            <v>V_KEYWORD_EQTY_200020296_TARGET_PRICE_MA</v>
          </cell>
        </row>
        <row r="237">
          <cell r="A237" t="str">
            <v>Scalar|||200020296|||EQTY|||NUM_SH|||False|||</v>
          </cell>
          <cell r="C237" t="str">
            <v>V_KEYWORD_EQTY_200020296_NUM_SH</v>
          </cell>
        </row>
        <row r="238">
          <cell r="A238" t="str">
            <v>Scalar|||200020296|||EQTY|||FREE_FLOAT|||False|||</v>
          </cell>
          <cell r="C238" t="str">
            <v>V_KEYWORD_EQTY_200020296_FREE_FLOAT</v>
          </cell>
        </row>
        <row r="239">
          <cell r="A239" t="str">
            <v>Scalar|||200020296|||EQTY|||FOREIGN_HOLDNG|||False|||</v>
          </cell>
          <cell r="C239" t="str">
            <v>V_KEYWORD_EQTY_200020296_FOREIGN_HOLDNG</v>
          </cell>
        </row>
        <row r="240">
          <cell r="A240" t="str">
            <v>Scalar|||200020296|||EQTY|||CATALYST1_DATE|||True|||</v>
          </cell>
          <cell r="C240" t="str">
            <v>V_KEYWORD_EQTY_200020296_CATALYST1_DATE</v>
          </cell>
        </row>
        <row r="241">
          <cell r="A241" t="str">
            <v>Scalar|||200020296|||EQTY|||CATALYST1_EVENT|||False|||</v>
          </cell>
          <cell r="C241" t="str">
            <v>V_KEYWORD_EQTY_200020296_CATALYST1_EVENT</v>
          </cell>
        </row>
        <row r="242">
          <cell r="A242" t="str">
            <v>Scalar|||200020296|||EQTY|||CATALYST2_DATE|||True|||</v>
          </cell>
          <cell r="C242" t="str">
            <v>V_KEYWORD_EQTY_200020296_CATALYST2_DATE</v>
          </cell>
        </row>
        <row r="243">
          <cell r="A243" t="str">
            <v>Scalar|||200020296|||EQTY|||CATALYST2_EVENT|||False|||</v>
          </cell>
          <cell r="C243" t="str">
            <v>V_KEYWORD_EQTY_200020296_CATALYST2_EVENT</v>
          </cell>
        </row>
        <row r="244">
          <cell r="A244" t="str">
            <v>Scalar|||200020296|||EQTY|||CATALYST3_DATE|||True|||</v>
          </cell>
          <cell r="C244" t="str">
            <v>V_KEYWORD_EQTY_200020296_CATALYST3_DATE</v>
          </cell>
        </row>
        <row r="245">
          <cell r="A245" t="str">
            <v>Scalar|||200020296|||EQTY|||CATALYST3_EVENT|||False|||</v>
          </cell>
          <cell r="C245" t="str">
            <v>V_KEYWORD_EQTY_200020296_CATALYST3_EVENT</v>
          </cell>
        </row>
        <row r="246">
          <cell r="A246" t="str">
            <v>Scalar|||200020296|||EQTY|||CATALYST4_DATE|||True|||</v>
          </cell>
          <cell r="C246" t="str">
            <v>V_KEYWORD_EQTY_200020296_CATALYST4_DATE</v>
          </cell>
        </row>
        <row r="247">
          <cell r="A247" t="str">
            <v>Scalar|||200020296|||EQTY|||CATALYST4_EVENT|||False|||</v>
          </cell>
          <cell r="C247" t="str">
            <v>V_KEYWORD_EQTY_200020296_CATALYST4_EVENT</v>
          </cell>
        </row>
        <row r="248">
          <cell r="A248" t="str">
            <v>Scalar|||200020296|||EQTY|||CATALYST5_DATE|||True|||</v>
          </cell>
          <cell r="C248" t="str">
            <v>V_KEYWORD_EQTY_200020296_CATALYST5_DATE</v>
          </cell>
        </row>
        <row r="249">
          <cell r="A249" t="str">
            <v>Scalar|||200020296|||EQTY|||CATALYST5_EVENT|||False|||</v>
          </cell>
          <cell r="C249" t="str">
            <v>V_KEYWORD_EQTY_200020296_CATALYST5_EVENT</v>
          </cell>
        </row>
        <row r="250">
          <cell r="A250" t="str">
            <v>Scalar|||200020296|||EQTY|||PRI_TARG_MULT|||False|||</v>
          </cell>
          <cell r="C250" t="str">
            <v>V_KEYWORD_EQTY_200020296_PRI_TARG_MULT</v>
          </cell>
        </row>
        <row r="251">
          <cell r="A251" t="str">
            <v>Scalar|||200020296|||EQTY|||PRI_TARG_METH|||False|||</v>
          </cell>
          <cell r="C251" t="str">
            <v>V_KEYWORD_EQTY_200020296_PRI_TARG_METH</v>
          </cell>
        </row>
        <row r="253">
          <cell r="A253" t="str">
            <v>Vector|||200020296|||EQTY|||BVPS_PUB|||False|||</v>
          </cell>
          <cell r="C253" t="str">
            <v>V_KEYWORD_EQTY_200020296_BVPS_PUB</v>
          </cell>
        </row>
        <row r="254">
          <cell r="A254" t="str">
            <v>Vector|||200020296|||EQTY|||DPS_PUB|||False|||</v>
          </cell>
          <cell r="C254" t="str">
            <v>V_KEYWORD_EQTY_200020296_DPS_PUB</v>
          </cell>
        </row>
        <row r="255">
          <cell r="A255" t="str">
            <v>Vector|||200020296|||EQTY|||DPS_SPECIAL_PUB|||False|||</v>
          </cell>
          <cell r="C255" t="str">
            <v>V_KEYWORD_EQTY_200020296_DPS_SPECIAL_PUB</v>
          </cell>
        </row>
        <row r="256">
          <cell r="A256" t="str">
            <v>Vector|||200020296|||EQTY|||EBITDA_PUB|||False|||</v>
          </cell>
          <cell r="C256" t="str">
            <v>V_KEYWORD_EQTY_200020296_EBITDA_PUB</v>
          </cell>
        </row>
        <row r="257">
          <cell r="A257" t="str">
            <v>Vector|||200020296|||EQTY|||EPS_PUB|||False|||</v>
          </cell>
          <cell r="C257" t="str">
            <v>V_KEYWORD_EQTY_200020296_EPS_PUB</v>
          </cell>
        </row>
        <row r="258">
          <cell r="A258" t="str">
            <v>Vector|||200020296|||EQTY|||EV_ADJ_PUB|||False|||</v>
          </cell>
          <cell r="C258" t="str">
            <v>V_KEYWORD_EQTY_200020296_EV_ADJ_PUB</v>
          </cell>
        </row>
        <row r="259">
          <cell r="A259" t="str">
            <v>Vector|||200020296|||EQTY|||NET_DEBT_PUB|||False|||</v>
          </cell>
          <cell r="C259" t="str">
            <v>V_KEYWORD_EQTY_200020296_NET_DEBT_PUB</v>
          </cell>
        </row>
        <row r="260">
          <cell r="A260" t="str">
            <v>Vector|||200020296|||EQTY|||NET_DEBT_EX_LEASES_PUB|||False|||</v>
          </cell>
          <cell r="C260" t="str">
            <v>V_KEYWORD_EQTY_200020296_NET_DEBT_EX_LEASES_PUB</v>
          </cell>
        </row>
        <row r="261">
          <cell r="A261" t="str">
            <v>Vector|||200020296|||EQTY|||CEEE_NDEBT|||False|||</v>
          </cell>
          <cell r="C261" t="str">
            <v>V_KEYWORD_EQTY_200020296_CEEE_NDEBT</v>
          </cell>
        </row>
        <row r="262">
          <cell r="A262" t="str">
            <v>Vector|||200020296|||EQTY|||NI_PUB|||False|||</v>
          </cell>
          <cell r="C262" t="str">
            <v>V_KEYWORD_EQTY_200020296_NI_PUB</v>
          </cell>
        </row>
        <row r="263">
          <cell r="A263" t="str">
            <v>Vector|||200020296|||EQTY|||EBIT_PUB|||False|||</v>
          </cell>
          <cell r="C263" t="str">
            <v>V_KEYWORD_EQTY_200020296_EBIT_PUB</v>
          </cell>
        </row>
        <row r="264">
          <cell r="A264" t="str">
            <v>Vector|||200020296|||EQTY|||PTP_PUB|||False|||</v>
          </cell>
          <cell r="C264" t="str">
            <v>V_KEYWORD_EQTY_200020296_PTP_PUB</v>
          </cell>
        </row>
        <row r="265">
          <cell r="A265" t="str">
            <v>Vector|||200020296|||EQTY|||REVS_PUB|||False|||</v>
          </cell>
          <cell r="C265" t="str">
            <v>V_KEYWORD_EQTY_200020296_REVS_PUB</v>
          </cell>
        </row>
        <row r="266">
          <cell r="A266" t="str">
            <v>Vector|||200020296|||EQTY|||EQ_PUB|||False|||</v>
          </cell>
          <cell r="C266" t="str">
            <v>V_KEYWORD_EQTY_200020296_EQ_PUB</v>
          </cell>
        </row>
        <row r="267">
          <cell r="A267" t="str">
            <v>Vector|||200020296|||EQTY|||EPS_CONS_PUB|||False|||</v>
          </cell>
          <cell r="C267" t="str">
            <v>V_KEYWORD_EQTY_200020296_EPS_CONS_PUB</v>
          </cell>
        </row>
        <row r="269">
          <cell r="A269" t="str">
            <v>Vector|||200020296|||EQTY|||PROV_INC_TAX|||False|||</v>
          </cell>
          <cell r="C269" t="str">
            <v>V_KEYWORD_EQTY_200020296_PROV_INC_TAX</v>
          </cell>
        </row>
        <row r="270">
          <cell r="A270" t="str">
            <v>Vector|||200020296|||EQTY|||INC_MINORITY|||False|||</v>
          </cell>
          <cell r="C270" t="str">
            <v>V_KEYWORD_EQTY_200020296_INC_MINORITY</v>
          </cell>
        </row>
        <row r="271">
          <cell r="A271" t="str">
            <v>Vector|||200020296|||EQTY|||NI_PRE_PREF|||False|||</v>
          </cell>
          <cell r="C271" t="str">
            <v>V_KEYWORD_EQTY_200020296_NI_PRE_PREF</v>
          </cell>
        </row>
        <row r="272">
          <cell r="A272" t="str">
            <v>Vector|||200020296|||EQTY|||PREF_DIV|||False|||</v>
          </cell>
          <cell r="C272" t="str">
            <v>V_KEYWORD_EQTY_200020296_PREF_DIV</v>
          </cell>
        </row>
        <row r="273">
          <cell r="A273" t="str">
            <v>Vector|||200020296|||EQTY|||NET_EARNING|||False|||</v>
          </cell>
          <cell r="C273" t="str">
            <v>V_KEYWORD_EQTY_200020296_NET_EARNING</v>
          </cell>
        </row>
        <row r="274">
          <cell r="A274" t="str">
            <v>Vector|||200020296|||EQTY|||TAX_EXC|||False|||</v>
          </cell>
          <cell r="C274" t="str">
            <v>V_KEYWORD_EQTY_200020296_TAX_EXC</v>
          </cell>
        </row>
        <row r="275">
          <cell r="A275" t="str">
            <v>Vector|||200020296|||EQTY|||NET_INC|||False|||</v>
          </cell>
          <cell r="C275" t="str">
            <v>V_KEYWORD_EQTY_200020296_NET_INC</v>
          </cell>
        </row>
        <row r="276">
          <cell r="A276" t="str">
            <v>Vector|||200020296|||EQTY|||EPS|||False|||</v>
          </cell>
          <cell r="C276" t="str">
            <v>V_KEYWORD_EQTY_200020296_EPS</v>
          </cell>
        </row>
        <row r="277">
          <cell r="A277" t="str">
            <v>Vector|||200020296|||EQTY|||EPS_FUL_DIL|||False|||</v>
          </cell>
          <cell r="C277" t="str">
            <v>V_KEYWORD_EQTY_200020296_EPS_FUL_DIL</v>
          </cell>
        </row>
        <row r="278">
          <cell r="A278" t="str">
            <v>Vector|||200020296|||EQTY|||EPS_POST_BASIC|||False|||</v>
          </cell>
          <cell r="C278" t="str">
            <v>V_KEYWORD_EQTY_200020296_EPS_POST_BASIC</v>
          </cell>
        </row>
        <row r="279">
          <cell r="A279" t="str">
            <v>Vector|||200020296|||EQTY|||FULLY_DIL_EPS|||False|||</v>
          </cell>
          <cell r="C279" t="str">
            <v>V_KEYWORD_EQTY_200020296_FULLY_DIL_EPS</v>
          </cell>
        </row>
        <row r="280">
          <cell r="A280" t="str">
            <v>Vector|||200020296|||EQTY|||COMMON_DIV_PAID|||False|||</v>
          </cell>
          <cell r="C280" t="str">
            <v>V_KEYWORD_EQTY_200020296_COMMON_DIV_PAID</v>
          </cell>
        </row>
        <row r="281">
          <cell r="A281" t="str">
            <v>Vector|||200020296|||EQTY|||DPS|||False|||</v>
          </cell>
          <cell r="C281" t="str">
            <v>V_KEYWORD_EQTY_200020296_DPS</v>
          </cell>
        </row>
        <row r="282">
          <cell r="A282" t="str">
            <v>Vector|||200020296|||EQTY|||SH|||False|||</v>
          </cell>
          <cell r="C282" t="str">
            <v>V_KEYWORD_EQTY_200020296_SH</v>
          </cell>
        </row>
        <row r="283">
          <cell r="A283" t="str">
            <v>Vector|||200020296|||EQTY|||DILUTE_SHARES|||False|||</v>
          </cell>
          <cell r="C283" t="str">
            <v>V_KEYWORD_EQTY_200020296_DILUTE_SHARES</v>
          </cell>
        </row>
        <row r="284">
          <cell r="A284" t="str">
            <v>Vector|||200020296|||EQTY|||NON_OP_ADD|||False|||</v>
          </cell>
          <cell r="C284" t="str">
            <v>V_KEYWORD_EQTY_200020296_NON_OP_ADD</v>
          </cell>
        </row>
        <row r="286">
          <cell r="A286" t="str">
            <v>Vector|||200020296|||EQTY|||MARGIN_TAX_RATE|||False|||</v>
          </cell>
          <cell r="C286" t="str">
            <v>V_KEYWORD_EQTY_200020296_MARGIN_TAX_RATE</v>
          </cell>
        </row>
        <row r="287">
          <cell r="A287" t="str">
            <v>Vector|||200020296|||EQTY|||NI_CONS|||False|||</v>
          </cell>
          <cell r="C287" t="str">
            <v>V_KEYWORD_EQTY_200020296_NI_CONS</v>
          </cell>
        </row>
        <row r="289">
          <cell r="A289" t="str">
            <v>Vector|||200020296|||EQTY|||BVPS|||False|||</v>
          </cell>
          <cell r="C289" t="str">
            <v>V_KEYWORD_EQTY_200020296_BVPS</v>
          </cell>
        </row>
        <row r="291">
          <cell r="A291" t="str">
            <v>Vector|||200020296|||EQTY|||CF_NI_PRE_PREF|||False|||</v>
          </cell>
          <cell r="C291" t="str">
            <v>V_KEYWORD_EQTY_200020296_CF_NI_PRE_PREF</v>
          </cell>
        </row>
        <row r="293">
          <cell r="A293" t="str">
            <v>Scalar|||200020296|||EQTY|||BETA_ANALYST|||False|||</v>
          </cell>
          <cell r="C293" t="str">
            <v>V_KEYWORD_EQTY_200020296_BETA_ANALYST</v>
          </cell>
        </row>
        <row r="294">
          <cell r="A294" t="str">
            <v>Scalar|||200020296|||EQTY|||MKT_EQ_RISK_PREM|||False|||</v>
          </cell>
          <cell r="C294" t="str">
            <v>V_KEYWORD_EQTY_200020296_MKT_EQ_RISK_PREM</v>
          </cell>
        </row>
        <row r="295">
          <cell r="A295" t="str">
            <v>Scalar|||200020296|||EQTY|||RISK_FR_RATE|||False|||</v>
          </cell>
          <cell r="C295" t="str">
            <v>V_KEYWORD_EQTY_200020296_RISK_FR_RATE</v>
          </cell>
        </row>
      </sheetData>
      <sheetData sheetId="23">
        <row r="9">
          <cell r="B9" t="str">
            <v>M&amp;A probability (1 = high, 3 = low)</v>
          </cell>
          <cell r="C9" t="str">
            <v>MA_PROB</v>
          </cell>
        </row>
        <row r="11">
          <cell r="B11" t="str">
            <v>Sales, net revenue</v>
          </cell>
          <cell r="C11" t="str">
            <v>SALES</v>
          </cell>
          <cell r="D11" t="e">
            <v>#NAME?</v>
          </cell>
        </row>
        <row r="12">
          <cell r="B12" t="str">
            <v>Compensation &amp; benfits expense</v>
          </cell>
          <cell r="C12" t="str">
            <v>PERSONNEL</v>
          </cell>
          <cell r="D12" t="e">
            <v>#NAME?</v>
          </cell>
        </row>
        <row r="13">
          <cell r="B13" t="str">
            <v>Cost of goods sold, COGS</v>
          </cell>
          <cell r="C13" t="str">
            <v>COST_GD_SD</v>
          </cell>
          <cell r="D13" t="e">
            <v>#NAME?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e">
            <v>#NAME?</v>
          </cell>
        </row>
        <row r="15">
          <cell r="B15" t="str">
            <v>Total operating expense</v>
          </cell>
          <cell r="C15" t="str">
            <v>OP_COST</v>
          </cell>
          <cell r="D15" t="e">
            <v>#NAME?</v>
          </cell>
        </row>
        <row r="16">
          <cell r="B16" t="str">
            <v>R&amp;D expense</v>
          </cell>
          <cell r="C16" t="str">
            <v>RD_EXP</v>
          </cell>
          <cell r="D16" t="e">
            <v>#NAME?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e">
            <v>#NAME?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e">
            <v>#NAME?</v>
          </cell>
        </row>
        <row r="19">
          <cell r="B19" t="str">
            <v>Total operating expense (excl. D&amp;A)</v>
          </cell>
          <cell r="C19" t="str">
            <v>TOT_OPS_EXP</v>
          </cell>
          <cell r="D19" t="e">
            <v>#NAME?</v>
          </cell>
        </row>
        <row r="20">
          <cell r="B20" t="str">
            <v>EBITDA</v>
          </cell>
          <cell r="C20" t="str">
            <v>EBITDA_CALC</v>
          </cell>
          <cell r="D20" t="e">
            <v>#NAME?</v>
          </cell>
        </row>
        <row r="21">
          <cell r="B21" t="str">
            <v>Depreciation</v>
          </cell>
          <cell r="C21" t="str">
            <v>DEPREC</v>
          </cell>
          <cell r="D21" t="e">
            <v>#NAME?</v>
          </cell>
        </row>
        <row r="22">
          <cell r="B22" t="str">
            <v>Amortization</v>
          </cell>
          <cell r="C22" t="str">
            <v>GOODWILL_AMORT</v>
          </cell>
          <cell r="D22" t="e">
            <v>#NAME?</v>
          </cell>
        </row>
        <row r="23">
          <cell r="B23" t="str">
            <v>EBIT, operating profit</v>
          </cell>
          <cell r="C23" t="str">
            <v>EBIT</v>
          </cell>
          <cell r="D23" t="e">
            <v>#NAME?</v>
          </cell>
        </row>
        <row r="24">
          <cell r="B24" t="str">
            <v>Interest income</v>
          </cell>
          <cell r="C24" t="str">
            <v>INT_INC_IND</v>
          </cell>
          <cell r="D24" t="e">
            <v>#NAME?</v>
          </cell>
        </row>
        <row r="25">
          <cell r="B25" t="str">
            <v>Interest expense</v>
          </cell>
          <cell r="C25" t="str">
            <v>INT_EXP_IND</v>
          </cell>
          <cell r="D25" t="e">
            <v>#NAME?</v>
          </cell>
        </row>
        <row r="26">
          <cell r="B26" t="str">
            <v>Net interest income/(expense)</v>
          </cell>
          <cell r="C26" t="str">
            <v>NET_INT_EXP</v>
          </cell>
          <cell r="D26" t="e">
            <v>#NAME?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e">
            <v>#NAME?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e">
            <v>#NAME?</v>
          </cell>
        </row>
        <row r="29">
          <cell r="B29" t="str">
            <v>Other non-ops income/(expense)</v>
          </cell>
          <cell r="C29" t="str">
            <v>OTH_COST_INC</v>
          </cell>
          <cell r="D29" t="e">
            <v>#NAME?</v>
          </cell>
        </row>
        <row r="30">
          <cell r="B30" t="str">
            <v>Pre-tax profit</v>
          </cell>
          <cell r="C30" t="str">
            <v>PT_PROF</v>
          </cell>
          <cell r="D30" t="e">
            <v>#NAME?</v>
          </cell>
        </row>
        <row r="32">
          <cell r="B32" t="str">
            <v>Contribution margin ratio</v>
          </cell>
          <cell r="C32" t="str">
            <v>CONTRIB_MARGIN_RATIO</v>
          </cell>
          <cell r="D32" t="e">
            <v>#NAME?</v>
          </cell>
        </row>
        <row r="33">
          <cell r="B33" t="str">
            <v>Operating lease cost</v>
          </cell>
          <cell r="C33" t="str">
            <v>LEASE_PAY</v>
          </cell>
          <cell r="D33" t="e">
            <v>#NAME?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e">
            <v>#NAME?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e">
            <v>#NAME?</v>
          </cell>
        </row>
        <row r="36">
          <cell r="B36" t="str">
            <v>Gross interest charge</v>
          </cell>
          <cell r="C36" t="str">
            <v>NET_INT_CH</v>
          </cell>
          <cell r="D36" t="e">
            <v>#NAME?</v>
          </cell>
        </row>
        <row r="37">
          <cell r="B37" t="str">
            <v>Income from associates (operating)</v>
          </cell>
          <cell r="C37" t="str">
            <v>ASSOCIATE_OP</v>
          </cell>
          <cell r="D37" t="e">
            <v>#NAME?</v>
          </cell>
        </row>
        <row r="40">
          <cell r="B40" t="str">
            <v>Lease standard adopted (US GAAP ASC 842/ IFRS 16)</v>
          </cell>
          <cell r="C40" t="str">
            <v>LEASE_ADOPT</v>
          </cell>
        </row>
        <row r="42">
          <cell r="B42" t="str">
            <v>Cash &amp; cash equivalents</v>
          </cell>
          <cell r="C42" t="str">
            <v>CASH_EQ</v>
          </cell>
          <cell r="D42" t="e">
            <v>#NAME?</v>
          </cell>
        </row>
        <row r="43">
          <cell r="B43" t="str">
            <v>Accounts receivable</v>
          </cell>
          <cell r="C43" t="str">
            <v>DEBTORS</v>
          </cell>
          <cell r="D43" t="e">
            <v>#NAME?</v>
          </cell>
        </row>
        <row r="44">
          <cell r="B44" t="str">
            <v>Inventory</v>
          </cell>
          <cell r="C44" t="str">
            <v>STOCKS</v>
          </cell>
          <cell r="D44" t="e">
            <v>#NAME?</v>
          </cell>
        </row>
        <row r="45">
          <cell r="B45" t="str">
            <v>Other current assets</v>
          </cell>
          <cell r="C45" t="str">
            <v>OTH_CUR_ASS</v>
          </cell>
          <cell r="D45" t="e">
            <v>#NAME?</v>
          </cell>
        </row>
        <row r="46">
          <cell r="B46" t="str">
            <v>Total current assets</v>
          </cell>
          <cell r="C46" t="str">
            <v>CUR_ASS</v>
          </cell>
          <cell r="D46" t="e">
            <v>#NAME?</v>
          </cell>
        </row>
        <row r="47">
          <cell r="B47" t="str">
            <v>Gross fixed assets, PP&amp;E</v>
          </cell>
          <cell r="C47" t="str">
            <v>GR_FIX_ASS</v>
          </cell>
          <cell r="D47" t="e">
            <v>#NAME?</v>
          </cell>
        </row>
        <row r="48">
          <cell r="B48" t="str">
            <v>Accumulated depreciation</v>
          </cell>
          <cell r="C48" t="str">
            <v>ACC_DDA</v>
          </cell>
          <cell r="D48" t="e">
            <v>#NAME?</v>
          </cell>
        </row>
        <row r="49">
          <cell r="B49" t="str">
            <v>Net PP&amp;E</v>
          </cell>
          <cell r="C49" t="str">
            <v>NET_FIX_ASS</v>
          </cell>
          <cell r="D49" t="e">
            <v>#NAME?</v>
          </cell>
        </row>
        <row r="50">
          <cell r="B50" t="str">
            <v>Gross intangibles</v>
          </cell>
          <cell r="C50" t="str">
            <v>GR_INTANG</v>
          </cell>
          <cell r="D50" t="e">
            <v>#NAME?</v>
          </cell>
        </row>
        <row r="51">
          <cell r="B51" t="str">
            <v>Accumulated amortization</v>
          </cell>
          <cell r="C51" t="str">
            <v>ACC_AMORT</v>
          </cell>
          <cell r="D51" t="e">
            <v>#NAME?</v>
          </cell>
        </row>
        <row r="52">
          <cell r="B52" t="str">
            <v>Net intangible assets</v>
          </cell>
          <cell r="C52" t="str">
            <v>NET_INTANG</v>
          </cell>
          <cell r="D52" t="e">
            <v>#NAME?</v>
          </cell>
        </row>
        <row r="53">
          <cell r="B53" t="str">
            <v>Equity method investments</v>
          </cell>
          <cell r="C53" t="str">
            <v>FIX_ASS_INV</v>
          </cell>
          <cell r="D53" t="e">
            <v>#NAME?</v>
          </cell>
        </row>
        <row r="54">
          <cell r="B54" t="str">
            <v>Investments in securities</v>
          </cell>
          <cell r="C54" t="str">
            <v>INV_SECUR</v>
          </cell>
          <cell r="D54" t="e">
            <v>#NAME?</v>
          </cell>
        </row>
        <row r="55">
          <cell r="B55" t="str">
            <v>Other long-term assets</v>
          </cell>
          <cell r="C55" t="str">
            <v>OTH_LT_ASS</v>
          </cell>
          <cell r="D55" t="e">
            <v>#NAME?</v>
          </cell>
        </row>
        <row r="56">
          <cell r="B56" t="str">
            <v>Total assets</v>
          </cell>
          <cell r="C56" t="str">
            <v>TOT_ASSET</v>
          </cell>
          <cell r="D56" t="e">
            <v>#NAME?</v>
          </cell>
        </row>
        <row r="57">
          <cell r="B57" t="str">
            <v>Accounts payable</v>
          </cell>
          <cell r="C57" t="str">
            <v>ACC_PAY_GQ</v>
          </cell>
          <cell r="D57" t="e">
            <v>#NAME?</v>
          </cell>
        </row>
        <row r="58">
          <cell r="B58" t="str">
            <v>Short-term debt</v>
          </cell>
          <cell r="C58" t="str">
            <v>SHORT_T_DEBT</v>
          </cell>
          <cell r="D58" t="e">
            <v>#NAME?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 t="e">
            <v>#NAME?</v>
          </cell>
        </row>
        <row r="60">
          <cell r="B60" t="str">
            <v>Other current liabilities</v>
          </cell>
          <cell r="C60" t="str">
            <v>OTH_CUR_LIABS</v>
          </cell>
          <cell r="D60" t="e">
            <v>#NAME?</v>
          </cell>
        </row>
        <row r="61">
          <cell r="B61" t="str">
            <v>Total current liabilities</v>
          </cell>
          <cell r="C61" t="str">
            <v>SHORT_TERM_LIABS</v>
          </cell>
          <cell r="D61" t="e">
            <v>#NAME?</v>
          </cell>
        </row>
        <row r="62">
          <cell r="B62" t="str">
            <v>Long-term  debt</v>
          </cell>
          <cell r="C62" t="str">
            <v>LT_DEBT</v>
          </cell>
          <cell r="D62" t="e">
            <v>#NAME?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 t="e">
            <v>#NAME?</v>
          </cell>
        </row>
        <row r="64">
          <cell r="B64" t="str">
            <v>Other long-term liabilities</v>
          </cell>
          <cell r="C64" t="str">
            <v>OTH_LT_CRED_GQ</v>
          </cell>
          <cell r="D64" t="e">
            <v>#NAME?</v>
          </cell>
        </row>
        <row r="65">
          <cell r="B65" t="str">
            <v>Total long-term liabilities</v>
          </cell>
          <cell r="C65" t="str">
            <v>TOT_LT_LIAB</v>
          </cell>
          <cell r="D65" t="e">
            <v>#NAME?</v>
          </cell>
        </row>
        <row r="66">
          <cell r="B66" t="str">
            <v>Total liabilities</v>
          </cell>
          <cell r="C66" t="str">
            <v>TOT_LIAB</v>
          </cell>
          <cell r="D66" t="e">
            <v>#NAME?</v>
          </cell>
        </row>
        <row r="67">
          <cell r="B67" t="str">
            <v>Preferred shares</v>
          </cell>
          <cell r="C67" t="str">
            <v>PREF_SH</v>
          </cell>
          <cell r="D67" t="e">
            <v>#NAME?</v>
          </cell>
        </row>
        <row r="68">
          <cell r="B68" t="str">
            <v>Total common equity</v>
          </cell>
          <cell r="C68" t="str">
            <v>ORD_SH_FUND</v>
          </cell>
          <cell r="D68" t="e">
            <v>#NAME?</v>
          </cell>
        </row>
        <row r="69">
          <cell r="B69" t="str">
            <v>Minority interest</v>
          </cell>
          <cell r="C69" t="str">
            <v>MINORITIES</v>
          </cell>
          <cell r="D69" t="e">
            <v>#NAME?</v>
          </cell>
        </row>
        <row r="70">
          <cell r="B70" t="str">
            <v>Total shareholders' equity</v>
          </cell>
          <cell r="C70" t="str">
            <v>EQ</v>
          </cell>
          <cell r="D70" t="e">
            <v>#NAME?</v>
          </cell>
        </row>
        <row r="71">
          <cell r="B71" t="str">
            <v>Total liabilities and equity</v>
          </cell>
          <cell r="C71" t="str">
            <v>TOT_LIAB_EQ</v>
          </cell>
          <cell r="D71" t="e">
            <v>#NAME?</v>
          </cell>
        </row>
        <row r="73">
          <cell r="B73" t="str">
            <v>Total US$ debt (in US$)</v>
          </cell>
          <cell r="C73" t="str">
            <v>TOT_USD_DEBT</v>
          </cell>
        </row>
        <row r="74">
          <cell r="B74" t="str">
            <v>% US$ debt hedged (principal)</v>
          </cell>
          <cell r="C74" t="str">
            <v>TOT_PCT_USD_DEBT_HEDGED</v>
          </cell>
        </row>
        <row r="75">
          <cell r="B75" t="str">
            <v>% Floating debt (local currency debt)</v>
          </cell>
          <cell r="C75" t="str">
            <v>FLOATING_PCT_LOCAL_DEBT</v>
          </cell>
        </row>
        <row r="76">
          <cell r="B76" t="str">
            <v>% floating debt hedged (rates)</v>
          </cell>
          <cell r="C76" t="str">
            <v>FLOATING_PCT_LOCAL_DEBT_HEDGED</v>
          </cell>
        </row>
        <row r="77">
          <cell r="B77" t="str">
            <v>Net debt</v>
          </cell>
          <cell r="C77" t="str">
            <v>NET_DEBT</v>
          </cell>
          <cell r="D77" t="e">
            <v>#NAME?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 t="e">
            <v>#NAME?</v>
          </cell>
        </row>
        <row r="79">
          <cell r="B79" t="str">
            <v>Deferred income taxes</v>
          </cell>
          <cell r="C79" t="str">
            <v>DEF_INC_TAX</v>
          </cell>
          <cell r="D79" t="e">
            <v>#NAME?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 t="e">
            <v>#NAME?</v>
          </cell>
        </row>
        <row r="81">
          <cell r="B81" t="str">
            <v>Net debt adjustment</v>
          </cell>
          <cell r="C81" t="str">
            <v>NET_DEBT_ADJ</v>
          </cell>
          <cell r="D81" t="e">
            <v>#NAME?</v>
          </cell>
        </row>
        <row r="82">
          <cell r="B82" t="str">
            <v>Company borrowing margin</v>
          </cell>
          <cell r="C82" t="str">
            <v>CO_BOR_MARGIN</v>
          </cell>
        </row>
        <row r="83">
          <cell r="B83" t="str">
            <v>Unfunded pensions &amp; other provisions</v>
          </cell>
          <cell r="C83" t="str">
            <v>UNF_PENS</v>
          </cell>
          <cell r="D83" t="e">
            <v>#NAME?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 t="e">
            <v>#NAME?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 t="e">
            <v>#NAME?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 t="e">
            <v>#NAME?</v>
          </cell>
        </row>
        <row r="87">
          <cell r="B87" t="str">
            <v>Other GCI adjustments</v>
          </cell>
          <cell r="C87" t="str">
            <v>OTH_GCI_ADJ</v>
          </cell>
          <cell r="D87" t="e">
            <v>#NAME?</v>
          </cell>
        </row>
        <row r="88">
          <cell r="B88" t="str">
            <v>GCI inflator</v>
          </cell>
          <cell r="C88" t="str">
            <v>GCI_INFL</v>
          </cell>
        </row>
        <row r="89">
          <cell r="B89" t="str">
            <v>Minority interest</v>
          </cell>
          <cell r="C89" t="str">
            <v>BAL_MINO_INT</v>
          </cell>
          <cell r="D89" t="e">
            <v>#NAME?</v>
          </cell>
        </row>
        <row r="92">
          <cell r="B92" t="str">
            <v>Minority interest add-back</v>
          </cell>
          <cell r="C92" t="str">
            <v>CF_INC_MINORITY</v>
          </cell>
          <cell r="D92" t="e">
            <v>#NAME?</v>
          </cell>
        </row>
        <row r="93">
          <cell r="B93" t="str">
            <v>Depreciation &amp; amortization add-back</v>
          </cell>
          <cell r="C93" t="str">
            <v>DEPR_AMORT</v>
          </cell>
          <cell r="D93" t="e">
            <v>#NAME?</v>
          </cell>
        </row>
        <row r="94">
          <cell r="B94" t="str">
            <v>(Increase)/decrease in working capital</v>
          </cell>
          <cell r="C94" t="str">
            <v>WORK_CAP</v>
          </cell>
          <cell r="D94" t="e">
            <v>#NAME?</v>
          </cell>
        </row>
        <row r="95">
          <cell r="B95" t="str">
            <v>Other operating cash flow items</v>
          </cell>
          <cell r="C95" t="str">
            <v>OTH_OP_CF</v>
          </cell>
          <cell r="D95" t="e">
            <v>#NAME?</v>
          </cell>
        </row>
        <row r="96">
          <cell r="B96" t="str">
            <v>Cash flow from operating activities</v>
          </cell>
          <cell r="C96" t="str">
            <v>CF_OPS</v>
          </cell>
          <cell r="D96" t="e">
            <v>#NAME?</v>
          </cell>
        </row>
        <row r="97">
          <cell r="B97" t="str">
            <v>Capital expenditures, Capex</v>
          </cell>
          <cell r="C97" t="str">
            <v>CAPEX</v>
          </cell>
          <cell r="D97" t="e">
            <v>#NAME?</v>
          </cell>
        </row>
        <row r="98">
          <cell r="B98" t="str">
            <v>Acquisitions</v>
          </cell>
          <cell r="C98" t="str">
            <v>ACQ</v>
          </cell>
          <cell r="D98" t="e">
            <v>#NAME?</v>
          </cell>
        </row>
        <row r="99">
          <cell r="B99" t="str">
            <v>Divestitures</v>
          </cell>
          <cell r="C99" t="str">
            <v>DIVEST</v>
          </cell>
          <cell r="D99" t="e">
            <v>#NAME?</v>
          </cell>
        </row>
        <row r="100">
          <cell r="B100" t="str">
            <v>Other investing cash flow items</v>
          </cell>
          <cell r="C100" t="str">
            <v>OTH_INV_CF</v>
          </cell>
          <cell r="D100" t="e">
            <v>#NAME?</v>
          </cell>
        </row>
        <row r="101">
          <cell r="B101" t="str">
            <v>Cash flow from investing</v>
          </cell>
          <cell r="C101" t="str">
            <v>CF_INV</v>
          </cell>
          <cell r="D101" t="e">
            <v>#NAME?</v>
          </cell>
        </row>
        <row r="102">
          <cell r="B102" t="str">
            <v>Dividends paid</v>
          </cell>
          <cell r="C102" t="str">
            <v>DIV_PAID</v>
          </cell>
          <cell r="D102" t="e">
            <v>#NAME?</v>
          </cell>
        </row>
        <row r="103">
          <cell r="B103" t="str">
            <v>Common stock issuance/(repurchase)</v>
          </cell>
          <cell r="C103" t="str">
            <v>SH_REPUR</v>
          </cell>
          <cell r="D103" t="e">
            <v>#NAME?</v>
          </cell>
        </row>
        <row r="104">
          <cell r="B104" t="str">
            <v>Increase/(decrease) in total debt</v>
          </cell>
          <cell r="C104" t="str">
            <v>CHG_LT_DEBT</v>
          </cell>
          <cell r="D104" t="e">
            <v>#NAME?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e">
            <v>#NAME?</v>
          </cell>
        </row>
        <row r="106">
          <cell r="B106" t="str">
            <v>Other financing cash flow items</v>
          </cell>
          <cell r="C106" t="str">
            <v>OTH_FIN_CF</v>
          </cell>
          <cell r="D106" t="e">
            <v>#NAME?</v>
          </cell>
        </row>
        <row r="107">
          <cell r="B107" t="str">
            <v>Cash flow from financing</v>
          </cell>
          <cell r="C107" t="str">
            <v>CF_FIN</v>
          </cell>
          <cell r="D107" t="e">
            <v>#NAME?</v>
          </cell>
        </row>
        <row r="108">
          <cell r="B108" t="str">
            <v>Total cash flow</v>
          </cell>
          <cell r="C108" t="str">
            <v>TOT_CF</v>
          </cell>
          <cell r="D108" t="e">
            <v>#NAME?</v>
          </cell>
        </row>
        <row r="110">
          <cell r="B110" t="str">
            <v>Associate and JV add-back</v>
          </cell>
          <cell r="C110" t="str">
            <v>ASSOC_JV_ADDBK</v>
          </cell>
          <cell r="D110" t="e">
            <v>#NAME?</v>
          </cell>
        </row>
        <row r="111">
          <cell r="B111" t="str">
            <v>Profit/(loss) on sale of assets</v>
          </cell>
          <cell r="C111" t="str">
            <v>PL_SALE_ASSETS</v>
          </cell>
          <cell r="D111" t="e">
            <v>#NAME?</v>
          </cell>
        </row>
        <row r="112">
          <cell r="B112" t="str">
            <v>Other non-cash adjustments</v>
          </cell>
          <cell r="C112" t="str">
            <v>OTH_NONCASH_ADJ</v>
          </cell>
          <cell r="D112" t="e">
            <v>#NAME?</v>
          </cell>
        </row>
        <row r="113">
          <cell r="B113" t="str">
            <v>Other DACF adjustments</v>
          </cell>
          <cell r="C113" t="str">
            <v>OTH_DACF_ADJ</v>
          </cell>
          <cell r="D113" t="e">
            <v>#NAME?</v>
          </cell>
        </row>
        <row r="114">
          <cell r="B114" t="str">
            <v>Cash interest expense</v>
          </cell>
          <cell r="C114" t="str">
            <v>CASH_INT_EXP</v>
          </cell>
          <cell r="D114" t="e">
            <v>#NAME?</v>
          </cell>
        </row>
        <row r="115">
          <cell r="B115" t="str">
            <v>Cash tax expense</v>
          </cell>
          <cell r="C115" t="str">
            <v>CASH_TAX_EXP</v>
          </cell>
          <cell r="D115" t="e">
            <v>#NAME?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 t="e">
            <v>#NAME?</v>
          </cell>
        </row>
        <row r="117">
          <cell r="B117" t="str">
            <v>Capex maintenance</v>
          </cell>
          <cell r="C117" t="str">
            <v>CAPEX_MAINTENANCE</v>
          </cell>
          <cell r="D117" t="e">
            <v>#NAME?</v>
          </cell>
        </row>
        <row r="118">
          <cell r="B118" t="str">
            <v>Capex expansion</v>
          </cell>
          <cell r="C118" t="str">
            <v>CAPEX_EXPANSION</v>
          </cell>
          <cell r="D118" t="e">
            <v>#NAME?</v>
          </cell>
        </row>
        <row r="119">
          <cell r="B119" t="str">
            <v>Non-PP&amp;E capex</v>
          </cell>
          <cell r="C119" t="str">
            <v>NONPPE_CAPEX</v>
          </cell>
          <cell r="D119" t="e">
            <v>#NAME?</v>
          </cell>
        </row>
        <row r="120">
          <cell r="B120" t="str">
            <v>Dividends paid to minorities</v>
          </cell>
          <cell r="C120" t="str">
            <v>DIVDS_PD_MINORITIES</v>
          </cell>
          <cell r="D120" t="e">
            <v>#NAME?</v>
          </cell>
        </row>
        <row r="122">
          <cell r="B122" t="str">
            <v>Number of employees</v>
          </cell>
          <cell r="C122" t="str">
            <v>EMPLOYEES</v>
          </cell>
        </row>
        <row r="124">
          <cell r="B124" t="str">
            <v>Sales - % Canada</v>
          </cell>
          <cell r="C124" t="str">
            <v>SALES_CANADA</v>
          </cell>
        </row>
        <row r="125">
          <cell r="B125" t="str">
            <v>Sales - % United States</v>
          </cell>
          <cell r="C125" t="str">
            <v>SALES_US</v>
          </cell>
        </row>
        <row r="126">
          <cell r="B126" t="str">
            <v>Sales - % Other North Americas</v>
          </cell>
          <cell r="C126" t="str">
            <v>SALES_OTH_NO_AMER</v>
          </cell>
        </row>
        <row r="127">
          <cell r="B127" t="str">
            <v>Sales - % Argentina</v>
          </cell>
          <cell r="C127" t="str">
            <v>SALES_ARGENTINA</v>
          </cell>
        </row>
        <row r="128">
          <cell r="B128" t="str">
            <v>Sales - % Brazil</v>
          </cell>
          <cell r="C128" t="str">
            <v>SALES_BRAZIL</v>
          </cell>
        </row>
        <row r="129">
          <cell r="B129" t="str">
            <v>Sales - % Chile</v>
          </cell>
          <cell r="C129" t="str">
            <v>SALES_CHILE</v>
          </cell>
        </row>
        <row r="130">
          <cell r="B130" t="str">
            <v>Sales - % Colombia</v>
          </cell>
          <cell r="C130" t="str">
            <v>SALES_COLOMBIA</v>
          </cell>
        </row>
        <row r="131">
          <cell r="B131" t="str">
            <v>Sales - % Mexico</v>
          </cell>
          <cell r="C131" t="str">
            <v>SALES_MEXICO</v>
          </cell>
        </row>
        <row r="132">
          <cell r="B132" t="str">
            <v>Sales - % Venezuela</v>
          </cell>
          <cell r="C132" t="str">
            <v>SALES_VENEZUELA</v>
          </cell>
        </row>
        <row r="133">
          <cell r="B133" t="str">
            <v>Sales - % Other Latin Americas</v>
          </cell>
          <cell r="C133" t="str">
            <v>SALES_OTH_LATAM</v>
          </cell>
        </row>
        <row r="134">
          <cell r="B134" t="str">
            <v>Sales - % Austria</v>
          </cell>
          <cell r="C134" t="str">
            <v>SALES_AUSTRIA</v>
          </cell>
        </row>
        <row r="135">
          <cell r="B135" t="str">
            <v>Sales - % Belgium</v>
          </cell>
          <cell r="C135" t="str">
            <v>SALES_BEL</v>
          </cell>
        </row>
        <row r="136">
          <cell r="B136" t="str">
            <v>Sales - % France</v>
          </cell>
          <cell r="C136" t="str">
            <v>SALES_FRA</v>
          </cell>
        </row>
        <row r="137">
          <cell r="B137" t="str">
            <v>Sales - % Germany</v>
          </cell>
          <cell r="C137" t="str">
            <v>SALES_GER</v>
          </cell>
        </row>
        <row r="138">
          <cell r="B138" t="str">
            <v>Sales - % Greece</v>
          </cell>
          <cell r="C138" t="str">
            <v>SALES_GRE</v>
          </cell>
        </row>
        <row r="139">
          <cell r="B139" t="str">
            <v>Sales - % Ireland</v>
          </cell>
          <cell r="C139" t="str">
            <v>SALES_IRE</v>
          </cell>
        </row>
        <row r="140">
          <cell r="B140" t="str">
            <v>Sales - % Italy</v>
          </cell>
          <cell r="C140" t="str">
            <v>SALES_ITA</v>
          </cell>
        </row>
        <row r="141">
          <cell r="B141" t="str">
            <v>Sales - % Netherlands</v>
          </cell>
          <cell r="C141" t="str">
            <v>SALES_NETH</v>
          </cell>
        </row>
        <row r="142">
          <cell r="B142" t="str">
            <v>Sales - % Norway</v>
          </cell>
          <cell r="C142" t="str">
            <v>SALES_NOR</v>
          </cell>
        </row>
        <row r="143">
          <cell r="B143" t="str">
            <v>Sales - % Portugal</v>
          </cell>
          <cell r="C143" t="str">
            <v>SALES_POR</v>
          </cell>
        </row>
        <row r="144">
          <cell r="B144" t="str">
            <v>Sales - % Spain</v>
          </cell>
          <cell r="C144" t="str">
            <v>SALES_SPA</v>
          </cell>
        </row>
        <row r="145">
          <cell r="B145" t="str">
            <v>Sales - % Sweden</v>
          </cell>
          <cell r="C145" t="str">
            <v>SALES_SWE</v>
          </cell>
        </row>
        <row r="146">
          <cell r="B146" t="str">
            <v>Sales - % Switzerland</v>
          </cell>
          <cell r="C146" t="str">
            <v>SALES_SWIT</v>
          </cell>
        </row>
        <row r="147">
          <cell r="B147" t="str">
            <v>Sales - % UK</v>
          </cell>
          <cell r="C147" t="str">
            <v>SALES_UK</v>
          </cell>
        </row>
        <row r="148">
          <cell r="B148" t="str">
            <v>Sales - % Other Western Europe</v>
          </cell>
          <cell r="C148" t="str">
            <v>SALES_OTH_WEST_EURO</v>
          </cell>
        </row>
        <row r="149">
          <cell r="B149" t="str">
            <v>Sales - % Poland</v>
          </cell>
          <cell r="C149" t="str">
            <v>SALES_POLAND</v>
          </cell>
        </row>
        <row r="150">
          <cell r="B150" t="str">
            <v>Sales - % Russia</v>
          </cell>
          <cell r="C150" t="str">
            <v>SALES_RUSSIA</v>
          </cell>
        </row>
        <row r="151">
          <cell r="B151" t="str">
            <v>Sales - % Turkey</v>
          </cell>
          <cell r="C151" t="str">
            <v>SALES_TURKEY</v>
          </cell>
        </row>
        <row r="152">
          <cell r="B152" t="str">
            <v>Sales - % Other CEE</v>
          </cell>
          <cell r="C152" t="str">
            <v>SALES_OTH_CEE</v>
          </cell>
        </row>
        <row r="153">
          <cell r="B153" t="str">
            <v>Sales - % Saudi Arabia</v>
          </cell>
          <cell r="C153" t="str">
            <v>SALES_SAUDI_ARABIA</v>
          </cell>
        </row>
        <row r="154">
          <cell r="B154" t="str">
            <v>Sales - % United Arab Emirates</v>
          </cell>
          <cell r="C154" t="str">
            <v>SALES_UAE</v>
          </cell>
        </row>
        <row r="155">
          <cell r="B155" t="str">
            <v>Sales - % Other Middle East</v>
          </cell>
          <cell r="C155" t="str">
            <v>SALES_OTH_ME</v>
          </cell>
        </row>
        <row r="156">
          <cell r="B156" t="str">
            <v>Sales - % Nigeria</v>
          </cell>
          <cell r="C156" t="str">
            <v>SALES_NIGERIA</v>
          </cell>
        </row>
        <row r="157">
          <cell r="B157" t="str">
            <v>Sales - % South Africa</v>
          </cell>
          <cell r="C157" t="str">
            <v>SALES_SO_AFRICA</v>
          </cell>
        </row>
        <row r="158">
          <cell r="B158" t="str">
            <v>Sales - % Other Africa</v>
          </cell>
          <cell r="C158" t="str">
            <v>SALES_OTH_AFRICA</v>
          </cell>
        </row>
        <row r="159">
          <cell r="B159" t="str">
            <v>Sales - % Hong Kong</v>
          </cell>
          <cell r="C159" t="str">
            <v>SALES_HONG_KONG</v>
          </cell>
        </row>
        <row r="160">
          <cell r="B160" t="str">
            <v>Sales - % Japan</v>
          </cell>
          <cell r="C160" t="str">
            <v>SALES_JAPAN</v>
          </cell>
        </row>
        <row r="161">
          <cell r="B161" t="str">
            <v>Sales - % Singapore</v>
          </cell>
          <cell r="C161" t="str">
            <v>SALES_SINGAPORE</v>
          </cell>
        </row>
        <row r="162">
          <cell r="B162" t="str">
            <v>Sales - % South Korea</v>
          </cell>
          <cell r="C162" t="str">
            <v>SALES_SK</v>
          </cell>
        </row>
        <row r="163">
          <cell r="B163" t="str">
            <v>Sales - % Taiwan</v>
          </cell>
          <cell r="C163" t="str">
            <v>SALES_TAIWAN</v>
          </cell>
        </row>
        <row r="164">
          <cell r="B164" t="str">
            <v>Sales - % Other Developed Asia</v>
          </cell>
          <cell r="C164" t="str">
            <v>SALES_OTH_DEV_ASIA</v>
          </cell>
        </row>
        <row r="165">
          <cell r="B165" t="str">
            <v>Sales - % China</v>
          </cell>
          <cell r="C165" t="str">
            <v>SALES_CHINA</v>
          </cell>
        </row>
        <row r="166">
          <cell r="B166" t="str">
            <v>Sales - % India</v>
          </cell>
          <cell r="C166" t="str">
            <v>SALES_INDIA</v>
          </cell>
        </row>
        <row r="167">
          <cell r="B167" t="str">
            <v>Sales - % Indonesia</v>
          </cell>
          <cell r="C167" t="str">
            <v>SALES_INDONESIA</v>
          </cell>
        </row>
        <row r="168">
          <cell r="B168" t="str">
            <v>Sales - % Thailand</v>
          </cell>
          <cell r="C168" t="str">
            <v>SALES_THAILAND</v>
          </cell>
        </row>
        <row r="169">
          <cell r="B169" t="str">
            <v>Sales - % Other Emerging Asia</v>
          </cell>
          <cell r="C169" t="str">
            <v>SALES_OTH_EMERG_ASIA</v>
          </cell>
        </row>
        <row r="170">
          <cell r="B170" t="str">
            <v>Sales - % Australia</v>
          </cell>
          <cell r="C170" t="str">
            <v>SALES_AUSTRA</v>
          </cell>
        </row>
        <row r="171">
          <cell r="B171" t="str">
            <v>Sales - % New Zealand</v>
          </cell>
          <cell r="C171" t="str">
            <v>SALES_NZ</v>
          </cell>
        </row>
        <row r="172">
          <cell r="B172" t="str">
            <v>Sales - % Others</v>
          </cell>
          <cell r="C172" t="str">
            <v>SALES_OTHER</v>
          </cell>
        </row>
        <row r="173">
          <cell r="B173" t="str">
            <v>% of CoGS from U.S. (GS estimate)</v>
          </cell>
          <cell r="C173" t="str">
            <v>COGS_PCT_US</v>
          </cell>
        </row>
        <row r="174">
          <cell r="B174" t="str">
            <v>% of CoGS from non-U.S. (GS estimate)</v>
          </cell>
          <cell r="C174" t="str">
            <v>COGS_PCT_ROW</v>
          </cell>
        </row>
        <row r="175">
          <cell r="B175" t="str">
            <v>% of SG&amp;A from U.S. (GS estimate)</v>
          </cell>
          <cell r="C175" t="str">
            <v>SGA_PCT_US</v>
          </cell>
        </row>
        <row r="176">
          <cell r="B176" t="str">
            <v>% of SG&amp;A from non-U.S. (GS estimate)</v>
          </cell>
          <cell r="C176" t="str">
            <v>SGA_PCT_ROW</v>
          </cell>
        </row>
        <row r="177">
          <cell r="B177" t="str">
            <v>Sales -% Consumer (C)</v>
          </cell>
          <cell r="C177" t="str">
            <v>SALES_CONS</v>
          </cell>
        </row>
        <row r="178">
          <cell r="B178" t="str">
            <v>Sales -% Industry (I)</v>
          </cell>
          <cell r="C178" t="str">
            <v>SALES_IND</v>
          </cell>
        </row>
        <row r="179">
          <cell r="B179" t="str">
            <v>Sales -% Government (G)</v>
          </cell>
          <cell r="C179" t="str">
            <v>SALES_GOV</v>
          </cell>
        </row>
        <row r="180">
          <cell r="B180" t="str">
            <v>Sales - % Industry Sub-Segment: Financial Services</v>
          </cell>
          <cell r="C180" t="str">
            <v>SALES_FINAN</v>
          </cell>
        </row>
        <row r="181">
          <cell r="B181" t="str">
            <v>Sales - % Industry Sub-Segment: Oil &amp; Gas</v>
          </cell>
          <cell r="C181" t="str">
            <v>SALES_OIL_GAS</v>
          </cell>
        </row>
        <row r="183">
          <cell r="B183" t="str">
            <v>Expense - % Oil/Petrol/Fuel</v>
          </cell>
          <cell r="C183" t="str">
            <v>EXP_OIL_PETRO_FUEL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</row>
        <row r="185">
          <cell r="B185" t="str">
            <v>Expense - % Gold</v>
          </cell>
          <cell r="C185" t="str">
            <v>EXP_GOLD</v>
          </cell>
        </row>
        <row r="186">
          <cell r="B186" t="str">
            <v>Expense - % Copper</v>
          </cell>
          <cell r="C186" t="str">
            <v>EXP_COPPER</v>
          </cell>
        </row>
        <row r="187">
          <cell r="B187" t="str">
            <v>Expense - % Silver</v>
          </cell>
          <cell r="C187" t="str">
            <v>EXP_SILVER</v>
          </cell>
        </row>
        <row r="188">
          <cell r="B188" t="str">
            <v>Expense - % Platinum</v>
          </cell>
          <cell r="C188" t="str">
            <v>EXP_PLATINUM</v>
          </cell>
        </row>
        <row r="189">
          <cell r="B189" t="str">
            <v>Expense - % Palladium</v>
          </cell>
          <cell r="C189" t="str">
            <v>EXP_PALLADIUM</v>
          </cell>
        </row>
        <row r="190">
          <cell r="B190" t="str">
            <v>Expense - % Aluminium</v>
          </cell>
          <cell r="C190" t="str">
            <v>EXP_ALUMINIUM</v>
          </cell>
        </row>
        <row r="191">
          <cell r="B191" t="str">
            <v>Expense - % Nickel</v>
          </cell>
          <cell r="C191" t="str">
            <v>EXP_NICKEL</v>
          </cell>
        </row>
        <row r="192">
          <cell r="B192" t="str">
            <v>Expense - % Zinc</v>
          </cell>
          <cell r="C192" t="str">
            <v>EXP_ZINC</v>
          </cell>
        </row>
        <row r="193">
          <cell r="B193" t="str">
            <v>Expense - % Paper/pulp</v>
          </cell>
          <cell r="C193" t="str">
            <v>EXP_PAPER_PULP</v>
          </cell>
        </row>
        <row r="194">
          <cell r="B194" t="str">
            <v>Expense - % Glass</v>
          </cell>
          <cell r="C194" t="str">
            <v>EXP_GLASS</v>
          </cell>
        </row>
        <row r="195">
          <cell r="B195" t="str">
            <v>Expense - % Water</v>
          </cell>
          <cell r="C195" t="str">
            <v>EXP_WATER</v>
          </cell>
        </row>
        <row r="196">
          <cell r="B196" t="str">
            <v>Expense - % Other commodity</v>
          </cell>
          <cell r="C196" t="str">
            <v>EXP_OTH_COMMODITY</v>
          </cell>
        </row>
        <row r="197">
          <cell r="B197" t="str">
            <v>Expense - % Other (Non-Commodity) cost</v>
          </cell>
          <cell r="C197" t="str">
            <v>EXP_OTH_COST</v>
          </cell>
        </row>
        <row r="199">
          <cell r="B199" t="str">
            <v>Sales - % FX: British Pounds/Pence</v>
          </cell>
          <cell r="C199" t="str">
            <v>SALES_FX_GPB</v>
          </cell>
        </row>
        <row r="200">
          <cell r="B200" t="str">
            <v>Sales - % FX: Euro</v>
          </cell>
          <cell r="C200" t="str">
            <v>SALES_FX_EUR</v>
          </cell>
        </row>
        <row r="201">
          <cell r="B201" t="str">
            <v>Sales - % FX: New Russian Ruble</v>
          </cell>
          <cell r="C201" t="str">
            <v>SALES_FX_RUB</v>
          </cell>
        </row>
        <row r="202">
          <cell r="B202" t="str">
            <v>Sales - % FX: U.S. Dollar</v>
          </cell>
          <cell r="C202" t="str">
            <v>SALES_FX_USD</v>
          </cell>
        </row>
        <row r="203">
          <cell r="B203" t="str">
            <v>Sales - % FX: Brazilian Real</v>
          </cell>
          <cell r="C203" t="str">
            <v>SALES_FX_BRL</v>
          </cell>
        </row>
        <row r="204">
          <cell r="B204" t="str">
            <v>Sales - % FX: Japanese Yen</v>
          </cell>
          <cell r="C204" t="str">
            <v>SALES_FX_YEN</v>
          </cell>
        </row>
        <row r="205">
          <cell r="B205" t="str">
            <v>Sales - % FX: Chinese Renminbi</v>
          </cell>
          <cell r="C205" t="str">
            <v>SALES_FX_CNY</v>
          </cell>
        </row>
        <row r="206">
          <cell r="B206" t="str">
            <v>Sales - % FX: Indian Rupee</v>
          </cell>
          <cell r="C206" t="str">
            <v>SALES_FX_INR</v>
          </cell>
        </row>
        <row r="207">
          <cell r="B207" t="str">
            <v>Sales - % FX: South Korean Won</v>
          </cell>
          <cell r="C207" t="str">
            <v>SALES_FX_KRW</v>
          </cell>
        </row>
        <row r="208">
          <cell r="B208" t="str">
            <v>Sales - % FX: Taiwan Dollar</v>
          </cell>
          <cell r="C208" t="str">
            <v>SALES_FX_TWD</v>
          </cell>
        </row>
        <row r="209">
          <cell r="B209" t="str">
            <v>Sales - % FX: Other Currency</v>
          </cell>
          <cell r="C209" t="str">
            <v>SALES_FX_OTH</v>
          </cell>
        </row>
        <row r="211">
          <cell r="B211" t="str">
            <v>Sales - Total % Americas</v>
          </cell>
          <cell r="C211" t="str">
            <v>SALES_TOT_AM</v>
          </cell>
        </row>
        <row r="212">
          <cell r="B212" t="str">
            <v>Sales - % Other Americas</v>
          </cell>
          <cell r="C212" t="str">
            <v>SALES_OTH_AM</v>
          </cell>
        </row>
        <row r="213">
          <cell r="B213" t="str">
            <v>Sales - Total % EMEA</v>
          </cell>
          <cell r="C213" t="str">
            <v>SALES_TOT_EMEA</v>
          </cell>
        </row>
        <row r="214">
          <cell r="B214" t="str">
            <v>Sales - % Western Europe-Ex UK</v>
          </cell>
          <cell r="C214" t="str">
            <v>SALES_EU_EX_UK</v>
          </cell>
        </row>
        <row r="215">
          <cell r="B215" t="str">
            <v>Sales - % Central &amp; Eastern Europe</v>
          </cell>
          <cell r="C215" t="str">
            <v>SALES_CEE</v>
          </cell>
        </row>
        <row r="216">
          <cell r="B216" t="str">
            <v>Sales - % Middle East</v>
          </cell>
          <cell r="C216" t="str">
            <v>SALES_ME</v>
          </cell>
        </row>
        <row r="217">
          <cell r="B217" t="str">
            <v>Sales - % Total Africa</v>
          </cell>
          <cell r="C217" t="str">
            <v>SALES_TOT_AFRICA</v>
          </cell>
        </row>
        <row r="218">
          <cell r="B218" t="str">
            <v>Sales - % Other EMEA</v>
          </cell>
          <cell r="C218" t="str">
            <v>SALES_OTH_EMEA</v>
          </cell>
        </row>
        <row r="219">
          <cell r="B219" t="str">
            <v>Sales - Total % Asia (incl Australia &amp; New Zealand)</v>
          </cell>
          <cell r="C219" t="str">
            <v>SALES_TOT_ASIA</v>
          </cell>
        </row>
        <row r="220">
          <cell r="B220" t="str">
            <v>Sales - % Other Asia</v>
          </cell>
          <cell r="C220" t="str">
            <v>SALES_OTH_AEJ</v>
          </cell>
        </row>
        <row r="253">
          <cell r="B253" t="str">
            <v>Book value per share, BVPS (Pub)</v>
          </cell>
          <cell r="C253" t="str">
            <v>BVPS_PUB</v>
          </cell>
          <cell r="D253" t="e">
            <v>#NAME?</v>
          </cell>
        </row>
        <row r="254">
          <cell r="B254" t="str">
            <v>DPS, dividend per share (Pub)</v>
          </cell>
          <cell r="C254" t="str">
            <v>DPS_PUB</v>
          </cell>
          <cell r="D254" t="e">
            <v>#NAME?</v>
          </cell>
        </row>
        <row r="255">
          <cell r="B255" t="str">
            <v>Special dividend per share</v>
          </cell>
          <cell r="C255" t="str">
            <v>DPS_SPECIAL_PUB</v>
          </cell>
          <cell r="D255" t="e">
            <v>#NAME?</v>
          </cell>
        </row>
        <row r="256">
          <cell r="B256" t="str">
            <v>EBITDA (Pub)</v>
          </cell>
          <cell r="C256" t="str">
            <v>EBITDA_PUB</v>
          </cell>
          <cell r="D256" t="e">
            <v>#NAME?</v>
          </cell>
        </row>
        <row r="257">
          <cell r="B257" t="str">
            <v>EPS (Pub)</v>
          </cell>
          <cell r="C257" t="str">
            <v>EPS_PUB</v>
          </cell>
          <cell r="D257" t="e">
            <v>#NAME?</v>
          </cell>
        </row>
        <row r="258">
          <cell r="B258" t="str">
            <v>EV adjustment (Pub)</v>
          </cell>
          <cell r="C258" t="str">
            <v>EV_ADJ_PUB</v>
          </cell>
          <cell r="D258" t="e">
            <v>#NAME?</v>
          </cell>
        </row>
        <row r="259">
          <cell r="B259" t="str">
            <v>Net debt (Pub)</v>
          </cell>
          <cell r="C259" t="str">
            <v>NET_DEBT_PUB</v>
          </cell>
          <cell r="D259" t="e">
            <v>#NAME?</v>
          </cell>
        </row>
        <row r="260">
          <cell r="B260" t="str">
            <v>Net Debt (ex leases) (Pub)</v>
          </cell>
          <cell r="C260" t="str">
            <v>NET_DEBT_EX_LEASES_PUB</v>
          </cell>
          <cell r="D260" t="e">
            <v>#NAME?</v>
          </cell>
        </row>
        <row r="261">
          <cell r="B261" t="str">
            <v>Consensus equivalent net debt</v>
          </cell>
          <cell r="C261" t="str">
            <v>CEEE_NDEBT</v>
          </cell>
          <cell r="D261" t="e">
            <v>#NAME?</v>
          </cell>
        </row>
        <row r="262">
          <cell r="B262" t="str">
            <v>Net income (Pub)</v>
          </cell>
          <cell r="C262" t="str">
            <v>NI_PUB</v>
          </cell>
          <cell r="D262" t="e">
            <v>#NAME?</v>
          </cell>
        </row>
        <row r="263">
          <cell r="B263" t="str">
            <v>EBIT, operating profit (Pub)</v>
          </cell>
          <cell r="C263" t="str">
            <v>EBIT_PUB</v>
          </cell>
          <cell r="D263" t="e">
            <v>#NAME?</v>
          </cell>
        </row>
        <row r="264">
          <cell r="B264" t="str">
            <v>Pre-tax profit (Pub)</v>
          </cell>
          <cell r="C264" t="str">
            <v>PTP_PUB</v>
          </cell>
          <cell r="D264" t="e">
            <v>#NAME?</v>
          </cell>
        </row>
        <row r="265">
          <cell r="B265" t="str">
            <v>Sales, revenue (Pub)</v>
          </cell>
          <cell r="C265" t="str">
            <v>REVS_PUB</v>
          </cell>
          <cell r="D265" t="e">
            <v>#NAME?</v>
          </cell>
        </row>
        <row r="266">
          <cell r="B266" t="str">
            <v>Total shareholders' equity (Pub)</v>
          </cell>
          <cell r="C266" t="str">
            <v>EQ_PUB</v>
          </cell>
          <cell r="D266" t="e">
            <v>#NAME?</v>
          </cell>
        </row>
        <row r="267">
          <cell r="B267" t="str">
            <v>EPS (consensus)</v>
          </cell>
          <cell r="C267" t="str">
            <v>EPS_CONS_PUB</v>
          </cell>
          <cell r="D267" t="e">
            <v>#NAME?</v>
          </cell>
        </row>
        <row r="269">
          <cell r="B269" t="str">
            <v>Provision for income tax</v>
          </cell>
          <cell r="C269" t="str">
            <v>PROV_INC_TAX</v>
          </cell>
          <cell r="D269" t="e">
            <v>#NAME?</v>
          </cell>
        </row>
        <row r="270">
          <cell r="B270" t="str">
            <v>Minority interest</v>
          </cell>
          <cell r="C270" t="str">
            <v>INC_MINORITY</v>
          </cell>
          <cell r="D270" t="e">
            <v>#NAME?</v>
          </cell>
        </row>
        <row r="271">
          <cell r="B271" t="str">
            <v>Net income (pre-preferred dividends)</v>
          </cell>
          <cell r="C271" t="str">
            <v>NI_PRE_PREF</v>
          </cell>
          <cell r="D271" t="e">
            <v>#NAME?</v>
          </cell>
        </row>
        <row r="272">
          <cell r="B272" t="str">
            <v>Preferred dividends</v>
          </cell>
          <cell r="C272" t="str">
            <v>PREF_DIV</v>
          </cell>
          <cell r="D272" t="e">
            <v>#NAME?</v>
          </cell>
        </row>
        <row r="273">
          <cell r="B273" t="str">
            <v>Net income (pre-exceptionals)</v>
          </cell>
          <cell r="C273" t="str">
            <v>NET_EARNING</v>
          </cell>
          <cell r="D273" t="e">
            <v>#NAME?</v>
          </cell>
        </row>
        <row r="274">
          <cell r="B274" t="str">
            <v>Post-tax exceptionals</v>
          </cell>
          <cell r="C274" t="str">
            <v>TAX_EXC</v>
          </cell>
          <cell r="D274" t="e">
            <v>#NAME?</v>
          </cell>
        </row>
        <row r="275">
          <cell r="B275" t="str">
            <v>Net income (post-exceptionals)</v>
          </cell>
          <cell r="C275" t="str">
            <v>NET_INC</v>
          </cell>
          <cell r="D275" t="e">
            <v>#NAME?</v>
          </cell>
        </row>
        <row r="276">
          <cell r="B276" t="str">
            <v>EPS (pre-exceptionals, basic)</v>
          </cell>
          <cell r="C276" t="str">
            <v>EPS</v>
          </cell>
          <cell r="D276" t="e">
            <v>#NAME?</v>
          </cell>
        </row>
        <row r="277">
          <cell r="B277" t="str">
            <v>EPS (pre-exceptionals, diluted)</v>
          </cell>
          <cell r="C277" t="str">
            <v>EPS_FUL_DIL</v>
          </cell>
          <cell r="D277" t="e">
            <v>#NAME?</v>
          </cell>
        </row>
        <row r="278">
          <cell r="B278" t="str">
            <v>EPS (post-exceptionals, basic)</v>
          </cell>
          <cell r="C278" t="str">
            <v>EPS_POST_BASIC</v>
          </cell>
          <cell r="D278" t="e">
            <v>#NAME?</v>
          </cell>
        </row>
        <row r="279">
          <cell r="B279" t="str">
            <v>EPS (post-exceptionals, diluted)</v>
          </cell>
          <cell r="C279" t="str">
            <v>FULLY_DIL_EPS</v>
          </cell>
          <cell r="D279" t="e">
            <v>#NAME?</v>
          </cell>
        </row>
        <row r="280">
          <cell r="B280" t="str">
            <v>Common dividends paid</v>
          </cell>
          <cell r="C280" t="str">
            <v>COMMON_DIV_PAID</v>
          </cell>
          <cell r="D280" t="e">
            <v>#NAME?</v>
          </cell>
        </row>
        <row r="281">
          <cell r="B281" t="str">
            <v>DPS, dividend per share</v>
          </cell>
          <cell r="C281" t="str">
            <v>DPS</v>
          </cell>
          <cell r="D281" t="e">
            <v>#NAME?</v>
          </cell>
        </row>
        <row r="282">
          <cell r="B282" t="str">
            <v>Weighted average shares outstanding, basic</v>
          </cell>
          <cell r="C282" t="str">
            <v>SH</v>
          </cell>
        </row>
        <row r="283">
          <cell r="B283" t="str">
            <v>Diluted average shares outstanding (mn)</v>
          </cell>
          <cell r="C283" t="str">
            <v>DILUTE_SHARES</v>
          </cell>
        </row>
        <row r="284">
          <cell r="B284" t="str">
            <v>Period-end shares outstanding</v>
          </cell>
          <cell r="C284" t="str">
            <v>NON_OP_ADD</v>
          </cell>
        </row>
        <row r="286">
          <cell r="B286" t="str">
            <v>Marginal tax rate</v>
          </cell>
          <cell r="C286" t="str">
            <v>MARGIN_TAX_RATE</v>
          </cell>
        </row>
        <row r="287">
          <cell r="B287" t="str">
            <v>Net income (consensus) (Pub)</v>
          </cell>
          <cell r="C287" t="str">
            <v>NI_CONS</v>
          </cell>
          <cell r="D287" t="e">
            <v>#NAME?</v>
          </cell>
        </row>
        <row r="289">
          <cell r="B289" t="str">
            <v>BVPS, book value per share</v>
          </cell>
          <cell r="C289" t="str">
            <v>BVPS</v>
          </cell>
          <cell r="D289" t="e">
            <v>#NAME?</v>
          </cell>
        </row>
        <row r="291">
          <cell r="B291" t="str">
            <v>Net income (pre-preferred dividends)</v>
          </cell>
          <cell r="C291" t="str">
            <v>CF_NI_PRE_PREF</v>
          </cell>
          <cell r="D291" t="e">
            <v>#NAME?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Valuation"/>
      <sheetName val="AFOSHEET"/>
      <sheetName val="Act Vs Est New "/>
      <sheetName val="Commentary"/>
      <sheetName val="Model"/>
      <sheetName val="Revenue"/>
      <sheetName val="Raw Data"/>
      <sheetName val="Company Data"/>
      <sheetName val="Driver"/>
      <sheetName val="Key Products"/>
      <sheetName val="Subsidiary"/>
      <sheetName val="Event"/>
      <sheetName val="Basic Data"/>
      <sheetName val="Ratios"/>
      <sheetName val="600570.SS_Exchange_Sheet"/>
      <sheetName val="Market Data"/>
      <sheetName val="Sheet2"/>
      <sheetName val="Sheet1"/>
      <sheetName val="600570.SS_Live_Sheet"/>
      <sheetName val="600570.SS_Validation_Sheet"/>
      <sheetName val="600570.SS_Annotation_Sheet"/>
      <sheetName val="Exhibit"/>
      <sheetName val="First Take"/>
      <sheetName val="Produ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A1" t="str">
            <v>Issuer: Hundsun Technologies Inc.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 t="str">
            <v>2010 Q1</v>
          </cell>
          <cell r="W1" t="str">
            <v>2010 Q2</v>
          </cell>
          <cell r="X1" t="str">
            <v>2010 Q3</v>
          </cell>
          <cell r="Y1" t="str">
            <v>2010 Q4</v>
          </cell>
          <cell r="Z1">
            <v>2010</v>
          </cell>
          <cell r="AA1" t="str">
            <v>2011 Q1</v>
          </cell>
          <cell r="AB1" t="str">
            <v>2011 Q2</v>
          </cell>
          <cell r="AC1" t="str">
            <v>2011 Q3</v>
          </cell>
          <cell r="AD1" t="str">
            <v>2011 Q4</v>
          </cell>
          <cell r="AE1">
            <v>2011</v>
          </cell>
          <cell r="AF1" t="str">
            <v>2012 Q1</v>
          </cell>
          <cell r="AG1" t="str">
            <v>2012 Q2</v>
          </cell>
          <cell r="AH1" t="str">
            <v>2012 Q3</v>
          </cell>
          <cell r="AI1" t="str">
            <v>2012 Q4</v>
          </cell>
          <cell r="AJ1">
            <v>2012</v>
          </cell>
          <cell r="AK1" t="str">
            <v>2013 Q1</v>
          </cell>
          <cell r="AL1" t="str">
            <v>2013 Q2</v>
          </cell>
          <cell r="AM1" t="str">
            <v>2013 Q3</v>
          </cell>
          <cell r="AN1" t="str">
            <v>2013 Q4</v>
          </cell>
          <cell r="AO1">
            <v>2013</v>
          </cell>
          <cell r="AP1" t="str">
            <v>2014 Q1</v>
          </cell>
          <cell r="AQ1" t="str">
            <v>2014 Q2</v>
          </cell>
          <cell r="AR1" t="str">
            <v>2014 Q3</v>
          </cell>
          <cell r="AS1" t="str">
            <v>2014 Q4</v>
          </cell>
          <cell r="AT1">
            <v>2014</v>
          </cell>
          <cell r="AU1" t="str">
            <v>2015 Q1</v>
          </cell>
          <cell r="AV1" t="str">
            <v>2015 Q2</v>
          </cell>
          <cell r="AW1" t="str">
            <v>2015 Q3</v>
          </cell>
          <cell r="AX1" t="str">
            <v>2015 Q4</v>
          </cell>
          <cell r="AY1">
            <v>2015</v>
          </cell>
          <cell r="AZ1" t="str">
            <v>2016 Q1</v>
          </cell>
          <cell r="BA1" t="str">
            <v>2016 Q2</v>
          </cell>
          <cell r="BB1" t="str">
            <v>2016 Q3</v>
          </cell>
          <cell r="BC1" t="str">
            <v>2016 Q4</v>
          </cell>
          <cell r="BD1">
            <v>2016</v>
          </cell>
          <cell r="BE1" t="str">
            <v>2017</v>
          </cell>
          <cell r="BF1" t="str">
            <v>2018</v>
          </cell>
          <cell r="BG1" t="str">
            <v>2019</v>
          </cell>
          <cell r="BH1" t="str">
            <v>2020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Actual</v>
          </cell>
          <cell r="AY2" t="str">
            <v>Actual</v>
          </cell>
          <cell r="AZ2" t="str">
            <v>Actual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  <cell r="BF2" t="str">
            <v>Estimate</v>
          </cell>
          <cell r="BG2" t="str">
            <v>Estimate</v>
          </cell>
          <cell r="BH2" t="str">
            <v>Estimate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41729</v>
          </cell>
          <cell r="AQ3">
            <v>41820</v>
          </cell>
          <cell r="AR3">
            <v>41912</v>
          </cell>
          <cell r="AS3">
            <v>42004</v>
          </cell>
          <cell r="AT3">
            <v>42004</v>
          </cell>
          <cell r="AU3">
            <v>42094</v>
          </cell>
          <cell r="AV3">
            <v>42185</v>
          </cell>
          <cell r="AW3">
            <v>42277</v>
          </cell>
          <cell r="AX3">
            <v>42369</v>
          </cell>
          <cell r="AY3">
            <v>42369</v>
          </cell>
          <cell r="AZ3">
            <v>42460</v>
          </cell>
          <cell r="BA3">
            <v>42551</v>
          </cell>
          <cell r="BB3">
            <v>42643</v>
          </cell>
          <cell r="BC3">
            <v>42735</v>
          </cell>
          <cell r="BD3">
            <v>42735</v>
          </cell>
          <cell r="BE3">
            <v>43100</v>
          </cell>
          <cell r="BF3">
            <v>43465</v>
          </cell>
          <cell r="BG3">
            <v>43830</v>
          </cell>
          <cell r="BH3">
            <v>44196</v>
          </cell>
        </row>
        <row r="4">
          <cell r="A4" t="str">
            <v>Issuer: Hundsun Technologies Inc.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6">
          <cell r="B6" t="str">
            <v>Issuer Name</v>
          </cell>
          <cell r="C6" t="str">
            <v>Issuer Name</v>
          </cell>
          <cell r="E6" t="str">
            <v>Hundsun Technologies Inc.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M&amp;A probability (1 = high, 4 = low)</v>
          </cell>
          <cell r="C9" t="str">
            <v>MA_PROB</v>
          </cell>
          <cell r="E9">
            <v>2</v>
          </cell>
        </row>
        <row r="10">
          <cell r="A10" t="str">
            <v>Income Statement</v>
          </cell>
          <cell r="B10">
            <v>0</v>
          </cell>
          <cell r="C10">
            <v>0</v>
          </cell>
          <cell r="D10">
            <v>0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236.73932965</v>
          </cell>
          <cell r="R11">
            <v>345.85689105</v>
          </cell>
          <cell r="S11">
            <v>572.42826487000002</v>
          </cell>
          <cell r="T11">
            <v>668.68165337999994</v>
          </cell>
          <cell r="U11">
            <v>729.71177239999997</v>
          </cell>
          <cell r="V11">
            <v>107.95878843999999</v>
          </cell>
          <cell r="W11">
            <v>186.80962350000004</v>
          </cell>
          <cell r="X11">
            <v>215.16706828000002</v>
          </cell>
          <cell r="Y11">
            <v>357.29152220999993</v>
          </cell>
          <cell r="Z11">
            <v>867.22700242999997</v>
          </cell>
          <cell r="AA11">
            <v>159.66644897999998</v>
          </cell>
          <cell r="AB11">
            <v>210.02898884000001</v>
          </cell>
          <cell r="AC11">
            <v>187.86165564000004</v>
          </cell>
          <cell r="AD11">
            <v>490.63631076999991</v>
          </cell>
          <cell r="AE11">
            <v>1048.1934042299999</v>
          </cell>
          <cell r="AF11">
            <v>142.26479816</v>
          </cell>
          <cell r="AG11">
            <v>215.62630783999998</v>
          </cell>
          <cell r="AH11">
            <v>196.17219702000006</v>
          </cell>
          <cell r="AI11">
            <v>452.02824512999996</v>
          </cell>
          <cell r="AJ11">
            <v>1006.09154815</v>
          </cell>
          <cell r="AK11">
            <v>171.93254191999998</v>
          </cell>
          <cell r="AL11">
            <v>249.35079289000001</v>
          </cell>
          <cell r="AM11">
            <v>224.47178212</v>
          </cell>
          <cell r="AN11">
            <v>564.79208156000004</v>
          </cell>
          <cell r="AO11">
            <v>1210.54719849</v>
          </cell>
          <cell r="AP11">
            <v>201.70337806000001</v>
          </cell>
          <cell r="AQ11">
            <v>260.96722656999998</v>
          </cell>
          <cell r="AR11">
            <v>308.21805761000002</v>
          </cell>
          <cell r="AS11">
            <v>650.95047287999978</v>
          </cell>
          <cell r="AT11">
            <v>1421.8391351199998</v>
          </cell>
          <cell r="AU11">
            <v>274.13182711000002</v>
          </cell>
          <cell r="AV11">
            <v>634.27014440999994</v>
          </cell>
          <cell r="AW11">
            <v>389.91621712000006</v>
          </cell>
          <cell r="AX11">
            <v>927.21421882999971</v>
          </cell>
          <cell r="AY11">
            <v>2225.5324074699997</v>
          </cell>
          <cell r="AZ11">
            <v>336.98615638999996</v>
          </cell>
          <cell r="BA11">
            <v>483.5933062200001</v>
          </cell>
          <cell r="BB11">
            <v>516.84268055999996</v>
          </cell>
          <cell r="BC11">
            <v>1487.5042743500881</v>
          </cell>
          <cell r="BD11">
            <v>2824.9264175200883</v>
          </cell>
          <cell r="BE11">
            <v>3486.5322333642416</v>
          </cell>
          <cell r="BF11">
            <v>4208.8716003161517</v>
          </cell>
          <cell r="BG11">
            <v>5005.0870969618045</v>
          </cell>
          <cell r="BH11">
            <v>5870.3660478133988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-115.21756618000001</v>
          </cell>
          <cell r="R13">
            <v>-180.38014330999999</v>
          </cell>
          <cell r="S13">
            <v>-257.68465980000002</v>
          </cell>
          <cell r="T13">
            <v>-236.19005109</v>
          </cell>
          <cell r="U13">
            <v>-213.98938455000001</v>
          </cell>
          <cell r="V13">
            <v>-16.040381669999999</v>
          </cell>
          <cell r="W13">
            <v>-64.590061840000004</v>
          </cell>
          <cell r="X13">
            <v>-51.267768549999985</v>
          </cell>
          <cell r="Y13">
            <v>-82.274853449999995</v>
          </cell>
          <cell r="Z13">
            <v>-214.17306550999999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-213.70059401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-210.67766159000001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-219.82074104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-89.823564610000005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-162.77407205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-146.71879397430666</v>
          </cell>
          <cell r="BE13">
            <v>-218.99837523883372</v>
          </cell>
          <cell r="BF13">
            <v>-264.74324265889504</v>
          </cell>
          <cell r="BG13">
            <v>-316.28484511055092</v>
          </cell>
          <cell r="BH13">
            <v>-373.88308727330781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-126.83440758</v>
          </cell>
          <cell r="R14">
            <v>-151.46306312000002</v>
          </cell>
          <cell r="S14">
            <v>-250.11284732000001</v>
          </cell>
          <cell r="T14">
            <v>-321.60518745000002</v>
          </cell>
          <cell r="U14">
            <v>-367.40819127999998</v>
          </cell>
          <cell r="V14">
            <v>-71.174342559999999</v>
          </cell>
          <cell r="W14">
            <v>-98.630096690000016</v>
          </cell>
          <cell r="X14">
            <v>-105.57362963</v>
          </cell>
          <cell r="Y14">
            <v>-226.10898144000004</v>
          </cell>
          <cell r="Z14">
            <v>-501.48705032000004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-635.48934383999995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-318.95499639000008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-315.68665291000002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-588.07536494999988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-813.58632488000001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-1003.2597182459972</v>
          </cell>
          <cell r="BE14">
            <v>-1178.7092134687311</v>
          </cell>
          <cell r="BF14">
            <v>-1406.3689330136795</v>
          </cell>
          <cell r="BG14">
            <v>-1653.6699960772191</v>
          </cell>
          <cell r="BH14">
            <v>-1917.0598524895975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-242.05197376000001</v>
          </cell>
          <cell r="R15">
            <v>-331.84320643000001</v>
          </cell>
          <cell r="S15">
            <v>-507.79750712000003</v>
          </cell>
          <cell r="T15">
            <v>-557.79523854000001</v>
          </cell>
          <cell r="U15">
            <v>-581.39757583000005</v>
          </cell>
          <cell r="V15">
            <v>-87.214724230000002</v>
          </cell>
          <cell r="W15">
            <v>-163.22015853000002</v>
          </cell>
          <cell r="X15">
            <v>-156.84139818</v>
          </cell>
          <cell r="Y15">
            <v>-308.38383489</v>
          </cell>
          <cell r="Z15">
            <v>-715.66011583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-849.18993784999998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-529.63265798000009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-535.50739395000005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-677.89892955999994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-976.36039692999998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-1149.9785122203039</v>
          </cell>
          <cell r="BE15">
            <v>-1397.7075887075648</v>
          </cell>
          <cell r="BF15">
            <v>-1671.1121756725745</v>
          </cell>
          <cell r="BG15">
            <v>-1969.9548411877699</v>
          </cell>
          <cell r="BH15">
            <v>-2290.9429397629051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-415.81565576999998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-501.39995576000001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-590.50915354999995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-862.61467632000006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-1094.9393408506257</v>
          </cell>
          <cell r="BE16">
            <v>-1324.3497091260476</v>
          </cell>
          <cell r="BF16">
            <v>-1534.7792035982716</v>
          </cell>
          <cell r="BG16">
            <v>-1752.1169912896578</v>
          </cell>
          <cell r="BH16">
            <v>-1972.8218874670613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-242.05197376000004</v>
          </cell>
          <cell r="R18">
            <v>-331.84320643000001</v>
          </cell>
          <cell r="S18">
            <v>-507.79750712000003</v>
          </cell>
          <cell r="T18">
            <v>-557.79523854000001</v>
          </cell>
          <cell r="U18">
            <v>-581.39757583000005</v>
          </cell>
          <cell r="V18">
            <v>-87.214724230000002</v>
          </cell>
          <cell r="W18">
            <v>-163.22015853000005</v>
          </cell>
          <cell r="X18">
            <v>-156.84139818</v>
          </cell>
          <cell r="Y18">
            <v>-308.38383489</v>
          </cell>
          <cell r="Z18">
            <v>-715.66011583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-849.18993784999998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-945.44831375000001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-1036.9073497100001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-1268.40808311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-1838.9750732500002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-2244.9178530709296</v>
          </cell>
          <cell r="BE18">
            <v>-2722.0572978336122</v>
          </cell>
          <cell r="BF18">
            <v>-3205.8913792708463</v>
          </cell>
          <cell r="BG18">
            <v>-3722.071832477428</v>
          </cell>
          <cell r="BH18">
            <v>-4263.7648272299666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-233.03326008000002</v>
          </cell>
          <cell r="R19">
            <v>-319.04445973000003</v>
          </cell>
          <cell r="S19">
            <v>-497.05203091000004</v>
          </cell>
          <cell r="T19">
            <v>-545.53685767000002</v>
          </cell>
          <cell r="U19">
            <v>-565.9823795100001</v>
          </cell>
          <cell r="V19">
            <v>-87.214724230000002</v>
          </cell>
          <cell r="W19">
            <v>-154.44465008000003</v>
          </cell>
          <cell r="X19">
            <v>-156.84139818</v>
          </cell>
          <cell r="Y19">
            <v>-288.83873387</v>
          </cell>
          <cell r="Z19">
            <v>-696.11501481000005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-825.58795273999999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-918.95833521000009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-1011.52979041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-1242.0716655900001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-1797.3974962700001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-2185.1387373920747</v>
          </cell>
          <cell r="BE19">
            <v>-2637.0167722174883</v>
          </cell>
          <cell r="BF19">
            <v>-3086.9792824597816</v>
          </cell>
          <cell r="BG19">
            <v>-3562.8804921919641</v>
          </cell>
          <cell r="BH19">
            <v>-4057.3307719341574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3.7060695699999826</v>
          </cell>
          <cell r="R20">
            <v>26.812431319999973</v>
          </cell>
          <cell r="S20">
            <v>75.376233959999979</v>
          </cell>
          <cell r="T20">
            <v>123.14479570999993</v>
          </cell>
          <cell r="U20">
            <v>163.72939288999987</v>
          </cell>
          <cell r="V20">
            <v>20.744064209999991</v>
          </cell>
          <cell r="W20">
            <v>32.364973420000013</v>
          </cell>
          <cell r="X20">
            <v>58.325670100000025</v>
          </cell>
          <cell r="Y20">
            <v>68.452788339999927</v>
          </cell>
          <cell r="Z20">
            <v>171.11198761999992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222.60545148999995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87.133212939999908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199.01740808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179.76746952999974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428.13491119999958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639.78768012801356</v>
          </cell>
          <cell r="BE20">
            <v>849.5154611467533</v>
          </cell>
          <cell r="BF20">
            <v>1121.89231785637</v>
          </cell>
          <cell r="BG20">
            <v>1442.2066047698404</v>
          </cell>
          <cell r="BH20">
            <v>1813.0352758792415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-8.1235070300000007</v>
          </cell>
          <cell r="R21">
            <v>-11.614106699999999</v>
          </cell>
          <cell r="S21">
            <v>-9.0742369200000006</v>
          </cell>
          <cell r="T21">
            <v>-10.681434529999999</v>
          </cell>
          <cell r="U21">
            <v>-13.76898175</v>
          </cell>
          <cell r="V21">
            <v>0</v>
          </cell>
          <cell r="W21">
            <v>-6.22862004</v>
          </cell>
          <cell r="X21">
            <v>0</v>
          </cell>
          <cell r="Y21">
            <v>-13.795204380000001</v>
          </cell>
          <cell r="Z21">
            <v>-13.795204380000001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-15.967972080000001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-18.0135842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-15.912046670000001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-15.524619599999999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-33.974896899999997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-52.176435598854674</v>
          </cell>
          <cell r="BE21">
            <v>-77.437845536124073</v>
          </cell>
          <cell r="BF21">
            <v>-111.30941673106447</v>
          </cell>
          <cell r="BG21">
            <v>-151.5886602054639</v>
          </cell>
          <cell r="BH21">
            <v>-198.83137521580932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-0.89520664999999999</v>
          </cell>
          <cell r="R22">
            <v>-1.1846399999999999</v>
          </cell>
          <cell r="S22">
            <v>-1.6712392899999999</v>
          </cell>
          <cell r="T22">
            <v>-1.5769463399999999</v>
          </cell>
          <cell r="U22">
            <v>-1.6462145700000002</v>
          </cell>
          <cell r="V22">
            <v>0</v>
          </cell>
          <cell r="W22">
            <v>-2.5468884099999998</v>
          </cell>
          <cell r="X22">
            <v>0</v>
          </cell>
          <cell r="Y22">
            <v>-5.7498966400000002</v>
          </cell>
          <cell r="Z22">
            <v>-5.7498966400000002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-7.6340130300000002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-8.4763943399999988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-9.465512630000001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-10.81179792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-7.6026800799999998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-7.6026800799999998</v>
          </cell>
          <cell r="BE22">
            <v>-7.6026800799999998</v>
          </cell>
          <cell r="BF22">
            <v>-7.6026800799999998</v>
          </cell>
          <cell r="BG22">
            <v>-7.6026800799999998</v>
          </cell>
          <cell r="BH22">
            <v>-7.6026800799999998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-5.3126441100000363</v>
          </cell>
          <cell r="R23">
            <v>14.013684619999992</v>
          </cell>
          <cell r="S23">
            <v>64.630757749999987</v>
          </cell>
          <cell r="T23">
            <v>110.88641483999993</v>
          </cell>
          <cell r="U23">
            <v>148.31419656999992</v>
          </cell>
          <cell r="V23">
            <v>20.744064209999991</v>
          </cell>
          <cell r="W23">
            <v>23.589464969999995</v>
          </cell>
          <cell r="X23">
            <v>58.325670100000025</v>
          </cell>
          <cell r="Y23">
            <v>48.907687319999923</v>
          </cell>
          <cell r="Z23">
            <v>151.56688659999998</v>
          </cell>
          <cell r="AA23">
            <v>31.549192749999975</v>
          </cell>
          <cell r="AB23">
            <v>19.927490630000051</v>
          </cell>
          <cell r="AC23">
            <v>23.577606279999998</v>
          </cell>
          <cell r="AD23">
            <v>123.94917671999988</v>
          </cell>
          <cell r="AE23">
            <v>199.00346637999996</v>
          </cell>
          <cell r="AF23">
            <v>4.0914394300000083</v>
          </cell>
          <cell r="AG23">
            <v>13.350718519999983</v>
          </cell>
          <cell r="AH23">
            <v>-3.2890464099998837</v>
          </cell>
          <cell r="AI23">
            <v>46.490122859999872</v>
          </cell>
          <cell r="AJ23">
            <v>60.643234399999983</v>
          </cell>
          <cell r="AK23">
            <v>12.516373959999981</v>
          </cell>
          <cell r="AL23">
            <v>23.78146412000001</v>
          </cell>
          <cell r="AM23">
            <v>23.510368959999994</v>
          </cell>
          <cell r="AN23">
            <v>113.83164173999995</v>
          </cell>
          <cell r="AO23">
            <v>173.63984877999997</v>
          </cell>
          <cell r="AP23">
            <v>12.862459440000009</v>
          </cell>
          <cell r="AQ23">
            <v>9.7621336599999626</v>
          </cell>
          <cell r="AR23">
            <v>-13.597270579999929</v>
          </cell>
          <cell r="AS23">
            <v>144.40372948999988</v>
          </cell>
          <cell r="AT23">
            <v>153.4310520099998</v>
          </cell>
          <cell r="AU23">
            <v>8.1363334700000394</v>
          </cell>
          <cell r="AV23">
            <v>116.09387914999985</v>
          </cell>
          <cell r="AW23">
            <v>-164.93756225000004</v>
          </cell>
          <cell r="AX23">
            <v>427.26468384999964</v>
          </cell>
          <cell r="AY23">
            <v>386.55733421999957</v>
          </cell>
          <cell r="AZ23">
            <v>7.3269835399999579</v>
          </cell>
          <cell r="BA23">
            <v>24.828521500000136</v>
          </cell>
          <cell r="BB23">
            <v>-50.235777079999991</v>
          </cell>
          <cell r="BC23">
            <v>439.08883648915878</v>
          </cell>
          <cell r="BD23">
            <v>580.00856444915871</v>
          </cell>
          <cell r="BE23">
            <v>764.47493553062941</v>
          </cell>
          <cell r="BF23">
            <v>1002.9802210453054</v>
          </cell>
          <cell r="BG23">
            <v>1283.0152644843765</v>
          </cell>
          <cell r="BH23">
            <v>1606.6012205834322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5.1248800000000001E-3</v>
          </cell>
          <cell r="R24">
            <v>0.51629559000000003</v>
          </cell>
          <cell r="S24">
            <v>0</v>
          </cell>
          <cell r="T24">
            <v>0.48545522999999996</v>
          </cell>
          <cell r="U24">
            <v>2.4841646600000002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0.64197558999999993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3.3128812999999999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4.0602121599999998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9.0427509600000011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3.58025715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1.0379733400000002</v>
          </cell>
          <cell r="BE24">
            <v>4.42701549287617</v>
          </cell>
          <cell r="BF24">
            <v>7.9077730689767298</v>
          </cell>
          <cell r="BG24">
            <v>7.9077730689767298</v>
          </cell>
          <cell r="BH24">
            <v>7.9077730689767298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-2.4410596200000003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-1.0226486100000001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5.1248800000000001E-3</v>
          </cell>
          <cell r="R26">
            <v>0.51629559000000003</v>
          </cell>
          <cell r="S26">
            <v>-2.4410596200000003</v>
          </cell>
          <cell r="T26">
            <v>0.48545522999999996</v>
          </cell>
          <cell r="U26">
            <v>2.4841646600000002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0.64197558999999993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-1.0226486100000001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3.3128812999999999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4.0602121599999998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9.0427509600000011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3.58025715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1.0379733400000002</v>
          </cell>
          <cell r="BE26">
            <v>4.42701549287617</v>
          </cell>
          <cell r="BF26">
            <v>7.9077730689767298</v>
          </cell>
          <cell r="BG26">
            <v>7.9077730689767298</v>
          </cell>
          <cell r="BH26">
            <v>7.9077730689767298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4.8822568700000284</v>
          </cell>
          <cell r="R29">
            <v>47.656588550000002</v>
          </cell>
          <cell r="S29">
            <v>79.731220960000002</v>
          </cell>
          <cell r="T29">
            <v>25.11232914</v>
          </cell>
          <cell r="U29">
            <v>81.882504189999992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91.439280739999944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87.864622779999962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157.25710272999999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190.51831205000002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223.65007389000024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125.04272573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276.9522834684999</v>
          </cell>
          <cell r="BE29">
            <v>277.18894736739946</v>
          </cell>
          <cell r="BF29">
            <v>332.25310064557624</v>
          </cell>
          <cell r="BG29">
            <v>400.79744909566119</v>
          </cell>
          <cell r="BH29">
            <v>462.09454116580372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-0.42526236000000761</v>
          </cell>
          <cell r="R30">
            <v>62.186568759999993</v>
          </cell>
          <cell r="S30">
            <v>141.92091908999998</v>
          </cell>
          <cell r="T30">
            <v>136.48419920999993</v>
          </cell>
          <cell r="U30">
            <v>232.68086541999992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243.64814292999992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285.84544054999992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221.21321842999996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368.21837298999998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386.12387686000005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515.18031709999957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857.99882125765862</v>
          </cell>
          <cell r="BE30">
            <v>1046.0908983909051</v>
          </cell>
          <cell r="BF30">
            <v>1343.1410947598583</v>
          </cell>
          <cell r="BG30">
            <v>1691.7204866490144</v>
          </cell>
          <cell r="BH30">
            <v>2076.6035348182127</v>
          </cell>
        </row>
        <row r="31">
          <cell r="A31" t="str">
            <v>Additional Income Statement Items</v>
          </cell>
          <cell r="B31">
            <v>0</v>
          </cell>
          <cell r="C31">
            <v>0</v>
          </cell>
          <cell r="D31">
            <v>0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</row>
        <row r="33">
          <cell r="B33" t="str">
            <v>Lease payments</v>
          </cell>
          <cell r="C33" t="str">
            <v>LEASE_PAY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-2.4410596200000003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-1.0226486100000001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</row>
        <row r="38">
          <cell r="A38" t="str">
            <v>Balance Sheet</v>
          </cell>
          <cell r="B38">
            <v>0</v>
          </cell>
          <cell r="C38">
            <v>0</v>
          </cell>
          <cell r="D38">
            <v>0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CNY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162.51446159</v>
          </cell>
          <cell r="R39">
            <v>222.31165691000001</v>
          </cell>
          <cell r="S39">
            <v>264.68564677000001</v>
          </cell>
          <cell r="T39">
            <v>206.72313196000002</v>
          </cell>
          <cell r="U39">
            <v>491.42448424999998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411.45103365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528.76327108999999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358.01254432999997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340.92785236999998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522.32556463000003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302.55293168999998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571.13381233190944</v>
          </cell>
          <cell r="BE39">
            <v>1020.1899196440452</v>
          </cell>
          <cell r="BF39">
            <v>1467.7938281518661</v>
          </cell>
          <cell r="BG39">
            <v>1875.8272332714482</v>
          </cell>
          <cell r="BH39">
            <v>2375.2741570377061</v>
          </cell>
        </row>
        <row r="40">
          <cell r="B40" t="str">
            <v>Accounts receivable</v>
          </cell>
          <cell r="C40" t="str">
            <v>DEBTORS</v>
          </cell>
          <cell r="D40" t="str">
            <v>CNY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38.689463000000003</v>
          </cell>
          <cell r="R40">
            <v>47.980271590000001</v>
          </cell>
          <cell r="S40">
            <v>107.54004789999999</v>
          </cell>
          <cell r="T40">
            <v>57.955871340000002</v>
          </cell>
          <cell r="U40">
            <v>80.47520677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96.291173209999982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178.62688524000001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120.3241077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181.23020787999997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209.70065368000002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240.64851572999999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305.46144695124576</v>
          </cell>
          <cell r="BE40">
            <v>377.00138815669743</v>
          </cell>
          <cell r="BF40">
            <v>455.10849454025987</v>
          </cell>
          <cell r="BG40">
            <v>541.20388314294598</v>
          </cell>
          <cell r="BH40">
            <v>634.76715569558553</v>
          </cell>
        </row>
        <row r="41">
          <cell r="B41" t="str">
            <v>Inventory</v>
          </cell>
          <cell r="C41" t="str">
            <v>STOCKS</v>
          </cell>
          <cell r="D41" t="str">
            <v>CNY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12.12743102</v>
          </cell>
          <cell r="R41">
            <v>4.0622946899999999</v>
          </cell>
          <cell r="S41">
            <v>17.821204460000001</v>
          </cell>
          <cell r="T41">
            <v>116.72508464000001</v>
          </cell>
          <cell r="U41">
            <v>297.43220030000003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191.97344659999999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155.37000268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86.536142519999999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67.756357650000012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57.361999189999999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58.656916979999998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52.871271260653018</v>
          </cell>
          <cell r="BE41">
            <v>78.917786803252469</v>
          </cell>
          <cell r="BF41">
            <v>95.40230953298682</v>
          </cell>
          <cell r="BG41">
            <v>113.97573131907001</v>
          </cell>
          <cell r="BH41">
            <v>134.73171085675071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CNY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39.611956299999974</v>
          </cell>
          <cell r="R42">
            <v>54.811942820000027</v>
          </cell>
          <cell r="S42">
            <v>131.25296495000003</v>
          </cell>
          <cell r="T42">
            <v>196.77082145</v>
          </cell>
          <cell r="U42">
            <v>69.460268710000094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190.37569622000001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28.033265299999982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461.15472903999989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837.52541741000005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1071.6436402900003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1333.1384068100001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1333.1384068099999</v>
          </cell>
          <cell r="BE42">
            <v>1333.1384068100003</v>
          </cell>
          <cell r="BF42">
            <v>1333.1384068100001</v>
          </cell>
          <cell r="BG42">
            <v>1333.1384068099999</v>
          </cell>
          <cell r="BH42">
            <v>1333.1384068100008</v>
          </cell>
        </row>
        <row r="43">
          <cell r="B43" t="str">
            <v>Total current assets</v>
          </cell>
          <cell r="C43" t="str">
            <v>CUR_ASS</v>
          </cell>
          <cell r="D43" t="str">
            <v>CNY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252.94331190999998</v>
          </cell>
          <cell r="R43">
            <v>329.16616601000004</v>
          </cell>
          <cell r="S43">
            <v>521.29986408000002</v>
          </cell>
          <cell r="T43">
            <v>578.17490939000004</v>
          </cell>
          <cell r="U43">
            <v>938.7921600300001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890.09134968000001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890.79342430999998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1026.0275235899999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1427.43983531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1861.0318577900002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1934.9967712100001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2262.6049373538081</v>
          </cell>
          <cell r="BE43">
            <v>2809.2475014139955</v>
          </cell>
          <cell r="BF43">
            <v>3351.4430390351131</v>
          </cell>
          <cell r="BG43">
            <v>3864.145254543464</v>
          </cell>
          <cell r="BH43">
            <v>4477.9114304000432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CNY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142.66721355999999</v>
          </cell>
          <cell r="R44">
            <v>107.50622204</v>
          </cell>
          <cell r="S44">
            <v>160.32316381000001</v>
          </cell>
          <cell r="T44">
            <v>124.20444612</v>
          </cell>
          <cell r="U44">
            <v>137.20799267999999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139.77645841999998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147.47910288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161.17007221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242.59274773999999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338.47011194000004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423.50292415000001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650.38822966491807</v>
          </cell>
          <cell r="BE44">
            <v>965.27604251315825</v>
          </cell>
          <cell r="BF44">
            <v>1387.4909940061286</v>
          </cell>
          <cell r="BG44">
            <v>1889.5786808110872</v>
          </cell>
          <cell r="BH44">
            <v>2478.467236103992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CNY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-19.58917087</v>
          </cell>
          <cell r="R45">
            <v>-21.580970570000002</v>
          </cell>
          <cell r="S45">
            <v>-19.547505040000001</v>
          </cell>
          <cell r="T45">
            <v>-27.847170850000001</v>
          </cell>
          <cell r="U45">
            <v>-39.851220409999996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-52.17192987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-58.520516350000001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-69.559618909999998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-82.437251599999996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-93.23427620999999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-108.00979821999999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-160.18623381885467</v>
          </cell>
          <cell r="BE45">
            <v>-237.62407935497873</v>
          </cell>
          <cell r="BF45">
            <v>-348.93349608604319</v>
          </cell>
          <cell r="BG45">
            <v>-500.52215629150709</v>
          </cell>
          <cell r="BH45">
            <v>-699.35353150731635</v>
          </cell>
        </row>
        <row r="46">
          <cell r="B46" t="str">
            <v>Net PP&amp;E</v>
          </cell>
          <cell r="C46" t="str">
            <v>NET_FIX_ASS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123.07804268999999</v>
          </cell>
          <cell r="R46">
            <v>85.925251469999992</v>
          </cell>
          <cell r="S46">
            <v>140.77565877000001</v>
          </cell>
          <cell r="T46">
            <v>96.357275270000002</v>
          </cell>
          <cell r="U46">
            <v>97.356772269999993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87.604528549999984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88.958586529999991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91.610453300000003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160.15549614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245.23583573000005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315.49312593000002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490.20199584606337</v>
          </cell>
          <cell r="BE46">
            <v>727.65196315817957</v>
          </cell>
          <cell r="BF46">
            <v>1038.5574979200856</v>
          </cell>
          <cell r="BG46">
            <v>1389.0565245195801</v>
          </cell>
          <cell r="BH46">
            <v>1779.1137045966757</v>
          </cell>
        </row>
        <row r="47">
          <cell r="B47" t="str">
            <v>Gross intangibles</v>
          </cell>
          <cell r="C47" t="str">
            <v>GR_INTANG</v>
          </cell>
          <cell r="D47" t="str">
            <v>CNY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9.8078600999999992</v>
          </cell>
          <cell r="R47">
            <v>33.364668870000003</v>
          </cell>
          <cell r="S47">
            <v>37.867523200000001</v>
          </cell>
          <cell r="T47">
            <v>16.983608450000002</v>
          </cell>
          <cell r="U47">
            <v>25.398167600000001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67.141528149999999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70.152330370000001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72.86732619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88.970325220000007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88.117199779999993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74.047561849999994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74.047561849999994</v>
          </cell>
          <cell r="BE47">
            <v>74.047561849999994</v>
          </cell>
          <cell r="BF47">
            <v>74.047561849999994</v>
          </cell>
          <cell r="BG47">
            <v>74.047561849999994</v>
          </cell>
          <cell r="BH47">
            <v>74.047561849999994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CNY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-3.0018904200000001</v>
          </cell>
          <cell r="T48">
            <v>-5.6435521099999999</v>
          </cell>
          <cell r="U48">
            <v>-7.0220465599999997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-12.10874183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-17.314566030000002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-23.836498469999999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-32.809310230000001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-40.431326640000002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-45.095536659999993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-52.698216739999992</v>
          </cell>
          <cell r="BE48">
            <v>-60.300896819999991</v>
          </cell>
          <cell r="BF48">
            <v>-67.90357689999999</v>
          </cell>
          <cell r="BG48">
            <v>-75.506256979999989</v>
          </cell>
          <cell r="BH48">
            <v>-83.108937059999988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CNY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9.8078600999999992</v>
          </cell>
          <cell r="R49">
            <v>33.364668870000003</v>
          </cell>
          <cell r="S49">
            <v>34.865632779999999</v>
          </cell>
          <cell r="T49">
            <v>11.340056340000002</v>
          </cell>
          <cell r="U49">
            <v>18.376121040000001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55.03278632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52.83776434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49.030827720000005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56.161014990000005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47.685873139999991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28.952025190000001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21.349345110000002</v>
          </cell>
          <cell r="BE49">
            <v>13.746665030000003</v>
          </cell>
          <cell r="BF49">
            <v>6.1439849500000037</v>
          </cell>
          <cell r="BG49">
            <v>-1.4586951299999953</v>
          </cell>
          <cell r="BH49">
            <v>-9.0613752099999942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CNY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CNY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67.267032470000004</v>
          </cell>
          <cell r="R51">
            <v>109.96424665999999</v>
          </cell>
          <cell r="S51">
            <v>216.57307701000002</v>
          </cell>
          <cell r="T51">
            <v>222.85096971000002</v>
          </cell>
          <cell r="U51">
            <v>279.18809598000001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561.23463708000008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706.95442462000005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667.54707864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686.40141997000001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763.13032338000005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1510.32993459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1410.32993459</v>
          </cell>
          <cell r="BE51">
            <v>1410.32993459</v>
          </cell>
          <cell r="BF51">
            <v>1410.32993459</v>
          </cell>
          <cell r="BG51">
            <v>1610.32993459</v>
          </cell>
          <cell r="BH51">
            <v>1810.32993459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CNY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5</v>
          </cell>
          <cell r="R52">
            <v>3.6266357300000038</v>
          </cell>
          <cell r="S52">
            <v>3.6074329699998771</v>
          </cell>
          <cell r="T52">
            <v>3.3505448300000467</v>
          </cell>
          <cell r="U52">
            <v>3.7287694700002021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4.7194137299999284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7.2341655399999354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13.749722170000041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8.5420308900002055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113.7052615499997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185.50849057999972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185.50849058000017</v>
          </cell>
          <cell r="BE52">
            <v>185.50849058000017</v>
          </cell>
          <cell r="BF52">
            <v>185.50849057999972</v>
          </cell>
          <cell r="BG52">
            <v>185.5084905800004</v>
          </cell>
          <cell r="BH52">
            <v>185.50849057999881</v>
          </cell>
        </row>
        <row r="53">
          <cell r="B53" t="str">
            <v>Total assets</v>
          </cell>
          <cell r="C53" t="str">
            <v>TOT_ASSET</v>
          </cell>
          <cell r="D53" t="str">
            <v>CNY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458.09624716999997</v>
          </cell>
          <cell r="R53">
            <v>562.04696874000001</v>
          </cell>
          <cell r="S53">
            <v>917.12166560999992</v>
          </cell>
          <cell r="T53">
            <v>912.07375554000009</v>
          </cell>
          <cell r="U53">
            <v>1337.4419187900003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1598.68271536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1746.7783653399999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1847.96560542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2338.6997973000002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3030.7891515900001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3975.2803475000001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4369.9947034798715</v>
          </cell>
          <cell r="BE53">
            <v>5146.4845547721752</v>
          </cell>
          <cell r="BF53">
            <v>5991.9829470751984</v>
          </cell>
          <cell r="BG53">
            <v>7047.5815091030445</v>
          </cell>
          <cell r="BH53">
            <v>8243.8021849567176</v>
          </cell>
        </row>
        <row r="54">
          <cell r="B54" t="str">
            <v>Accounts payable</v>
          </cell>
          <cell r="C54" t="str">
            <v>ACC_PAY_GQ</v>
          </cell>
          <cell r="D54" t="str">
            <v>CNY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55.720617619999999</v>
          </cell>
          <cell r="R54">
            <v>65.290152629999994</v>
          </cell>
          <cell r="S54">
            <v>127.00799096999998</v>
          </cell>
          <cell r="T54">
            <v>153.24603536000001</v>
          </cell>
          <cell r="U54">
            <v>270.76656723999997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247.63877456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198.29113747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257.32419842000002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394.98324681000003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747.85366961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930.59150599999998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671.04182735497909</v>
          </cell>
          <cell r="BE54">
            <v>801.29922514915677</v>
          </cell>
          <cell r="BF54">
            <v>774.94111077196897</v>
          </cell>
          <cell r="BG54">
            <v>740.64856720398825</v>
          </cell>
          <cell r="BH54">
            <v>612.86901354945462</v>
          </cell>
        </row>
        <row r="55">
          <cell r="B55" t="str">
            <v>Short-term debt</v>
          </cell>
          <cell r="C55" t="str">
            <v>SHORT_T_DEBT</v>
          </cell>
          <cell r="D55" t="str">
            <v>CNY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10</v>
          </cell>
          <cell r="R55">
            <v>60</v>
          </cell>
          <cell r="S55">
            <v>51</v>
          </cell>
          <cell r="T55">
            <v>3</v>
          </cell>
          <cell r="U55">
            <v>25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33.75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45.25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12.5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CNY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20.455991339999997</v>
          </cell>
          <cell r="R56">
            <v>36.290475630000003</v>
          </cell>
          <cell r="S56">
            <v>52.46666424</v>
          </cell>
          <cell r="T56">
            <v>57.355337029999987</v>
          </cell>
          <cell r="U56">
            <v>60.323634369999979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91.879690939999989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119.38192064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125.25607464000001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154.04670873000003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172.54869837000001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353.61330986999997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488.23331812368917</v>
          </cell>
          <cell r="BE56">
            <v>529.95444167366088</v>
          </cell>
          <cell r="BF56">
            <v>625.64129545828621</v>
          </cell>
          <cell r="BG56">
            <v>737.92691489818412</v>
          </cell>
          <cell r="BH56">
            <v>861.90679575510217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CNY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86.176608959999996</v>
          </cell>
          <cell r="R57">
            <v>161.58062826</v>
          </cell>
          <cell r="S57">
            <v>230.47465520999998</v>
          </cell>
          <cell r="T57">
            <v>213.60137238999999</v>
          </cell>
          <cell r="U57">
            <v>356.09020160999995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373.26846549999999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362.92305811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395.08027306000002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549.02995554000006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920.40236798000001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1284.2048158699999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1159.2751454786683</v>
          </cell>
          <cell r="BE57">
            <v>1331.2536668228176</v>
          </cell>
          <cell r="BF57">
            <v>1400.5824062302552</v>
          </cell>
          <cell r="BG57">
            <v>1478.5754821021724</v>
          </cell>
          <cell r="BH57">
            <v>1474.7758093045568</v>
          </cell>
        </row>
        <row r="58">
          <cell r="B58" t="str">
            <v>Long-term  debt</v>
          </cell>
          <cell r="C58" t="str">
            <v>LT_DEBT</v>
          </cell>
          <cell r="D58" t="str">
            <v>CNY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35</v>
          </cell>
          <cell r="T58">
            <v>35</v>
          </cell>
          <cell r="U58">
            <v>52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138.25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71.5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12.5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16.329999999999998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30.199000000000002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CNY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2.7645506499999999</v>
          </cell>
          <cell r="R59">
            <v>2.97343534</v>
          </cell>
          <cell r="S59">
            <v>24.774626099999999</v>
          </cell>
          <cell r="T59">
            <v>2.5731983499999984</v>
          </cell>
          <cell r="U59">
            <v>4.6294515100000027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4.1092538000000047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8.4803167500000001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4.5538648899999998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10.135274030000001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44.381764250000003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138.7671775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138.7671775</v>
          </cell>
          <cell r="BE59">
            <v>138.7671775</v>
          </cell>
          <cell r="BF59">
            <v>138.7671775</v>
          </cell>
          <cell r="BG59">
            <v>138.7671775</v>
          </cell>
          <cell r="BH59">
            <v>138.7671775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2.7645506499999999</v>
          </cell>
          <cell r="R60">
            <v>2.97343534</v>
          </cell>
          <cell r="S60">
            <v>59.774626099999999</v>
          </cell>
          <cell r="T60">
            <v>37.573198349999998</v>
          </cell>
          <cell r="U60">
            <v>56.629451510000003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142.3592538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79.98031675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17.05386489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26.46527403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74.580764250000001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138.7671775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138.7671775</v>
          </cell>
          <cell r="BE60">
            <v>138.7671775</v>
          </cell>
          <cell r="BF60">
            <v>138.7671775</v>
          </cell>
          <cell r="BG60">
            <v>138.7671775</v>
          </cell>
          <cell r="BH60">
            <v>138.7671775</v>
          </cell>
        </row>
        <row r="61">
          <cell r="B61" t="str">
            <v>Total liabilities</v>
          </cell>
          <cell r="C61" t="str">
            <v>TOT_LIAB</v>
          </cell>
          <cell r="D61" t="str">
            <v>CNY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88.94115961</v>
          </cell>
          <cell r="R61">
            <v>164.55406360000001</v>
          </cell>
          <cell r="S61">
            <v>290.24928130999996</v>
          </cell>
          <cell r="T61">
            <v>251.17457073999998</v>
          </cell>
          <cell r="U61">
            <v>412.71965311999998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515.62771929999997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442.90337485999999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412.13413795000002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575.49522957000011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994.98313223000002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1422.9719933699998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1298.0423229786684</v>
          </cell>
          <cell r="BE61">
            <v>1470.0208443228175</v>
          </cell>
          <cell r="BF61">
            <v>1539.3495837302553</v>
          </cell>
          <cell r="BG61">
            <v>1617.3426596021723</v>
          </cell>
          <cell r="BH61">
            <v>1613.5429868045567</v>
          </cell>
        </row>
        <row r="62">
          <cell r="B62" t="str">
            <v>Preferred shares</v>
          </cell>
          <cell r="C62" t="str">
            <v>PREF_SH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</row>
        <row r="63">
          <cell r="B63" t="str">
            <v>Total common equity</v>
          </cell>
          <cell r="C63" t="str">
            <v>ORD_SH_FUND</v>
          </cell>
          <cell r="D63" t="str">
            <v>CNY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354.28671614000007</v>
          </cell>
          <cell r="R63">
            <v>382.40807538000001</v>
          </cell>
          <cell r="S63">
            <v>591.24762131999989</v>
          </cell>
          <cell r="T63">
            <v>631.45289121000008</v>
          </cell>
          <cell r="U63">
            <v>808.44690407000007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990.76190376999989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1217.98579352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1336.3104934300002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1650.0605809900001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1916.0389406500001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2432.0659458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2970.8144226250606</v>
          </cell>
          <cell r="BE63">
            <v>3585.6924197326985</v>
          </cell>
          <cell r="BF63">
            <v>4375.1724806425582</v>
          </cell>
          <cell r="BG63">
            <v>5369.5427653823835</v>
          </cell>
          <cell r="BH63">
            <v>6590.1420691711101</v>
          </cell>
        </row>
        <row r="64">
          <cell r="B64" t="str">
            <v>Minority interest</v>
          </cell>
          <cell r="C64" t="str">
            <v>MINORITIES</v>
          </cell>
          <cell r="D64" t="str">
            <v>CNY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14.868371420000001</v>
          </cell>
          <cell r="R64">
            <v>15.08482976</v>
          </cell>
          <cell r="S64">
            <v>35.62476298</v>
          </cell>
          <cell r="T64">
            <v>29.44629359</v>
          </cell>
          <cell r="U64">
            <v>116.2753616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92.293092290000004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85.889196959999992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99.520974040000013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113.14398673999999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119.76707856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120.24240833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101.13795787614274</v>
          </cell>
          <cell r="BE64">
            <v>90.771290716658712</v>
          </cell>
          <cell r="BF64">
            <v>77.460882702385618</v>
          </cell>
          <cell r="BG64">
            <v>60.69608411848931</v>
          </cell>
          <cell r="BH64">
            <v>40.11712898105155</v>
          </cell>
        </row>
        <row r="65">
          <cell r="B65" t="str">
            <v>Total shareholders' equity</v>
          </cell>
          <cell r="C65" t="str">
            <v>EQ</v>
          </cell>
          <cell r="D65" t="str">
            <v>CNY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369.15508756000008</v>
          </cell>
          <cell r="R65">
            <v>397.49290514</v>
          </cell>
          <cell r="S65">
            <v>626.87238429999991</v>
          </cell>
          <cell r="T65">
            <v>660.89918480000006</v>
          </cell>
          <cell r="U65">
            <v>924.72226567000007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1083.0549960599999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1303.87499048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1435.8314674700002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1763.20456773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2035.8060192100002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2552.3083541300002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3071.9523805012032</v>
          </cell>
          <cell r="BE65">
            <v>3676.4637104493572</v>
          </cell>
          <cell r="BF65">
            <v>4452.633363344944</v>
          </cell>
          <cell r="BG65">
            <v>5430.2388495008727</v>
          </cell>
          <cell r="BH65">
            <v>6630.2591981521618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458.09624717000008</v>
          </cell>
          <cell r="R66">
            <v>562.04696874000001</v>
          </cell>
          <cell r="S66">
            <v>917.12166560999981</v>
          </cell>
          <cell r="T66">
            <v>912.07375554000009</v>
          </cell>
          <cell r="U66">
            <v>1337.44191879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1598.6827153599997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1746.7783653399999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1847.9656054200002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2338.6997973000002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3030.7891514400003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3975.2803475000001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4369.9947034798715</v>
          </cell>
          <cell r="BE66">
            <v>5146.4845547721743</v>
          </cell>
          <cell r="BF66">
            <v>5991.9829470751993</v>
          </cell>
          <cell r="BG66">
            <v>7047.5815091030454</v>
          </cell>
          <cell r="BH66">
            <v>8243.8021849567194</v>
          </cell>
        </row>
        <row r="67">
          <cell r="A67" t="str">
            <v>Additional Balance Sheet Items</v>
          </cell>
          <cell r="B67">
            <v>0</v>
          </cell>
          <cell r="C67">
            <v>0</v>
          </cell>
          <cell r="D67">
            <v>0</v>
          </cell>
        </row>
        <row r="68">
          <cell r="B68" t="str">
            <v>Net debt</v>
          </cell>
          <cell r="C68" t="str">
            <v>NET_DEBT</v>
          </cell>
          <cell r="D68" t="str">
            <v>CNY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-152.51446159</v>
          </cell>
          <cell r="R68">
            <v>-162.31165691000001</v>
          </cell>
          <cell r="S68">
            <v>-178.68564677000001</v>
          </cell>
          <cell r="T68">
            <v>-168.72313196000002</v>
          </cell>
          <cell r="U68">
            <v>-414.42448424999998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-239.45103365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-412.01327108999999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-333.01254432999997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-324.59785237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-492.12656463000002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-302.55293168999998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-571.13381233190944</v>
          </cell>
          <cell r="BE68">
            <v>-1020.1899196440452</v>
          </cell>
          <cell r="BF68">
            <v>-1467.7938281518661</v>
          </cell>
          <cell r="BG68">
            <v>-1875.8272332714482</v>
          </cell>
          <cell r="BH68">
            <v>-2375.2741570377061</v>
          </cell>
        </row>
        <row r="69">
          <cell r="B69" t="str">
            <v>Capitalized leases</v>
          </cell>
          <cell r="C69" t="str">
            <v>CAP_LEASES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</row>
        <row r="70">
          <cell r="B70" t="str">
            <v>Deferred income taxes</v>
          </cell>
          <cell r="C70" t="str">
            <v>DEF_INC_TAX</v>
          </cell>
          <cell r="D70" t="str">
            <v>CNY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</row>
        <row r="71">
          <cell r="B71" t="str">
            <v>Associates (mkt value) used in EV calculation</v>
          </cell>
          <cell r="C71" t="str">
            <v>MV_ASSOCIATES</v>
          </cell>
          <cell r="D71" t="str">
            <v>CNY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</row>
        <row r="72">
          <cell r="B72" t="str">
            <v>Net debt adjustment</v>
          </cell>
          <cell r="C72" t="str">
            <v>NET_DEBT_ADJ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</row>
        <row r="73">
          <cell r="B73" t="str">
            <v>Company borrowing margin</v>
          </cell>
          <cell r="C73" t="str">
            <v>CO_BOR_MARGIN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2.8384414186046515E-2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8.759302869379015E-3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 t="e">
            <v>#VALUE!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 t="e">
            <v>#VALUE!</v>
          </cell>
          <cell r="BE73" t="e">
            <v>#VALUE!</v>
          </cell>
          <cell r="BF73" t="e">
            <v>#VALUE!</v>
          </cell>
          <cell r="BG73" t="e">
            <v>#VALUE!</v>
          </cell>
          <cell r="BH73" t="e">
            <v>#VALUE!</v>
          </cell>
        </row>
        <row r="74">
          <cell r="B74" t="str">
            <v>Unfunded pensions &amp; other provisions</v>
          </cell>
          <cell r="C74" t="str">
            <v>UNF_PENS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</row>
        <row r="75">
          <cell r="B75" t="str">
            <v>Unfunded pension liabilities (off balance sheet)</v>
          </cell>
          <cell r="C75" t="str">
            <v>UNF_PENS_OFF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</row>
        <row r="76">
          <cell r="B76" t="str">
            <v>Unfunded pension liabilities &amp; other, used in EV</v>
          </cell>
          <cell r="C76" t="str">
            <v>UNF_PENS_LIAB_OTH</v>
          </cell>
          <cell r="D76" t="str">
            <v>CNY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</row>
        <row r="77">
          <cell r="B77" t="str">
            <v>Adjustment for unfunded pensions &amp; goodwill</v>
          </cell>
          <cell r="C77" t="str">
            <v>ADJ_UNF_PENS_GOOD</v>
          </cell>
          <cell r="D77" t="str">
            <v>CNY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-9.8078600999999992</v>
          </cell>
          <cell r="R77">
            <v>-33.364668870000003</v>
          </cell>
          <cell r="S77">
            <v>-34.865632779999999</v>
          </cell>
          <cell r="T77">
            <v>-11.340056340000002</v>
          </cell>
          <cell r="U77">
            <v>-18.376121040000001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-55.03278632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-52.83776434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-49.030827720000005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-56.161014990000005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-47.685873139999991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-28.952025190000001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-21.349345110000002</v>
          </cell>
          <cell r="BE77">
            <v>-13.746665030000003</v>
          </cell>
          <cell r="BF77">
            <v>-6.1439849500000037</v>
          </cell>
          <cell r="BG77">
            <v>1.4586951299999953</v>
          </cell>
          <cell r="BH77">
            <v>9.0613752099999942</v>
          </cell>
        </row>
        <row r="78">
          <cell r="B78" t="str">
            <v>Other GCI adjustments</v>
          </cell>
          <cell r="C78" t="str">
            <v>OTH_GCI_ADJ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</row>
        <row r="79">
          <cell r="B79" t="str">
            <v>GCI inflator</v>
          </cell>
          <cell r="C79" t="str">
            <v>GCI_INFL</v>
          </cell>
          <cell r="F79">
            <v>1</v>
          </cell>
          <cell r="G79">
            <v>1</v>
          </cell>
          <cell r="H79">
            <v>1</v>
          </cell>
          <cell r="I79">
            <v>1</v>
          </cell>
          <cell r="J79">
            <v>1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1</v>
          </cell>
          <cell r="P79">
            <v>1</v>
          </cell>
          <cell r="Q79">
            <v>1</v>
          </cell>
          <cell r="R79">
            <v>1</v>
          </cell>
          <cell r="S79">
            <v>1</v>
          </cell>
          <cell r="T79">
            <v>1</v>
          </cell>
          <cell r="U79">
            <v>1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1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1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1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1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1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1</v>
          </cell>
          <cell r="BE79">
            <v>1</v>
          </cell>
          <cell r="BF79">
            <v>1</v>
          </cell>
          <cell r="BG79">
            <v>1</v>
          </cell>
          <cell r="BH79">
            <v>1</v>
          </cell>
        </row>
        <row r="80">
          <cell r="B80" t="str">
            <v>Minority interest</v>
          </cell>
          <cell r="C80" t="str">
            <v>BAL_MINO_INT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14.868371420000001</v>
          </cell>
          <cell r="R80">
            <v>15.08482976</v>
          </cell>
          <cell r="S80">
            <v>35.62476298</v>
          </cell>
          <cell r="T80">
            <v>29.44629359</v>
          </cell>
          <cell r="U80">
            <v>116.2753616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92.293092290000004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85.889196959999992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99.520974040000013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113.14398673999999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119.76707856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120.24240833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101.13795787614274</v>
          </cell>
          <cell r="BE80">
            <v>90.771290716658712</v>
          </cell>
          <cell r="BF80">
            <v>77.460882702385618</v>
          </cell>
          <cell r="BG80">
            <v>60.69608411848931</v>
          </cell>
          <cell r="BH80">
            <v>40.11712898105155</v>
          </cell>
        </row>
        <row r="81">
          <cell r="A81" t="str">
            <v>Cash Flow Statement</v>
          </cell>
          <cell r="B81">
            <v>0</v>
          </cell>
          <cell r="C81">
            <v>0</v>
          </cell>
          <cell r="D81">
            <v>0</v>
          </cell>
        </row>
        <row r="82">
          <cell r="B82" t="str">
            <v>Minority interest add-back</v>
          </cell>
          <cell r="C82" t="str">
            <v>CF_INC_MINORITY</v>
          </cell>
          <cell r="D82" t="str">
            <v>CNY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-5.6452500000000001E-3</v>
          </cell>
          <cell r="R82">
            <v>0.10155774000000001</v>
          </cell>
          <cell r="S82">
            <v>4.0297653599999999</v>
          </cell>
          <cell r="T82">
            <v>-1.4955551200000001</v>
          </cell>
          <cell r="U82">
            <v>4.34586133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3.0118185299999998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7.5995703600000004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12.42996224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16.763908439999998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-5.4996270000000003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-4.9416524000000006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-19.104450453857268</v>
          </cell>
          <cell r="BE82">
            <v>-10.366667159484029</v>
          </cell>
          <cell r="BF82">
            <v>-13.310408014273087</v>
          </cell>
          <cell r="BG82">
            <v>-16.764798583896308</v>
          </cell>
          <cell r="BH82">
            <v>-20.578955137437756</v>
          </cell>
        </row>
        <row r="83">
          <cell r="B83" t="str">
            <v>Depreciation &amp; amortization add-back</v>
          </cell>
          <cell r="C83" t="str">
            <v>DEPR_AMORT</v>
          </cell>
          <cell r="D83" t="str">
            <v>CNY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9.0187136800000012</v>
          </cell>
          <cell r="R83">
            <v>12.798746699999999</v>
          </cell>
          <cell r="S83">
            <v>10.74547621</v>
          </cell>
          <cell r="T83">
            <v>12.258380869999998</v>
          </cell>
          <cell r="U83">
            <v>15.41519632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19.545101020000001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23.601985110000001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26.489978539999999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25.377559300000001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26.336417519999998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41.577576979999996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59.779115678854673</v>
          </cell>
          <cell r="BE83">
            <v>85.040525616124071</v>
          </cell>
          <cell r="BF83">
            <v>118.91209681106447</v>
          </cell>
          <cell r="BG83">
            <v>159.19134028546389</v>
          </cell>
          <cell r="BH83">
            <v>206.43405529580932</v>
          </cell>
        </row>
        <row r="84">
          <cell r="B84" t="str">
            <v>(Increase)/decrease in working capital</v>
          </cell>
          <cell r="C84" t="str">
            <v>WORK_CAP</v>
          </cell>
          <cell r="D84" t="str">
            <v>CNY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36.053103219999997</v>
          </cell>
          <cell r="R84">
            <v>27.455634530000001</v>
          </cell>
          <cell r="S84">
            <v>-11.600847740000006</v>
          </cell>
          <cell r="T84">
            <v>-23.081659229999985</v>
          </cell>
          <cell r="U84">
            <v>-85.705919210000047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66.514994580000092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-95.079905200000042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186.16969865000004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95.532733080000028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334.79433545999996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150.49505655000002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-318.57696414691969</v>
          </cell>
          <cell r="BE84">
            <v>32.670941046126558</v>
          </cell>
          <cell r="BF84">
            <v>-120.94974349048459</v>
          </cell>
          <cell r="BG84">
            <v>-138.96135395675003</v>
          </cell>
          <cell r="BH84">
            <v>-242.09880574485388</v>
          </cell>
        </row>
        <row r="85">
          <cell r="B85" t="str">
            <v>Other operating cash flow items</v>
          </cell>
          <cell r="C85" t="str">
            <v>OTH_OP_CF</v>
          </cell>
          <cell r="D85" t="str">
            <v>CNY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8.5713570300000157</v>
          </cell>
          <cell r="R85">
            <v>-30.352387390000015</v>
          </cell>
          <cell r="S85">
            <v>27.019891540000025</v>
          </cell>
          <cell r="T85">
            <v>22.403029690000032</v>
          </cell>
          <cell r="U85">
            <v>-26.784628019999872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-134.35211807000002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5.5618447200001384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-85.840211320000037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-63.04780417000002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-102.61686659999992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350.79891890000016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1.7053025658242404E-13</v>
          </cell>
          <cell r="BG85">
            <v>0</v>
          </cell>
          <cell r="BH85">
            <v>0</v>
          </cell>
        </row>
        <row r="86">
          <cell r="B86" t="str">
            <v>Cash flow from operating activities</v>
          </cell>
          <cell r="C86" t="str">
            <v>CF_OPS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51.084758900000004</v>
          </cell>
          <cell r="R86">
            <v>64.632257969999984</v>
          </cell>
          <cell r="S86">
            <v>156.61238854999999</v>
          </cell>
          <cell r="T86">
            <v>144.17304060999999</v>
          </cell>
          <cell r="U86">
            <v>112.88178564000002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173.38667193000001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196.09396598000004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339.06910660999995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397.94429762999994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613.53474447000008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991.66341264999983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556.09553295682758</v>
          </cell>
          <cell r="BE86">
            <v>1059.1932752140651</v>
          </cell>
          <cell r="BF86">
            <v>1206.7893386044525</v>
          </cell>
          <cell r="BG86">
            <v>1542.7784243128272</v>
          </cell>
          <cell r="BH86">
            <v>1833.278430887347</v>
          </cell>
        </row>
        <row r="87">
          <cell r="B87" t="str">
            <v>Capital expenditures, Capex</v>
          </cell>
          <cell r="C87" t="str">
            <v>CAPEX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-27.81620457</v>
          </cell>
          <cell r="R87">
            <v>-34.760073130000002</v>
          </cell>
          <cell r="S87">
            <v>-59.429287420000001</v>
          </cell>
          <cell r="T87">
            <v>-24.80550745</v>
          </cell>
          <cell r="U87">
            <v>-14.351009130000001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-11.88431623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-25.320855210000001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-21.529483519999999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-66.201970750000001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-96.603916290000001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-111.97871898999999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-226.88530551491803</v>
          </cell>
          <cell r="BE87">
            <v>-314.88781284824012</v>
          </cell>
          <cell r="BF87">
            <v>-422.21495149297044</v>
          </cell>
          <cell r="BG87">
            <v>-502.08768680495854</v>
          </cell>
          <cell r="BH87">
            <v>-588.88855529290481</v>
          </cell>
        </row>
        <row r="88">
          <cell r="B88" t="str">
            <v>Acquisitions</v>
          </cell>
          <cell r="C88" t="str">
            <v>ACQ</v>
          </cell>
          <cell r="D88" t="str">
            <v>CNY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</row>
        <row r="89">
          <cell r="B89" t="str">
            <v>Divestitures</v>
          </cell>
          <cell r="C89" t="str">
            <v>DIVEST</v>
          </cell>
          <cell r="D89" t="str">
            <v>CNY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1.78689404</v>
          </cell>
          <cell r="R89">
            <v>0.33769410999999999</v>
          </cell>
          <cell r="S89">
            <v>0.34481156000000002</v>
          </cell>
          <cell r="T89">
            <v>1.25029539</v>
          </cell>
          <cell r="U89">
            <v>4.5902963400000001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35.357323539999996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0.46041013000000003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0.82424396999999994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0.37112285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2.2888990000000001E-2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0.91675767000000008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</row>
        <row r="90">
          <cell r="B90" t="str">
            <v>Other investing cash flow items</v>
          </cell>
          <cell r="C90" t="str">
            <v>OTH_INV_CF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26.678704330000002</v>
          </cell>
          <cell r="R90">
            <v>22.006577369999981</v>
          </cell>
          <cell r="S90">
            <v>-73.439629979999964</v>
          </cell>
          <cell r="T90">
            <v>-113.51453120000004</v>
          </cell>
          <cell r="U90">
            <v>95.608719239999928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-390.29198018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26.531446889999874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-346.04229358999993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-258.09728186000012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-266.13877044999998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-1292.0410286099991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100</v>
          </cell>
          <cell r="BE90">
            <v>0</v>
          </cell>
          <cell r="BF90">
            <v>0</v>
          </cell>
          <cell r="BG90">
            <v>-200.00000000000006</v>
          </cell>
          <cell r="BH90">
            <v>-200</v>
          </cell>
        </row>
        <row r="91">
          <cell r="B91" t="str">
            <v>Cash flow from investing</v>
          </cell>
          <cell r="C91" t="str">
            <v>CF_INV</v>
          </cell>
          <cell r="D91" t="str">
            <v>CNY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0.64939380000000391</v>
          </cell>
          <cell r="R91">
            <v>-12.415801650000022</v>
          </cell>
          <cell r="S91">
            <v>-132.52410583999998</v>
          </cell>
          <cell r="T91">
            <v>-137.06974326000002</v>
          </cell>
          <cell r="U91">
            <v>85.848006449999929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-366.81897287000004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1.671001809999872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-366.74753313999992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-323.9281297600001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-362.71979774999994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-1403.1029899299992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-126.88530551491803</v>
          </cell>
          <cell r="BE91">
            <v>-314.88781284824012</v>
          </cell>
          <cell r="BF91">
            <v>-422.21495149297044</v>
          </cell>
          <cell r="BG91">
            <v>-702.08768680495859</v>
          </cell>
          <cell r="BH91">
            <v>-788.88855529290481</v>
          </cell>
        </row>
        <row r="92">
          <cell r="B92" t="str">
            <v>Dividends paid</v>
          </cell>
          <cell r="C92" t="str">
            <v>DIV_PAID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-29.702400000000001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-22.276800000000001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-31.187519999999999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-49.900032000000003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-62.375039999999998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-98.848828799999993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-111.2049324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-160.62934680000001</v>
          </cell>
          <cell r="BE92">
            <v>-295.24935505368927</v>
          </cell>
          <cell r="BF92">
            <v>-336.97047860366115</v>
          </cell>
          <cell r="BG92">
            <v>-432.65733238828636</v>
          </cell>
          <cell r="BH92">
            <v>-544.94295182818428</v>
          </cell>
        </row>
        <row r="93">
          <cell r="B93" t="str">
            <v>Common stock issuance/(repurchase)</v>
          </cell>
          <cell r="C93" t="str">
            <v>SH_REPUR</v>
          </cell>
          <cell r="D93" t="str">
            <v>CNY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10.88337338</v>
          </cell>
          <cell r="R93">
            <v>0.1071555</v>
          </cell>
          <cell r="S93">
            <v>14.6</v>
          </cell>
          <cell r="T93">
            <v>0.14000000000000001</v>
          </cell>
          <cell r="U93">
            <v>82.182702500000005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26.5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2.7283864599999998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1.07013954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26.655000000000001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332.88619999999997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</row>
        <row r="94">
          <cell r="B94" t="str">
            <v>Increase/(decrease) in total debt</v>
          </cell>
          <cell r="C94" t="str">
            <v>CHG_LT_DEBT</v>
          </cell>
          <cell r="D94" t="str">
            <v>CNY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-25</v>
          </cell>
          <cell r="R94">
            <v>50</v>
          </cell>
          <cell r="S94">
            <v>26</v>
          </cell>
          <cell r="T94">
            <v>-48</v>
          </cell>
          <cell r="U94">
            <v>37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143.65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-55.25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-91.75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-8.6700000000000017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13.869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-30.199000000000002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</row>
        <row r="95">
          <cell r="B95" t="str">
            <v>Other financing cash flow items</v>
          </cell>
          <cell r="C95" t="str">
            <v>OTH_FIN_CF</v>
          </cell>
          <cell r="D95" t="str">
            <v>CNY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-17.376919579999999</v>
          </cell>
          <cell r="R95">
            <v>-29.526218390000004</v>
          </cell>
          <cell r="S95">
            <v>-20.756793079999994</v>
          </cell>
          <cell r="T95">
            <v>-17.404566500000001</v>
          </cell>
          <cell r="U95">
            <v>-3.0631142499999982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-26.711716480000007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-2.6149373699999998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-3.773553459999988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-18.686796349999995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-12.687858340000005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-0.72851461000000128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</row>
        <row r="96">
          <cell r="B96" t="str">
            <v>Cash flow from financing</v>
          </cell>
          <cell r="C96" t="str">
            <v>CF_FIN</v>
          </cell>
          <cell r="D96" t="str">
            <v>CNY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-31.493546199999997</v>
          </cell>
          <cell r="R96">
            <v>20.580937109999997</v>
          </cell>
          <cell r="S96">
            <v>19.843206920000004</v>
          </cell>
          <cell r="T96">
            <v>-65.264566500000001</v>
          </cell>
          <cell r="U96">
            <v>86.417188250000009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94.661483520000004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-62.552457369999999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-142.695199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-88.661696809999995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-71.012687139999997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190.75375298999995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-160.62934680000001</v>
          </cell>
          <cell r="BE96">
            <v>-295.24935505368927</v>
          </cell>
          <cell r="BF96">
            <v>-336.97047860366115</v>
          </cell>
          <cell r="BG96">
            <v>-432.65733238828636</v>
          </cell>
          <cell r="BH96">
            <v>-544.94295182818428</v>
          </cell>
        </row>
        <row r="97">
          <cell r="B97" t="str">
            <v>Total cash flow</v>
          </cell>
          <cell r="C97" t="str">
            <v>TOT_CF</v>
          </cell>
          <cell r="D97" t="str">
            <v>CNY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20.240606500000013</v>
          </cell>
          <cell r="R97">
            <v>72.797393429999957</v>
          </cell>
          <cell r="S97">
            <v>43.931489630000016</v>
          </cell>
          <cell r="T97">
            <v>-58.161269150000038</v>
          </cell>
          <cell r="U97">
            <v>285.14698033999991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-98.770817420000029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135.21251041999989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-170.37362552999997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-14.645528940000162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179.80225958000014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-220.68582428999946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268.58088064190952</v>
          </cell>
          <cell r="BE97">
            <v>449.05610731213568</v>
          </cell>
          <cell r="BF97">
            <v>447.60390850782096</v>
          </cell>
          <cell r="BG97">
            <v>408.0334051195822</v>
          </cell>
          <cell r="BH97">
            <v>499.4469237662579</v>
          </cell>
        </row>
        <row r="98">
          <cell r="A98" t="str">
            <v>Additional Cash Flow Items</v>
          </cell>
          <cell r="B98">
            <v>0</v>
          </cell>
          <cell r="C98">
            <v>0</v>
          </cell>
          <cell r="D98">
            <v>0</v>
          </cell>
          <cell r="AO98">
            <v>0</v>
          </cell>
          <cell r="AT98">
            <v>0</v>
          </cell>
        </row>
        <row r="99">
          <cell r="B99" t="str">
            <v>Associate and JV add-back</v>
          </cell>
          <cell r="C99" t="str">
            <v>ASSOC_JV_ADDBK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</row>
        <row r="100">
          <cell r="B100" t="str">
            <v>Profit/(loss) on sale of assets</v>
          </cell>
          <cell r="C100" t="str">
            <v>PL_SALE_ASSETS</v>
          </cell>
          <cell r="D100" t="str">
            <v>CNY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</row>
        <row r="101">
          <cell r="B101" t="str">
            <v>Other non-cash adjustments</v>
          </cell>
          <cell r="C101" t="str">
            <v>OTH_NONCASH_ADJ</v>
          </cell>
          <cell r="D101" t="str">
            <v>CNY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</row>
        <row r="102">
          <cell r="B102" t="str">
            <v>Other DACF adjustments</v>
          </cell>
          <cell r="C102" t="str">
            <v>OTH_DACF_ADJ</v>
          </cell>
          <cell r="D102" t="str">
            <v>CNY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</row>
        <row r="103">
          <cell r="B103" t="str">
            <v>Cash interest expense</v>
          </cell>
          <cell r="C103" t="str">
            <v>CASH_INT_EXP</v>
          </cell>
          <cell r="D103" t="str">
            <v>CNY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</row>
        <row r="104">
          <cell r="B104" t="str">
            <v>Cash tax expense</v>
          </cell>
          <cell r="C104" t="str">
            <v>CASH_TAX_EXP</v>
          </cell>
          <cell r="D104" t="str">
            <v>CNY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</row>
        <row r="105">
          <cell r="B105" t="str">
            <v>Dividends received from associates/JVs</v>
          </cell>
          <cell r="C105" t="str">
            <v>DIVDS_ASSOC_JV</v>
          </cell>
          <cell r="D105" t="str">
            <v>CNY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</row>
        <row r="106">
          <cell r="B106" t="str">
            <v>Capex maintenance</v>
          </cell>
          <cell r="C106" t="str">
            <v>CAPEX_MAINTENANCE</v>
          </cell>
          <cell r="D106" t="str">
            <v>CNY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</row>
        <row r="107">
          <cell r="B107" t="str">
            <v>Capex expansion</v>
          </cell>
          <cell r="C107" t="str">
            <v>CAPEX_EXPANSION</v>
          </cell>
          <cell r="D107" t="str">
            <v>CNY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</row>
        <row r="108">
          <cell r="B108" t="str">
            <v>Non-PP&amp;E capex</v>
          </cell>
          <cell r="C108" t="str">
            <v>NONPPE_CAPEX</v>
          </cell>
          <cell r="D108" t="str">
            <v>CNY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</row>
        <row r="109">
          <cell r="B109" t="str">
            <v>Dividends paid to minorities</v>
          </cell>
          <cell r="C109" t="str">
            <v>DIVDS_PD_MINORITIES</v>
          </cell>
          <cell r="D109" t="str">
            <v>CNY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</row>
        <row r="110">
          <cell r="A110" t="str">
            <v>Other Items</v>
          </cell>
          <cell r="B110">
            <v>0</v>
          </cell>
          <cell r="C110">
            <v>0</v>
          </cell>
          <cell r="D110">
            <v>0</v>
          </cell>
        </row>
        <row r="111">
          <cell r="B111" t="str">
            <v>Number of employees</v>
          </cell>
          <cell r="C111" t="str">
            <v>EMPLOYEES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2.9039999999999999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3.0760000000000001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3.5840000000000001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4.407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5.8230000000000004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7.5699000000000005</v>
          </cell>
          <cell r="BE111">
            <v>8.7053849999999997</v>
          </cell>
          <cell r="BF111">
            <v>10.011192749999999</v>
          </cell>
          <cell r="BG111">
            <v>11.512871662499998</v>
          </cell>
          <cell r="BH111">
            <v>13.239802411874997</v>
          </cell>
        </row>
        <row r="112">
          <cell r="A112" t="str">
            <v>Geographical Breakdown</v>
          </cell>
          <cell r="B112">
            <v>0</v>
          </cell>
          <cell r="C112">
            <v>0</v>
          </cell>
          <cell r="D112">
            <v>0</v>
          </cell>
        </row>
        <row r="113">
          <cell r="B113" t="str">
            <v>Sales - Total % Americas</v>
          </cell>
          <cell r="C113" t="str">
            <v>SALES_TOT_AM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</row>
        <row r="114">
          <cell r="B114" t="str">
            <v>Sales - % United States</v>
          </cell>
          <cell r="C114" t="str">
            <v>SALES_US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</row>
        <row r="115">
          <cell r="A115">
            <v>0</v>
          </cell>
          <cell r="B115" t="str">
            <v>Sales - % Canada</v>
          </cell>
          <cell r="C115" t="str">
            <v>SALES_CANADA</v>
          </cell>
          <cell r="D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</row>
        <row r="116">
          <cell r="B116" t="str">
            <v>Sales - % Brazil</v>
          </cell>
          <cell r="C116" t="str">
            <v>SALES_BRAZIL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</row>
        <row r="117">
          <cell r="B117" t="str">
            <v>Sales - % Other Americas</v>
          </cell>
          <cell r="C117" t="str">
            <v>SALES_OTH_AM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</row>
        <row r="118">
          <cell r="B118" t="str">
            <v>Sales - Total % EMEA</v>
          </cell>
          <cell r="C118" t="str">
            <v>SALES_TOT_EMEA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</row>
        <row r="119">
          <cell r="B119" t="str">
            <v>Sales - % UK</v>
          </cell>
          <cell r="C119" t="str">
            <v>SALES_UK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</row>
        <row r="120">
          <cell r="B120" t="str">
            <v>Sales - % Western Europe-Ex UK</v>
          </cell>
          <cell r="C120" t="str">
            <v>SALES_EU_EX_UK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</row>
        <row r="121">
          <cell r="A121">
            <v>0</v>
          </cell>
          <cell r="B121" t="str">
            <v>Sales - % Austria</v>
          </cell>
          <cell r="C121" t="str">
            <v>SALES_AUSTRIA</v>
          </cell>
          <cell r="D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</row>
        <row r="122">
          <cell r="A122">
            <v>0</v>
          </cell>
          <cell r="B122" t="str">
            <v>Sales - % Belgium</v>
          </cell>
          <cell r="C122" t="str">
            <v>SALES_BEL</v>
          </cell>
          <cell r="D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</row>
        <row r="123">
          <cell r="A123">
            <v>0</v>
          </cell>
          <cell r="B123" t="str">
            <v>Sales - % Denmark</v>
          </cell>
          <cell r="C123" t="str">
            <v>SALES_DEN</v>
          </cell>
          <cell r="D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</row>
        <row r="124">
          <cell r="A124">
            <v>0</v>
          </cell>
          <cell r="B124" t="str">
            <v>Sales - % Finland</v>
          </cell>
          <cell r="C124" t="str">
            <v>SALES_FIN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</row>
        <row r="125">
          <cell r="A125">
            <v>0</v>
          </cell>
          <cell r="B125" t="str">
            <v>Sales - % France</v>
          </cell>
          <cell r="C125" t="str">
            <v>SALES_FRA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</row>
        <row r="126">
          <cell r="A126">
            <v>0</v>
          </cell>
          <cell r="B126" t="str">
            <v>Sales - % Germany</v>
          </cell>
          <cell r="C126" t="str">
            <v>SALES_GER</v>
          </cell>
          <cell r="D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</row>
        <row r="127">
          <cell r="A127">
            <v>0</v>
          </cell>
          <cell r="B127" t="str">
            <v>Sales - % Greece</v>
          </cell>
          <cell r="C127" t="str">
            <v>SALES_GRE</v>
          </cell>
          <cell r="D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</row>
        <row r="128">
          <cell r="A128">
            <v>0</v>
          </cell>
          <cell r="B128" t="str">
            <v>Sales - % Iceland</v>
          </cell>
          <cell r="C128" t="str">
            <v>SALES_ICE</v>
          </cell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</row>
        <row r="129">
          <cell r="A129">
            <v>0</v>
          </cell>
          <cell r="B129" t="str">
            <v>Sales - % Ireland</v>
          </cell>
          <cell r="C129" t="str">
            <v>SALES_IRE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</row>
        <row r="130">
          <cell r="A130">
            <v>0</v>
          </cell>
          <cell r="B130" t="str">
            <v>Sales - % Italy</v>
          </cell>
          <cell r="C130" t="str">
            <v>SALES_ITA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</row>
        <row r="131">
          <cell r="A131">
            <v>0</v>
          </cell>
          <cell r="B131" t="str">
            <v>Sales - % Netherlands</v>
          </cell>
          <cell r="C131" t="str">
            <v>SALES_NETH</v>
          </cell>
          <cell r="D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</row>
        <row r="132">
          <cell r="A132">
            <v>0</v>
          </cell>
          <cell r="B132" t="str">
            <v>Sales - % Norway</v>
          </cell>
          <cell r="C132" t="str">
            <v>SALES_NOR</v>
          </cell>
          <cell r="D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</row>
        <row r="133">
          <cell r="A133">
            <v>0</v>
          </cell>
          <cell r="B133" t="str">
            <v>Sales - % Portugal</v>
          </cell>
          <cell r="C133" t="str">
            <v>SALES_POR</v>
          </cell>
          <cell r="D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</row>
        <row r="134">
          <cell r="A134">
            <v>0</v>
          </cell>
          <cell r="B134" t="str">
            <v>Sales - % Spain</v>
          </cell>
          <cell r="C134" t="str">
            <v>SALES_SPA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</row>
        <row r="135">
          <cell r="A135">
            <v>0</v>
          </cell>
          <cell r="B135" t="str">
            <v>Sales - % Sweden</v>
          </cell>
          <cell r="C135" t="str">
            <v>SALES_SWE</v>
          </cell>
          <cell r="D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</row>
        <row r="136">
          <cell r="A136">
            <v>0</v>
          </cell>
          <cell r="B136" t="str">
            <v>Sales - % Switzerland</v>
          </cell>
          <cell r="C136" t="str">
            <v>SALES_SWIT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</row>
        <row r="137">
          <cell r="B137" t="str">
            <v>Sales - % Central &amp; Eastern Europe</v>
          </cell>
          <cell r="C137" t="str">
            <v>SALES_CEE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</row>
        <row r="138">
          <cell r="B138" t="str">
            <v>Sales - % Middle East</v>
          </cell>
          <cell r="C138" t="str">
            <v>SALES_ME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</row>
        <row r="139">
          <cell r="B139" t="str">
            <v>Sales - % Total Africa</v>
          </cell>
          <cell r="C139" t="str">
            <v>SALES_TOT_AFRICA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</row>
        <row r="140">
          <cell r="B140" t="str">
            <v>Sales - % Russia</v>
          </cell>
          <cell r="C140" t="str">
            <v>SALES_RUSSIA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</row>
        <row r="141">
          <cell r="B141" t="str">
            <v>Sales - % Other EMEA</v>
          </cell>
          <cell r="C141" t="str">
            <v>SALES_OTH_EMEA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</row>
        <row r="142">
          <cell r="B142" t="str">
            <v>Sales - Total % Asia (incl Australia &amp; New Zealand)</v>
          </cell>
          <cell r="C142" t="str">
            <v>SALES_TOT_ASIA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</row>
        <row r="143">
          <cell r="B143" t="str">
            <v>Sales - % Japan</v>
          </cell>
          <cell r="C143" t="str">
            <v>SALES_JAPAN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</row>
        <row r="144">
          <cell r="B144" t="str">
            <v>Sales - % China</v>
          </cell>
          <cell r="C144" t="str">
            <v>SALES_CHINA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1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1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1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1</v>
          </cell>
          <cell r="BE144">
            <v>1</v>
          </cell>
          <cell r="BF144">
            <v>1</v>
          </cell>
          <cell r="BG144">
            <v>1</v>
          </cell>
          <cell r="BH144">
            <v>1</v>
          </cell>
        </row>
        <row r="145">
          <cell r="B145" t="str">
            <v>Sales - % India</v>
          </cell>
          <cell r="C145" t="str">
            <v>SALES_INDIA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</row>
        <row r="146">
          <cell r="B146" t="str">
            <v>Sales - % South Korea</v>
          </cell>
          <cell r="C146" t="str">
            <v>SALES_SK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</row>
        <row r="147">
          <cell r="B147" t="str">
            <v>Sales - % Taiwan</v>
          </cell>
          <cell r="C147" t="str">
            <v>SALES_TAIWAN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</row>
        <row r="148">
          <cell r="A148">
            <v>0</v>
          </cell>
          <cell r="B148" t="str">
            <v>Sales - % Australia</v>
          </cell>
          <cell r="C148" t="str">
            <v>SALES_AUSTRA</v>
          </cell>
          <cell r="D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</row>
        <row r="149">
          <cell r="A149">
            <v>0</v>
          </cell>
          <cell r="B149" t="str">
            <v>Sales - % New Zealand</v>
          </cell>
          <cell r="C149" t="str">
            <v>SALES_NZ</v>
          </cell>
          <cell r="D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</row>
        <row r="150">
          <cell r="B150" t="str">
            <v>Sales - % Other Asia</v>
          </cell>
          <cell r="C150" t="str">
            <v>SALES_OTH_AEJ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</row>
        <row r="151">
          <cell r="B151" t="str">
            <v>Sales - % Others</v>
          </cell>
          <cell r="C151" t="str">
            <v>SALES_OTHER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</row>
        <row r="152">
          <cell r="A152">
            <v>0</v>
          </cell>
          <cell r="B152" t="str">
            <v>Operating Profit - % Total Americas</v>
          </cell>
          <cell r="C152" t="str">
            <v>OP_TOT_AM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</row>
        <row r="153">
          <cell r="A153">
            <v>0</v>
          </cell>
          <cell r="B153" t="str">
            <v>Operating Profit - % United States</v>
          </cell>
          <cell r="C153" t="str">
            <v>OP_US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</row>
        <row r="154">
          <cell r="A154">
            <v>0</v>
          </cell>
          <cell r="B154" t="str">
            <v>Operating Profit - % Canada</v>
          </cell>
          <cell r="C154" t="str">
            <v>OP_CANADA</v>
          </cell>
          <cell r="D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</row>
        <row r="155">
          <cell r="A155">
            <v>0</v>
          </cell>
          <cell r="B155" t="str">
            <v>Operating Profit - % Brazil</v>
          </cell>
          <cell r="C155" t="str">
            <v>OP_BRAZIL</v>
          </cell>
          <cell r="D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</row>
        <row r="156">
          <cell r="A156">
            <v>0</v>
          </cell>
          <cell r="B156" t="str">
            <v>Operating Profit - % Other Americas</v>
          </cell>
          <cell r="C156" t="str">
            <v>OP_OTH_AM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</row>
        <row r="157">
          <cell r="A157">
            <v>0</v>
          </cell>
          <cell r="B157" t="str">
            <v>Operating Profit - Total % EMEA</v>
          </cell>
          <cell r="C157" t="str">
            <v>OP_TOT_EMEA</v>
          </cell>
          <cell r="D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</row>
        <row r="158">
          <cell r="A158">
            <v>0</v>
          </cell>
          <cell r="B158" t="str">
            <v>Operating Profit - % UK</v>
          </cell>
          <cell r="C158" t="str">
            <v>OP_UK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</row>
        <row r="159">
          <cell r="A159">
            <v>0</v>
          </cell>
          <cell r="B159" t="str">
            <v>Operating Profit - % Europe-Ex UK</v>
          </cell>
          <cell r="C159" t="str">
            <v>OP_EU_EX_UK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</row>
        <row r="160">
          <cell r="A160">
            <v>0</v>
          </cell>
          <cell r="B160" t="str">
            <v>Operating Profit - % Austria</v>
          </cell>
          <cell r="C160" t="str">
            <v>OP_AUSTRIA</v>
          </cell>
          <cell r="D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</row>
        <row r="161">
          <cell r="A161">
            <v>0</v>
          </cell>
          <cell r="B161" t="str">
            <v>Operating Profit - % Belgium</v>
          </cell>
          <cell r="C161" t="str">
            <v>OP_BEL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</row>
        <row r="162">
          <cell r="A162">
            <v>0</v>
          </cell>
          <cell r="B162" t="str">
            <v>Operating Profit - % Denmark</v>
          </cell>
          <cell r="C162" t="str">
            <v>OP_DEN</v>
          </cell>
          <cell r="D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</row>
        <row r="163">
          <cell r="A163">
            <v>0</v>
          </cell>
          <cell r="B163" t="str">
            <v>Operating Profit - % Finland</v>
          </cell>
          <cell r="C163" t="str">
            <v>OP_FIN</v>
          </cell>
          <cell r="D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</row>
        <row r="164">
          <cell r="A164">
            <v>0</v>
          </cell>
          <cell r="B164" t="str">
            <v>Operating Profit - % France</v>
          </cell>
          <cell r="C164" t="str">
            <v>OP_FRA</v>
          </cell>
          <cell r="D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</row>
        <row r="165">
          <cell r="A165">
            <v>0</v>
          </cell>
          <cell r="B165" t="str">
            <v>Operating Profit - % Germany</v>
          </cell>
          <cell r="C165" t="str">
            <v>OP_GER</v>
          </cell>
          <cell r="D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</row>
        <row r="166">
          <cell r="A166">
            <v>0</v>
          </cell>
          <cell r="B166" t="str">
            <v>Operating Profit - % Greece</v>
          </cell>
          <cell r="C166" t="str">
            <v>OP_GRE</v>
          </cell>
          <cell r="D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</row>
        <row r="167">
          <cell r="A167">
            <v>0</v>
          </cell>
          <cell r="B167" t="str">
            <v>Operating Profit - % Iceland</v>
          </cell>
          <cell r="C167" t="str">
            <v>OP_ICE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</row>
        <row r="168">
          <cell r="A168">
            <v>0</v>
          </cell>
          <cell r="B168" t="str">
            <v>Operating Profit - % Ireland</v>
          </cell>
          <cell r="C168" t="str">
            <v>OP_IRE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</row>
        <row r="169">
          <cell r="A169">
            <v>0</v>
          </cell>
          <cell r="B169" t="str">
            <v>Operating Profit - % Italy</v>
          </cell>
          <cell r="C169" t="str">
            <v>OP_ITA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</row>
        <row r="170">
          <cell r="A170">
            <v>0</v>
          </cell>
          <cell r="B170" t="str">
            <v>Operating Profit - % Netherlands</v>
          </cell>
          <cell r="C170" t="str">
            <v>OP_NETH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</row>
        <row r="171">
          <cell r="A171">
            <v>0</v>
          </cell>
          <cell r="B171" t="str">
            <v>Operating Profit - % Norway</v>
          </cell>
          <cell r="C171" t="str">
            <v>OP_NOR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</row>
        <row r="172">
          <cell r="A172">
            <v>0</v>
          </cell>
          <cell r="B172" t="str">
            <v>Operating Profit - % Portugal</v>
          </cell>
          <cell r="C172" t="str">
            <v>OP_POR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</row>
        <row r="173">
          <cell r="A173">
            <v>0</v>
          </cell>
          <cell r="B173" t="str">
            <v>Operating Profit - % Spain</v>
          </cell>
          <cell r="C173" t="str">
            <v>OP_SPA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</row>
        <row r="174">
          <cell r="A174">
            <v>0</v>
          </cell>
          <cell r="B174" t="str">
            <v>Operating Profit - % Sweden</v>
          </cell>
          <cell r="C174" t="str">
            <v>OP_SWE</v>
          </cell>
          <cell r="D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</row>
        <row r="175">
          <cell r="A175">
            <v>0</v>
          </cell>
          <cell r="B175" t="str">
            <v>Operating Profit - % Switzerland</v>
          </cell>
          <cell r="C175" t="str">
            <v>OP_SWIT</v>
          </cell>
          <cell r="D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</row>
        <row r="176">
          <cell r="A176">
            <v>0</v>
          </cell>
          <cell r="B176" t="str">
            <v>Operating Profit - % Central &amp; Eastern Europe</v>
          </cell>
          <cell r="C176" t="str">
            <v>OP_CEE</v>
          </cell>
          <cell r="D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</row>
        <row r="177">
          <cell r="A177">
            <v>0</v>
          </cell>
          <cell r="B177" t="str">
            <v>Operating Profit - % Middle East</v>
          </cell>
          <cell r="C177" t="str">
            <v>OP_ME</v>
          </cell>
          <cell r="D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</row>
        <row r="178">
          <cell r="A178">
            <v>0</v>
          </cell>
          <cell r="B178" t="str">
            <v>Operating Profit - % Russia</v>
          </cell>
          <cell r="C178" t="str">
            <v>OP_RUSSIA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</row>
        <row r="179">
          <cell r="A179">
            <v>0</v>
          </cell>
          <cell r="B179" t="str">
            <v>Operating Profit - % Other EMEA</v>
          </cell>
          <cell r="C179" t="str">
            <v>OP_OTH_EMEA</v>
          </cell>
          <cell r="D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</row>
        <row r="180">
          <cell r="A180">
            <v>0</v>
          </cell>
          <cell r="B180" t="str">
            <v>Operating Profit - Total % Asia (incl Australia &amp; New Zealand)</v>
          </cell>
          <cell r="C180" t="str">
            <v>OP_TOT_ASIA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</row>
        <row r="181">
          <cell r="A181">
            <v>0</v>
          </cell>
          <cell r="B181" t="str">
            <v>Operating Profit - % Japan</v>
          </cell>
          <cell r="C181" t="str">
            <v>OP_JAPAN</v>
          </cell>
          <cell r="D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</row>
        <row r="182">
          <cell r="A182">
            <v>0</v>
          </cell>
          <cell r="B182" t="str">
            <v>Operating Profit - % Greater China (incl HK)</v>
          </cell>
          <cell r="C182" t="str">
            <v>OP_CHINA</v>
          </cell>
          <cell r="D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W182">
            <v>1</v>
          </cell>
          <cell r="X182">
            <v>1</v>
          </cell>
          <cell r="Y182">
            <v>1</v>
          </cell>
          <cell r="Z182">
            <v>1</v>
          </cell>
          <cell r="AA182">
            <v>1</v>
          </cell>
          <cell r="AB182">
            <v>1</v>
          </cell>
          <cell r="AC182">
            <v>1</v>
          </cell>
          <cell r="AD182">
            <v>1</v>
          </cell>
          <cell r="AE182">
            <v>1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1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1</v>
          </cell>
          <cell r="BE182">
            <v>1</v>
          </cell>
          <cell r="BF182">
            <v>1</v>
          </cell>
          <cell r="BG182">
            <v>1</v>
          </cell>
          <cell r="BH182">
            <v>1</v>
          </cell>
        </row>
        <row r="183">
          <cell r="A183">
            <v>0</v>
          </cell>
          <cell r="B183" t="str">
            <v>Operating Profit - % India</v>
          </cell>
          <cell r="C183" t="str">
            <v>OP_INDIA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</row>
        <row r="184">
          <cell r="A184">
            <v>0</v>
          </cell>
          <cell r="B184" t="str">
            <v>Operating Profit - % South Korea</v>
          </cell>
          <cell r="C184" t="str">
            <v>OP_SK</v>
          </cell>
          <cell r="D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</row>
        <row r="185">
          <cell r="A185">
            <v>0</v>
          </cell>
          <cell r="B185" t="str">
            <v>Operating Profit - % Australia</v>
          </cell>
          <cell r="C185" t="str">
            <v>OP_AUSTRA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</row>
        <row r="186">
          <cell r="A186">
            <v>0</v>
          </cell>
          <cell r="B186" t="str">
            <v>Operating Profit - % New Zealand</v>
          </cell>
          <cell r="C186" t="str">
            <v>OP_NZ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</row>
        <row r="187">
          <cell r="A187">
            <v>0</v>
          </cell>
          <cell r="B187" t="str">
            <v>Operating Profit - % Other AEJ (incl Taiwan)</v>
          </cell>
          <cell r="C187" t="str">
            <v>OP_OTH_AEJ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</row>
        <row r="188">
          <cell r="A188">
            <v>0</v>
          </cell>
          <cell r="B188" t="str">
            <v>Operating Profit - % Others</v>
          </cell>
          <cell r="C188" t="str">
            <v>OP_OTHER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</row>
        <row r="189">
          <cell r="B189" t="str">
            <v>Sales -% Consumer (C)</v>
          </cell>
          <cell r="C189" t="str">
            <v>SALES_CONS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</row>
        <row r="190">
          <cell r="B190" t="str">
            <v>Sales -% Industry (I)</v>
          </cell>
          <cell r="C190" t="str">
            <v>SALES_IND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</row>
        <row r="191">
          <cell r="B191" t="str">
            <v>Sales -% Government (G)</v>
          </cell>
          <cell r="C191" t="str">
            <v>SALES_GOV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</row>
        <row r="192">
          <cell r="B192" t="str">
            <v>Sales - % Industry Sub-Segment: Financial Services</v>
          </cell>
          <cell r="C192" t="str">
            <v>SALES_FINAN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</row>
        <row r="193">
          <cell r="A193">
            <v>0</v>
          </cell>
          <cell r="B193" t="str">
            <v>Operating Profit - % Consumer (C)</v>
          </cell>
          <cell r="C193" t="str">
            <v>OP_CONS</v>
          </cell>
          <cell r="D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</row>
        <row r="194">
          <cell r="A194">
            <v>0</v>
          </cell>
          <cell r="B194" t="str">
            <v>Operating Profit - % Industry (I)</v>
          </cell>
          <cell r="C194" t="str">
            <v>OP_IND</v>
          </cell>
          <cell r="D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</row>
        <row r="195">
          <cell r="A195">
            <v>0</v>
          </cell>
          <cell r="B195" t="str">
            <v>Operating Profit - % Government (G)</v>
          </cell>
          <cell r="C195" t="str">
            <v>OP_GOV</v>
          </cell>
          <cell r="D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</row>
        <row r="196">
          <cell r="A196" t="str">
            <v>FX Exposure - Sales</v>
          </cell>
          <cell r="B196">
            <v>0</v>
          </cell>
          <cell r="C196">
            <v>0</v>
          </cell>
          <cell r="D196">
            <v>0</v>
          </cell>
        </row>
        <row r="197">
          <cell r="B197" t="str">
            <v>Sales - % FX: British Pounds/Pence</v>
          </cell>
          <cell r="C197" t="str">
            <v>SALES_FX_GPB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</row>
        <row r="198">
          <cell r="B198" t="str">
            <v>Sales - % FX: Euro</v>
          </cell>
          <cell r="C198" t="str">
            <v>SALES_FX_EUR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</row>
        <row r="199">
          <cell r="B199" t="str">
            <v>Sales - % FX: New Russian Ruble</v>
          </cell>
          <cell r="C199" t="str">
            <v>SALES_FX_RUB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</row>
        <row r="200">
          <cell r="B200" t="str">
            <v>Sales - % FX: U.S. Dollar</v>
          </cell>
          <cell r="C200" t="str">
            <v>SALES_FX_USD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</row>
        <row r="201">
          <cell r="B201" t="str">
            <v>Sales - % FX: Brazilian Real</v>
          </cell>
          <cell r="C201" t="str">
            <v>SALES_FX_BRL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</row>
        <row r="202">
          <cell r="B202" t="str">
            <v>Sales - % FX: Japanese Yen</v>
          </cell>
          <cell r="C202" t="str">
            <v>SALES_FX_YEN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</row>
        <row r="203">
          <cell r="B203" t="str">
            <v>Sales - % FX: Chinese Renminbi</v>
          </cell>
          <cell r="C203" t="str">
            <v>SALES_FX_CNY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1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1</v>
          </cell>
          <cell r="BE203">
            <v>1</v>
          </cell>
          <cell r="BF203">
            <v>1</v>
          </cell>
          <cell r="BG203">
            <v>1</v>
          </cell>
          <cell r="BH203">
            <v>1</v>
          </cell>
        </row>
        <row r="204">
          <cell r="B204" t="str">
            <v>Sales - % FX: Indian Rupee</v>
          </cell>
          <cell r="C204" t="str">
            <v>SALES_FX_INR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</row>
        <row r="205">
          <cell r="B205" t="str">
            <v>Sales - % FX: South Korean Won</v>
          </cell>
          <cell r="C205" t="str">
            <v>SALES_FX_KRW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</row>
        <row r="206">
          <cell r="B206" t="str">
            <v>Sales - % FX: Taiwan Dollar</v>
          </cell>
          <cell r="C206" t="str">
            <v>SALES_FX_TWD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</row>
        <row r="207">
          <cell r="B207" t="str">
            <v>Sales - % FX: Other Currency</v>
          </cell>
          <cell r="C207" t="str">
            <v>SALES_FX_OTH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</row>
        <row r="208">
          <cell r="A208" t="str">
            <v>Security: Hundsun Technologies Inc.</v>
          </cell>
          <cell r="B208">
            <v>0</v>
          </cell>
          <cell r="C208">
            <v>0</v>
          </cell>
          <cell r="D208">
            <v>0</v>
          </cell>
        </row>
        <row r="209">
          <cell r="A209" t="str">
            <v>Reference Data</v>
          </cell>
          <cell r="B209">
            <v>0</v>
          </cell>
          <cell r="C209">
            <v>0</v>
          </cell>
          <cell r="D209">
            <v>0</v>
          </cell>
        </row>
        <row r="210">
          <cell r="B210" t="str">
            <v>Ticker</v>
          </cell>
          <cell r="C210" t="str">
            <v>Ticker</v>
          </cell>
          <cell r="E210" t="str">
            <v>600570.SS</v>
          </cell>
        </row>
        <row r="211">
          <cell r="B211" t="str">
            <v>Security Name</v>
          </cell>
          <cell r="C211" t="str">
            <v>Security Name</v>
          </cell>
          <cell r="E211" t="str">
            <v>Hundsun Technologies Inc.</v>
          </cell>
        </row>
        <row r="212">
          <cell r="B212" t="str">
            <v>Interim Type</v>
          </cell>
          <cell r="C212" t="str">
            <v>Interim Type</v>
          </cell>
          <cell r="E212" t="str">
            <v>Q</v>
          </cell>
        </row>
        <row r="213">
          <cell r="B213" t="str">
            <v>Publishing Currency</v>
          </cell>
          <cell r="C213" t="str">
            <v>PUB_CURRENCY_ISO</v>
          </cell>
          <cell r="E213" t="str">
            <v>CNY</v>
          </cell>
        </row>
        <row r="214">
          <cell r="B214" t="str">
            <v>Pricing Currency</v>
          </cell>
          <cell r="C214" t="str">
            <v>PRICE_CURRENCY_ISO</v>
          </cell>
          <cell r="E214" t="str">
            <v>CNY</v>
          </cell>
        </row>
        <row r="215">
          <cell r="B215" t="str">
            <v>Reporting Currency</v>
          </cell>
          <cell r="C215" t="str">
            <v>CURRENCY_ISO</v>
          </cell>
          <cell r="E215" t="str">
            <v>CNY</v>
          </cell>
        </row>
        <row r="216">
          <cell r="A216" t="str">
            <v>General Information</v>
          </cell>
          <cell r="B216">
            <v>0</v>
          </cell>
          <cell r="C216">
            <v>0</v>
          </cell>
          <cell r="D216">
            <v>0</v>
          </cell>
        </row>
        <row r="217">
          <cell r="B217" t="str">
            <v>Asia Pacific Investment List</v>
          </cell>
          <cell r="C217" t="str">
            <v>AEJ_LIST</v>
          </cell>
          <cell r="E217">
            <v>0</v>
          </cell>
        </row>
        <row r="218">
          <cell r="B218" t="str">
            <v>Asia Pacific Conviction List</v>
          </cell>
          <cell r="C218" t="str">
            <v>AEJ_CONVICTION</v>
          </cell>
          <cell r="E218">
            <v>0</v>
          </cell>
        </row>
        <row r="219">
          <cell r="B219" t="str">
            <v>Legal rating</v>
          </cell>
          <cell r="C219" t="str">
            <v>LEGAL_RATING</v>
          </cell>
          <cell r="E219">
            <v>0</v>
          </cell>
        </row>
        <row r="220">
          <cell r="B220" t="str">
            <v>Target price</v>
          </cell>
          <cell r="C220" t="str">
            <v>TARGET_PRICE</v>
          </cell>
          <cell r="D220" t="str">
            <v>CNY</v>
          </cell>
          <cell r="E220">
            <v>55</v>
          </cell>
        </row>
        <row r="221">
          <cell r="B221" t="str">
            <v>Target price period</v>
          </cell>
          <cell r="C221" t="str">
            <v>TP_PERIOD</v>
          </cell>
          <cell r="E221" t="str">
            <v>12 months</v>
          </cell>
        </row>
        <row r="222">
          <cell r="B222" t="str">
            <v>Current shares outstanding (mn)</v>
          </cell>
          <cell r="C222" t="str">
            <v>NUM_SH</v>
          </cell>
          <cell r="E222">
            <v>617.80517999999995</v>
          </cell>
        </row>
        <row r="223">
          <cell r="B223" t="str">
            <v>Free float</v>
          </cell>
          <cell r="C223" t="str">
            <v>FREE_FLOAT</v>
          </cell>
          <cell r="E223">
            <v>0</v>
          </cell>
        </row>
        <row r="224">
          <cell r="B224" t="str">
            <v>Foreign ownership</v>
          </cell>
          <cell r="C224" t="str">
            <v>FOREIGN_HOLDNG</v>
          </cell>
          <cell r="E224">
            <v>0</v>
          </cell>
        </row>
        <row r="225">
          <cell r="A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>
            <v>0</v>
          </cell>
          <cell r="C226">
            <v>0</v>
          </cell>
          <cell r="D226">
            <v>0</v>
          </cell>
          <cell r="E226">
            <v>0</v>
          </cell>
        </row>
        <row r="227">
          <cell r="A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B228" t="str">
            <v>Catalyst 1 date</v>
          </cell>
          <cell r="C228" t="str">
            <v>CATALYST1_DATE</v>
          </cell>
          <cell r="E228">
            <v>0</v>
          </cell>
        </row>
        <row r="229">
          <cell r="B229" t="str">
            <v>Catalyst 1 description</v>
          </cell>
          <cell r="C229" t="str">
            <v>CATALYST1_EVENT</v>
          </cell>
          <cell r="E229">
            <v>0</v>
          </cell>
        </row>
        <row r="230">
          <cell r="B230" t="str">
            <v>Catalyst 2 date</v>
          </cell>
          <cell r="C230" t="str">
            <v>CATALYST2_DATE</v>
          </cell>
          <cell r="E230">
            <v>0</v>
          </cell>
        </row>
        <row r="231">
          <cell r="B231" t="str">
            <v>Catalyst 2 description</v>
          </cell>
          <cell r="C231" t="str">
            <v>CATALYST2_EVENT</v>
          </cell>
          <cell r="E231">
            <v>0</v>
          </cell>
        </row>
        <row r="232">
          <cell r="B232" t="str">
            <v>Catalyst 3 date</v>
          </cell>
          <cell r="C232" t="str">
            <v>CATALYST3_DATE</v>
          </cell>
          <cell r="E232">
            <v>0</v>
          </cell>
        </row>
        <row r="233">
          <cell r="B233" t="str">
            <v>Catalyst 3 description</v>
          </cell>
          <cell r="C233" t="str">
            <v>CATALYST3_EVENT</v>
          </cell>
          <cell r="E233">
            <v>0</v>
          </cell>
        </row>
        <row r="234">
          <cell r="B234" t="str">
            <v>Catalyst 4 date</v>
          </cell>
          <cell r="C234" t="str">
            <v>CATALYST4_DATE</v>
          </cell>
          <cell r="E234">
            <v>0</v>
          </cell>
        </row>
        <row r="235">
          <cell r="B235" t="str">
            <v>Catalyst 4 description</v>
          </cell>
          <cell r="C235" t="str">
            <v>CATALYST4_EVENT</v>
          </cell>
          <cell r="E235">
            <v>0</v>
          </cell>
        </row>
        <row r="236">
          <cell r="B236" t="str">
            <v>Catalyst 5 date</v>
          </cell>
          <cell r="C236" t="str">
            <v>CATALYST5_DATE</v>
          </cell>
          <cell r="E236">
            <v>0</v>
          </cell>
        </row>
        <row r="237">
          <cell r="B237" t="str">
            <v>Catalyst 5 description</v>
          </cell>
          <cell r="C237" t="str">
            <v>CATALYST5_EVENT</v>
          </cell>
          <cell r="E237">
            <v>0</v>
          </cell>
        </row>
        <row r="238">
          <cell r="B238" t="str">
            <v>Target price multiple</v>
          </cell>
          <cell r="C238" t="str">
            <v>PRI_TARG_MULT</v>
          </cell>
          <cell r="E238">
            <v>40.742653759008867</v>
          </cell>
        </row>
        <row r="239">
          <cell r="B239" t="str">
            <v>Target price methodology</v>
          </cell>
          <cell r="C239" t="str">
            <v>PRI_TARG_METH</v>
          </cell>
          <cell r="E239" t="str">
            <v>Long-term growth discounted P/E</v>
          </cell>
        </row>
        <row r="240">
          <cell r="A240" t="str">
            <v>Publishing Items</v>
          </cell>
          <cell r="B240">
            <v>0</v>
          </cell>
          <cell r="C240">
            <v>0</v>
          </cell>
          <cell r="D240">
            <v>0</v>
          </cell>
        </row>
        <row r="241">
          <cell r="B241" t="str">
            <v>Book value per share, BVPS (Pub)</v>
          </cell>
          <cell r="C241" t="str">
            <v>BVPS_PUB</v>
          </cell>
          <cell r="D241" t="str">
            <v>CNY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0.57346025512443921</v>
          </cell>
          <cell r="R241">
            <v>0.61897842193553643</v>
          </cell>
          <cell r="S241">
            <v>0.9570130527555627</v>
          </cell>
          <cell r="T241">
            <v>1.0220906390101814</v>
          </cell>
          <cell r="U241">
            <v>1.3085790314513066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1.603680150059603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1.971472290860365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2.1629965832109086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2.6708429038908355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3.1013643178744474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3.9366227809873662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4.8086589734081882</v>
          </cell>
          <cell r="BE241">
            <v>5.8039209378799619</v>
          </cell>
          <cell r="BF241">
            <v>7.0817996065402991</v>
          </cell>
          <cell r="BG241">
            <v>8.691320401979123</v>
          </cell>
          <cell r="BH241">
            <v>10.667023007432716</v>
          </cell>
        </row>
        <row r="242">
          <cell r="B242" t="str">
            <v>DPS, dividend per share (Pub)</v>
          </cell>
          <cell r="C242" t="str">
            <v>DPS_PUB</v>
          </cell>
          <cell r="D242" t="str">
            <v>CNY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4.761904761904763E-2</v>
          </cell>
          <cell r="U242">
            <v>3.5714285714285719E-2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4.9999999999999996E-2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0.08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9.9999999999999992E-2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0.16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0.18000000000000002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0.26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0.47790042008661904</v>
          </cell>
          <cell r="BE242">
            <v>0.54543161746177193</v>
          </cell>
          <cell r="BF242">
            <v>0.70031353959882048</v>
          </cell>
          <cell r="BG242">
            <v>0.88206277556330026</v>
          </cell>
          <cell r="BH242">
            <v>1.0827407317709803</v>
          </cell>
        </row>
        <row r="243">
          <cell r="B243" t="str">
            <v>Special dividend per share</v>
          </cell>
          <cell r="C243" t="str">
            <v>DPS_SPECIAL_PUB</v>
          </cell>
          <cell r="D243" t="str">
            <v>CNY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</row>
        <row r="244">
          <cell r="B244" t="str">
            <v>EBITDA (Pub)</v>
          </cell>
          <cell r="C244" t="str">
            <v>EBITDA_PUB</v>
          </cell>
          <cell r="D244" t="str">
            <v>CNY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3.7060695699999826</v>
          </cell>
          <cell r="R244">
            <v>26.812431319999973</v>
          </cell>
          <cell r="S244">
            <v>75.376233959999979</v>
          </cell>
          <cell r="T244">
            <v>123.14479570999993</v>
          </cell>
          <cell r="U244">
            <v>163.72939288999987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171.11198761999992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222.60545148999995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87.133212939999908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199.01740808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179.76746952999974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428.13491119999958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639.78768012801356</v>
          </cell>
          <cell r="BE244">
            <v>849.5154611467533</v>
          </cell>
          <cell r="BF244">
            <v>1121.89231785637</v>
          </cell>
          <cell r="BG244">
            <v>1442.2066047698404</v>
          </cell>
          <cell r="BH244">
            <v>1813.0352758792415</v>
          </cell>
        </row>
        <row r="245">
          <cell r="B245" t="str">
            <v>EPS (Pub)</v>
          </cell>
          <cell r="C245" t="str">
            <v>EPS_PUB</v>
          </cell>
          <cell r="D245" t="str">
            <v>CNY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-4.0926142572413702E-3</v>
          </cell>
          <cell r="R245">
            <v>8.7581036244626057E-2</v>
          </cell>
          <cell r="S245">
            <v>0.20267418374401042</v>
          </cell>
          <cell r="T245">
            <v>0.21497195737269262</v>
          </cell>
          <cell r="U245">
            <v>0.3296371035914365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0.35056791285424416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0.40787223701980779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0.32035198454381747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0.52207709747535114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0.58355044075544993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0.73442814548754609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1.3499366125074412</v>
          </cell>
          <cell r="BE245">
            <v>1.5406935819335452</v>
          </cell>
          <cell r="BF245">
            <v>1.9781922082591565</v>
          </cell>
          <cell r="BG245">
            <v>2.4915835710021232</v>
          </cell>
          <cell r="BH245">
            <v>3.0584433372245754</v>
          </cell>
        </row>
        <row r="246">
          <cell r="B246" t="str">
            <v>EV adjustment (Pub)</v>
          </cell>
          <cell r="C246" t="str">
            <v>EV_ADJ_PUB</v>
          </cell>
          <cell r="D246" t="str">
            <v>CNY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</row>
        <row r="247">
          <cell r="B247" t="str">
            <v>Net debt (Pub)</v>
          </cell>
          <cell r="C247" t="str">
            <v>NET_DEBT_PUB</v>
          </cell>
          <cell r="D247" t="str">
            <v>CNY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-152.51446159</v>
          </cell>
          <cell r="R247">
            <v>-162.31165691000001</v>
          </cell>
          <cell r="S247">
            <v>-178.68564677000001</v>
          </cell>
          <cell r="T247">
            <v>-168.72313196000002</v>
          </cell>
          <cell r="U247">
            <v>-414.42448424999998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-239.45103365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-412.01327108999999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-333.01254432999997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-324.59785237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-492.12656463000002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-302.55293168999998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-571.13381233190944</v>
          </cell>
          <cell r="BE247">
            <v>-1020.1899196440452</v>
          </cell>
          <cell r="BF247">
            <v>-1467.7938281518661</v>
          </cell>
          <cell r="BG247">
            <v>-1875.8272332714482</v>
          </cell>
          <cell r="BH247">
            <v>-2375.2741570377061</v>
          </cell>
        </row>
        <row r="248">
          <cell r="B248" t="str">
            <v>Net income (Pub)</v>
          </cell>
          <cell r="C248" t="str">
            <v>NI_PUB</v>
          </cell>
          <cell r="D248" t="str">
            <v>CNY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-2.5527697800000073</v>
          </cell>
          <cell r="R248">
            <v>54.628706389999998</v>
          </cell>
          <cell r="S248">
            <v>126.41810317999997</v>
          </cell>
          <cell r="T248">
            <v>134.08884439999994</v>
          </cell>
          <cell r="U248">
            <v>205.61127521999992</v>
          </cell>
          <cell r="V248">
            <v>35.051397329999986</v>
          </cell>
          <cell r="W248">
            <v>18.766188060000026</v>
          </cell>
          <cell r="X248">
            <v>66.879677810000061</v>
          </cell>
          <cell r="Y248">
            <v>97.969612669999862</v>
          </cell>
          <cell r="Z248">
            <v>218.66687586999993</v>
          </cell>
          <cell r="AA248">
            <v>40.874996949999982</v>
          </cell>
          <cell r="AB248">
            <v>28.048423770000053</v>
          </cell>
          <cell r="AC248">
            <v>37.74303398</v>
          </cell>
          <cell r="AD248">
            <v>147.74401628999988</v>
          </cell>
          <cell r="AE248">
            <v>254.41047098999994</v>
          </cell>
          <cell r="AF248">
            <v>32.309411250000011</v>
          </cell>
          <cell r="AG248">
            <v>25.664895699999985</v>
          </cell>
          <cell r="AH248">
            <v>28.280374040000119</v>
          </cell>
          <cell r="AI248">
            <v>113.56499750999986</v>
          </cell>
          <cell r="AJ248">
            <v>199.81967849999995</v>
          </cell>
          <cell r="AK248">
            <v>39.490888729999973</v>
          </cell>
          <cell r="AL248">
            <v>40.210748680000009</v>
          </cell>
          <cell r="AM248">
            <v>51.76619029999997</v>
          </cell>
          <cell r="AN248">
            <v>191.85007326999994</v>
          </cell>
          <cell r="AO248">
            <v>323.31790097999993</v>
          </cell>
          <cell r="AP248">
            <v>56.626304760000011</v>
          </cell>
          <cell r="AQ248">
            <v>57.322207139999946</v>
          </cell>
          <cell r="AR248">
            <v>19.867467550000065</v>
          </cell>
          <cell r="AS248">
            <v>226.70450563999989</v>
          </cell>
          <cell r="AT248">
            <v>360.52048509000002</v>
          </cell>
          <cell r="AU248">
            <v>70.77043524000004</v>
          </cell>
          <cell r="AV248">
            <v>140.28714175999983</v>
          </cell>
          <cell r="AW248">
            <v>-50.760328800000039</v>
          </cell>
          <cell r="AX248">
            <v>293.43626441999959</v>
          </cell>
          <cell r="AY248">
            <v>453.73351261999954</v>
          </cell>
          <cell r="AZ248">
            <v>71.700196959999971</v>
          </cell>
          <cell r="BA248">
            <v>92.350103520000133</v>
          </cell>
          <cell r="BB248">
            <v>41.304258770000004</v>
          </cell>
          <cell r="BC248">
            <v>469.6432726287502</v>
          </cell>
          <cell r="BD248">
            <v>833.99783187874993</v>
          </cell>
          <cell r="BE248">
            <v>951.84847571129853</v>
          </cell>
          <cell r="BF248">
            <v>1222.1373932981455</v>
          </cell>
          <cell r="BG248">
            <v>1539.3132365680094</v>
          </cell>
          <cell r="BH248">
            <v>1889.5221364738293</v>
          </cell>
        </row>
        <row r="249">
          <cell r="B249" t="str">
            <v>EBIT, operating profit (Pub)</v>
          </cell>
          <cell r="C249" t="str">
            <v>EBIT_PUB</v>
          </cell>
          <cell r="D249" t="str">
            <v>CNY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-5.3126441100000363</v>
          </cell>
          <cell r="R249">
            <v>14.013684619999992</v>
          </cell>
          <cell r="S249">
            <v>64.630757749999987</v>
          </cell>
          <cell r="T249">
            <v>110.88641483999993</v>
          </cell>
          <cell r="U249">
            <v>148.31419656999992</v>
          </cell>
          <cell r="V249">
            <v>20.744064209999991</v>
          </cell>
          <cell r="W249">
            <v>23.589464969999995</v>
          </cell>
          <cell r="X249">
            <v>58.325670100000025</v>
          </cell>
          <cell r="Y249">
            <v>48.907687319999923</v>
          </cell>
          <cell r="Z249">
            <v>151.56688659999998</v>
          </cell>
          <cell r="AA249">
            <v>31.549192749999975</v>
          </cell>
          <cell r="AB249">
            <v>19.927490630000051</v>
          </cell>
          <cell r="AC249">
            <v>23.577606279999998</v>
          </cell>
          <cell r="AD249">
            <v>123.94917671999988</v>
          </cell>
          <cell r="AE249">
            <v>199.00346637999996</v>
          </cell>
          <cell r="AF249">
            <v>4.0914394300000083</v>
          </cell>
          <cell r="AG249">
            <v>13.350718519999983</v>
          </cell>
          <cell r="AH249">
            <v>-3.2890464099998837</v>
          </cell>
          <cell r="AI249">
            <v>46.490122859999872</v>
          </cell>
          <cell r="AJ249">
            <v>60.643234399999983</v>
          </cell>
          <cell r="AK249">
            <v>12.516373959999981</v>
          </cell>
          <cell r="AL249">
            <v>23.78146412000001</v>
          </cell>
          <cell r="AM249">
            <v>23.510368959999994</v>
          </cell>
          <cell r="AN249">
            <v>113.83164173999995</v>
          </cell>
          <cell r="AO249">
            <v>173.63984877999997</v>
          </cell>
          <cell r="AP249">
            <v>12.862459440000009</v>
          </cell>
          <cell r="AQ249">
            <v>9.7621336599999626</v>
          </cell>
          <cell r="AR249">
            <v>-13.597270579999929</v>
          </cell>
          <cell r="AS249">
            <v>144.40372948999988</v>
          </cell>
          <cell r="AT249">
            <v>153.4310520099998</v>
          </cell>
          <cell r="AU249">
            <v>8.1363334700000394</v>
          </cell>
          <cell r="AV249">
            <v>116.09387914999985</v>
          </cell>
          <cell r="AW249">
            <v>-164.93756225000004</v>
          </cell>
          <cell r="AX249">
            <v>427.26468384999964</v>
          </cell>
          <cell r="AY249">
            <v>386.55733421999957</v>
          </cell>
          <cell r="AZ249">
            <v>7.3269835399999579</v>
          </cell>
          <cell r="BA249">
            <v>24.828521500000136</v>
          </cell>
          <cell r="BB249">
            <v>-50.235777079999991</v>
          </cell>
          <cell r="BC249">
            <v>439.08883648915878</v>
          </cell>
          <cell r="BD249">
            <v>580.00856444915871</v>
          </cell>
          <cell r="BE249">
            <v>764.47493553062941</v>
          </cell>
          <cell r="BF249">
            <v>1002.9802210453054</v>
          </cell>
          <cell r="BG249">
            <v>1283.0152644843765</v>
          </cell>
          <cell r="BH249">
            <v>1606.6012205834322</v>
          </cell>
        </row>
        <row r="250">
          <cell r="B250" t="str">
            <v>Pre-tax profit (Pub)</v>
          </cell>
          <cell r="C250" t="str">
            <v>PTP_PUB</v>
          </cell>
          <cell r="D250" t="str">
            <v>CNY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-0.42526236000000761</v>
          </cell>
          <cell r="R250">
            <v>62.186568759999993</v>
          </cell>
          <cell r="S250">
            <v>141.92091908999998</v>
          </cell>
          <cell r="T250">
            <v>136.48419920999993</v>
          </cell>
          <cell r="U250">
            <v>232.68086541999992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243.64814292999992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285.84544054999992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221.21321842999996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368.21837298999998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386.12387686000005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515.18031709999957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857.99882125765862</v>
          </cell>
          <cell r="BE250">
            <v>1046.0908983909051</v>
          </cell>
          <cell r="BF250">
            <v>1343.1410947598583</v>
          </cell>
          <cell r="BG250">
            <v>1691.7204866490144</v>
          </cell>
          <cell r="BH250">
            <v>2076.6035348182127</v>
          </cell>
        </row>
        <row r="251">
          <cell r="B251" t="str">
            <v>Sales, revenue (Pub)</v>
          </cell>
          <cell r="C251" t="str">
            <v>REVS_PUB</v>
          </cell>
          <cell r="D251" t="str">
            <v>CNY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236.73932965</v>
          </cell>
          <cell r="R251">
            <v>345.85689105</v>
          </cell>
          <cell r="S251">
            <v>572.42826487000002</v>
          </cell>
          <cell r="T251">
            <v>668.68165337999994</v>
          </cell>
          <cell r="U251">
            <v>729.71177239999997</v>
          </cell>
          <cell r="V251">
            <v>107.95878843999999</v>
          </cell>
          <cell r="W251">
            <v>186.80962350000004</v>
          </cell>
          <cell r="X251">
            <v>215.16706828000002</v>
          </cell>
          <cell r="Y251">
            <v>357.29152220999993</v>
          </cell>
          <cell r="Z251">
            <v>867.22700242999997</v>
          </cell>
          <cell r="AA251">
            <v>159.66644897999998</v>
          </cell>
          <cell r="AB251">
            <v>210.02898884000001</v>
          </cell>
          <cell r="AC251">
            <v>187.86165564000004</v>
          </cell>
          <cell r="AD251">
            <v>490.63631076999991</v>
          </cell>
          <cell r="AE251">
            <v>1048.1934042299999</v>
          </cell>
          <cell r="AF251">
            <v>142.26479816</v>
          </cell>
          <cell r="AG251">
            <v>215.62630783999998</v>
          </cell>
          <cell r="AH251">
            <v>196.17219702000006</v>
          </cell>
          <cell r="AI251">
            <v>452.02824512999996</v>
          </cell>
          <cell r="AJ251">
            <v>1006.09154815</v>
          </cell>
          <cell r="AK251">
            <v>171.93254191999998</v>
          </cell>
          <cell r="AL251">
            <v>249.35079289000001</v>
          </cell>
          <cell r="AM251">
            <v>224.47178212</v>
          </cell>
          <cell r="AN251">
            <v>564.79208156000004</v>
          </cell>
          <cell r="AO251">
            <v>1210.54719849</v>
          </cell>
          <cell r="AP251">
            <v>201.70337806000001</v>
          </cell>
          <cell r="AQ251">
            <v>260.96722656999998</v>
          </cell>
          <cell r="AR251">
            <v>308.21805761000002</v>
          </cell>
          <cell r="AS251">
            <v>650.95047287999978</v>
          </cell>
          <cell r="AT251">
            <v>1421.8391351199998</v>
          </cell>
          <cell r="AU251">
            <v>274.13182711000002</v>
          </cell>
          <cell r="AV251">
            <v>634.27014440999994</v>
          </cell>
          <cell r="AW251">
            <v>389.91621712000006</v>
          </cell>
          <cell r="AX251">
            <v>927.21421882999971</v>
          </cell>
          <cell r="AY251">
            <v>2225.5324074699997</v>
          </cell>
          <cell r="AZ251">
            <v>336.98615638999996</v>
          </cell>
          <cell r="BA251">
            <v>483.5933062200001</v>
          </cell>
          <cell r="BB251">
            <v>516.84268055999996</v>
          </cell>
          <cell r="BC251">
            <v>1487.5042743500881</v>
          </cell>
          <cell r="BD251">
            <v>2824.9264175200883</v>
          </cell>
          <cell r="BE251">
            <v>3486.5322333642416</v>
          </cell>
          <cell r="BF251">
            <v>4208.8716003161517</v>
          </cell>
          <cell r="BG251">
            <v>5005.0870969618045</v>
          </cell>
          <cell r="BH251">
            <v>5870.3660478133988</v>
          </cell>
        </row>
        <row r="252">
          <cell r="B252" t="str">
            <v>Total shareholders' equity (Pub)</v>
          </cell>
          <cell r="C252" t="str">
            <v>EQ_PUB</v>
          </cell>
          <cell r="D252" t="str">
            <v>CNY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369.15508756000008</v>
          </cell>
          <cell r="R252">
            <v>397.49290514</v>
          </cell>
          <cell r="S252">
            <v>626.87238429999991</v>
          </cell>
          <cell r="T252">
            <v>660.89918480000006</v>
          </cell>
          <cell r="U252">
            <v>924.72226567000007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1083.0549960599999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1303.87499048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1435.8314674700002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1763.20456773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2035.8060192100002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2552.3083541300002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3071.9523805012032</v>
          </cell>
          <cell r="BE252">
            <v>3676.4637104493572</v>
          </cell>
          <cell r="BF252">
            <v>4452.633363344944</v>
          </cell>
          <cell r="BG252">
            <v>5430.2388495008727</v>
          </cell>
          <cell r="BH252">
            <v>6630.2591981521618</v>
          </cell>
        </row>
        <row r="253">
          <cell r="B253" t="str">
            <v>EPS (consensus)</v>
          </cell>
          <cell r="C253" t="str">
            <v>EPS_CONS_PUB</v>
          </cell>
          <cell r="D253" t="str">
            <v>CNY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</row>
        <row r="254">
          <cell r="A254" t="str">
            <v>Income Statement</v>
          </cell>
          <cell r="B254">
            <v>0</v>
          </cell>
          <cell r="C254">
            <v>0</v>
          </cell>
          <cell r="D254">
            <v>0</v>
          </cell>
        </row>
        <row r="255">
          <cell r="B255" t="str">
            <v>Provision for income tax</v>
          </cell>
          <cell r="C255" t="str">
            <v>PROV_INC_TAX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-2.1331526699999999</v>
          </cell>
          <cell r="R255">
            <v>-7.45630463</v>
          </cell>
          <cell r="S255">
            <v>-11.47305055</v>
          </cell>
          <cell r="T255">
            <v>-3.8909099300000003</v>
          </cell>
          <cell r="U255">
            <v>-22.723728870000002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-21.969448530000001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-23.835399199999998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-8.9635776899999993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-28.13656357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-31.103018769999998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-66.388456880000007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-43.105439832765882</v>
          </cell>
          <cell r="BE255">
            <v>-104.60908983909053</v>
          </cell>
          <cell r="BF255">
            <v>-134.31410947598573</v>
          </cell>
          <cell r="BG255">
            <v>-169.17204866490133</v>
          </cell>
          <cell r="BH255">
            <v>-207.66035348182112</v>
          </cell>
        </row>
        <row r="256">
          <cell r="B256" t="str">
            <v>Minority interest</v>
          </cell>
          <cell r="C256" t="str">
            <v>INC_MINORITY</v>
          </cell>
          <cell r="D256" t="str">
            <v>CNY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5.6452500000000001E-3</v>
          </cell>
          <cell r="R256">
            <v>-0.10155774000000001</v>
          </cell>
          <cell r="S256">
            <v>-4.0297653599999999</v>
          </cell>
          <cell r="T256">
            <v>1.4955551200000001</v>
          </cell>
          <cell r="U256">
            <v>-4.34586133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-3.0118185299999998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-7.5995703600000004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-12.42996224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-16.763908439999998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5.4996270000000003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4.9416524000000006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19.104450453857268</v>
          </cell>
          <cell r="BE256">
            <v>10.366667159484029</v>
          </cell>
          <cell r="BF256">
            <v>13.310408014273087</v>
          </cell>
          <cell r="BG256">
            <v>16.764798583896308</v>
          </cell>
          <cell r="BH256">
            <v>20.578955137437756</v>
          </cell>
        </row>
        <row r="257">
          <cell r="B257" t="str">
            <v>Net income (pre-preferred dividends)</v>
          </cell>
          <cell r="C257" t="str">
            <v>NI_PRE_PREF</v>
          </cell>
          <cell r="D257" t="str">
            <v>CNY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-2.5527697800000073</v>
          </cell>
          <cell r="R257">
            <v>54.628706389999998</v>
          </cell>
          <cell r="S257">
            <v>126.41810317999997</v>
          </cell>
          <cell r="T257">
            <v>134.08884439999994</v>
          </cell>
          <cell r="U257">
            <v>205.61127521999992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218.66687586999993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254.41047098999994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199.81967849999995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323.31790097999993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360.52048509000002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453.73351261999954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833.99783187874993</v>
          </cell>
          <cell r="BE257">
            <v>951.84847571129853</v>
          </cell>
          <cell r="BF257">
            <v>1222.1373932981455</v>
          </cell>
          <cell r="BG257">
            <v>1539.3132365680094</v>
          </cell>
          <cell r="BH257">
            <v>1889.5221364738293</v>
          </cell>
        </row>
        <row r="258">
          <cell r="B258" t="str">
            <v>Preferred dividends</v>
          </cell>
          <cell r="C258" t="str">
            <v>PREF_DIV</v>
          </cell>
          <cell r="D258" t="str">
            <v>CNY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</row>
        <row r="259">
          <cell r="B259" t="str">
            <v>Net income (pre-exceptionals)</v>
          </cell>
          <cell r="C259" t="str">
            <v>NET_EARNING</v>
          </cell>
          <cell r="D259" t="str">
            <v>CNY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-2.5527697800000073</v>
          </cell>
          <cell r="R259">
            <v>54.628706389999998</v>
          </cell>
          <cell r="S259">
            <v>126.41810317999997</v>
          </cell>
          <cell r="T259">
            <v>134.08884439999994</v>
          </cell>
          <cell r="U259">
            <v>205.61127521999992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218.66687586999993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254.41047098999994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199.81967849999995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323.31790097999993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360.52048509000002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453.73351261999954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833.99783187874993</v>
          </cell>
          <cell r="BE259">
            <v>951.84847571129853</v>
          </cell>
          <cell r="BF259">
            <v>1222.1373932981455</v>
          </cell>
          <cell r="BG259">
            <v>1539.3132365680094</v>
          </cell>
          <cell r="BH259">
            <v>1889.5221364738293</v>
          </cell>
        </row>
        <row r="260">
          <cell r="B260" t="str">
            <v>Post-tax exceptionals</v>
          </cell>
          <cell r="C260" t="str">
            <v>TAX_EXC</v>
          </cell>
          <cell r="D260" t="str">
            <v>CNY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</row>
        <row r="261">
          <cell r="B261" t="str">
            <v>Net income (post-exceptionals)</v>
          </cell>
          <cell r="C261" t="str">
            <v>NET_INC</v>
          </cell>
          <cell r="D261" t="str">
            <v>CNY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-2.5527697800000073</v>
          </cell>
          <cell r="R261">
            <v>54.628706389999998</v>
          </cell>
          <cell r="S261">
            <v>126.41810317999997</v>
          </cell>
          <cell r="T261">
            <v>134.08884439999994</v>
          </cell>
          <cell r="U261">
            <v>205.61127521999992</v>
          </cell>
          <cell r="V261">
            <v>35.051397329999986</v>
          </cell>
          <cell r="W261">
            <v>18.766188060000026</v>
          </cell>
          <cell r="X261">
            <v>66.879677810000061</v>
          </cell>
          <cell r="Y261">
            <v>97.969612669999862</v>
          </cell>
          <cell r="Z261">
            <v>218.66687586999993</v>
          </cell>
          <cell r="AA261">
            <v>40.874996949999982</v>
          </cell>
          <cell r="AB261">
            <v>28.048423770000053</v>
          </cell>
          <cell r="AC261">
            <v>37.74303398</v>
          </cell>
          <cell r="AD261">
            <v>147.74401628999988</v>
          </cell>
          <cell r="AE261">
            <v>254.41047098999994</v>
          </cell>
          <cell r="AF261">
            <v>32.309411250000011</v>
          </cell>
          <cell r="AG261">
            <v>25.664895699999985</v>
          </cell>
          <cell r="AH261">
            <v>28.280374040000119</v>
          </cell>
          <cell r="AI261">
            <v>113.56499750999986</v>
          </cell>
          <cell r="AJ261">
            <v>199.81967849999995</v>
          </cell>
          <cell r="AK261">
            <v>39.490888729999973</v>
          </cell>
          <cell r="AL261">
            <v>40.210748680000009</v>
          </cell>
          <cell r="AM261">
            <v>51.76619029999997</v>
          </cell>
          <cell r="AN261">
            <v>191.85007326999994</v>
          </cell>
          <cell r="AO261">
            <v>323.31790097999993</v>
          </cell>
          <cell r="AP261">
            <v>56.626304760000011</v>
          </cell>
          <cell r="AQ261">
            <v>57.322207139999946</v>
          </cell>
          <cell r="AR261">
            <v>19.867467550000065</v>
          </cell>
          <cell r="AS261">
            <v>226.70450563999989</v>
          </cell>
          <cell r="AT261">
            <v>360.52048509000002</v>
          </cell>
          <cell r="AU261">
            <v>70.77043524000004</v>
          </cell>
          <cell r="AV261">
            <v>140.28714175999983</v>
          </cell>
          <cell r="AW261">
            <v>-50.760328800000039</v>
          </cell>
          <cell r="AX261">
            <v>293.43626441999959</v>
          </cell>
          <cell r="AY261">
            <v>453.73351261999954</v>
          </cell>
          <cell r="AZ261">
            <v>71.700196959999971</v>
          </cell>
          <cell r="BA261">
            <v>92.350103520000133</v>
          </cell>
          <cell r="BB261">
            <v>41.304258770000004</v>
          </cell>
          <cell r="BC261">
            <v>469.6432726287502</v>
          </cell>
          <cell r="BD261">
            <v>833.99783187874993</v>
          </cell>
          <cell r="BE261">
            <v>951.84847571129853</v>
          </cell>
          <cell r="BF261">
            <v>1222.1373932981455</v>
          </cell>
          <cell r="BG261">
            <v>1539.3132365680094</v>
          </cell>
          <cell r="BH261">
            <v>1889.5221364738293</v>
          </cell>
        </row>
        <row r="262">
          <cell r="B262" t="str">
            <v>EPS (pre-exceptionals, basic)</v>
          </cell>
          <cell r="C262" t="str">
            <v>EPS</v>
          </cell>
          <cell r="D262" t="str">
            <v>CNY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-4.0926142572413702E-3</v>
          </cell>
          <cell r="R262">
            <v>8.7581036244626057E-2</v>
          </cell>
          <cell r="S262">
            <v>0.20267418374401042</v>
          </cell>
          <cell r="T262">
            <v>0.21497195737269262</v>
          </cell>
          <cell r="U262">
            <v>0.3296371035914365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0.35056791285424416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0.40787223701980779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0.32035198454381747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0.52207709747535114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0.58355044075544993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0.73442814548754609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1.3499366125074412</v>
          </cell>
          <cell r="BE262">
            <v>1.5406935819335452</v>
          </cell>
          <cell r="BF262">
            <v>1.9781922082591565</v>
          </cell>
          <cell r="BG262">
            <v>2.4915835710021232</v>
          </cell>
          <cell r="BH262">
            <v>3.0584433372245754</v>
          </cell>
        </row>
        <row r="263">
          <cell r="B263" t="str">
            <v>EPS (pre-exceptionals, diluted)</v>
          </cell>
          <cell r="C263" t="str">
            <v>EPS_FUL_DIL</v>
          </cell>
          <cell r="D263" t="str">
            <v>CNY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-4.0926142572413702E-3</v>
          </cell>
          <cell r="R263">
            <v>8.7581036244626057E-2</v>
          </cell>
          <cell r="S263">
            <v>0.20267418374401042</v>
          </cell>
          <cell r="T263">
            <v>0.21497195737269262</v>
          </cell>
          <cell r="U263">
            <v>0.3296371035914365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0.35056791285424416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0.40787223701980779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0.32035198454381747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0.52207709747535114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0.58355044075544993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0.73442814548754609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1.3499366125074412</v>
          </cell>
          <cell r="BE263">
            <v>1.5406935819335452</v>
          </cell>
          <cell r="BF263">
            <v>1.9781922082591565</v>
          </cell>
          <cell r="BG263">
            <v>2.4915835710021232</v>
          </cell>
          <cell r="BH263">
            <v>3.0584433372245754</v>
          </cell>
        </row>
        <row r="264">
          <cell r="B264" t="str">
            <v>EPS (post-exceptionals, basic)</v>
          </cell>
          <cell r="C264" t="str">
            <v>EPS_POST_BASIC</v>
          </cell>
          <cell r="D264" t="str">
            <v>CNY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-4.0926142572413702E-3</v>
          </cell>
          <cell r="R264">
            <v>8.7581036244626057E-2</v>
          </cell>
          <cell r="S264">
            <v>0.20267418374401042</v>
          </cell>
          <cell r="T264">
            <v>0.21497195737269262</v>
          </cell>
          <cell r="U264">
            <v>0.3296371035914365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0.35056791285424416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0.40787223701980779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0.32035198454381747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0.52207709747535114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0.58355044075544993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0.73442814548754609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1.3499366125074412</v>
          </cell>
          <cell r="BE264">
            <v>1.5406935819335452</v>
          </cell>
          <cell r="BF264">
            <v>1.9781922082591565</v>
          </cell>
          <cell r="BG264">
            <v>2.4915835710021232</v>
          </cell>
          <cell r="BH264">
            <v>3.0584433372245754</v>
          </cell>
        </row>
        <row r="265">
          <cell r="B265" t="str">
            <v>EPS (post-exceptionals, diluted)</v>
          </cell>
          <cell r="C265" t="str">
            <v>FULLY_DIL_EPS</v>
          </cell>
          <cell r="D265" t="str">
            <v>CNY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-4.0926142572413702E-3</v>
          </cell>
          <cell r="R265">
            <v>8.7581036244626057E-2</v>
          </cell>
          <cell r="S265">
            <v>0.20267418374401042</v>
          </cell>
          <cell r="T265">
            <v>0.21497195737269262</v>
          </cell>
          <cell r="U265">
            <v>0.3296371035914365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0.35056791285424416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0.40787223701980779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0.32035198454381747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0.52207709747535114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0.58355044075544993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0.73442814548754609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1.3499366125074412</v>
          </cell>
          <cell r="BE265">
            <v>1.5406935819335452</v>
          </cell>
          <cell r="BF265">
            <v>1.9781922082591565</v>
          </cell>
          <cell r="BG265">
            <v>2.4915835710021232</v>
          </cell>
          <cell r="BH265">
            <v>3.0584433372245754</v>
          </cell>
        </row>
        <row r="266">
          <cell r="B266" t="str">
            <v>Common dividends paid</v>
          </cell>
          <cell r="C266" t="str">
            <v>COMMON_DIV_PAID</v>
          </cell>
          <cell r="D266" t="str">
            <v>CNY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-29.702400000000001</v>
          </cell>
          <cell r="U266">
            <v>-22.276800000000001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-31.187519999999999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-49.900032000000003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-62.375039999999998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-98.848828799999993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-111.2049324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-160.62934680000001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-295.24935505368927</v>
          </cell>
          <cell r="BE266">
            <v>-336.97047860366115</v>
          </cell>
          <cell r="BF266">
            <v>-432.65733238828636</v>
          </cell>
          <cell r="BG266">
            <v>-544.94295182818428</v>
          </cell>
          <cell r="BH266">
            <v>-668.92283268510221</v>
          </cell>
        </row>
        <row r="267">
          <cell r="B267" t="str">
            <v>DPS, dividend per share</v>
          </cell>
          <cell r="C267" t="str">
            <v>DPS</v>
          </cell>
          <cell r="D267" t="str">
            <v>CNY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4.761904761904763E-2</v>
          </cell>
          <cell r="U267">
            <v>3.5714285714285719E-2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4.9999999999999996E-2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0.08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9.9999999999999992E-2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0.16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0.18000000000000002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0.26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0.47790042008661904</v>
          </cell>
          <cell r="BE267">
            <v>0.54543161746177193</v>
          </cell>
          <cell r="BF267">
            <v>0.70031353959882048</v>
          </cell>
          <cell r="BG267">
            <v>0.88206277556330026</v>
          </cell>
          <cell r="BH267">
            <v>1.0827407317709803</v>
          </cell>
        </row>
        <row r="268">
          <cell r="B268" t="str">
            <v>Weighted average shares outstanding, basic</v>
          </cell>
          <cell r="C268" t="str">
            <v>SH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623.7503999999999</v>
          </cell>
          <cell r="R268">
            <v>623.75040000000001</v>
          </cell>
          <cell r="S268">
            <v>623.7503999999999</v>
          </cell>
          <cell r="T268">
            <v>623.7503999999999</v>
          </cell>
          <cell r="U268">
            <v>623.7503999999999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623.75040000000001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623.75040000000001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623.75040000000001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619.29148499999997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617.80517999999995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617.80517999999995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617.80517999999995</v>
          </cell>
          <cell r="BE268">
            <v>617.80517999999995</v>
          </cell>
          <cell r="BF268">
            <v>617.80517999999995</v>
          </cell>
          <cell r="BG268">
            <v>617.80517999999995</v>
          </cell>
          <cell r="BH268">
            <v>617.80517999999995</v>
          </cell>
        </row>
        <row r="269">
          <cell r="B269" t="str">
            <v>Diluted average shares outstanding (mn)</v>
          </cell>
          <cell r="C269" t="str">
            <v>DILUTE_SHARES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623.7503999999999</v>
          </cell>
          <cell r="R269">
            <v>623.75040000000001</v>
          </cell>
          <cell r="S269">
            <v>623.7503999999999</v>
          </cell>
          <cell r="T269">
            <v>623.7503999999999</v>
          </cell>
          <cell r="U269">
            <v>623.7503999999999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623.75040000000001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623.75040000000001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623.75040000000001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619.29148499999997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617.80517999999995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617.80517999999995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617.80517999999995</v>
          </cell>
          <cell r="BE269">
            <v>617.80517999999995</v>
          </cell>
          <cell r="BF269">
            <v>617.80517999999995</v>
          </cell>
          <cell r="BG269">
            <v>617.80517999999995</v>
          </cell>
          <cell r="BH269">
            <v>617.80517999999995</v>
          </cell>
        </row>
        <row r="270">
          <cell r="B270" t="str">
            <v>Period-end shares outstanding</v>
          </cell>
          <cell r="C270" t="str">
            <v>NON_OP_ADD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623.7503999999999</v>
          </cell>
          <cell r="R270">
            <v>623.75040000000001</v>
          </cell>
          <cell r="S270">
            <v>623.7503999999999</v>
          </cell>
          <cell r="T270">
            <v>623.7503999999999</v>
          </cell>
          <cell r="U270">
            <v>623.75040000000001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623.75040000000001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623.75040000000001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623.75040000000001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617.80517999999995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617.80517999999995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617.80517999999995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617.80517999999995</v>
          </cell>
          <cell r="BE270">
            <v>617.80517999999995</v>
          </cell>
          <cell r="BF270">
            <v>617.80517999999995</v>
          </cell>
          <cell r="BG270">
            <v>617.80517999999995</v>
          </cell>
          <cell r="BH270">
            <v>617.80517999999995</v>
          </cell>
        </row>
        <row r="271">
          <cell r="A271" t="str">
            <v>Additional Income Statement Items</v>
          </cell>
          <cell r="B271">
            <v>0</v>
          </cell>
          <cell r="C271">
            <v>0</v>
          </cell>
          <cell r="D271">
            <v>0</v>
          </cell>
        </row>
        <row r="272">
          <cell r="B272" t="str">
            <v>Marginal tax rate</v>
          </cell>
          <cell r="C272" t="str">
            <v>MARGIN_TAX_RATE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0.11990217146047279</v>
          </cell>
          <cell r="S272">
            <v>8.0841151703113609E-2</v>
          </cell>
          <cell r="T272">
            <v>2.8508134659700014E-2</v>
          </cell>
          <cell r="U272">
            <v>9.7660496616181147E-2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9.0168750173120843E-2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8.3385619704613487E-2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4.0520081727559179E-2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7.641270950584568E-2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8.0551917749642973E-2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0.12886450564281479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5.0239509384851749E-2</v>
          </cell>
          <cell r="BE272">
            <v>0.10000000000000002</v>
          </cell>
          <cell r="BF272">
            <v>9.9999999999999922E-2</v>
          </cell>
          <cell r="BG272">
            <v>9.9999999999999922E-2</v>
          </cell>
          <cell r="BH272">
            <v>9.9999999999999922E-2</v>
          </cell>
        </row>
        <row r="273">
          <cell r="B273" t="str">
            <v>Net income (consensus) (Pub)</v>
          </cell>
          <cell r="C273" t="str">
            <v>NI_CONS</v>
          </cell>
          <cell r="D273" t="str">
            <v>CNY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</row>
        <row r="274">
          <cell r="A274" t="str">
            <v>Balance Sheet</v>
          </cell>
          <cell r="B274">
            <v>0</v>
          </cell>
          <cell r="C274">
            <v>0</v>
          </cell>
          <cell r="D274">
            <v>0</v>
          </cell>
        </row>
        <row r="275">
          <cell r="B275" t="str">
            <v>BVPS, book value per share</v>
          </cell>
          <cell r="C275" t="str">
            <v>BVPS</v>
          </cell>
          <cell r="D275" t="str">
            <v>CNY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0.56799437104970218</v>
          </cell>
          <cell r="R275">
            <v>0.61307868560885892</v>
          </cell>
          <cell r="S275">
            <v>0.94789137020192693</v>
          </cell>
          <cell r="T275">
            <v>1.0123486753836153</v>
          </cell>
          <cell r="U275">
            <v>1.2961064298636122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1.5883948190975106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1.9526813826812777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2.1423801787221302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2.6708429038908355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3.1013643178744474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3.9366227809873662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4.8086589734081882</v>
          </cell>
          <cell r="BE275">
            <v>5.8039209378799619</v>
          </cell>
          <cell r="BF275">
            <v>7.0817996065402991</v>
          </cell>
          <cell r="BG275">
            <v>8.691320401979123</v>
          </cell>
          <cell r="BH275">
            <v>10.667023007432716</v>
          </cell>
        </row>
        <row r="276">
          <cell r="A276" t="str">
            <v>Cash Flow Statement</v>
          </cell>
          <cell r="B276">
            <v>0</v>
          </cell>
          <cell r="C276">
            <v>0</v>
          </cell>
          <cell r="D276">
            <v>0</v>
          </cell>
        </row>
        <row r="277">
          <cell r="B277" t="str">
            <v>Net income (pre-preferred dividends)</v>
          </cell>
          <cell r="C277" t="str">
            <v>CF_NI_PRE_PREF</v>
          </cell>
          <cell r="D277" t="str">
            <v>CNY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-2.5527697800000073</v>
          </cell>
          <cell r="R277">
            <v>54.628706389999998</v>
          </cell>
          <cell r="S277">
            <v>126.41810317999997</v>
          </cell>
          <cell r="T277">
            <v>134.08884439999994</v>
          </cell>
          <cell r="U277">
            <v>205.61127521999992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218.66687586999993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254.41047098999994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199.81967849999995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323.31790097999993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360.52048509000002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453.73351261999954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833.99783187874993</v>
          </cell>
          <cell r="BE277">
            <v>951.84847571129853</v>
          </cell>
          <cell r="BF277">
            <v>1222.1373932981455</v>
          </cell>
          <cell r="BG277">
            <v>1539.3132365680094</v>
          </cell>
          <cell r="BH277">
            <v>1889.5221364738293</v>
          </cell>
        </row>
        <row r="278">
          <cell r="A278" t="str">
            <v>Other Items</v>
          </cell>
          <cell r="B278">
            <v>0</v>
          </cell>
          <cell r="C278">
            <v>0</v>
          </cell>
          <cell r="D278">
            <v>0</v>
          </cell>
        </row>
        <row r="279">
          <cell r="B279" t="str">
            <v>Beta</v>
          </cell>
          <cell r="C279" t="str">
            <v>BETA_ANALYST</v>
          </cell>
          <cell r="E279">
            <v>0</v>
          </cell>
        </row>
        <row r="280">
          <cell r="B280" t="str">
            <v>Market equity risk premium</v>
          </cell>
          <cell r="C280" t="str">
            <v>MKT_EQ_RISK_PREM</v>
          </cell>
          <cell r="E280">
            <v>0</v>
          </cell>
        </row>
        <row r="281">
          <cell r="B281" t="str">
            <v>Risk-free rate</v>
          </cell>
          <cell r="C281" t="str">
            <v>RISK_FR_RATE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Z281">
            <v>0</v>
          </cell>
          <cell r="AE281">
            <v>0</v>
          </cell>
          <cell r="AJ281">
            <v>0</v>
          </cell>
          <cell r="AO281">
            <v>0</v>
          </cell>
          <cell r="AT281">
            <v>0</v>
          </cell>
          <cell r="AY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</row>
      </sheetData>
      <sheetData sheetId="19" refreshError="1"/>
      <sheetData sheetId="20" refreshError="1"/>
      <sheetData sheetId="21" refreshError="1"/>
      <sheetData sheetId="22" refreshError="1">
        <row r="1">
          <cell r="A1" t="str">
            <v>Issuer: Hundsun Technologies Inc.</v>
          </cell>
          <cell r="C1">
            <v>2260559314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 t="str">
            <v>2010 Q1</v>
          </cell>
          <cell r="W1" t="str">
            <v>2010 Q2</v>
          </cell>
          <cell r="X1" t="str">
            <v>2010 Q3</v>
          </cell>
          <cell r="Y1" t="str">
            <v>2010 Q4</v>
          </cell>
          <cell r="Z1">
            <v>2010</v>
          </cell>
          <cell r="AA1" t="str">
            <v>2011 Q1</v>
          </cell>
          <cell r="AB1" t="str">
            <v>2011 Q2</v>
          </cell>
          <cell r="AC1" t="str">
            <v>2011 Q3</v>
          </cell>
          <cell r="AD1" t="str">
            <v>2011 Q4</v>
          </cell>
          <cell r="AE1">
            <v>2011</v>
          </cell>
          <cell r="AF1" t="str">
            <v>2012 Q1</v>
          </cell>
          <cell r="AG1" t="str">
            <v>2012 Q2</v>
          </cell>
          <cell r="AH1" t="str">
            <v>2012 Q3</v>
          </cell>
          <cell r="AI1" t="str">
            <v>2012 Q4</v>
          </cell>
          <cell r="AJ1">
            <v>2012</v>
          </cell>
          <cell r="AK1" t="str">
            <v>2013 Q1</v>
          </cell>
          <cell r="AL1" t="str">
            <v>2013 Q2</v>
          </cell>
          <cell r="AM1" t="str">
            <v>2013 Q3</v>
          </cell>
          <cell r="AN1" t="str">
            <v>2013 Q4</v>
          </cell>
          <cell r="AO1">
            <v>2013</v>
          </cell>
          <cell r="AP1" t="str">
            <v>2014 Q1</v>
          </cell>
          <cell r="AQ1" t="str">
            <v>2014 Q2</v>
          </cell>
          <cell r="AR1" t="str">
            <v>2014 Q3</v>
          </cell>
          <cell r="AS1" t="str">
            <v>2014 Q4</v>
          </cell>
          <cell r="AT1">
            <v>2014</v>
          </cell>
          <cell r="AU1" t="str">
            <v>2015 Q1</v>
          </cell>
          <cell r="AV1" t="str">
            <v>2015 Q2</v>
          </cell>
          <cell r="AW1" t="str">
            <v>2015 Q3</v>
          </cell>
          <cell r="AX1" t="str">
            <v>2015 Q4</v>
          </cell>
          <cell r="AY1">
            <v>2015</v>
          </cell>
          <cell r="AZ1" t="str">
            <v>2016 Q1</v>
          </cell>
          <cell r="BA1" t="str">
            <v>2016 Q2</v>
          </cell>
          <cell r="BB1" t="str">
            <v>2016 Q3</v>
          </cell>
          <cell r="BC1" t="str">
            <v>2016 Q4</v>
          </cell>
          <cell r="BD1">
            <v>2016</v>
          </cell>
          <cell r="BE1">
            <v>2017</v>
          </cell>
          <cell r="BF1">
            <v>2018</v>
          </cell>
          <cell r="BG1">
            <v>2019</v>
          </cell>
          <cell r="BH1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Actual</v>
          </cell>
          <cell r="AY2" t="str">
            <v>Actual</v>
          </cell>
          <cell r="AZ2" t="str">
            <v>Actual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  <cell r="BF2" t="str">
            <v>Estimate</v>
          </cell>
          <cell r="BG2" t="str">
            <v>Estimate</v>
          </cell>
          <cell r="BH2" t="str">
            <v>Estimate</v>
          </cell>
        </row>
        <row r="3"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41729</v>
          </cell>
          <cell r="AQ3">
            <v>41820</v>
          </cell>
          <cell r="AR3">
            <v>41912</v>
          </cell>
          <cell r="AS3">
            <v>42004</v>
          </cell>
          <cell r="AT3">
            <v>42004</v>
          </cell>
          <cell r="AU3">
            <v>42094</v>
          </cell>
          <cell r="AV3">
            <v>42185</v>
          </cell>
          <cell r="AW3">
            <v>42277</v>
          </cell>
          <cell r="AX3">
            <v>42369</v>
          </cell>
          <cell r="AY3">
            <v>42369</v>
          </cell>
          <cell r="AZ3">
            <v>42460</v>
          </cell>
          <cell r="BA3">
            <v>42551</v>
          </cell>
          <cell r="BB3">
            <v>42643</v>
          </cell>
          <cell r="BC3">
            <v>42735</v>
          </cell>
          <cell r="BD3">
            <v>42735</v>
          </cell>
          <cell r="BE3">
            <v>43100</v>
          </cell>
          <cell r="BF3">
            <v>43465</v>
          </cell>
          <cell r="BG3">
            <v>43830</v>
          </cell>
          <cell r="BH3">
            <v>44196</v>
          </cell>
        </row>
        <row r="4">
          <cell r="A4" t="str">
            <v>Issuer: Hundsun Technologies Inc.</v>
          </cell>
          <cell r="B4" t="str">
            <v>1316UP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Hundsun Technologies Inc.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4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236.73932965</v>
          </cell>
          <cell r="R11">
            <v>345.85689105</v>
          </cell>
          <cell r="S11">
            <v>572.42826487000002</v>
          </cell>
          <cell r="T11">
            <v>668.68165337999994</v>
          </cell>
          <cell r="U11">
            <v>729.71177239999997</v>
          </cell>
          <cell r="V11">
            <v>107.95878844000001</v>
          </cell>
          <cell r="W11">
            <v>186.80962349999999</v>
          </cell>
          <cell r="X11">
            <v>215.16706828</v>
          </cell>
          <cell r="Y11">
            <v>357.29152220999998</v>
          </cell>
          <cell r="Z11">
            <v>867.22700242999997</v>
          </cell>
          <cell r="AA11">
            <v>159.66644898000001</v>
          </cell>
          <cell r="AB11">
            <v>210.02898884000001</v>
          </cell>
          <cell r="AC11">
            <v>187.86165564000001</v>
          </cell>
          <cell r="AD11">
            <v>490.63631077000002</v>
          </cell>
          <cell r="AE11">
            <v>1048.1934042299999</v>
          </cell>
          <cell r="AF11">
            <v>142.26479816</v>
          </cell>
          <cell r="AG11">
            <v>215.62630784000001</v>
          </cell>
          <cell r="AH11">
            <v>196.17219702</v>
          </cell>
          <cell r="AI11">
            <v>452.02824513000002</v>
          </cell>
          <cell r="AJ11">
            <v>1006.09154815</v>
          </cell>
          <cell r="AK11">
            <v>171.93254192000001</v>
          </cell>
          <cell r="AL11">
            <v>249.35079289000001</v>
          </cell>
          <cell r="AM11">
            <v>224.47178212</v>
          </cell>
          <cell r="AN11">
            <v>564.79208156000004</v>
          </cell>
          <cell r="AO11">
            <v>1210.54719849</v>
          </cell>
          <cell r="AP11">
            <v>201.70337806000001</v>
          </cell>
          <cell r="AQ11">
            <v>260.96722656999998</v>
          </cell>
          <cell r="AR11">
            <v>308.21805761000002</v>
          </cell>
          <cell r="AS11">
            <v>650.95047288000001</v>
          </cell>
          <cell r="AT11">
            <v>1421.83913512</v>
          </cell>
          <cell r="AU11">
            <v>274.13182711000002</v>
          </cell>
          <cell r="AV11">
            <v>634.27014440999994</v>
          </cell>
          <cell r="AW11">
            <v>389.91621712</v>
          </cell>
          <cell r="AX11">
            <v>927.21421883000005</v>
          </cell>
          <cell r="AY11">
            <v>2225.5324074700002</v>
          </cell>
          <cell r="AZ11">
            <v>336.98615639000002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-115.21756618000001</v>
          </cell>
          <cell r="R13">
            <v>-180.38014330999999</v>
          </cell>
          <cell r="S13">
            <v>-257.68465980000002</v>
          </cell>
          <cell r="T13">
            <v>-236.19005109</v>
          </cell>
          <cell r="U13">
            <v>-213.98938455000001</v>
          </cell>
          <cell r="V13">
            <v>-16.040381669999999</v>
          </cell>
          <cell r="W13">
            <v>-64.590061840000004</v>
          </cell>
          <cell r="X13">
            <v>-51.26776855</v>
          </cell>
          <cell r="Y13">
            <v>-82.274853449999995</v>
          </cell>
          <cell r="Z13">
            <v>-214.17306550999999</v>
          </cell>
          <cell r="AE13">
            <v>-213.70059401</v>
          </cell>
          <cell r="AJ13">
            <v>-210.67766159000001</v>
          </cell>
          <cell r="AO13">
            <v>-219.82074104</v>
          </cell>
          <cell r="AT13">
            <v>-89.823564610000005</v>
          </cell>
          <cell r="AY13">
            <v>-162.77407205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Q14">
            <v>-126.83440758</v>
          </cell>
          <cell r="R14">
            <v>-151.46306311999999</v>
          </cell>
          <cell r="S14">
            <v>-250.11284731999999</v>
          </cell>
          <cell r="T14">
            <v>-321.60518745000002</v>
          </cell>
          <cell r="U14">
            <v>-367.40819127999998</v>
          </cell>
          <cell r="V14">
            <v>-71.174342559999999</v>
          </cell>
          <cell r="W14">
            <v>-98.630096690000002</v>
          </cell>
          <cell r="X14">
            <v>-105.57362963</v>
          </cell>
          <cell r="Y14">
            <v>-226.10898144000001</v>
          </cell>
          <cell r="Z14">
            <v>-501.48705031999998</v>
          </cell>
          <cell r="AE14">
            <v>-635.48934383999995</v>
          </cell>
          <cell r="AJ14">
            <v>-318.95499639000002</v>
          </cell>
          <cell r="AO14">
            <v>-315.68665291000002</v>
          </cell>
          <cell r="AT14">
            <v>-588.07536494999999</v>
          </cell>
          <cell r="AY14">
            <v>-813.58632488000001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Q15">
            <v>-242.05197376000001</v>
          </cell>
          <cell r="R15">
            <v>-331.84320643000001</v>
          </cell>
          <cell r="S15">
            <v>-507.79750711999998</v>
          </cell>
          <cell r="T15">
            <v>-557.79523854000001</v>
          </cell>
          <cell r="U15">
            <v>-581.39757583000005</v>
          </cell>
          <cell r="V15">
            <v>-87.214724230000002</v>
          </cell>
          <cell r="W15">
            <v>-163.22015852999999</v>
          </cell>
          <cell r="X15">
            <v>-156.84139818</v>
          </cell>
          <cell r="Y15">
            <v>-308.38383489</v>
          </cell>
          <cell r="Z15">
            <v>-715.66011583</v>
          </cell>
          <cell r="AE15">
            <v>-849.18993784999998</v>
          </cell>
          <cell r="AJ15">
            <v>-529.63265797999998</v>
          </cell>
          <cell r="AO15">
            <v>-535.50739395000005</v>
          </cell>
          <cell r="AT15">
            <v>-677.89892956000006</v>
          </cell>
          <cell r="AY15">
            <v>-976.36039692999998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E16">
            <v>0</v>
          </cell>
          <cell r="AJ16">
            <v>-415.81565576999998</v>
          </cell>
          <cell r="AO16">
            <v>-501.39995576000001</v>
          </cell>
          <cell r="AT16">
            <v>-590.50915354999995</v>
          </cell>
          <cell r="AY16">
            <v>-862.61467631999994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-242.05197376000001</v>
          </cell>
          <cell r="R18">
            <v>-331.84320643000001</v>
          </cell>
          <cell r="S18">
            <v>-507.79750711999998</v>
          </cell>
          <cell r="T18">
            <v>-557.79523854000001</v>
          </cell>
          <cell r="U18">
            <v>-581.39757583000005</v>
          </cell>
          <cell r="V18">
            <v>-87.214724230000002</v>
          </cell>
          <cell r="W18">
            <v>-163.22015852999999</v>
          </cell>
          <cell r="X18">
            <v>-156.84139818</v>
          </cell>
          <cell r="Y18">
            <v>-308.38383489</v>
          </cell>
          <cell r="Z18">
            <v>-715.66011583</v>
          </cell>
          <cell r="AE18">
            <v>-849.18993784999998</v>
          </cell>
          <cell r="AJ18">
            <v>-945.44831375000001</v>
          </cell>
          <cell r="AO18">
            <v>-1036.9073497100001</v>
          </cell>
          <cell r="AT18">
            <v>-1268.40808311</v>
          </cell>
          <cell r="AY18">
            <v>-1838.9750732499999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-233.03326007999999</v>
          </cell>
          <cell r="R19">
            <v>-319.04445973000003</v>
          </cell>
          <cell r="S19">
            <v>-497.05203090999998</v>
          </cell>
          <cell r="T19">
            <v>-545.53685767000002</v>
          </cell>
          <cell r="U19">
            <v>-565.98237950999999</v>
          </cell>
          <cell r="V19">
            <v>-87.214724230000002</v>
          </cell>
          <cell r="W19">
            <v>-154.44465008</v>
          </cell>
          <cell r="X19">
            <v>-156.84139818</v>
          </cell>
          <cell r="Y19">
            <v>-288.83873387</v>
          </cell>
          <cell r="Z19">
            <v>-696.11501481000005</v>
          </cell>
          <cell r="AE19">
            <v>-825.58795273999999</v>
          </cell>
          <cell r="AJ19">
            <v>-918.95833520999997</v>
          </cell>
          <cell r="AO19">
            <v>-1011.52979041</v>
          </cell>
          <cell r="AT19">
            <v>-1242.0716655900001</v>
          </cell>
          <cell r="AY19">
            <v>-1797.3974962699999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3.7060695699999999</v>
          </cell>
          <cell r="R20">
            <v>26.812431320000002</v>
          </cell>
          <cell r="S20">
            <v>75.376233959999993</v>
          </cell>
          <cell r="T20">
            <v>123.14479571</v>
          </cell>
          <cell r="U20">
            <v>163.72939289000001</v>
          </cell>
          <cell r="V20">
            <v>20.744064210000001</v>
          </cell>
          <cell r="W20">
            <v>32.364973419999998</v>
          </cell>
          <cell r="X20">
            <v>58.325670100000004</v>
          </cell>
          <cell r="Y20">
            <v>68.452788339999998</v>
          </cell>
          <cell r="Z20">
            <v>171.11198762000001</v>
          </cell>
          <cell r="AE20">
            <v>222.60545149000001</v>
          </cell>
          <cell r="AJ20">
            <v>87.133212940000007</v>
          </cell>
          <cell r="AO20">
            <v>199.01740808</v>
          </cell>
          <cell r="AT20">
            <v>179.76746953</v>
          </cell>
          <cell r="AY20">
            <v>428.13491119999998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Q21">
            <v>-8.1235070300000007</v>
          </cell>
          <cell r="R21">
            <v>-11.614106700000001</v>
          </cell>
          <cell r="S21">
            <v>-9.0742369200000006</v>
          </cell>
          <cell r="T21">
            <v>-10.681434530000001</v>
          </cell>
          <cell r="U21">
            <v>-13.76898175</v>
          </cell>
          <cell r="W21">
            <v>-6.22862004</v>
          </cell>
          <cell r="Y21">
            <v>-13.795204379999999</v>
          </cell>
          <cell r="Z21">
            <v>-13.795204379999999</v>
          </cell>
          <cell r="AE21">
            <v>-15.967972079999999</v>
          </cell>
          <cell r="AJ21">
            <v>-18.0135842</v>
          </cell>
          <cell r="AO21">
            <v>-15.912046670000001</v>
          </cell>
          <cell r="AT21">
            <v>-15.524619599999999</v>
          </cell>
          <cell r="AY21">
            <v>-33.974896899999997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Q22">
            <v>-0.89520664999999999</v>
          </cell>
          <cell r="R22">
            <v>-1.1846399999999999</v>
          </cell>
          <cell r="S22">
            <v>-1.6712392899999999</v>
          </cell>
          <cell r="T22">
            <v>-1.5769463399999999</v>
          </cell>
          <cell r="U22">
            <v>-1.6462145699999999</v>
          </cell>
          <cell r="W22">
            <v>-2.5468884100000002</v>
          </cell>
          <cell r="Y22">
            <v>-5.7498966400000002</v>
          </cell>
          <cell r="Z22">
            <v>-5.7498966400000002</v>
          </cell>
          <cell r="AE22">
            <v>-7.6340130300000002</v>
          </cell>
          <cell r="AJ22">
            <v>-8.4763943400000006</v>
          </cell>
          <cell r="AO22">
            <v>-9.4655126299999992</v>
          </cell>
          <cell r="AT22">
            <v>-10.81179792</v>
          </cell>
          <cell r="AY22">
            <v>-7.6026800799999998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-5.3126441099999999</v>
          </cell>
          <cell r="R23">
            <v>14.013684619999999</v>
          </cell>
          <cell r="S23">
            <v>64.630757750000001</v>
          </cell>
          <cell r="T23">
            <v>110.88641484</v>
          </cell>
          <cell r="U23">
            <v>148.31419657000001</v>
          </cell>
          <cell r="V23">
            <v>20.744064210000001</v>
          </cell>
          <cell r="W23">
            <v>23.589464970000002</v>
          </cell>
          <cell r="X23">
            <v>58.325670100000004</v>
          </cell>
          <cell r="Y23">
            <v>48.907687320000001</v>
          </cell>
          <cell r="Z23">
            <v>151.5668866</v>
          </cell>
          <cell r="AA23">
            <v>31.54919275</v>
          </cell>
          <cell r="AB23">
            <v>19.927490630000001</v>
          </cell>
          <cell r="AC23">
            <v>23.577606280000001</v>
          </cell>
          <cell r="AD23">
            <v>123.94917672</v>
          </cell>
          <cell r="AE23">
            <v>199.00346637999999</v>
          </cell>
          <cell r="AF23">
            <v>4.0914394300000003</v>
          </cell>
          <cell r="AG23">
            <v>13.350718519999999</v>
          </cell>
          <cell r="AH23">
            <v>-3.2890464100000001</v>
          </cell>
          <cell r="AI23">
            <v>46.49012286</v>
          </cell>
          <cell r="AJ23">
            <v>60.643234399999997</v>
          </cell>
          <cell r="AK23">
            <v>12.516373959999999</v>
          </cell>
          <cell r="AL23">
            <v>23.781464119999999</v>
          </cell>
          <cell r="AM23">
            <v>23.510368960000001</v>
          </cell>
          <cell r="AN23">
            <v>113.83164173999999</v>
          </cell>
          <cell r="AO23">
            <v>173.63984877999999</v>
          </cell>
          <cell r="AP23">
            <v>12.86245944</v>
          </cell>
          <cell r="AQ23">
            <v>9.7621336599999999</v>
          </cell>
          <cell r="AR23">
            <v>-13.59727058</v>
          </cell>
          <cell r="AS23">
            <v>144.40372948999999</v>
          </cell>
          <cell r="AT23">
            <v>153.43105201</v>
          </cell>
          <cell r="AU23">
            <v>8.1363334700000003</v>
          </cell>
          <cell r="AV23">
            <v>116.09387915000001</v>
          </cell>
          <cell r="AW23">
            <v>-164.93756225000001</v>
          </cell>
          <cell r="AX23">
            <v>427.26468384999998</v>
          </cell>
          <cell r="AY23">
            <v>386.55733421999997</v>
          </cell>
          <cell r="AZ23">
            <v>7.3269835399999996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5.1248800000000001E-3</v>
          </cell>
          <cell r="R24">
            <v>0.51629559000000003</v>
          </cell>
          <cell r="S24">
            <v>0</v>
          </cell>
          <cell r="T24">
            <v>0.48545523000000002</v>
          </cell>
          <cell r="U24">
            <v>2.4841646599999998</v>
          </cell>
          <cell r="Z24">
            <v>0.64197559000000004</v>
          </cell>
          <cell r="AE24">
            <v>0</v>
          </cell>
          <cell r="AJ24">
            <v>3.3128812999999999</v>
          </cell>
          <cell r="AO24">
            <v>4.0602121599999998</v>
          </cell>
          <cell r="AT24">
            <v>9.0427509599999993</v>
          </cell>
          <cell r="AY24">
            <v>3.58025715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-2.4410596199999999</v>
          </cell>
          <cell r="T25">
            <v>0</v>
          </cell>
          <cell r="U25">
            <v>0</v>
          </cell>
          <cell r="Z25">
            <v>0</v>
          </cell>
          <cell r="AE25">
            <v>-1.0226486100000001</v>
          </cell>
          <cell r="AJ25">
            <v>0</v>
          </cell>
          <cell r="AO25">
            <v>0</v>
          </cell>
          <cell r="AT25">
            <v>0</v>
          </cell>
          <cell r="AY25">
            <v>0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5.1248800000000001E-3</v>
          </cell>
          <cell r="R26">
            <v>0.51629559000000003</v>
          </cell>
          <cell r="S26">
            <v>-2.4410596199999999</v>
          </cell>
          <cell r="T26">
            <v>0.48545523000000002</v>
          </cell>
          <cell r="U26">
            <v>2.4841646599999998</v>
          </cell>
          <cell r="Z26">
            <v>0.64197559000000004</v>
          </cell>
          <cell r="AE26">
            <v>-1.0226486100000001</v>
          </cell>
          <cell r="AJ26">
            <v>3.3128812999999999</v>
          </cell>
          <cell r="AO26">
            <v>4.0602121599999998</v>
          </cell>
          <cell r="AT26">
            <v>9.0427509599999993</v>
          </cell>
          <cell r="AY26">
            <v>3.58025715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Q29">
            <v>4.88225687</v>
          </cell>
          <cell r="R29">
            <v>47.656588550000002</v>
          </cell>
          <cell r="S29">
            <v>79.731220960000002</v>
          </cell>
          <cell r="T29">
            <v>25.11232914</v>
          </cell>
          <cell r="U29">
            <v>81.882504190000006</v>
          </cell>
          <cell r="Z29">
            <v>91.439280740000001</v>
          </cell>
          <cell r="AE29">
            <v>87.864622780000005</v>
          </cell>
          <cell r="AJ29">
            <v>157.25710273000001</v>
          </cell>
          <cell r="AO29">
            <v>190.51831204999999</v>
          </cell>
          <cell r="AT29">
            <v>223.65007388999999</v>
          </cell>
          <cell r="AY29">
            <v>125.04272573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-0.42526236000000001</v>
          </cell>
          <cell r="R30">
            <v>62.18656876</v>
          </cell>
          <cell r="S30">
            <v>141.92091909000001</v>
          </cell>
          <cell r="T30">
            <v>136.48419921000001</v>
          </cell>
          <cell r="U30">
            <v>232.68086542</v>
          </cell>
          <cell r="Z30">
            <v>243.64814293000001</v>
          </cell>
          <cell r="AE30">
            <v>285.84544054999998</v>
          </cell>
          <cell r="AJ30">
            <v>221.21321843000001</v>
          </cell>
          <cell r="AO30">
            <v>368.21837298999998</v>
          </cell>
          <cell r="AT30">
            <v>386.12387686</v>
          </cell>
          <cell r="AY30">
            <v>515.18031710000002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</row>
        <row r="33">
          <cell r="B33" t="str">
            <v>Lease payments</v>
          </cell>
          <cell r="C33" t="str">
            <v>LEASE_PAY</v>
          </cell>
          <cell r="D33" t="str">
            <v>CNY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  <cell r="S36">
            <v>-2.4410596199999999</v>
          </cell>
          <cell r="AE36">
            <v>-1.0226486100000001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CNY</v>
          </cell>
          <cell r="Q39">
            <v>162.51446159</v>
          </cell>
          <cell r="R39">
            <v>222.31165691000001</v>
          </cell>
          <cell r="S39">
            <v>264.68564677000001</v>
          </cell>
          <cell r="T39">
            <v>206.72313195999999</v>
          </cell>
          <cell r="U39">
            <v>491.42448424999998</v>
          </cell>
          <cell r="Z39">
            <v>411.45103365</v>
          </cell>
          <cell r="AE39">
            <v>528.76327108999999</v>
          </cell>
          <cell r="AJ39">
            <v>358.01254433000003</v>
          </cell>
          <cell r="AO39">
            <v>340.92785236999998</v>
          </cell>
          <cell r="AT39">
            <v>522.32556463000003</v>
          </cell>
          <cell r="AY39">
            <v>302.55293168999998</v>
          </cell>
        </row>
        <row r="40">
          <cell r="B40" t="str">
            <v>Accounts receivable</v>
          </cell>
          <cell r="C40" t="str">
            <v>DEBTORS</v>
          </cell>
          <cell r="D40" t="str">
            <v>CNY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38.689463000000003</v>
          </cell>
          <cell r="R40">
            <v>47.980271590000001</v>
          </cell>
          <cell r="S40">
            <v>107.5400479</v>
          </cell>
          <cell r="T40">
            <v>57.955871340000002</v>
          </cell>
          <cell r="U40">
            <v>80.47520677</v>
          </cell>
          <cell r="Z40">
            <v>96.291173209999997</v>
          </cell>
          <cell r="AE40">
            <v>178.62688524000001</v>
          </cell>
          <cell r="AJ40">
            <v>120.3241077</v>
          </cell>
          <cell r="AO40">
            <v>181.23020787999999</v>
          </cell>
          <cell r="AT40">
            <v>209.70065367999999</v>
          </cell>
          <cell r="AY40">
            <v>240.64851573000001</v>
          </cell>
        </row>
        <row r="41">
          <cell r="B41" t="str">
            <v>Inventory</v>
          </cell>
          <cell r="C41" t="str">
            <v>STOCKS</v>
          </cell>
          <cell r="D41" t="str">
            <v>CNY</v>
          </cell>
          <cell r="Q41">
            <v>12.12743102</v>
          </cell>
          <cell r="R41">
            <v>4.0622946899999999</v>
          </cell>
          <cell r="S41">
            <v>17.821204460000001</v>
          </cell>
          <cell r="T41">
            <v>116.72508464000001</v>
          </cell>
          <cell r="U41">
            <v>297.43220029999998</v>
          </cell>
          <cell r="Z41">
            <v>191.97344659999999</v>
          </cell>
          <cell r="AE41">
            <v>155.37000268</v>
          </cell>
          <cell r="AJ41">
            <v>86.536142519999999</v>
          </cell>
          <cell r="AO41">
            <v>67.756357649999998</v>
          </cell>
          <cell r="AT41">
            <v>57.361999189999999</v>
          </cell>
          <cell r="AY41">
            <v>58.656916979999998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CNY</v>
          </cell>
          <cell r="Q42">
            <v>39.611956300000003</v>
          </cell>
          <cell r="R42">
            <v>54.811942819999999</v>
          </cell>
          <cell r="S42">
            <v>131.25296495000001</v>
          </cell>
          <cell r="T42">
            <v>196.77082145</v>
          </cell>
          <cell r="U42">
            <v>69.460268709999994</v>
          </cell>
          <cell r="Z42">
            <v>190.37569622000001</v>
          </cell>
          <cell r="AE42">
            <v>28.0332653</v>
          </cell>
          <cell r="AJ42">
            <v>461.15472904000001</v>
          </cell>
          <cell r="AO42">
            <v>837.52541741000005</v>
          </cell>
          <cell r="AT42">
            <v>1071.6436402899999</v>
          </cell>
          <cell r="AY42">
            <v>1333.1384068100001</v>
          </cell>
        </row>
        <row r="43">
          <cell r="B43" t="str">
            <v>Total current assets</v>
          </cell>
          <cell r="C43" t="str">
            <v>CUR_ASS</v>
          </cell>
          <cell r="D43" t="str">
            <v>CNY</v>
          </cell>
          <cell r="Q43">
            <v>252.94331191000001</v>
          </cell>
          <cell r="R43">
            <v>329.16616600999998</v>
          </cell>
          <cell r="S43">
            <v>521.29986408000002</v>
          </cell>
          <cell r="T43">
            <v>578.17490939000004</v>
          </cell>
          <cell r="U43">
            <v>938.79216002999999</v>
          </cell>
          <cell r="Z43">
            <v>890.09134968000001</v>
          </cell>
          <cell r="AE43">
            <v>890.79342430999998</v>
          </cell>
          <cell r="AJ43">
            <v>1026.0275235900001</v>
          </cell>
          <cell r="AO43">
            <v>1427.43983531</v>
          </cell>
          <cell r="AT43">
            <v>1861.03185779</v>
          </cell>
          <cell r="AY43">
            <v>1934.9967712099999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CNY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142.66721355999999</v>
          </cell>
          <cell r="R44">
            <v>107.50622204</v>
          </cell>
          <cell r="S44">
            <v>160.32316381000001</v>
          </cell>
          <cell r="T44">
            <v>124.20444612</v>
          </cell>
          <cell r="U44">
            <v>137.20799267999999</v>
          </cell>
          <cell r="Z44">
            <v>139.77645842000001</v>
          </cell>
          <cell r="AE44">
            <v>147.47910288</v>
          </cell>
          <cell r="AJ44">
            <v>161.17007221</v>
          </cell>
          <cell r="AO44">
            <v>242.59274773999999</v>
          </cell>
          <cell r="AT44">
            <v>338.47011193999998</v>
          </cell>
          <cell r="AY44">
            <v>423.50292415000001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CNY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-19.58917087</v>
          </cell>
          <cell r="R45">
            <v>-21.580970570000002</v>
          </cell>
          <cell r="S45">
            <v>-19.547505040000001</v>
          </cell>
          <cell r="T45">
            <v>-27.847170850000001</v>
          </cell>
          <cell r="U45">
            <v>-39.851220410000003</v>
          </cell>
          <cell r="Z45">
            <v>-52.17192987</v>
          </cell>
          <cell r="AE45">
            <v>-58.520516350000001</v>
          </cell>
          <cell r="AJ45">
            <v>-69.559618909999998</v>
          </cell>
          <cell r="AO45">
            <v>-82.437251599999996</v>
          </cell>
          <cell r="AT45">
            <v>-93.234276210000004</v>
          </cell>
          <cell r="AY45">
            <v>-108.00979821999999</v>
          </cell>
        </row>
        <row r="46">
          <cell r="B46" t="str">
            <v>Net PP&amp;E</v>
          </cell>
          <cell r="C46" t="str">
            <v>NET_FIX_ASS</v>
          </cell>
          <cell r="D46" t="str">
            <v>CNY</v>
          </cell>
          <cell r="Q46">
            <v>123.07804269</v>
          </cell>
          <cell r="R46">
            <v>85.925251470000006</v>
          </cell>
          <cell r="S46">
            <v>140.77565877000001</v>
          </cell>
          <cell r="T46">
            <v>96.357275270000002</v>
          </cell>
          <cell r="U46">
            <v>97.356772269999993</v>
          </cell>
          <cell r="Z46">
            <v>87.604528549999998</v>
          </cell>
          <cell r="AE46">
            <v>88.958586530000005</v>
          </cell>
          <cell r="AJ46">
            <v>91.610453300000003</v>
          </cell>
          <cell r="AO46">
            <v>160.15549614</v>
          </cell>
          <cell r="AT46">
            <v>245.23583572999999</v>
          </cell>
          <cell r="AY46">
            <v>315.49312593000002</v>
          </cell>
        </row>
        <row r="47">
          <cell r="B47" t="str">
            <v>Gross intangibles</v>
          </cell>
          <cell r="C47" t="str">
            <v>GR_INTANG</v>
          </cell>
          <cell r="D47" t="str">
            <v>CNY</v>
          </cell>
          <cell r="Q47">
            <v>9.8078600999999992</v>
          </cell>
          <cell r="R47">
            <v>33.364668870000003</v>
          </cell>
          <cell r="S47">
            <v>37.867523200000001</v>
          </cell>
          <cell r="T47">
            <v>16.983608449999998</v>
          </cell>
          <cell r="U47">
            <v>25.398167600000001</v>
          </cell>
          <cell r="Z47">
            <v>67.141528149999999</v>
          </cell>
          <cell r="AE47">
            <v>70.152330370000001</v>
          </cell>
          <cell r="AJ47">
            <v>72.86732619</v>
          </cell>
          <cell r="AO47">
            <v>88.970325220000007</v>
          </cell>
          <cell r="AT47">
            <v>88.117199780000007</v>
          </cell>
          <cell r="AY47">
            <v>74.047561849999994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CNY</v>
          </cell>
          <cell r="S48">
            <v>-3.0018904200000001</v>
          </cell>
          <cell r="T48">
            <v>-5.6435521099999999</v>
          </cell>
          <cell r="U48">
            <v>-7.0220465599999997</v>
          </cell>
          <cell r="Z48">
            <v>-12.10874183</v>
          </cell>
          <cell r="AE48">
            <v>-17.314566030000002</v>
          </cell>
          <cell r="AJ48">
            <v>-23.836498469999999</v>
          </cell>
          <cell r="AO48">
            <v>-32.809310230000001</v>
          </cell>
          <cell r="AT48">
            <v>-40.431326640000002</v>
          </cell>
          <cell r="AY48">
            <v>-45.09553666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CNY</v>
          </cell>
          <cell r="Q49">
            <v>9.8078600999999992</v>
          </cell>
          <cell r="R49">
            <v>33.364668870000003</v>
          </cell>
          <cell r="S49">
            <v>34.865632779999999</v>
          </cell>
          <cell r="T49">
            <v>11.34005634</v>
          </cell>
          <cell r="U49">
            <v>18.376121040000001</v>
          </cell>
          <cell r="Z49">
            <v>55.03278632</v>
          </cell>
          <cell r="AE49">
            <v>52.83776434</v>
          </cell>
          <cell r="AJ49">
            <v>49.030827719999998</v>
          </cell>
          <cell r="AO49">
            <v>56.161014989999998</v>
          </cell>
          <cell r="AT49">
            <v>47.685873139999998</v>
          </cell>
          <cell r="AY49">
            <v>28.952025190000001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CNY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CNY</v>
          </cell>
          <cell r="Q51">
            <v>67.267032470000004</v>
          </cell>
          <cell r="R51">
            <v>109.96424666</v>
          </cell>
          <cell r="S51">
            <v>216.57307700999999</v>
          </cell>
          <cell r="T51">
            <v>222.85096970999999</v>
          </cell>
          <cell r="U51">
            <v>279.18809598000001</v>
          </cell>
          <cell r="Z51">
            <v>561.23463707999997</v>
          </cell>
          <cell r="AE51">
            <v>706.95442462000005</v>
          </cell>
          <cell r="AJ51">
            <v>667.54707864</v>
          </cell>
          <cell r="AO51">
            <v>686.40141997000001</v>
          </cell>
          <cell r="AT51">
            <v>763.13032338000005</v>
          </cell>
          <cell r="AY51">
            <v>1510.32993459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CNY</v>
          </cell>
          <cell r="Q52">
            <v>5</v>
          </cell>
          <cell r="R52">
            <v>3.6266357299999998</v>
          </cell>
          <cell r="S52">
            <v>3.6074329700000001</v>
          </cell>
          <cell r="T52">
            <v>3.35054483</v>
          </cell>
          <cell r="U52">
            <v>3.72876947</v>
          </cell>
          <cell r="Z52">
            <v>4.7194137300000003</v>
          </cell>
          <cell r="AE52">
            <v>7.2341655400000002</v>
          </cell>
          <cell r="AJ52">
            <v>13.74972217</v>
          </cell>
          <cell r="AO52">
            <v>8.5420308899999995</v>
          </cell>
          <cell r="AT52">
            <v>113.70526155</v>
          </cell>
          <cell r="AY52">
            <v>185.50849058</v>
          </cell>
        </row>
        <row r="53">
          <cell r="B53" t="str">
            <v>Total assets</v>
          </cell>
          <cell r="C53" t="str">
            <v>TOT_ASSET</v>
          </cell>
          <cell r="D53" t="str">
            <v>CNY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458.09624717000003</v>
          </cell>
          <cell r="R53">
            <v>562.04696874000001</v>
          </cell>
          <cell r="S53">
            <v>917.12166561000004</v>
          </cell>
          <cell r="T53">
            <v>912.07375553999998</v>
          </cell>
          <cell r="U53">
            <v>1337.44191879</v>
          </cell>
          <cell r="Z53">
            <v>1598.68271536</v>
          </cell>
          <cell r="AE53">
            <v>1746.7783653399999</v>
          </cell>
          <cell r="AJ53">
            <v>1847.96560542</v>
          </cell>
          <cell r="AO53">
            <v>2338.6997972999998</v>
          </cell>
          <cell r="AT53">
            <v>3030.7891515900001</v>
          </cell>
          <cell r="AY53">
            <v>3975.2803475000001</v>
          </cell>
        </row>
        <row r="54">
          <cell r="B54" t="str">
            <v>Accounts payable</v>
          </cell>
          <cell r="C54" t="str">
            <v>ACC_PAY_GQ</v>
          </cell>
          <cell r="D54" t="str">
            <v>CNY</v>
          </cell>
          <cell r="Q54">
            <v>55.720617619999999</v>
          </cell>
          <cell r="R54">
            <v>65.290152629999994</v>
          </cell>
          <cell r="S54">
            <v>127.00799096999999</v>
          </cell>
          <cell r="T54">
            <v>153.24603536000001</v>
          </cell>
          <cell r="U54">
            <v>270.76656723999997</v>
          </cell>
          <cell r="Z54">
            <v>247.63877456</v>
          </cell>
          <cell r="AE54">
            <v>198.29113747</v>
          </cell>
          <cell r="AJ54">
            <v>257.32419842000002</v>
          </cell>
          <cell r="AO54">
            <v>394.98324681000003</v>
          </cell>
          <cell r="AT54">
            <v>747.85366961</v>
          </cell>
          <cell r="AY54">
            <v>930.59150599999998</v>
          </cell>
        </row>
        <row r="55">
          <cell r="B55" t="str">
            <v>Short-term debt</v>
          </cell>
          <cell r="C55" t="str">
            <v>SHORT_T_DEBT</v>
          </cell>
          <cell r="D55" t="str">
            <v>CNY</v>
          </cell>
          <cell r="Q55">
            <v>10</v>
          </cell>
          <cell r="R55">
            <v>60</v>
          </cell>
          <cell r="S55">
            <v>51</v>
          </cell>
          <cell r="T55">
            <v>3</v>
          </cell>
          <cell r="U55">
            <v>25</v>
          </cell>
          <cell r="Z55">
            <v>33.75</v>
          </cell>
          <cell r="AE55">
            <v>45.25</v>
          </cell>
          <cell r="AJ55">
            <v>12.5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CNY</v>
          </cell>
          <cell r="Q56">
            <v>20.455991340000001</v>
          </cell>
          <cell r="R56">
            <v>36.290475630000003</v>
          </cell>
          <cell r="S56">
            <v>52.46666424</v>
          </cell>
          <cell r="T56">
            <v>57.355337030000001</v>
          </cell>
          <cell r="U56">
            <v>60.323634370000001</v>
          </cell>
          <cell r="Z56">
            <v>91.879690940000003</v>
          </cell>
          <cell r="AE56">
            <v>119.38192064</v>
          </cell>
          <cell r="AJ56">
            <v>125.25607463999999</v>
          </cell>
          <cell r="AO56">
            <v>154.04670873000001</v>
          </cell>
          <cell r="AT56">
            <v>172.54869837000001</v>
          </cell>
          <cell r="AY56">
            <v>353.61330987000002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CNY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86.176608959999996</v>
          </cell>
          <cell r="R57">
            <v>161.58062826</v>
          </cell>
          <cell r="S57">
            <v>230.47465521000001</v>
          </cell>
          <cell r="T57">
            <v>213.60137238999999</v>
          </cell>
          <cell r="U57">
            <v>356.09020161000001</v>
          </cell>
          <cell r="Z57">
            <v>373.26846549999999</v>
          </cell>
          <cell r="AE57">
            <v>362.92305811</v>
          </cell>
          <cell r="AJ57">
            <v>395.08027306000002</v>
          </cell>
          <cell r="AO57">
            <v>549.02995553999995</v>
          </cell>
          <cell r="AT57">
            <v>920.40236798000001</v>
          </cell>
          <cell r="AY57">
            <v>1284.2048158699999</v>
          </cell>
        </row>
        <row r="58">
          <cell r="B58" t="str">
            <v>Long-term  debt</v>
          </cell>
          <cell r="C58" t="str">
            <v>LT_DEBT</v>
          </cell>
          <cell r="D58" t="str">
            <v>CNY</v>
          </cell>
          <cell r="S58">
            <v>35</v>
          </cell>
          <cell r="T58">
            <v>35</v>
          </cell>
          <cell r="U58">
            <v>52</v>
          </cell>
          <cell r="Z58">
            <v>138.25</v>
          </cell>
          <cell r="AE58">
            <v>71.5</v>
          </cell>
          <cell r="AJ58">
            <v>12.5</v>
          </cell>
          <cell r="AO58">
            <v>16.329999999999998</v>
          </cell>
          <cell r="AT58">
            <v>30.199000000000002</v>
          </cell>
          <cell r="AY58">
            <v>0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CNY</v>
          </cell>
          <cell r="Q59">
            <v>2.7645506499999999</v>
          </cell>
          <cell r="R59">
            <v>2.97343534</v>
          </cell>
          <cell r="S59">
            <v>24.774626099999999</v>
          </cell>
          <cell r="T59">
            <v>2.5731983500000002</v>
          </cell>
          <cell r="U59">
            <v>4.62945151</v>
          </cell>
          <cell r="Z59">
            <v>4.1092538000000003</v>
          </cell>
          <cell r="AE59">
            <v>8.4803167500000001</v>
          </cell>
          <cell r="AJ59">
            <v>4.5538648899999998</v>
          </cell>
          <cell r="AO59">
            <v>10.13527403</v>
          </cell>
          <cell r="AT59">
            <v>44.381764250000003</v>
          </cell>
          <cell r="AY59">
            <v>138.7671775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CNY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2.7645506499999999</v>
          </cell>
          <cell r="R60">
            <v>2.97343534</v>
          </cell>
          <cell r="S60">
            <v>59.774626099999999</v>
          </cell>
          <cell r="T60">
            <v>37.573198349999998</v>
          </cell>
          <cell r="U60">
            <v>56.629451510000003</v>
          </cell>
          <cell r="Z60">
            <v>142.3592538</v>
          </cell>
          <cell r="AE60">
            <v>79.98031675</v>
          </cell>
          <cell r="AJ60">
            <v>17.05386489</v>
          </cell>
          <cell r="AO60">
            <v>26.46527403</v>
          </cell>
          <cell r="AT60">
            <v>74.580764250000001</v>
          </cell>
          <cell r="AY60">
            <v>138.7671775</v>
          </cell>
        </row>
        <row r="61">
          <cell r="B61" t="str">
            <v>Total liabilities</v>
          </cell>
          <cell r="C61" t="str">
            <v>TOT_LIAB</v>
          </cell>
          <cell r="D61" t="str">
            <v>CNY</v>
          </cell>
          <cell r="Q61">
            <v>88.94115961</v>
          </cell>
          <cell r="R61">
            <v>164.55406360000001</v>
          </cell>
          <cell r="S61">
            <v>290.24928131000001</v>
          </cell>
          <cell r="T61">
            <v>251.17457074000001</v>
          </cell>
          <cell r="U61">
            <v>412.71965311999998</v>
          </cell>
          <cell r="Z61">
            <v>515.62771929999997</v>
          </cell>
          <cell r="AE61">
            <v>442.90337485999999</v>
          </cell>
          <cell r="AJ61">
            <v>412.13413795000002</v>
          </cell>
          <cell r="AO61">
            <v>575.49522956999999</v>
          </cell>
          <cell r="AT61">
            <v>994.98313223000002</v>
          </cell>
          <cell r="AY61">
            <v>1422.9719933700001</v>
          </cell>
        </row>
        <row r="62">
          <cell r="B62" t="str">
            <v>Preferred shares</v>
          </cell>
          <cell r="C62" t="str">
            <v>PREF_SH</v>
          </cell>
          <cell r="D62" t="str">
            <v>CNY</v>
          </cell>
        </row>
        <row r="63">
          <cell r="B63" t="str">
            <v>Total common equity</v>
          </cell>
          <cell r="C63" t="str">
            <v>ORD_SH_FUND</v>
          </cell>
          <cell r="D63" t="str">
            <v>CNY</v>
          </cell>
          <cell r="Q63">
            <v>354.28671614000001</v>
          </cell>
          <cell r="R63">
            <v>382.40807538000001</v>
          </cell>
          <cell r="S63">
            <v>591.24762132000001</v>
          </cell>
          <cell r="T63">
            <v>631.45289120999996</v>
          </cell>
          <cell r="U63">
            <v>808.44690406999996</v>
          </cell>
          <cell r="Z63">
            <v>990.76190377</v>
          </cell>
          <cell r="AE63">
            <v>1217.98579352</v>
          </cell>
          <cell r="AJ63">
            <v>1336.31049343</v>
          </cell>
          <cell r="AO63">
            <v>1650.0605809900001</v>
          </cell>
          <cell r="AT63">
            <v>1916.0389406500001</v>
          </cell>
          <cell r="AY63">
            <v>2432.0659458</v>
          </cell>
        </row>
        <row r="64">
          <cell r="B64" t="str">
            <v>Minority interest</v>
          </cell>
          <cell r="C64" t="str">
            <v>MINORITIES</v>
          </cell>
          <cell r="D64" t="str">
            <v>CNY</v>
          </cell>
          <cell r="Q64">
            <v>14.868371420000001</v>
          </cell>
          <cell r="R64">
            <v>15.08482976</v>
          </cell>
          <cell r="S64">
            <v>35.62476298</v>
          </cell>
          <cell r="T64">
            <v>29.44629359</v>
          </cell>
          <cell r="U64">
            <v>116.2753616</v>
          </cell>
          <cell r="Z64">
            <v>92.293092290000004</v>
          </cell>
          <cell r="AE64">
            <v>85.889196960000007</v>
          </cell>
          <cell r="AJ64">
            <v>99.520974039999999</v>
          </cell>
          <cell r="AO64">
            <v>113.14398674</v>
          </cell>
          <cell r="AT64">
            <v>119.76707856</v>
          </cell>
          <cell r="AY64">
            <v>120.24240833</v>
          </cell>
        </row>
        <row r="65">
          <cell r="B65" t="str">
            <v>Total shareholders' equity</v>
          </cell>
          <cell r="C65" t="str">
            <v>EQ</v>
          </cell>
          <cell r="D65" t="str">
            <v>CNY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369.15508756000003</v>
          </cell>
          <cell r="R65">
            <v>397.49290514</v>
          </cell>
          <cell r="S65">
            <v>626.87238430000002</v>
          </cell>
          <cell r="T65">
            <v>660.89918479999994</v>
          </cell>
          <cell r="U65">
            <v>924.72226566999996</v>
          </cell>
          <cell r="Z65">
            <v>1083.0549960599999</v>
          </cell>
          <cell r="AE65">
            <v>1303.87499048</v>
          </cell>
          <cell r="AJ65">
            <v>1435.83146747</v>
          </cell>
          <cell r="AO65">
            <v>1763.20456773</v>
          </cell>
          <cell r="AT65">
            <v>2035.8060192099999</v>
          </cell>
          <cell r="AY65">
            <v>2552.3083541300002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CNY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458.09624717000003</v>
          </cell>
          <cell r="R66">
            <v>562.04696874000001</v>
          </cell>
          <cell r="S66">
            <v>917.12166561000004</v>
          </cell>
          <cell r="T66">
            <v>912.07375553999998</v>
          </cell>
          <cell r="U66">
            <v>1337.44191879</v>
          </cell>
          <cell r="Z66">
            <v>1598.68271536</v>
          </cell>
          <cell r="AE66">
            <v>1746.7783653399999</v>
          </cell>
          <cell r="AJ66">
            <v>1847.96560542</v>
          </cell>
          <cell r="AO66">
            <v>2338.6997972999998</v>
          </cell>
          <cell r="AT66">
            <v>3030.7891514399998</v>
          </cell>
          <cell r="AY66">
            <v>3975.2803475000001</v>
          </cell>
        </row>
        <row r="67">
          <cell r="A67" t="str">
            <v>Additional Balance Sheet Items</v>
          </cell>
        </row>
        <row r="68">
          <cell r="B68" t="str">
            <v>Net debt</v>
          </cell>
          <cell r="C68" t="str">
            <v>NET_DEBT</v>
          </cell>
          <cell r="D68" t="str">
            <v>CNY</v>
          </cell>
          <cell r="Q68">
            <v>-152.51446159</v>
          </cell>
          <cell r="R68">
            <v>-162.31165691000001</v>
          </cell>
          <cell r="S68">
            <v>-178.68564677000001</v>
          </cell>
          <cell r="T68">
            <v>-168.72313195999999</v>
          </cell>
          <cell r="U68">
            <v>-414.42448424999998</v>
          </cell>
          <cell r="Z68">
            <v>-239.45103365</v>
          </cell>
          <cell r="AE68">
            <v>-412.01327108999999</v>
          </cell>
          <cell r="AJ68">
            <v>-333.01254433000003</v>
          </cell>
          <cell r="AO68">
            <v>-324.59785237</v>
          </cell>
          <cell r="AT68">
            <v>-492.12656463000002</v>
          </cell>
          <cell r="AY68">
            <v>-302.55293168999998</v>
          </cell>
        </row>
        <row r="69">
          <cell r="B69" t="str">
            <v>Capitalized leases</v>
          </cell>
          <cell r="C69" t="str">
            <v>CAP_LEASES</v>
          </cell>
          <cell r="D69" t="str">
            <v>CNY</v>
          </cell>
        </row>
        <row r="70">
          <cell r="B70" t="str">
            <v>Deferred income taxes</v>
          </cell>
          <cell r="C70" t="str">
            <v>DEF_INC_TAX</v>
          </cell>
          <cell r="D70" t="str">
            <v>CNY</v>
          </cell>
        </row>
        <row r="71">
          <cell r="B71" t="str">
            <v>Associates (mkt value) used in EV calculation</v>
          </cell>
          <cell r="C71" t="str">
            <v>MV_ASSOCIATES</v>
          </cell>
          <cell r="D71" t="str">
            <v>CNY</v>
          </cell>
        </row>
        <row r="72">
          <cell r="B72" t="str">
            <v>Net debt adjustment</v>
          </cell>
          <cell r="C72" t="str">
            <v>NET_DEBT_ADJ</v>
          </cell>
          <cell r="D72" t="str">
            <v>CNY</v>
          </cell>
        </row>
        <row r="73">
          <cell r="B73" t="str">
            <v>Company borrowing margin</v>
          </cell>
          <cell r="C73" t="str">
            <v>CO_BOR_MARGIN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2.8384414186E-2</v>
          </cell>
          <cell r="T73">
            <v>0</v>
          </cell>
          <cell r="U73">
            <v>0</v>
          </cell>
          <cell r="Z73">
            <v>0</v>
          </cell>
          <cell r="AE73">
            <v>8.7593028690000005E-3</v>
          </cell>
          <cell r="AJ73">
            <v>0</v>
          </cell>
          <cell r="AO73">
            <v>0</v>
          </cell>
          <cell r="AT73">
            <v>0</v>
          </cell>
        </row>
        <row r="74">
          <cell r="B74" t="str">
            <v>Unfunded pensions &amp; other provisions</v>
          </cell>
          <cell r="C74" t="str">
            <v>UNF_PENS</v>
          </cell>
          <cell r="D74" t="str">
            <v>CNY</v>
          </cell>
        </row>
        <row r="75">
          <cell r="B75" t="str">
            <v>Unfunded pension liabilities (off balance sheet)</v>
          </cell>
          <cell r="C75" t="str">
            <v>UNF_PENS_OFF</v>
          </cell>
          <cell r="D75" t="str">
            <v>CNY</v>
          </cell>
        </row>
        <row r="76">
          <cell r="B76" t="str">
            <v>Unfunded pension liabilities &amp; other, used in EV</v>
          </cell>
          <cell r="C76" t="str">
            <v>UNF_PENS_LIAB_OTH</v>
          </cell>
          <cell r="D76" t="str">
            <v>CNY</v>
          </cell>
        </row>
        <row r="77">
          <cell r="B77" t="str">
            <v>Adjustment for unfunded pensions &amp; goodwill</v>
          </cell>
          <cell r="C77" t="str">
            <v>ADJ_UNF_PENS_GOOD</v>
          </cell>
          <cell r="D77" t="str">
            <v>CNY</v>
          </cell>
          <cell r="Q77">
            <v>-9.8078600999999992</v>
          </cell>
          <cell r="R77">
            <v>-33.364668870000003</v>
          </cell>
          <cell r="S77">
            <v>-34.865632779999999</v>
          </cell>
          <cell r="T77">
            <v>-11.34005634</v>
          </cell>
          <cell r="U77">
            <v>-18.376121040000001</v>
          </cell>
          <cell r="Z77">
            <v>-55.03278632</v>
          </cell>
          <cell r="AE77">
            <v>-52.83776434</v>
          </cell>
          <cell r="AJ77">
            <v>-49.030827719999998</v>
          </cell>
          <cell r="AO77">
            <v>-56.161014989999998</v>
          </cell>
          <cell r="AT77">
            <v>-47.685873139999998</v>
          </cell>
          <cell r="AY77">
            <v>-28.952025190000001</v>
          </cell>
        </row>
        <row r="78">
          <cell r="B78" t="str">
            <v>Other GCI adjustments</v>
          </cell>
          <cell r="C78" t="str">
            <v>OTH_GCI_ADJ</v>
          </cell>
          <cell r="D78" t="str">
            <v>CNY</v>
          </cell>
        </row>
        <row r="79">
          <cell r="B79" t="str">
            <v>GCI inflator</v>
          </cell>
          <cell r="C79" t="str">
            <v>GCI_INFL</v>
          </cell>
        </row>
        <row r="80">
          <cell r="B80" t="str">
            <v>Minority interest</v>
          </cell>
          <cell r="C80" t="str">
            <v>BAL_MINO_INT</v>
          </cell>
          <cell r="D80" t="str">
            <v>CNY</v>
          </cell>
          <cell r="Q80">
            <v>14.868371420000001</v>
          </cell>
          <cell r="R80">
            <v>15.08482976</v>
          </cell>
          <cell r="S80">
            <v>35.62476298</v>
          </cell>
          <cell r="T80">
            <v>29.44629359</v>
          </cell>
          <cell r="U80">
            <v>116.2753616</v>
          </cell>
          <cell r="Z80">
            <v>92.293092290000004</v>
          </cell>
          <cell r="AE80">
            <v>85.889196960000007</v>
          </cell>
          <cell r="AJ80">
            <v>99.520974039999999</v>
          </cell>
          <cell r="AO80">
            <v>113.14398674</v>
          </cell>
          <cell r="AT80">
            <v>119.76707856</v>
          </cell>
          <cell r="AY80">
            <v>120.24240833</v>
          </cell>
        </row>
        <row r="81">
          <cell r="A81" t="str">
            <v>Cash Flow Statement</v>
          </cell>
        </row>
        <row r="82">
          <cell r="B82" t="str">
            <v>Minority interest add-back</v>
          </cell>
          <cell r="C82" t="str">
            <v>CF_INC_MINORITY</v>
          </cell>
          <cell r="D82" t="str">
            <v>CNY</v>
          </cell>
          <cell r="Q82">
            <v>-5.6452500000000001E-3</v>
          </cell>
          <cell r="R82">
            <v>0.10155773999999999</v>
          </cell>
          <cell r="S82">
            <v>4.0297653599999999</v>
          </cell>
          <cell r="T82">
            <v>-1.4955551199999999</v>
          </cell>
          <cell r="U82">
            <v>4.34586133</v>
          </cell>
          <cell r="Z82">
            <v>3.0118185300000002</v>
          </cell>
          <cell r="AE82">
            <v>7.5995703600000004</v>
          </cell>
          <cell r="AJ82">
            <v>12.42996224</v>
          </cell>
          <cell r="AO82">
            <v>16.763908440000002</v>
          </cell>
          <cell r="AT82">
            <v>-5.4996270000000003</v>
          </cell>
          <cell r="AY82">
            <v>-4.9416523999999997</v>
          </cell>
        </row>
        <row r="83">
          <cell r="B83" t="str">
            <v>Depreciation &amp; amortization add-back</v>
          </cell>
          <cell r="C83" t="str">
            <v>DEPR_AMORT</v>
          </cell>
          <cell r="D83" t="str">
            <v>CNY</v>
          </cell>
          <cell r="Q83">
            <v>9.0187136799999994</v>
          </cell>
          <cell r="R83">
            <v>12.798746700000001</v>
          </cell>
          <cell r="S83">
            <v>10.74547621</v>
          </cell>
          <cell r="T83">
            <v>12.25838087</v>
          </cell>
          <cell r="U83">
            <v>15.41519632</v>
          </cell>
          <cell r="Z83">
            <v>19.545101020000001</v>
          </cell>
          <cell r="AE83">
            <v>23.601985110000001</v>
          </cell>
          <cell r="AJ83">
            <v>26.489978539999999</v>
          </cell>
          <cell r="AO83">
            <v>25.377559300000001</v>
          </cell>
          <cell r="AT83">
            <v>26.336417520000001</v>
          </cell>
          <cell r="AY83">
            <v>41.577576980000003</v>
          </cell>
        </row>
        <row r="84">
          <cell r="B84" t="str">
            <v>(Increase)/decrease in working capital</v>
          </cell>
          <cell r="C84" t="str">
            <v>WORK_CAP</v>
          </cell>
          <cell r="D84" t="str">
            <v>CNY</v>
          </cell>
          <cell r="Q84">
            <v>36.053103219999997</v>
          </cell>
          <cell r="R84">
            <v>27.455634530000001</v>
          </cell>
          <cell r="S84">
            <v>-11.600847740000001</v>
          </cell>
          <cell r="T84">
            <v>-23.08165923</v>
          </cell>
          <cell r="U84">
            <v>-85.705919210000005</v>
          </cell>
          <cell r="Z84">
            <v>66.514994580000007</v>
          </cell>
          <cell r="AE84">
            <v>-95.079905199999999</v>
          </cell>
          <cell r="AJ84">
            <v>186.16969864999999</v>
          </cell>
          <cell r="AO84">
            <v>95.53273308</v>
          </cell>
          <cell r="AT84">
            <v>334.79433546000001</v>
          </cell>
          <cell r="AY84">
            <v>150.49505654999999</v>
          </cell>
        </row>
        <row r="85">
          <cell r="B85" t="str">
            <v>Other operating cash flow items</v>
          </cell>
          <cell r="C85" t="str">
            <v>OTH_OP_CF</v>
          </cell>
          <cell r="D85" t="str">
            <v>CNY</v>
          </cell>
          <cell r="Q85">
            <v>8.5713570299999997</v>
          </cell>
          <cell r="R85">
            <v>-30.352387390000001</v>
          </cell>
          <cell r="S85">
            <v>27.01989154</v>
          </cell>
          <cell r="T85">
            <v>22.40302969</v>
          </cell>
          <cell r="U85">
            <v>-26.78462802</v>
          </cell>
          <cell r="Z85">
            <v>-134.35211806999999</v>
          </cell>
          <cell r="AE85">
            <v>5.5618447199999999</v>
          </cell>
          <cell r="AJ85">
            <v>-85.840211319999995</v>
          </cell>
          <cell r="AO85">
            <v>-63.047804169999999</v>
          </cell>
          <cell r="AT85">
            <v>-102.61686659999999</v>
          </cell>
          <cell r="AY85">
            <v>350.79891889999999</v>
          </cell>
        </row>
        <row r="86">
          <cell r="B86" t="str">
            <v>Cash flow from operating activities</v>
          </cell>
          <cell r="C86" t="str">
            <v>CF_OPS</v>
          </cell>
          <cell r="D86" t="str">
            <v>CNY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51.084758899999997</v>
          </cell>
          <cell r="R86">
            <v>64.632257969999998</v>
          </cell>
          <cell r="S86">
            <v>156.61238854999999</v>
          </cell>
          <cell r="T86">
            <v>144.17304060999999</v>
          </cell>
          <cell r="U86">
            <v>112.88178564</v>
          </cell>
          <cell r="Z86">
            <v>173.38667193000001</v>
          </cell>
          <cell r="AE86">
            <v>196.09396598000001</v>
          </cell>
          <cell r="AJ86">
            <v>339.06910661000001</v>
          </cell>
          <cell r="AO86">
            <v>397.94429762999999</v>
          </cell>
          <cell r="AT86">
            <v>613.53474446999996</v>
          </cell>
          <cell r="AY86">
            <v>991.66341265000005</v>
          </cell>
        </row>
        <row r="87">
          <cell r="B87" t="str">
            <v>Capital expenditures, Capex</v>
          </cell>
          <cell r="C87" t="str">
            <v>CAPEX</v>
          </cell>
          <cell r="D87" t="str">
            <v>CNY</v>
          </cell>
          <cell r="Q87">
            <v>-27.81620457</v>
          </cell>
          <cell r="R87">
            <v>-34.760073130000002</v>
          </cell>
          <cell r="S87">
            <v>-59.429287420000001</v>
          </cell>
          <cell r="T87">
            <v>-24.80550745</v>
          </cell>
          <cell r="U87">
            <v>-14.35100913</v>
          </cell>
          <cell r="Z87">
            <v>-11.88431623</v>
          </cell>
          <cell r="AE87">
            <v>-25.320855210000001</v>
          </cell>
          <cell r="AJ87">
            <v>-21.529483519999999</v>
          </cell>
          <cell r="AO87">
            <v>-66.201970750000001</v>
          </cell>
          <cell r="AT87">
            <v>-96.603916290000001</v>
          </cell>
          <cell r="AY87">
            <v>-111.97871899</v>
          </cell>
        </row>
        <row r="88">
          <cell r="B88" t="str">
            <v>Acquisitions</v>
          </cell>
          <cell r="C88" t="str">
            <v>ACQ</v>
          </cell>
          <cell r="D88" t="str">
            <v>CNY</v>
          </cell>
        </row>
        <row r="89">
          <cell r="B89" t="str">
            <v>Divestitures</v>
          </cell>
          <cell r="C89" t="str">
            <v>DIVEST</v>
          </cell>
          <cell r="D89" t="str">
            <v>CNY</v>
          </cell>
          <cell r="Q89">
            <v>1.78689404</v>
          </cell>
          <cell r="R89">
            <v>0.33769410999999999</v>
          </cell>
          <cell r="S89">
            <v>0.34481156000000002</v>
          </cell>
          <cell r="T89">
            <v>1.25029539</v>
          </cell>
          <cell r="U89">
            <v>4.5902963400000001</v>
          </cell>
          <cell r="Z89">
            <v>35.357323540000003</v>
          </cell>
          <cell r="AE89">
            <v>0.46041012999999997</v>
          </cell>
          <cell r="AJ89">
            <v>0.82424397000000005</v>
          </cell>
          <cell r="AO89">
            <v>0.37112285</v>
          </cell>
          <cell r="AT89">
            <v>2.2888990000000001E-2</v>
          </cell>
          <cell r="AY89">
            <v>0.91675766999999997</v>
          </cell>
        </row>
        <row r="90">
          <cell r="B90" t="str">
            <v>Other investing cash flow items</v>
          </cell>
          <cell r="C90" t="str">
            <v>OTH_INV_CF</v>
          </cell>
          <cell r="D90" t="str">
            <v>CNY</v>
          </cell>
          <cell r="Q90">
            <v>26.678704329999999</v>
          </cell>
          <cell r="R90">
            <v>22.006577369999999</v>
          </cell>
          <cell r="S90">
            <v>-73.439629980000007</v>
          </cell>
          <cell r="T90">
            <v>-113.51453119999999</v>
          </cell>
          <cell r="U90">
            <v>95.608719239999999</v>
          </cell>
          <cell r="Z90">
            <v>-390.29198018</v>
          </cell>
          <cell r="AE90">
            <v>26.531446890000002</v>
          </cell>
          <cell r="AJ90">
            <v>-346.04229358999999</v>
          </cell>
          <cell r="AO90">
            <v>-258.09728186000001</v>
          </cell>
          <cell r="AT90">
            <v>-266.13877044999998</v>
          </cell>
          <cell r="AY90">
            <v>-1292.04102861</v>
          </cell>
        </row>
        <row r="91">
          <cell r="B91" t="str">
            <v>Cash flow from investing</v>
          </cell>
          <cell r="C91" t="str">
            <v>CF_INV</v>
          </cell>
          <cell r="D91" t="str">
            <v>CNY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0.64939380000000002</v>
          </cell>
          <cell r="R91">
            <v>-12.415801650000001</v>
          </cell>
          <cell r="S91">
            <v>-132.52410584</v>
          </cell>
          <cell r="T91">
            <v>-137.06974326</v>
          </cell>
          <cell r="U91">
            <v>85.84800645</v>
          </cell>
          <cell r="Z91">
            <v>-366.81897286999998</v>
          </cell>
          <cell r="AE91">
            <v>1.6710018099999999</v>
          </cell>
          <cell r="AJ91">
            <v>-366.74753313999997</v>
          </cell>
          <cell r="AO91">
            <v>-323.92812975999999</v>
          </cell>
          <cell r="AT91">
            <v>-362.71979775</v>
          </cell>
          <cell r="AY91">
            <v>-1403.1029899299999</v>
          </cell>
        </row>
        <row r="92">
          <cell r="B92" t="str">
            <v>Dividends paid</v>
          </cell>
          <cell r="C92" t="str">
            <v>DIV_PAID</v>
          </cell>
          <cell r="D92" t="str">
            <v>CNY</v>
          </cell>
          <cell r="U92">
            <v>-29.702400000000001</v>
          </cell>
          <cell r="Z92">
            <v>-22.276800000000001</v>
          </cell>
          <cell r="AE92">
            <v>-31.187519999999999</v>
          </cell>
          <cell r="AJ92">
            <v>-49.900032000000003</v>
          </cell>
          <cell r="AO92">
            <v>-62.375039999999998</v>
          </cell>
          <cell r="AT92">
            <v>-98.848828800000007</v>
          </cell>
          <cell r="AY92">
            <v>-111.2049324</v>
          </cell>
        </row>
        <row r="93">
          <cell r="B93" t="str">
            <v>Common stock issuance/(repurchase)</v>
          </cell>
          <cell r="C93" t="str">
            <v>SH_REPUR</v>
          </cell>
          <cell r="D93" t="str">
            <v>CNY</v>
          </cell>
          <cell r="Q93">
            <v>10.88337338</v>
          </cell>
          <cell r="R93">
            <v>0.1071555</v>
          </cell>
          <cell r="S93">
            <v>14.6</v>
          </cell>
          <cell r="T93">
            <v>0.14000000000000001</v>
          </cell>
          <cell r="U93">
            <v>82.182702500000005</v>
          </cell>
          <cell r="AE93">
            <v>26.5</v>
          </cell>
          <cell r="AJ93">
            <v>2.7283864599999998</v>
          </cell>
          <cell r="AO93">
            <v>1.07013954</v>
          </cell>
          <cell r="AT93">
            <v>26.655000000000001</v>
          </cell>
          <cell r="AY93">
            <v>332.88619999999997</v>
          </cell>
        </row>
        <row r="94">
          <cell r="B94" t="str">
            <v>Increase/(decrease) in total debt</v>
          </cell>
          <cell r="C94" t="str">
            <v>CHG_LT_DEBT</v>
          </cell>
          <cell r="D94" t="str">
            <v>CNY</v>
          </cell>
          <cell r="Q94">
            <v>-25</v>
          </cell>
          <cell r="R94">
            <v>50</v>
          </cell>
          <cell r="S94">
            <v>26</v>
          </cell>
          <cell r="T94">
            <v>-48</v>
          </cell>
          <cell r="U94">
            <v>37</v>
          </cell>
          <cell r="Z94">
            <v>143.65</v>
          </cell>
          <cell r="AE94">
            <v>-55.25</v>
          </cell>
          <cell r="AJ94">
            <v>-91.75</v>
          </cell>
          <cell r="AO94">
            <v>-8.67</v>
          </cell>
          <cell r="AT94">
            <v>13.869</v>
          </cell>
          <cell r="AY94">
            <v>-30.199000000000002</v>
          </cell>
        </row>
        <row r="95">
          <cell r="B95" t="str">
            <v>Other financing cash flow items</v>
          </cell>
          <cell r="C95" t="str">
            <v>OTH_FIN_CF</v>
          </cell>
          <cell r="D95" t="str">
            <v>CNY</v>
          </cell>
          <cell r="Q95">
            <v>-17.376919579999999</v>
          </cell>
          <cell r="R95">
            <v>-29.52621839</v>
          </cell>
          <cell r="S95">
            <v>-20.756793080000001</v>
          </cell>
          <cell r="T95">
            <v>-17.404566500000001</v>
          </cell>
          <cell r="U95">
            <v>-3.0631142499999999</v>
          </cell>
          <cell r="Z95">
            <v>-26.71171648</v>
          </cell>
          <cell r="AE95">
            <v>-2.6149373699999998</v>
          </cell>
          <cell r="AJ95">
            <v>-3.77355346</v>
          </cell>
          <cell r="AO95">
            <v>-18.686796350000002</v>
          </cell>
          <cell r="AT95">
            <v>-12.68785834</v>
          </cell>
          <cell r="AY95">
            <v>-0.72851460999999995</v>
          </cell>
        </row>
        <row r="96">
          <cell r="B96" t="str">
            <v>Cash flow from financing</v>
          </cell>
          <cell r="C96" t="str">
            <v>CF_FIN</v>
          </cell>
          <cell r="D96" t="str">
            <v>CNY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-31.493546200000001</v>
          </cell>
          <cell r="R96">
            <v>20.580937110000001</v>
          </cell>
          <cell r="S96">
            <v>19.84320692</v>
          </cell>
          <cell r="T96">
            <v>-65.264566500000001</v>
          </cell>
          <cell r="U96">
            <v>86.417188249999995</v>
          </cell>
          <cell r="Z96">
            <v>94.661483520000004</v>
          </cell>
          <cell r="AE96">
            <v>-62.552457369999999</v>
          </cell>
          <cell r="AJ96">
            <v>-142.695199</v>
          </cell>
          <cell r="AO96">
            <v>-88.661696809999995</v>
          </cell>
          <cell r="AT96">
            <v>-71.012687139999997</v>
          </cell>
          <cell r="AY96">
            <v>190.75375299000001</v>
          </cell>
        </row>
        <row r="97">
          <cell r="B97" t="str">
            <v>Total cash flow</v>
          </cell>
          <cell r="C97" t="str">
            <v>TOT_CF</v>
          </cell>
          <cell r="D97" t="str">
            <v>CNY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20.240606499999998</v>
          </cell>
          <cell r="R97">
            <v>72.79739343</v>
          </cell>
          <cell r="S97">
            <v>43.931489630000002</v>
          </cell>
          <cell r="T97">
            <v>-58.161269150000003</v>
          </cell>
          <cell r="U97">
            <v>285.14698034000003</v>
          </cell>
          <cell r="Z97">
            <v>-98.77081742</v>
          </cell>
          <cell r="AE97">
            <v>135.21251042</v>
          </cell>
          <cell r="AJ97">
            <v>-170.37362553</v>
          </cell>
          <cell r="AO97">
            <v>-14.64552894</v>
          </cell>
          <cell r="AT97">
            <v>179.80225958</v>
          </cell>
          <cell r="AY97">
            <v>-220.685824289999</v>
          </cell>
        </row>
        <row r="98">
          <cell r="A98" t="str">
            <v>Additional Cash Flow Items</v>
          </cell>
        </row>
        <row r="99">
          <cell r="B99" t="str">
            <v>Associate and JV add-back</v>
          </cell>
          <cell r="C99" t="str">
            <v>ASSOC_JV_ADDBK</v>
          </cell>
          <cell r="D99" t="str">
            <v>CNY</v>
          </cell>
        </row>
        <row r="100">
          <cell r="B100" t="str">
            <v>Profit/(loss) on sale of assets</v>
          </cell>
          <cell r="C100" t="str">
            <v>PL_SALE_ASSETS</v>
          </cell>
          <cell r="D100" t="str">
            <v>CNY</v>
          </cell>
        </row>
        <row r="101">
          <cell r="B101" t="str">
            <v>Other non-cash adjustments</v>
          </cell>
          <cell r="C101" t="str">
            <v>OTH_NONCASH_ADJ</v>
          </cell>
          <cell r="D101" t="str">
            <v>CNY</v>
          </cell>
        </row>
        <row r="102">
          <cell r="B102" t="str">
            <v>Other DACF adjustments</v>
          </cell>
          <cell r="C102" t="str">
            <v>OTH_DACF_ADJ</v>
          </cell>
          <cell r="D102" t="str">
            <v>CNY</v>
          </cell>
        </row>
        <row r="103">
          <cell r="B103" t="str">
            <v>Cash interest expense</v>
          </cell>
          <cell r="C103" t="str">
            <v>CASH_INT_EXP</v>
          </cell>
          <cell r="D103" t="str">
            <v>CNY</v>
          </cell>
        </row>
        <row r="104">
          <cell r="B104" t="str">
            <v>Cash tax expense</v>
          </cell>
          <cell r="C104" t="str">
            <v>CASH_TAX_EXP</v>
          </cell>
          <cell r="D104" t="str">
            <v>CNY</v>
          </cell>
        </row>
        <row r="105">
          <cell r="B105" t="str">
            <v>Dividends received from associates/JVs</v>
          </cell>
          <cell r="C105" t="str">
            <v>DIVDS_ASSOC_JV</v>
          </cell>
          <cell r="D105" t="str">
            <v>CNY</v>
          </cell>
        </row>
        <row r="106">
          <cell r="B106" t="str">
            <v>Capex maintenance</v>
          </cell>
          <cell r="C106" t="str">
            <v>CAPEX_MAINTENANCE</v>
          </cell>
          <cell r="D106" t="str">
            <v>CNY</v>
          </cell>
        </row>
        <row r="107">
          <cell r="B107" t="str">
            <v>Capex expansion</v>
          </cell>
          <cell r="C107" t="str">
            <v>CAPEX_EXPANSION</v>
          </cell>
          <cell r="D107" t="str">
            <v>CNY</v>
          </cell>
        </row>
        <row r="108">
          <cell r="B108" t="str">
            <v>Non-PP&amp;E capex</v>
          </cell>
          <cell r="C108" t="str">
            <v>NONPPE_CAPEX</v>
          </cell>
          <cell r="D108" t="str">
            <v>CNY</v>
          </cell>
        </row>
        <row r="109">
          <cell r="B109" t="str">
            <v>Dividends paid to minorities</v>
          </cell>
          <cell r="C109" t="str">
            <v>DIVDS_PD_MINORITIES</v>
          </cell>
          <cell r="D109" t="str">
            <v>CNY</v>
          </cell>
        </row>
        <row r="110">
          <cell r="A110" t="str">
            <v>Other Items</v>
          </cell>
        </row>
        <row r="111">
          <cell r="B111" t="str">
            <v>Number of employees</v>
          </cell>
          <cell r="C111" t="str">
            <v>EMPLOYEES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Z111">
            <v>0</v>
          </cell>
          <cell r="AE111">
            <v>2.9039999999999999</v>
          </cell>
          <cell r="AJ111">
            <v>3.0760000000000001</v>
          </cell>
          <cell r="AO111">
            <v>3.5840000000000001</v>
          </cell>
          <cell r="AT111">
            <v>4.407</v>
          </cell>
          <cell r="AY111">
            <v>5.8230000000000004</v>
          </cell>
        </row>
        <row r="112">
          <cell r="A112" t="str">
            <v>Geographical Breakdown</v>
          </cell>
        </row>
        <row r="113">
          <cell r="B113" t="str">
            <v>Sales - Total % Americas</v>
          </cell>
          <cell r="C113" t="str">
            <v>SALES_TOT_AM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J113">
            <v>0</v>
          </cell>
          <cell r="AO113">
            <v>0</v>
          </cell>
          <cell r="AT113">
            <v>0</v>
          </cell>
          <cell r="AY113">
            <v>0</v>
          </cell>
        </row>
        <row r="114">
          <cell r="B114" t="str">
            <v>Sales - % United States</v>
          </cell>
          <cell r="C114" t="str">
            <v>SALES_US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J114">
            <v>0</v>
          </cell>
          <cell r="AO114">
            <v>0</v>
          </cell>
          <cell r="AT114">
            <v>0</v>
          </cell>
          <cell r="AY114">
            <v>0</v>
          </cell>
        </row>
        <row r="115">
          <cell r="V115">
            <v>0</v>
          </cell>
          <cell r="W115">
            <v>0</v>
          </cell>
          <cell r="X115">
            <v>0</v>
          </cell>
          <cell r="Y115">
            <v>0</v>
          </cell>
        </row>
        <row r="116">
          <cell r="B116" t="str">
            <v>Sales - % Brazil</v>
          </cell>
          <cell r="C116" t="str">
            <v>SALES_BRAZIL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J116">
            <v>0</v>
          </cell>
          <cell r="AO116">
            <v>0</v>
          </cell>
          <cell r="AT116">
            <v>0</v>
          </cell>
          <cell r="AY116">
            <v>0</v>
          </cell>
        </row>
        <row r="117">
          <cell r="B117" t="str">
            <v>Sales - % Other Americas</v>
          </cell>
          <cell r="C117" t="str">
            <v>SALES_OTH_AM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J117">
            <v>0</v>
          </cell>
          <cell r="AO117">
            <v>0</v>
          </cell>
          <cell r="AT117">
            <v>0</v>
          </cell>
          <cell r="AY117">
            <v>0</v>
          </cell>
        </row>
        <row r="118">
          <cell r="B118" t="str">
            <v>Sales - Total % EMEA</v>
          </cell>
          <cell r="C118" t="str">
            <v>SALES_TOT_EMEA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J118">
            <v>0</v>
          </cell>
          <cell r="AO118">
            <v>0</v>
          </cell>
          <cell r="AT118">
            <v>0</v>
          </cell>
          <cell r="AY118">
            <v>0</v>
          </cell>
        </row>
        <row r="119">
          <cell r="B119" t="str">
            <v>Sales - % UK</v>
          </cell>
          <cell r="C119" t="str">
            <v>SALES_UK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J119">
            <v>0</v>
          </cell>
          <cell r="AO119">
            <v>0</v>
          </cell>
          <cell r="AT119">
            <v>0</v>
          </cell>
          <cell r="AY119">
            <v>0</v>
          </cell>
        </row>
        <row r="120">
          <cell r="B120" t="str">
            <v>Sales - % Western Europe-Ex UK</v>
          </cell>
          <cell r="C120" t="str">
            <v>SALES_EU_EX_UK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J120">
            <v>0</v>
          </cell>
          <cell r="AO120">
            <v>0</v>
          </cell>
          <cell r="AT120">
            <v>0</v>
          </cell>
          <cell r="AY120">
            <v>0</v>
          </cell>
        </row>
        <row r="121">
          <cell r="V121">
            <v>0</v>
          </cell>
          <cell r="W121">
            <v>0</v>
          </cell>
          <cell r="X121">
            <v>0</v>
          </cell>
          <cell r="Y121">
            <v>0</v>
          </cell>
        </row>
        <row r="122"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29">
          <cell r="V129">
            <v>0</v>
          </cell>
          <cell r="W129">
            <v>0</v>
          </cell>
          <cell r="X129">
            <v>0</v>
          </cell>
          <cell r="Y129">
            <v>0</v>
          </cell>
        </row>
        <row r="130">
          <cell r="V130">
            <v>0</v>
          </cell>
          <cell r="W130">
            <v>0</v>
          </cell>
          <cell r="X130">
            <v>0</v>
          </cell>
          <cell r="Y130">
            <v>0</v>
          </cell>
        </row>
        <row r="131"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  <row r="132">
          <cell r="V132">
            <v>0</v>
          </cell>
          <cell r="W132">
            <v>0</v>
          </cell>
          <cell r="X132">
            <v>0</v>
          </cell>
          <cell r="Y132">
            <v>0</v>
          </cell>
        </row>
        <row r="133">
          <cell r="V133">
            <v>0</v>
          </cell>
          <cell r="W133">
            <v>0</v>
          </cell>
          <cell r="X133">
            <v>0</v>
          </cell>
          <cell r="Y133">
            <v>0</v>
          </cell>
        </row>
        <row r="134">
          <cell r="V134">
            <v>0</v>
          </cell>
          <cell r="W134">
            <v>0</v>
          </cell>
          <cell r="X134">
            <v>0</v>
          </cell>
          <cell r="Y134">
            <v>0</v>
          </cell>
        </row>
        <row r="135">
          <cell r="V135">
            <v>0</v>
          </cell>
          <cell r="W135">
            <v>0</v>
          </cell>
          <cell r="X135">
            <v>0</v>
          </cell>
          <cell r="Y135">
            <v>0</v>
          </cell>
        </row>
        <row r="136">
          <cell r="V136">
            <v>0</v>
          </cell>
          <cell r="W136">
            <v>0</v>
          </cell>
          <cell r="X136">
            <v>0</v>
          </cell>
          <cell r="Y136">
            <v>0</v>
          </cell>
        </row>
        <row r="137">
          <cell r="B137" t="str">
            <v>Sales - % Central &amp; Eastern Europe</v>
          </cell>
          <cell r="C137" t="str">
            <v>SALES_CEE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J137">
            <v>0</v>
          </cell>
          <cell r="AO137">
            <v>0</v>
          </cell>
          <cell r="AT137">
            <v>0</v>
          </cell>
          <cell r="AY137">
            <v>0</v>
          </cell>
        </row>
        <row r="138">
          <cell r="B138" t="str">
            <v>Sales - % Middle East</v>
          </cell>
          <cell r="C138" t="str">
            <v>SALES_ME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J138">
            <v>0</v>
          </cell>
          <cell r="AO138">
            <v>0</v>
          </cell>
          <cell r="AT138">
            <v>0</v>
          </cell>
          <cell r="AY138">
            <v>0</v>
          </cell>
        </row>
        <row r="139">
          <cell r="B139" t="str">
            <v>Sales - % Total Africa</v>
          </cell>
          <cell r="C139" t="str">
            <v>SALES_TOT_AFRICA</v>
          </cell>
        </row>
        <row r="140">
          <cell r="B140" t="str">
            <v>Sales - % Russia</v>
          </cell>
          <cell r="C140" t="str">
            <v>SALES_RUSSIA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J140">
            <v>0</v>
          </cell>
          <cell r="AO140">
            <v>0</v>
          </cell>
          <cell r="AT140">
            <v>0</v>
          </cell>
          <cell r="AY140">
            <v>0</v>
          </cell>
        </row>
        <row r="141">
          <cell r="B141" t="str">
            <v>Sales - % Other EMEA</v>
          </cell>
          <cell r="C141" t="str">
            <v>SALES_OTH_EMEA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J141">
            <v>0</v>
          </cell>
          <cell r="AO141">
            <v>0</v>
          </cell>
          <cell r="AT141">
            <v>0</v>
          </cell>
          <cell r="AY141">
            <v>0</v>
          </cell>
        </row>
        <row r="142">
          <cell r="B142" t="str">
            <v>Sales - Total % Asia (incl Australia &amp; New Zealand)</v>
          </cell>
          <cell r="C142" t="str">
            <v>SALES_TOT_ASIA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J142">
            <v>0</v>
          </cell>
          <cell r="AO142">
            <v>0</v>
          </cell>
          <cell r="AT142">
            <v>0</v>
          </cell>
          <cell r="AY142">
            <v>0</v>
          </cell>
        </row>
        <row r="143">
          <cell r="B143" t="str">
            <v>Sales - % Japan</v>
          </cell>
          <cell r="C143" t="str">
            <v>SALES_JAPAN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J143">
            <v>0</v>
          </cell>
          <cell r="AO143">
            <v>0</v>
          </cell>
          <cell r="AT143">
            <v>0</v>
          </cell>
          <cell r="AY143">
            <v>0</v>
          </cell>
        </row>
        <row r="144">
          <cell r="B144" t="str">
            <v>Sales - % China</v>
          </cell>
          <cell r="C144" t="str">
            <v>SALES_CHINA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J144">
            <v>1</v>
          </cell>
          <cell r="AO144">
            <v>1</v>
          </cell>
          <cell r="AT144">
            <v>1</v>
          </cell>
          <cell r="AY144">
            <v>1</v>
          </cell>
        </row>
        <row r="145">
          <cell r="B145" t="str">
            <v>Sales - % India</v>
          </cell>
          <cell r="C145" t="str">
            <v>SALES_INDIA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J145">
            <v>0</v>
          </cell>
          <cell r="AO145">
            <v>0</v>
          </cell>
          <cell r="AT145">
            <v>0</v>
          </cell>
          <cell r="AY145">
            <v>0</v>
          </cell>
        </row>
        <row r="146">
          <cell r="B146" t="str">
            <v>Sales - % South Korea</v>
          </cell>
          <cell r="C146" t="str">
            <v>SALES_SK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J146">
            <v>0</v>
          </cell>
          <cell r="AO146">
            <v>0</v>
          </cell>
          <cell r="AT146">
            <v>0</v>
          </cell>
          <cell r="AY146">
            <v>0</v>
          </cell>
        </row>
        <row r="147">
          <cell r="B147" t="str">
            <v>Sales - % Taiwan</v>
          </cell>
          <cell r="C147" t="str">
            <v>SALES_TAIWAN</v>
          </cell>
        </row>
        <row r="148">
          <cell r="V148">
            <v>0</v>
          </cell>
          <cell r="W148">
            <v>0</v>
          </cell>
          <cell r="X148">
            <v>0</v>
          </cell>
          <cell r="Y148">
            <v>0</v>
          </cell>
        </row>
        <row r="149">
          <cell r="V149">
            <v>0</v>
          </cell>
          <cell r="W149">
            <v>0</v>
          </cell>
          <cell r="X149">
            <v>0</v>
          </cell>
          <cell r="Y149">
            <v>0</v>
          </cell>
        </row>
        <row r="150">
          <cell r="B150" t="str">
            <v>Sales - % Other Asia</v>
          </cell>
          <cell r="C150" t="str">
            <v>SALES_OTH_AEJ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J150">
            <v>0</v>
          </cell>
          <cell r="AO150">
            <v>0</v>
          </cell>
          <cell r="AT150">
            <v>0</v>
          </cell>
          <cell r="AY150">
            <v>0</v>
          </cell>
        </row>
        <row r="151">
          <cell r="B151" t="str">
            <v>Sales - % Others</v>
          </cell>
          <cell r="C151" t="str">
            <v>SALES_OTHER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J151">
            <v>0</v>
          </cell>
          <cell r="AO151">
            <v>0</v>
          </cell>
          <cell r="AT151">
            <v>0</v>
          </cell>
          <cell r="AY151">
            <v>0</v>
          </cell>
        </row>
        <row r="152">
          <cell r="V152">
            <v>0</v>
          </cell>
          <cell r="W152">
            <v>0</v>
          </cell>
          <cell r="X152">
            <v>0</v>
          </cell>
          <cell r="Y152">
            <v>0</v>
          </cell>
        </row>
        <row r="153">
          <cell r="V153">
            <v>0</v>
          </cell>
          <cell r="W153">
            <v>0</v>
          </cell>
          <cell r="X153">
            <v>0</v>
          </cell>
          <cell r="Y153">
            <v>0</v>
          </cell>
        </row>
        <row r="154">
          <cell r="V154">
            <v>0</v>
          </cell>
          <cell r="W154">
            <v>0</v>
          </cell>
          <cell r="X154">
            <v>0</v>
          </cell>
          <cell r="Y154">
            <v>0</v>
          </cell>
        </row>
        <row r="155">
          <cell r="V155">
            <v>0</v>
          </cell>
          <cell r="W155">
            <v>0</v>
          </cell>
          <cell r="X155">
            <v>0</v>
          </cell>
          <cell r="Y155">
            <v>0</v>
          </cell>
        </row>
        <row r="156">
          <cell r="V156">
            <v>0</v>
          </cell>
          <cell r="W156">
            <v>0</v>
          </cell>
          <cell r="X156">
            <v>0</v>
          </cell>
          <cell r="Y156">
            <v>0</v>
          </cell>
        </row>
        <row r="157">
          <cell r="V157">
            <v>0</v>
          </cell>
          <cell r="W157">
            <v>0</v>
          </cell>
          <cell r="X157">
            <v>0</v>
          </cell>
          <cell r="Y157">
            <v>0</v>
          </cell>
        </row>
        <row r="158">
          <cell r="V158">
            <v>0</v>
          </cell>
          <cell r="W158">
            <v>0</v>
          </cell>
          <cell r="X158">
            <v>0</v>
          </cell>
          <cell r="Y158">
            <v>0</v>
          </cell>
        </row>
        <row r="159">
          <cell r="V159">
            <v>0</v>
          </cell>
          <cell r="W159">
            <v>0</v>
          </cell>
          <cell r="X159">
            <v>0</v>
          </cell>
          <cell r="Y159">
            <v>0</v>
          </cell>
        </row>
        <row r="160"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1"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V163">
            <v>0</v>
          </cell>
          <cell r="W163">
            <v>0</v>
          </cell>
          <cell r="X163">
            <v>0</v>
          </cell>
          <cell r="Y163">
            <v>0</v>
          </cell>
        </row>
        <row r="164"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6">
          <cell r="V166">
            <v>0</v>
          </cell>
          <cell r="W166">
            <v>0</v>
          </cell>
          <cell r="X166">
            <v>0</v>
          </cell>
          <cell r="Y166">
            <v>0</v>
          </cell>
        </row>
        <row r="167">
          <cell r="V167">
            <v>0</v>
          </cell>
          <cell r="W167">
            <v>0</v>
          </cell>
          <cell r="X167">
            <v>0</v>
          </cell>
          <cell r="Y167">
            <v>0</v>
          </cell>
        </row>
        <row r="168"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69">
          <cell r="V169">
            <v>0</v>
          </cell>
          <cell r="W169">
            <v>0</v>
          </cell>
          <cell r="X169">
            <v>0</v>
          </cell>
          <cell r="Y169">
            <v>0</v>
          </cell>
        </row>
        <row r="170">
          <cell r="V170">
            <v>0</v>
          </cell>
          <cell r="W170">
            <v>0</v>
          </cell>
          <cell r="X170">
            <v>0</v>
          </cell>
          <cell r="Y170">
            <v>0</v>
          </cell>
        </row>
        <row r="171">
          <cell r="V171">
            <v>0</v>
          </cell>
          <cell r="W171">
            <v>0</v>
          </cell>
          <cell r="X171">
            <v>0</v>
          </cell>
          <cell r="Y171">
            <v>0</v>
          </cell>
        </row>
        <row r="172">
          <cell r="V172">
            <v>0</v>
          </cell>
          <cell r="W172">
            <v>0</v>
          </cell>
          <cell r="X172">
            <v>0</v>
          </cell>
          <cell r="Y172">
            <v>0</v>
          </cell>
        </row>
        <row r="173">
          <cell r="V173">
            <v>0</v>
          </cell>
          <cell r="W173">
            <v>0</v>
          </cell>
          <cell r="X173">
            <v>0</v>
          </cell>
          <cell r="Y173">
            <v>0</v>
          </cell>
        </row>
        <row r="174"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V175">
            <v>0</v>
          </cell>
          <cell r="W175">
            <v>0</v>
          </cell>
          <cell r="X175">
            <v>0</v>
          </cell>
          <cell r="Y175">
            <v>0</v>
          </cell>
        </row>
        <row r="176">
          <cell r="V176">
            <v>0</v>
          </cell>
          <cell r="W176">
            <v>0</v>
          </cell>
          <cell r="X176">
            <v>0</v>
          </cell>
          <cell r="Y176">
            <v>0</v>
          </cell>
        </row>
        <row r="177">
          <cell r="V177">
            <v>0</v>
          </cell>
          <cell r="W177">
            <v>0</v>
          </cell>
          <cell r="X177">
            <v>0</v>
          </cell>
          <cell r="Y177">
            <v>0</v>
          </cell>
        </row>
        <row r="178">
          <cell r="V178">
            <v>0</v>
          </cell>
          <cell r="W178">
            <v>0</v>
          </cell>
          <cell r="X178">
            <v>0</v>
          </cell>
          <cell r="Y178">
            <v>0</v>
          </cell>
        </row>
        <row r="179">
          <cell r="V179">
            <v>0</v>
          </cell>
          <cell r="W179">
            <v>0</v>
          </cell>
          <cell r="X179">
            <v>0</v>
          </cell>
          <cell r="Y179">
            <v>0</v>
          </cell>
        </row>
        <row r="180">
          <cell r="V180">
            <v>0</v>
          </cell>
          <cell r="W180">
            <v>0</v>
          </cell>
          <cell r="X180">
            <v>0</v>
          </cell>
          <cell r="Y180">
            <v>0</v>
          </cell>
        </row>
        <row r="181">
          <cell r="V181">
            <v>0</v>
          </cell>
          <cell r="W181">
            <v>0</v>
          </cell>
          <cell r="X181">
            <v>0</v>
          </cell>
          <cell r="Y181">
            <v>0</v>
          </cell>
        </row>
        <row r="182">
          <cell r="V182">
            <v>0</v>
          </cell>
          <cell r="W182">
            <v>0</v>
          </cell>
          <cell r="X182">
            <v>0</v>
          </cell>
          <cell r="Y182">
            <v>0</v>
          </cell>
        </row>
        <row r="183"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V184">
            <v>0</v>
          </cell>
          <cell r="W184">
            <v>0</v>
          </cell>
          <cell r="X184">
            <v>0</v>
          </cell>
          <cell r="Y184">
            <v>0</v>
          </cell>
        </row>
        <row r="185">
          <cell r="V185">
            <v>0</v>
          </cell>
          <cell r="W185">
            <v>0</v>
          </cell>
          <cell r="X185">
            <v>0</v>
          </cell>
          <cell r="Y185">
            <v>0</v>
          </cell>
        </row>
        <row r="186">
          <cell r="V186">
            <v>0</v>
          </cell>
          <cell r="W186">
            <v>0</v>
          </cell>
          <cell r="X186">
            <v>0</v>
          </cell>
          <cell r="Y186">
            <v>0</v>
          </cell>
        </row>
        <row r="187">
          <cell r="V187">
            <v>0</v>
          </cell>
          <cell r="W187">
            <v>0</v>
          </cell>
          <cell r="X187">
            <v>0</v>
          </cell>
          <cell r="Y187">
            <v>0</v>
          </cell>
        </row>
        <row r="188">
          <cell r="V188">
            <v>0</v>
          </cell>
          <cell r="W188">
            <v>0</v>
          </cell>
          <cell r="X188">
            <v>0</v>
          </cell>
          <cell r="Y188">
            <v>0</v>
          </cell>
        </row>
        <row r="189">
          <cell r="B189" t="str">
            <v>Sales -% Consumer (C)</v>
          </cell>
          <cell r="C189" t="str">
            <v>SALES_CONS</v>
          </cell>
        </row>
        <row r="190">
          <cell r="B190" t="str">
            <v>Sales -% Industry (I)</v>
          </cell>
          <cell r="C190" t="str">
            <v>SALES_IND</v>
          </cell>
        </row>
        <row r="191">
          <cell r="B191" t="str">
            <v>Sales -% Government (G)</v>
          </cell>
          <cell r="C191" t="str">
            <v>SALES_GOV</v>
          </cell>
        </row>
        <row r="192">
          <cell r="B192" t="str">
            <v>Sales - % Industry Sub-Segment: Financial Services</v>
          </cell>
          <cell r="C192" t="str">
            <v>SALES_FINAN</v>
          </cell>
        </row>
        <row r="193">
          <cell r="V193">
            <v>0</v>
          </cell>
          <cell r="W193">
            <v>0</v>
          </cell>
          <cell r="X193">
            <v>0</v>
          </cell>
          <cell r="Y193">
            <v>0</v>
          </cell>
        </row>
        <row r="194">
          <cell r="V194">
            <v>0</v>
          </cell>
          <cell r="W194">
            <v>0</v>
          </cell>
          <cell r="X194">
            <v>0</v>
          </cell>
          <cell r="Y194">
            <v>0</v>
          </cell>
        </row>
        <row r="195">
          <cell r="V195">
            <v>0</v>
          </cell>
          <cell r="W195">
            <v>0</v>
          </cell>
          <cell r="X195">
            <v>0</v>
          </cell>
          <cell r="Y195">
            <v>0</v>
          </cell>
        </row>
        <row r="196">
          <cell r="A196" t="str">
            <v>FX Exposure - Sales</v>
          </cell>
        </row>
        <row r="197">
          <cell r="B197" t="str">
            <v>Sales - % FX: British Pounds/Pence</v>
          </cell>
          <cell r="C197" t="str">
            <v>SALES_FX_GPB</v>
          </cell>
        </row>
        <row r="198">
          <cell r="B198" t="str">
            <v>Sales - % FX: Euro</v>
          </cell>
          <cell r="C198" t="str">
            <v>SALES_FX_EUR</v>
          </cell>
        </row>
        <row r="199">
          <cell r="B199" t="str">
            <v>Sales - % FX: New Russian Ruble</v>
          </cell>
          <cell r="C199" t="str">
            <v>SALES_FX_RUB</v>
          </cell>
        </row>
        <row r="200">
          <cell r="B200" t="str">
            <v>Sales - % FX: U.S. Dollar</v>
          </cell>
          <cell r="C200" t="str">
            <v>SALES_FX_USD</v>
          </cell>
        </row>
        <row r="201">
          <cell r="B201" t="str">
            <v>Sales - % FX: Brazilian Real</v>
          </cell>
          <cell r="C201" t="str">
            <v>SALES_FX_BRL</v>
          </cell>
        </row>
        <row r="202">
          <cell r="B202" t="str">
            <v>Sales - % FX: Japanese Yen</v>
          </cell>
          <cell r="C202" t="str">
            <v>SALES_FX_YEN</v>
          </cell>
        </row>
        <row r="203">
          <cell r="B203" t="str">
            <v>Sales - % FX: Chinese Renminbi</v>
          </cell>
          <cell r="C203" t="str">
            <v>SALES_FX_CNY</v>
          </cell>
          <cell r="AT203">
            <v>1</v>
          </cell>
          <cell r="AY203">
            <v>1</v>
          </cell>
        </row>
        <row r="204">
          <cell r="B204" t="str">
            <v>Sales - % FX: Indian Rupee</v>
          </cell>
          <cell r="C204" t="str">
            <v>SALES_FX_INR</v>
          </cell>
        </row>
        <row r="205">
          <cell r="B205" t="str">
            <v>Sales - % FX: South Korean Won</v>
          </cell>
          <cell r="C205" t="str">
            <v>SALES_FX_KRW</v>
          </cell>
        </row>
        <row r="206">
          <cell r="B206" t="str">
            <v>Sales - % FX: Taiwan Dollar</v>
          </cell>
          <cell r="C206" t="str">
            <v>SALES_FX_TWD</v>
          </cell>
        </row>
        <row r="207">
          <cell r="B207" t="str">
            <v>Sales - % FX: Other Currency</v>
          </cell>
          <cell r="C207" t="str">
            <v>SALES_FX_OTH</v>
          </cell>
        </row>
        <row r="208">
          <cell r="A208" t="str">
            <v>Security: Hundsun Technologies Inc.</v>
          </cell>
          <cell r="B208" t="str">
            <v>1316UP</v>
          </cell>
        </row>
        <row r="209">
          <cell r="A209" t="str">
            <v>Reference Data</v>
          </cell>
        </row>
        <row r="210">
          <cell r="B210" t="str">
            <v>Ticker</v>
          </cell>
          <cell r="C210" t="str">
            <v>Ticker</v>
          </cell>
          <cell r="E210" t="str">
            <v>600570.SS</v>
          </cell>
        </row>
        <row r="211">
          <cell r="B211" t="str">
            <v>Security Name</v>
          </cell>
          <cell r="C211" t="str">
            <v>Security Name</v>
          </cell>
          <cell r="E211" t="str">
            <v>Hundsun Technologies Inc.</v>
          </cell>
        </row>
        <row r="212">
          <cell r="B212" t="str">
            <v>Interim Type</v>
          </cell>
          <cell r="C212" t="str">
            <v>Interim Type</v>
          </cell>
          <cell r="E212" t="str">
            <v>Q</v>
          </cell>
        </row>
        <row r="213">
          <cell r="B213" t="str">
            <v>Publishing Currency</v>
          </cell>
          <cell r="C213" t="str">
            <v>PUB_CURRENCY_ISO</v>
          </cell>
          <cell r="E213" t="str">
            <v>CNY</v>
          </cell>
        </row>
        <row r="214">
          <cell r="B214" t="str">
            <v>Pricing Currency</v>
          </cell>
          <cell r="C214" t="str">
            <v>PRICE_CURRENCY_ISO</v>
          </cell>
          <cell r="E214" t="str">
            <v>CNY</v>
          </cell>
        </row>
        <row r="215">
          <cell r="B215" t="str">
            <v>Reporting Currency</v>
          </cell>
          <cell r="C215" t="str">
            <v>CURRENCY_ISO</v>
          </cell>
          <cell r="E215" t="str">
            <v>CNY</v>
          </cell>
        </row>
        <row r="216">
          <cell r="A216" t="str">
            <v>General Information</v>
          </cell>
        </row>
        <row r="217">
          <cell r="B217" t="str">
            <v>Asia Pacific Investment List</v>
          </cell>
          <cell r="C217" t="str">
            <v>AEJ_LIST</v>
          </cell>
        </row>
        <row r="218">
          <cell r="B218" t="str">
            <v>Asia Pacific Conviction List</v>
          </cell>
          <cell r="C218" t="str">
            <v>AEJ_CONVICTION</v>
          </cell>
        </row>
        <row r="219">
          <cell r="B219" t="str">
            <v>Legal rating</v>
          </cell>
          <cell r="C219" t="str">
            <v>LEGAL_RATING</v>
          </cell>
          <cell r="E219" t="str">
            <v>Coverage Suspended</v>
          </cell>
        </row>
        <row r="220">
          <cell r="B220" t="str">
            <v>Target price</v>
          </cell>
          <cell r="C220" t="str">
            <v>TARGET_PRICE</v>
          </cell>
          <cell r="D220" t="str">
            <v>CNY</v>
          </cell>
        </row>
        <row r="221">
          <cell r="B221" t="str">
            <v>Target price period</v>
          </cell>
          <cell r="C221" t="str">
            <v>TP_PERIOD</v>
          </cell>
        </row>
        <row r="222">
          <cell r="B222" t="str">
            <v>Current shares outstanding (mn)</v>
          </cell>
          <cell r="C222" t="str">
            <v>NUM_SH</v>
          </cell>
          <cell r="E222">
            <v>617.80517999999995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BE225">
            <v>0</v>
          </cell>
        </row>
        <row r="226"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BE226">
            <v>0</v>
          </cell>
        </row>
        <row r="227"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BE227">
            <v>0</v>
          </cell>
        </row>
        <row r="228">
          <cell r="B228" t="str">
            <v>Catalyst 1 date</v>
          </cell>
          <cell r="C228" t="str">
            <v>CATALYST1_DATE</v>
          </cell>
        </row>
        <row r="229">
          <cell r="B229" t="str">
            <v>Catalyst 1 description</v>
          </cell>
          <cell r="C229" t="str">
            <v>CATALYST1_EVENT</v>
          </cell>
        </row>
        <row r="230">
          <cell r="B230" t="str">
            <v>Catalyst 2 date</v>
          </cell>
          <cell r="C230" t="str">
            <v>CATALYST2_DATE</v>
          </cell>
        </row>
        <row r="231">
          <cell r="B231" t="str">
            <v>Catalyst 2 description</v>
          </cell>
          <cell r="C231" t="str">
            <v>CATALYST2_EVENT</v>
          </cell>
        </row>
        <row r="232">
          <cell r="B232" t="str">
            <v>Catalyst 3 date</v>
          </cell>
          <cell r="C232" t="str">
            <v>CATALYST3_DATE</v>
          </cell>
        </row>
        <row r="233">
          <cell r="B233" t="str">
            <v>Catalyst 3 description</v>
          </cell>
          <cell r="C233" t="str">
            <v>CATALYST3_EVENT</v>
          </cell>
        </row>
        <row r="234">
          <cell r="B234" t="str">
            <v>Catalyst 4 date</v>
          </cell>
          <cell r="C234" t="str">
            <v>CATALYST4_DATE</v>
          </cell>
        </row>
        <row r="235">
          <cell r="B235" t="str">
            <v>Catalyst 4 description</v>
          </cell>
          <cell r="C235" t="str">
            <v>CATALYST4_EVENT</v>
          </cell>
        </row>
        <row r="236">
          <cell r="B236" t="str">
            <v>Catalyst 5 date</v>
          </cell>
          <cell r="C236" t="str">
            <v>CATALYST5_DATE</v>
          </cell>
        </row>
        <row r="237">
          <cell r="B237" t="str">
            <v>Catalyst 5 description</v>
          </cell>
          <cell r="C237" t="str">
            <v>CATALYST5_EVENT</v>
          </cell>
        </row>
        <row r="238">
          <cell r="B238" t="str">
            <v>Target price multiple</v>
          </cell>
          <cell r="C238" t="str">
            <v>PRI_TARG_MULT</v>
          </cell>
          <cell r="E238">
            <v>0</v>
          </cell>
        </row>
        <row r="239">
          <cell r="B239" t="str">
            <v>Target price methodology</v>
          </cell>
          <cell r="C239" t="str">
            <v>PRI_TARG_METH</v>
          </cell>
          <cell r="E239" t="str">
            <v>Long-term growth discounted P/E</v>
          </cell>
        </row>
        <row r="240">
          <cell r="A240" t="str">
            <v>Publishing Items</v>
          </cell>
        </row>
        <row r="241">
          <cell r="B241" t="str">
            <v>Book value per share, BVPS (Pub)</v>
          </cell>
          <cell r="C241" t="str">
            <v>BVPS_PUB</v>
          </cell>
          <cell r="D241" t="str">
            <v>CNY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0.57346025512400001</v>
          </cell>
          <cell r="R241">
            <v>0.61897842193599995</v>
          </cell>
          <cell r="S241">
            <v>0.95701305275600002</v>
          </cell>
          <cell r="T241">
            <v>1.02209063901</v>
          </cell>
          <cell r="U241">
            <v>1.308579031451</v>
          </cell>
          <cell r="Z241">
            <v>1.60368015006</v>
          </cell>
          <cell r="AE241">
            <v>1.97147229086</v>
          </cell>
          <cell r="AJ241">
            <v>2.1629965832110001</v>
          </cell>
          <cell r="AO241">
            <v>2.6708429038910002</v>
          </cell>
          <cell r="AT241">
            <v>3.1013643178739998</v>
          </cell>
          <cell r="AY241">
            <v>3.9366227809869998</v>
          </cell>
        </row>
        <row r="242">
          <cell r="B242" t="str">
            <v>DPS, dividend per share (Pub)</v>
          </cell>
          <cell r="C242" t="str">
            <v>DPS_PUB</v>
          </cell>
          <cell r="D242" t="str">
            <v>CNY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4.7619047619000002E-2</v>
          </cell>
          <cell r="U242">
            <v>3.5714285714000003E-2</v>
          </cell>
          <cell r="Z242">
            <v>0.05</v>
          </cell>
          <cell r="AE242">
            <v>0.08</v>
          </cell>
          <cell r="AJ242">
            <v>0.1</v>
          </cell>
          <cell r="AO242">
            <v>0.16</v>
          </cell>
          <cell r="AT242">
            <v>0.18</v>
          </cell>
          <cell r="AY242">
            <v>0.26</v>
          </cell>
        </row>
        <row r="243">
          <cell r="B243" t="str">
            <v>Special dividend per share</v>
          </cell>
          <cell r="C243" t="str">
            <v>DPS_SPECIAL_PUB</v>
          </cell>
          <cell r="D243" t="str">
            <v>CNY</v>
          </cell>
        </row>
        <row r="244">
          <cell r="B244" t="str">
            <v>EBITDA (Pub)</v>
          </cell>
          <cell r="C244" t="str">
            <v>EBITDA_PUB</v>
          </cell>
          <cell r="D244" t="str">
            <v>CNY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3.7060695699999999</v>
          </cell>
          <cell r="R244">
            <v>26.812431320000002</v>
          </cell>
          <cell r="S244">
            <v>75.376233959999993</v>
          </cell>
          <cell r="T244">
            <v>123.14479571</v>
          </cell>
          <cell r="U244">
            <v>163.72939289000001</v>
          </cell>
          <cell r="Z244">
            <v>171.11198762000001</v>
          </cell>
          <cell r="AE244">
            <v>222.60545149000001</v>
          </cell>
          <cell r="AJ244">
            <v>87.133212940000007</v>
          </cell>
          <cell r="AO244">
            <v>199.01740808</v>
          </cell>
          <cell r="AT244">
            <v>179.76746953</v>
          </cell>
          <cell r="AY244">
            <v>428.13491119999998</v>
          </cell>
        </row>
        <row r="245">
          <cell r="B245" t="str">
            <v>EPS (Pub)</v>
          </cell>
          <cell r="C245" t="str">
            <v>EPS_PUB</v>
          </cell>
          <cell r="D245" t="str">
            <v>CNY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-4.0926142569999999E-3</v>
          </cell>
          <cell r="R245">
            <v>8.7581036244999994E-2</v>
          </cell>
          <cell r="S245">
            <v>0.20267418374400001</v>
          </cell>
          <cell r="T245">
            <v>0.21497195737300001</v>
          </cell>
          <cell r="U245">
            <v>0.32963710359100001</v>
          </cell>
          <cell r="Z245">
            <v>0.35056791285400002</v>
          </cell>
          <cell r="AE245">
            <v>0.40787223701999997</v>
          </cell>
          <cell r="AJ245">
            <v>0.32035198454399999</v>
          </cell>
          <cell r="AO245">
            <v>0.52207709747499997</v>
          </cell>
          <cell r="AT245">
            <v>0.58355044075499996</v>
          </cell>
          <cell r="AY245">
            <v>0.73442814548799995</v>
          </cell>
        </row>
        <row r="246">
          <cell r="B246" t="str">
            <v>EV adjustment (Pub)</v>
          </cell>
          <cell r="C246" t="str">
            <v>EV_ADJ_PUB</v>
          </cell>
          <cell r="D246" t="str">
            <v>CNY</v>
          </cell>
        </row>
        <row r="247">
          <cell r="B247" t="str">
            <v>Net debt (Pub)</v>
          </cell>
          <cell r="C247" t="str">
            <v>NET_DEBT_PUB</v>
          </cell>
          <cell r="D247" t="str">
            <v>CNY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-152.51446159</v>
          </cell>
          <cell r="R247">
            <v>-162.31165691000001</v>
          </cell>
          <cell r="S247">
            <v>-178.68564677000001</v>
          </cell>
          <cell r="T247">
            <v>-168.72313195999999</v>
          </cell>
          <cell r="U247">
            <v>-414.42448424999998</v>
          </cell>
          <cell r="Z247">
            <v>-239.45103365</v>
          </cell>
          <cell r="AE247">
            <v>-412.01327108999999</v>
          </cell>
          <cell r="AJ247">
            <v>-333.01254433000003</v>
          </cell>
          <cell r="AO247">
            <v>-324.59785237</v>
          </cell>
          <cell r="AT247">
            <v>-492.12656463000002</v>
          </cell>
          <cell r="AY247">
            <v>-302.55293168999998</v>
          </cell>
        </row>
        <row r="248">
          <cell r="B248" t="str">
            <v>Net income (Pub)</v>
          </cell>
          <cell r="C248" t="str">
            <v>NI_PUB</v>
          </cell>
          <cell r="D248" t="str">
            <v>CNY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-2.5527697800000002</v>
          </cell>
          <cell r="R248">
            <v>54.628706389999998</v>
          </cell>
          <cell r="S248">
            <v>126.41810318</v>
          </cell>
          <cell r="T248">
            <v>134.0888444</v>
          </cell>
          <cell r="U248">
            <v>205.61127522000001</v>
          </cell>
          <cell r="V248">
            <v>35.05139733</v>
          </cell>
          <cell r="W248">
            <v>18.766188060000001</v>
          </cell>
          <cell r="X248">
            <v>66.879677810000004</v>
          </cell>
          <cell r="Y248">
            <v>97.969612670000004</v>
          </cell>
          <cell r="Z248">
            <v>218.66687587000001</v>
          </cell>
          <cell r="AA248">
            <v>40.874996950000003</v>
          </cell>
          <cell r="AB248">
            <v>28.048423769999999</v>
          </cell>
          <cell r="AC248">
            <v>37.74303398</v>
          </cell>
          <cell r="AD248">
            <v>147.74401628999999</v>
          </cell>
          <cell r="AE248">
            <v>254.41047098999999</v>
          </cell>
          <cell r="AF248">
            <v>32.309411249999997</v>
          </cell>
          <cell r="AG248">
            <v>25.664895699999999</v>
          </cell>
          <cell r="AH248">
            <v>28.280374040000002</v>
          </cell>
          <cell r="AI248">
            <v>113.56499751</v>
          </cell>
          <cell r="AJ248">
            <v>199.81967850000001</v>
          </cell>
          <cell r="AK248">
            <v>39.490888730000002</v>
          </cell>
          <cell r="AL248">
            <v>40.210748680000002</v>
          </cell>
          <cell r="AM248">
            <v>51.766190299999998</v>
          </cell>
          <cell r="AN248">
            <v>191.85007327</v>
          </cell>
          <cell r="AO248">
            <v>323.31790097999999</v>
          </cell>
          <cell r="AP248">
            <v>56.626304759999996</v>
          </cell>
          <cell r="AQ248">
            <v>57.322207140000003</v>
          </cell>
          <cell r="AR248">
            <v>19.867467550000001</v>
          </cell>
          <cell r="AS248">
            <v>226.70450564000001</v>
          </cell>
          <cell r="AT248">
            <v>360.52048509000002</v>
          </cell>
          <cell r="AU248">
            <v>70.770435239999998</v>
          </cell>
          <cell r="AV248">
            <v>140.28714176</v>
          </cell>
          <cell r="AW248">
            <v>-50.760328800000003</v>
          </cell>
          <cell r="AX248">
            <v>293.43626441999999</v>
          </cell>
          <cell r="AY248">
            <v>453.73351262</v>
          </cell>
          <cell r="AZ248">
            <v>71.70019696</v>
          </cell>
        </row>
        <row r="249">
          <cell r="B249" t="str">
            <v>EBIT, operating profit (Pub)</v>
          </cell>
          <cell r="C249" t="str">
            <v>EBIT_PUB</v>
          </cell>
          <cell r="D249" t="str">
            <v>CNY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-5.3126441099999999</v>
          </cell>
          <cell r="R249">
            <v>14.013684619999999</v>
          </cell>
          <cell r="S249">
            <v>64.630757750000001</v>
          </cell>
          <cell r="T249">
            <v>110.88641484</v>
          </cell>
          <cell r="U249">
            <v>148.31419657000001</v>
          </cell>
          <cell r="V249">
            <v>20.744064210000001</v>
          </cell>
          <cell r="W249">
            <v>23.589464970000002</v>
          </cell>
          <cell r="X249">
            <v>58.325670100000004</v>
          </cell>
          <cell r="Y249">
            <v>48.907687320000001</v>
          </cell>
          <cell r="Z249">
            <v>151.5668866</v>
          </cell>
          <cell r="AA249">
            <v>31.54919275</v>
          </cell>
          <cell r="AB249">
            <v>19.927490630000001</v>
          </cell>
          <cell r="AC249">
            <v>23.577606280000001</v>
          </cell>
          <cell r="AD249">
            <v>123.94917672</v>
          </cell>
          <cell r="AE249">
            <v>199.00346637999999</v>
          </cell>
          <cell r="AF249">
            <v>4.0914394300000003</v>
          </cell>
          <cell r="AG249">
            <v>13.350718519999999</v>
          </cell>
          <cell r="AH249">
            <v>-3.2890464100000001</v>
          </cell>
          <cell r="AI249">
            <v>46.49012286</v>
          </cell>
          <cell r="AJ249">
            <v>60.643234399999997</v>
          </cell>
          <cell r="AK249">
            <v>12.516373959999999</v>
          </cell>
          <cell r="AL249">
            <v>23.781464119999999</v>
          </cell>
          <cell r="AM249">
            <v>23.510368960000001</v>
          </cell>
          <cell r="AN249">
            <v>113.83164173999999</v>
          </cell>
          <cell r="AO249">
            <v>173.63984877999999</v>
          </cell>
          <cell r="AP249">
            <v>12.86245944</v>
          </cell>
          <cell r="AQ249">
            <v>9.7621336599999999</v>
          </cell>
          <cell r="AR249">
            <v>-13.59727058</v>
          </cell>
          <cell r="AS249">
            <v>144.40372948999999</v>
          </cell>
          <cell r="AT249">
            <v>153.43105201</v>
          </cell>
          <cell r="AU249">
            <v>8.1363334700000003</v>
          </cell>
          <cell r="AV249">
            <v>116.09387915000001</v>
          </cell>
          <cell r="AW249">
            <v>-164.93756225000001</v>
          </cell>
          <cell r="AX249">
            <v>427.26468384999998</v>
          </cell>
          <cell r="AY249">
            <v>386.55733421999997</v>
          </cell>
          <cell r="AZ249">
            <v>7.3269835399999996</v>
          </cell>
        </row>
        <row r="250">
          <cell r="B250" t="str">
            <v>Pre-tax profit (Pub)</v>
          </cell>
          <cell r="C250" t="str">
            <v>PTP_PUB</v>
          </cell>
          <cell r="D250" t="str">
            <v>CNY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-0.42526236000000001</v>
          </cell>
          <cell r="R250">
            <v>62.18656876</v>
          </cell>
          <cell r="S250">
            <v>141.92091909000001</v>
          </cell>
          <cell r="T250">
            <v>136.48419921000001</v>
          </cell>
          <cell r="U250">
            <v>232.68086542</v>
          </cell>
          <cell r="Z250">
            <v>243.64814293000001</v>
          </cell>
          <cell r="AE250">
            <v>285.84544054999998</v>
          </cell>
          <cell r="AJ250">
            <v>221.21321843000001</v>
          </cell>
          <cell r="AO250">
            <v>368.21837298999998</v>
          </cell>
          <cell r="AT250">
            <v>386.12387686</v>
          </cell>
          <cell r="AY250">
            <v>515.18031710000002</v>
          </cell>
        </row>
        <row r="251">
          <cell r="B251" t="str">
            <v>Sales, revenue (Pub)</v>
          </cell>
          <cell r="C251" t="str">
            <v>REVS_PUB</v>
          </cell>
          <cell r="D251" t="str">
            <v>CNY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236.73932965</v>
          </cell>
          <cell r="R251">
            <v>345.85689105</v>
          </cell>
          <cell r="S251">
            <v>572.42826487000002</v>
          </cell>
          <cell r="T251">
            <v>668.68165337999994</v>
          </cell>
          <cell r="U251">
            <v>729.71177239999997</v>
          </cell>
          <cell r="V251">
            <v>107.95878844000001</v>
          </cell>
          <cell r="W251">
            <v>186.80962349999999</v>
          </cell>
          <cell r="X251">
            <v>215.16706828</v>
          </cell>
          <cell r="Y251">
            <v>357.29152220999998</v>
          </cell>
          <cell r="Z251">
            <v>867.22700242999997</v>
          </cell>
          <cell r="AA251">
            <v>159.66644898000001</v>
          </cell>
          <cell r="AB251">
            <v>210.02898884000001</v>
          </cell>
          <cell r="AC251">
            <v>187.86165564000001</v>
          </cell>
          <cell r="AD251">
            <v>490.63631077000002</v>
          </cell>
          <cell r="AE251">
            <v>1048.1934042299999</v>
          </cell>
          <cell r="AF251">
            <v>142.26479816</v>
          </cell>
          <cell r="AG251">
            <v>215.62630784000001</v>
          </cell>
          <cell r="AH251">
            <v>196.17219702</v>
          </cell>
          <cell r="AI251">
            <v>452.02824513000002</v>
          </cell>
          <cell r="AJ251">
            <v>1006.09154815</v>
          </cell>
          <cell r="AK251">
            <v>171.93254192000001</v>
          </cell>
          <cell r="AL251">
            <v>249.35079289000001</v>
          </cell>
          <cell r="AM251">
            <v>224.47178212</v>
          </cell>
          <cell r="AN251">
            <v>564.79208156000004</v>
          </cell>
          <cell r="AO251">
            <v>1210.54719849</v>
          </cell>
          <cell r="AP251">
            <v>201.70337806000001</v>
          </cell>
          <cell r="AQ251">
            <v>260.96722656999998</v>
          </cell>
          <cell r="AR251">
            <v>308.21805761000002</v>
          </cell>
          <cell r="AS251">
            <v>650.95047288000001</v>
          </cell>
          <cell r="AT251">
            <v>1421.83913512</v>
          </cell>
          <cell r="AU251">
            <v>274.13182711000002</v>
          </cell>
          <cell r="AV251">
            <v>634.27014440999994</v>
          </cell>
          <cell r="AW251">
            <v>389.91621712</v>
          </cell>
          <cell r="AX251">
            <v>927.21421883000005</v>
          </cell>
          <cell r="AY251">
            <v>2225.5324074700002</v>
          </cell>
          <cell r="AZ251">
            <v>336.98615639000002</v>
          </cell>
        </row>
        <row r="252">
          <cell r="B252" t="str">
            <v>Total shareholders' equity (Pub)</v>
          </cell>
          <cell r="C252" t="str">
            <v>EQ_PUB</v>
          </cell>
          <cell r="D252" t="str">
            <v>CNY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369.15508756000003</v>
          </cell>
          <cell r="R252">
            <v>397.49290514</v>
          </cell>
          <cell r="S252">
            <v>626.87238430000002</v>
          </cell>
          <cell r="T252">
            <v>660.89918479999994</v>
          </cell>
          <cell r="U252">
            <v>924.72226566999996</v>
          </cell>
          <cell r="Z252">
            <v>1083.0549960599999</v>
          </cell>
          <cell r="AE252">
            <v>1303.87499048</v>
          </cell>
          <cell r="AJ252">
            <v>1435.83146747</v>
          </cell>
          <cell r="AO252">
            <v>1763.20456773</v>
          </cell>
          <cell r="AT252">
            <v>2035.8060192099999</v>
          </cell>
          <cell r="AY252">
            <v>2552.3083541300002</v>
          </cell>
        </row>
        <row r="253">
          <cell r="B253" t="str">
            <v>EPS (consensus)</v>
          </cell>
          <cell r="C253" t="str">
            <v>EPS_CONS_PUB</v>
          </cell>
          <cell r="D253" t="str">
            <v>CNY</v>
          </cell>
        </row>
        <row r="254">
          <cell r="A254" t="str">
            <v>Income Statement</v>
          </cell>
        </row>
        <row r="255">
          <cell r="B255" t="str">
            <v>Provision for income tax</v>
          </cell>
          <cell r="C255" t="str">
            <v>PROV_INC_TAX</v>
          </cell>
          <cell r="D255" t="str">
            <v>CNY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-2.1331526699999999</v>
          </cell>
          <cell r="R255">
            <v>-7.45630463</v>
          </cell>
          <cell r="S255">
            <v>-11.47305055</v>
          </cell>
          <cell r="T255">
            <v>-3.8909099299999999</v>
          </cell>
          <cell r="U255">
            <v>-22.723728869999999</v>
          </cell>
          <cell r="Z255">
            <v>-21.969448530000001</v>
          </cell>
          <cell r="AE255">
            <v>-23.835399200000001</v>
          </cell>
          <cell r="AJ255">
            <v>-8.9635776899999993</v>
          </cell>
          <cell r="AO255">
            <v>-28.13656357</v>
          </cell>
          <cell r="AT255">
            <v>-31.103018769999998</v>
          </cell>
          <cell r="AY255">
            <v>-66.388456880000007</v>
          </cell>
        </row>
        <row r="256">
          <cell r="B256" t="str">
            <v>Minority interest</v>
          </cell>
          <cell r="C256" t="str">
            <v>INC_MINORITY</v>
          </cell>
          <cell r="D256" t="str">
            <v>CNY</v>
          </cell>
          <cell r="Q256">
            <v>5.6452500000000001E-3</v>
          </cell>
          <cell r="R256">
            <v>-0.10155773999999999</v>
          </cell>
          <cell r="S256">
            <v>-4.0297653599999999</v>
          </cell>
          <cell r="T256">
            <v>1.4955551199999999</v>
          </cell>
          <cell r="U256">
            <v>-4.34586133</v>
          </cell>
          <cell r="Z256">
            <v>-3.0118185300000002</v>
          </cell>
          <cell r="AE256">
            <v>-7.5995703600000004</v>
          </cell>
          <cell r="AJ256">
            <v>-12.42996224</v>
          </cell>
          <cell r="AO256">
            <v>-16.763908440000002</v>
          </cell>
          <cell r="AT256">
            <v>5.4996270000000003</v>
          </cell>
          <cell r="AY256">
            <v>4.9416523999999997</v>
          </cell>
        </row>
        <row r="257">
          <cell r="B257" t="str">
            <v>Net income (pre-preferred dividends)</v>
          </cell>
          <cell r="C257" t="str">
            <v>NI_PRE_PREF</v>
          </cell>
          <cell r="D257" t="str">
            <v>CNY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-2.5527697800000002</v>
          </cell>
          <cell r="R257">
            <v>54.628706389999998</v>
          </cell>
          <cell r="S257">
            <v>126.41810318</v>
          </cell>
          <cell r="T257">
            <v>134.0888444</v>
          </cell>
          <cell r="U257">
            <v>205.61127522000001</v>
          </cell>
          <cell r="Z257">
            <v>218.66687587000001</v>
          </cell>
          <cell r="AE257">
            <v>254.41047098999999</v>
          </cell>
          <cell r="AJ257">
            <v>199.81967850000001</v>
          </cell>
          <cell r="AO257">
            <v>323.31790097999999</v>
          </cell>
          <cell r="AT257">
            <v>360.52048509000002</v>
          </cell>
          <cell r="AY257">
            <v>453.73351262</v>
          </cell>
        </row>
        <row r="258">
          <cell r="B258" t="str">
            <v>Preferred dividends</v>
          </cell>
          <cell r="C258" t="str">
            <v>PREF_DIV</v>
          </cell>
          <cell r="D258" t="str">
            <v>CNY</v>
          </cell>
        </row>
        <row r="259">
          <cell r="B259" t="str">
            <v>Net income (pre-exceptionals)</v>
          </cell>
          <cell r="C259" t="str">
            <v>NET_EARNING</v>
          </cell>
          <cell r="D259" t="str">
            <v>CNY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-2.5527697800000002</v>
          </cell>
          <cell r="R259">
            <v>54.628706389999998</v>
          </cell>
          <cell r="S259">
            <v>126.41810318</v>
          </cell>
          <cell r="T259">
            <v>134.0888444</v>
          </cell>
          <cell r="U259">
            <v>205.61127522000001</v>
          </cell>
          <cell r="Z259">
            <v>218.66687587000001</v>
          </cell>
          <cell r="AE259">
            <v>254.41047098999999</v>
          </cell>
          <cell r="AJ259">
            <v>199.81967850000001</v>
          </cell>
          <cell r="AO259">
            <v>323.31790097999999</v>
          </cell>
          <cell r="AT259">
            <v>360.52048509000002</v>
          </cell>
          <cell r="AY259">
            <v>453.73351262</v>
          </cell>
        </row>
        <row r="260">
          <cell r="B260" t="str">
            <v>Post-tax exceptionals</v>
          </cell>
          <cell r="C260" t="str">
            <v>TAX_EXC</v>
          </cell>
          <cell r="D260" t="str">
            <v>CNY</v>
          </cell>
        </row>
        <row r="261">
          <cell r="B261" t="str">
            <v>Net income (post-exceptionals)</v>
          </cell>
          <cell r="C261" t="str">
            <v>NET_INC</v>
          </cell>
          <cell r="D261" t="str">
            <v>CNY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-2.5527697800000002</v>
          </cell>
          <cell r="R261">
            <v>54.628706389999998</v>
          </cell>
          <cell r="S261">
            <v>126.41810318</v>
          </cell>
          <cell r="T261">
            <v>134.0888444</v>
          </cell>
          <cell r="U261">
            <v>205.61127522000001</v>
          </cell>
          <cell r="V261">
            <v>35.05139733</v>
          </cell>
          <cell r="W261">
            <v>18.766188060000001</v>
          </cell>
          <cell r="X261">
            <v>66.879677810000004</v>
          </cell>
          <cell r="Y261">
            <v>97.969612670000004</v>
          </cell>
          <cell r="Z261">
            <v>218.66687587000001</v>
          </cell>
          <cell r="AA261">
            <v>40.874996950000003</v>
          </cell>
          <cell r="AB261">
            <v>28.048423769999999</v>
          </cell>
          <cell r="AC261">
            <v>37.74303398</v>
          </cell>
          <cell r="AD261">
            <v>147.74401628999999</v>
          </cell>
          <cell r="AE261">
            <v>254.41047098999999</v>
          </cell>
          <cell r="AF261">
            <v>32.309411249999997</v>
          </cell>
          <cell r="AG261">
            <v>25.664895699999999</v>
          </cell>
          <cell r="AH261">
            <v>28.280374040000002</v>
          </cell>
          <cell r="AI261">
            <v>113.56499751</v>
          </cell>
          <cell r="AJ261">
            <v>199.81967850000001</v>
          </cell>
          <cell r="AK261">
            <v>39.490888730000002</v>
          </cell>
          <cell r="AL261">
            <v>40.210748680000002</v>
          </cell>
          <cell r="AM261">
            <v>51.766190299999998</v>
          </cell>
          <cell r="AN261">
            <v>191.85007327</v>
          </cell>
          <cell r="AO261">
            <v>323.31790097999999</v>
          </cell>
          <cell r="AP261">
            <v>56.626304759999996</v>
          </cell>
          <cell r="AQ261">
            <v>57.322207140000003</v>
          </cell>
          <cell r="AR261">
            <v>19.867467550000001</v>
          </cell>
          <cell r="AS261">
            <v>226.70450564000001</v>
          </cell>
          <cell r="AT261">
            <v>360.52048509000002</v>
          </cell>
          <cell r="AU261">
            <v>70.770435239999998</v>
          </cell>
          <cell r="AV261">
            <v>140.28714176</v>
          </cell>
          <cell r="AW261">
            <v>-50.760328800000003</v>
          </cell>
          <cell r="AX261">
            <v>293.43626441999999</v>
          </cell>
          <cell r="AY261">
            <v>453.73351262</v>
          </cell>
          <cell r="AZ261">
            <v>71.70019696</v>
          </cell>
        </row>
        <row r="262">
          <cell r="B262" t="str">
            <v>EPS (pre-exceptionals, basic)</v>
          </cell>
          <cell r="C262" t="str">
            <v>EPS</v>
          </cell>
          <cell r="D262" t="str">
            <v>CNY</v>
          </cell>
          <cell r="Q262">
            <v>-4.0926142569999999E-3</v>
          </cell>
          <cell r="R262">
            <v>8.7581036244999994E-2</v>
          </cell>
          <cell r="S262">
            <v>0.20267418374400001</v>
          </cell>
          <cell r="T262">
            <v>0.21497195737300001</v>
          </cell>
          <cell r="U262">
            <v>0.32963710359100001</v>
          </cell>
          <cell r="Z262">
            <v>0.35056791285400002</v>
          </cell>
          <cell r="AE262">
            <v>0.40787223701999997</v>
          </cell>
          <cell r="AJ262">
            <v>0.32035198454399999</v>
          </cell>
          <cell r="AO262">
            <v>0.52207709747499997</v>
          </cell>
          <cell r="AT262">
            <v>0.58355044075499996</v>
          </cell>
          <cell r="AY262">
            <v>0.73442814548799995</v>
          </cell>
        </row>
        <row r="263">
          <cell r="B263" t="str">
            <v>EPS (pre-exceptionals, diluted)</v>
          </cell>
          <cell r="C263" t="str">
            <v>EPS_FUL_DIL</v>
          </cell>
          <cell r="D263" t="str">
            <v>CNY</v>
          </cell>
          <cell r="Q263">
            <v>-4.0926142569999999E-3</v>
          </cell>
          <cell r="R263">
            <v>8.7581036244999994E-2</v>
          </cell>
          <cell r="S263">
            <v>0.20267418374400001</v>
          </cell>
          <cell r="T263">
            <v>0.21497195737300001</v>
          </cell>
          <cell r="U263">
            <v>0.32963710359100001</v>
          </cell>
          <cell r="Z263">
            <v>0.35056791285400002</v>
          </cell>
          <cell r="AE263">
            <v>0.40787223701999997</v>
          </cell>
          <cell r="AJ263">
            <v>0.32035198454399999</v>
          </cell>
          <cell r="AO263">
            <v>0.52207709747499997</v>
          </cell>
          <cell r="AT263">
            <v>0.58355044075499996</v>
          </cell>
          <cell r="AY263">
            <v>0.73442814548799995</v>
          </cell>
        </row>
        <row r="264">
          <cell r="B264" t="str">
            <v>EPS (post-exceptionals, basic)</v>
          </cell>
          <cell r="C264" t="str">
            <v>EPS_POST_BASIC</v>
          </cell>
          <cell r="D264" t="str">
            <v>CNY</v>
          </cell>
          <cell r="Q264">
            <v>-4.0926142569999999E-3</v>
          </cell>
          <cell r="R264">
            <v>8.7581036244999994E-2</v>
          </cell>
          <cell r="S264">
            <v>0.20267418374400001</v>
          </cell>
          <cell r="T264">
            <v>0.21497195737300001</v>
          </cell>
          <cell r="U264">
            <v>0.32963710359100001</v>
          </cell>
          <cell r="Z264">
            <v>0.35056791285400002</v>
          </cell>
          <cell r="AE264">
            <v>0.40787223701999997</v>
          </cell>
          <cell r="AJ264">
            <v>0.32035198454399999</v>
          </cell>
          <cell r="AO264">
            <v>0.52207709747499997</v>
          </cell>
          <cell r="AT264">
            <v>0.58355044075499996</v>
          </cell>
          <cell r="AY264">
            <v>0.73442814548799995</v>
          </cell>
        </row>
        <row r="265">
          <cell r="B265" t="str">
            <v>EPS (post-exceptionals, diluted)</v>
          </cell>
          <cell r="C265" t="str">
            <v>FULLY_DIL_EPS</v>
          </cell>
          <cell r="D265" t="str">
            <v>CNY</v>
          </cell>
          <cell r="Q265">
            <v>-4.0926142569999999E-3</v>
          </cell>
          <cell r="R265">
            <v>8.7581036244999994E-2</v>
          </cell>
          <cell r="S265">
            <v>0.20267418374400001</v>
          </cell>
          <cell r="T265">
            <v>0.21497195737300001</v>
          </cell>
          <cell r="U265">
            <v>0.32963710359100001</v>
          </cell>
          <cell r="Z265">
            <v>0.35056791285400002</v>
          </cell>
          <cell r="AE265">
            <v>0.40787223701999997</v>
          </cell>
          <cell r="AJ265">
            <v>0.32035198454399999</v>
          </cell>
          <cell r="AO265">
            <v>0.52207709747499997</v>
          </cell>
          <cell r="AT265">
            <v>0.58355044075499996</v>
          </cell>
          <cell r="AY265">
            <v>0.73442814548799995</v>
          </cell>
        </row>
        <row r="266">
          <cell r="B266" t="str">
            <v>Common dividends paid</v>
          </cell>
          <cell r="C266" t="str">
            <v>COMMON_DIV_PAID</v>
          </cell>
          <cell r="D266" t="str">
            <v>CNY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-29.702400000000001</v>
          </cell>
          <cell r="U266">
            <v>-22.276800000000001</v>
          </cell>
          <cell r="Z266">
            <v>-31.187519999999999</v>
          </cell>
          <cell r="AE266">
            <v>-49.900032000000003</v>
          </cell>
          <cell r="AJ266">
            <v>-62.375039999999998</v>
          </cell>
          <cell r="AO266">
            <v>-98.848828800000007</v>
          </cell>
          <cell r="AT266">
            <v>-111.2049324</v>
          </cell>
          <cell r="AY266">
            <v>-160.62934680000001</v>
          </cell>
        </row>
        <row r="267">
          <cell r="B267" t="str">
            <v>DPS, dividend per share</v>
          </cell>
          <cell r="C267" t="str">
            <v>DPS</v>
          </cell>
          <cell r="D267" t="str">
            <v>CNY</v>
          </cell>
          <cell r="T267">
            <v>4.7619047619000002E-2</v>
          </cell>
          <cell r="U267">
            <v>3.5714285714000003E-2</v>
          </cell>
          <cell r="Z267">
            <v>0.05</v>
          </cell>
          <cell r="AE267">
            <v>0.08</v>
          </cell>
          <cell r="AJ267">
            <v>0.1</v>
          </cell>
          <cell r="AO267">
            <v>0.16</v>
          </cell>
          <cell r="AT267">
            <v>0.18</v>
          </cell>
          <cell r="AY267">
            <v>0.26</v>
          </cell>
        </row>
        <row r="268">
          <cell r="B268" t="str">
            <v>Weighted average shares outstanding, basic</v>
          </cell>
          <cell r="C268" t="str">
            <v>SH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623.75040000000001</v>
          </cell>
          <cell r="R268">
            <v>623.75040000000001</v>
          </cell>
          <cell r="S268">
            <v>623.75040000000001</v>
          </cell>
          <cell r="T268">
            <v>623.75040000000001</v>
          </cell>
          <cell r="U268">
            <v>623.75040000000001</v>
          </cell>
          <cell r="Z268">
            <v>623.75040000000001</v>
          </cell>
          <cell r="AE268">
            <v>623.75040000000001</v>
          </cell>
          <cell r="AJ268">
            <v>623.75040000000001</v>
          </cell>
          <cell r="AO268">
            <v>619.29148499999997</v>
          </cell>
          <cell r="AT268">
            <v>617.80517999999995</v>
          </cell>
          <cell r="AY268">
            <v>617.80517999999995</v>
          </cell>
        </row>
        <row r="269">
          <cell r="B269" t="str">
            <v>Diluted average shares outstanding (mn)</v>
          </cell>
          <cell r="C269" t="str">
            <v>DILUTE_SHARES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623.75040000000001</v>
          </cell>
          <cell r="R269">
            <v>623.75040000000001</v>
          </cell>
          <cell r="S269">
            <v>623.75040000000001</v>
          </cell>
          <cell r="T269">
            <v>623.75040000000001</v>
          </cell>
          <cell r="U269">
            <v>623.75040000000001</v>
          </cell>
          <cell r="Z269">
            <v>623.75040000000001</v>
          </cell>
          <cell r="AE269">
            <v>623.75040000000001</v>
          </cell>
          <cell r="AJ269">
            <v>623.75040000000001</v>
          </cell>
          <cell r="AO269">
            <v>619.29148499999997</v>
          </cell>
          <cell r="AT269">
            <v>617.80517999999995</v>
          </cell>
          <cell r="AY269">
            <v>617.80517999999995</v>
          </cell>
        </row>
        <row r="270">
          <cell r="B270" t="str">
            <v>Period-end shares outstanding</v>
          </cell>
          <cell r="C270" t="str">
            <v>NON_OP_ADD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623.75040000000001</v>
          </cell>
          <cell r="R270">
            <v>623.75040000000001</v>
          </cell>
          <cell r="S270">
            <v>623.75040000000001</v>
          </cell>
          <cell r="T270">
            <v>623.75040000000001</v>
          </cell>
          <cell r="U270">
            <v>623.75040000000001</v>
          </cell>
          <cell r="Z270">
            <v>623.75040000000001</v>
          </cell>
          <cell r="AE270">
            <v>623.75040000000001</v>
          </cell>
          <cell r="AJ270">
            <v>623.75040000000001</v>
          </cell>
          <cell r="AO270">
            <v>617.80517999999995</v>
          </cell>
          <cell r="AT270">
            <v>617.80517999999995</v>
          </cell>
          <cell r="AY270">
            <v>617.80517999999995</v>
          </cell>
        </row>
        <row r="271">
          <cell r="A271" t="str">
            <v>Additional Income Statement Items</v>
          </cell>
        </row>
        <row r="272">
          <cell r="B272" t="str">
            <v>Marginal tax rate</v>
          </cell>
          <cell r="C272" t="str">
            <v>MARGIN_TAX_RATE</v>
          </cell>
          <cell r="R272">
            <v>0.11990217146</v>
          </cell>
          <cell r="S272">
            <v>8.0841151703000005E-2</v>
          </cell>
          <cell r="T272">
            <v>2.850813466E-2</v>
          </cell>
          <cell r="U272">
            <v>9.7660496616E-2</v>
          </cell>
          <cell r="Z272">
            <v>9.0168750172999995E-2</v>
          </cell>
          <cell r="AE272">
            <v>8.3385619704999997E-2</v>
          </cell>
          <cell r="AJ272">
            <v>4.0520081728E-2</v>
          </cell>
          <cell r="AO272">
            <v>7.6412709506000001E-2</v>
          </cell>
          <cell r="AT272">
            <v>8.0551917749999993E-2</v>
          </cell>
          <cell r="AY272">
            <v>0.128864505643</v>
          </cell>
        </row>
        <row r="273">
          <cell r="B273" t="str">
            <v>Net income (consensus) (Pub)</v>
          </cell>
          <cell r="C273" t="str">
            <v>NI_CONS</v>
          </cell>
          <cell r="D273" t="str">
            <v>CNY</v>
          </cell>
        </row>
        <row r="274">
          <cell r="A274" t="str">
            <v>Balance Sheet</v>
          </cell>
        </row>
        <row r="275">
          <cell r="B275" t="str">
            <v>BVPS, book value per share</v>
          </cell>
          <cell r="C275" t="str">
            <v>BVPS</v>
          </cell>
          <cell r="D275" t="str">
            <v>CNY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0.56799437104999995</v>
          </cell>
          <cell r="R275">
            <v>0.61307868560900003</v>
          </cell>
          <cell r="S275">
            <v>0.94789137020199998</v>
          </cell>
          <cell r="T275">
            <v>1.0123486753840001</v>
          </cell>
          <cell r="U275">
            <v>1.2961064298639999</v>
          </cell>
          <cell r="Z275">
            <v>1.588394819098</v>
          </cell>
          <cell r="AE275">
            <v>1.9526813826810001</v>
          </cell>
          <cell r="AJ275">
            <v>2.142380178722</v>
          </cell>
          <cell r="AO275">
            <v>2.6708429038910002</v>
          </cell>
          <cell r="AT275">
            <v>3.1013643178739998</v>
          </cell>
          <cell r="AY275">
            <v>3.9366227809869998</v>
          </cell>
        </row>
        <row r="276">
          <cell r="A276" t="str">
            <v>Cash Flow Statement</v>
          </cell>
        </row>
        <row r="277">
          <cell r="B277" t="str">
            <v>Net income (pre-preferred dividends)</v>
          </cell>
          <cell r="C277" t="str">
            <v>CF_NI_PRE_PREF</v>
          </cell>
          <cell r="D277" t="str">
            <v>CNY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-2.5527697800000002</v>
          </cell>
          <cell r="R277">
            <v>54.628706389999998</v>
          </cell>
          <cell r="S277">
            <v>126.41810318</v>
          </cell>
          <cell r="T277">
            <v>134.0888444</v>
          </cell>
          <cell r="U277">
            <v>205.61127522000001</v>
          </cell>
          <cell r="Z277">
            <v>218.66687587000001</v>
          </cell>
          <cell r="AE277">
            <v>254.41047098999999</v>
          </cell>
          <cell r="AJ277">
            <v>199.81967850000001</v>
          </cell>
          <cell r="AO277">
            <v>323.31790097999999</v>
          </cell>
          <cell r="AT277">
            <v>360.52048509000002</v>
          </cell>
          <cell r="AY277">
            <v>453.73351262</v>
          </cell>
        </row>
        <row r="278">
          <cell r="A278" t="str">
            <v>Other Items</v>
          </cell>
        </row>
        <row r="279">
          <cell r="B279" t="str">
            <v>Beta</v>
          </cell>
          <cell r="C279" t="str">
            <v>BETA_ANALYST</v>
          </cell>
        </row>
        <row r="280">
          <cell r="B280" t="str">
            <v>Market equity risk premium</v>
          </cell>
          <cell r="C280" t="str">
            <v>MKT_EQ_RISK_PREM</v>
          </cell>
        </row>
        <row r="281">
          <cell r="B281" t="str">
            <v>Risk-free rate</v>
          </cell>
          <cell r="C281" t="str">
            <v>RISK_FR_RATE</v>
          </cell>
        </row>
      </sheetData>
      <sheetData sheetId="23" refreshError="1">
        <row r="1">
          <cell r="A1" t="str">
            <v>221be654-ae34-49fa-a757-dec1880715ab</v>
          </cell>
        </row>
        <row r="2">
          <cell r="A2" t="str">
            <v>N:\DLu\CJin\Models\Hundsun\WIP\[GS Hundsun model20160722 1H Preliminary.xlsm]600570.SS_Validation_Sheet</v>
          </cell>
        </row>
        <row r="3">
          <cell r="A3" t="str">
            <v>Not enabled</v>
          </cell>
        </row>
        <row r="7">
          <cell r="A7" t="str">
            <v>Scalar|||208015997|||ISSR|||CURRENCY_ISO|||False|||</v>
          </cell>
          <cell r="C7" t="str">
            <v>V_KEYWORD_ISSR_208015997_CURRENCY_ISO</v>
          </cell>
        </row>
        <row r="9">
          <cell r="A9" t="str">
            <v>Scalar|||208015997|||ISSR|||MA_PROB|||False|||</v>
          </cell>
          <cell r="C9" t="str">
            <v>V_KEYWORD_ISSR_208015997_MA_PROB</v>
          </cell>
        </row>
        <row r="11">
          <cell r="A11" t="str">
            <v>Vector|||208015997|||ISSR|||SALES|||False|||</v>
          </cell>
          <cell r="C11" t="str">
            <v>V_KEYWORD_ISSR_208015997_SALES</v>
          </cell>
        </row>
        <row r="12">
          <cell r="A12" t="str">
            <v>Vector|||208015997|||ISSR|||PERSONNEL|||False|||</v>
          </cell>
          <cell r="C12" t="str">
            <v>V_KEYWORD_ISSR_208015997_PERSONNEL</v>
          </cell>
        </row>
        <row r="13">
          <cell r="A13" t="str">
            <v>Vector|||208015997|||ISSR|||COST_GD_SD|||False|||</v>
          </cell>
          <cell r="C13" t="str">
            <v>V_KEYWORD_ISSR_208015997_COST_GD_SD</v>
          </cell>
        </row>
        <row r="14">
          <cell r="A14" t="str">
            <v>Vector|||208015997|||ISSR|||SEL_GL_AD|||False|||</v>
          </cell>
          <cell r="C14" t="str">
            <v>V_KEYWORD_ISSR_208015997_SEL_GL_AD</v>
          </cell>
        </row>
        <row r="15">
          <cell r="A15" t="str">
            <v>Vector|||208015997|||ISSR|||OP_COST|||False|||</v>
          </cell>
          <cell r="C15" t="str">
            <v>V_KEYWORD_ISSR_208015997_OP_COST</v>
          </cell>
        </row>
        <row r="16">
          <cell r="A16" t="str">
            <v>Vector|||208015997|||ISSR|||RD_EXP|||False|||</v>
          </cell>
          <cell r="C16" t="str">
            <v>V_KEYWORD_ISSR_208015997_RD_EXP</v>
          </cell>
        </row>
        <row r="17">
          <cell r="A17" t="str">
            <v>Vector|||208015997|||ISSR|||OTH_OP_INC_EXP|||False|||</v>
          </cell>
          <cell r="C17" t="str">
            <v>V_KEYWORD_ISSR_208015997_OTH_OP_INC_EXP</v>
          </cell>
        </row>
        <row r="18">
          <cell r="A18" t="str">
            <v>Vector|||208015997|||ISSR|||TOT_OPS_EXP_DDA|||False|||</v>
          </cell>
          <cell r="C18" t="str">
            <v>V_KEYWORD_ISSR_208015997_TOT_OPS_EXP_DDA</v>
          </cell>
        </row>
        <row r="19">
          <cell r="A19" t="str">
            <v>Vector|||208015997|||ISSR|||TOT_OPS_EXP|||False|||</v>
          </cell>
          <cell r="C19" t="str">
            <v>V_KEYWORD_ISSR_208015997_TOT_OPS_EXP</v>
          </cell>
        </row>
        <row r="20">
          <cell r="A20" t="str">
            <v>Vector|||208015997|||ISSR|||EBITDA_CALC|||False|||</v>
          </cell>
          <cell r="C20" t="str">
            <v>V_KEYWORD_ISSR_208015997_EBITDA_CALC</v>
          </cell>
        </row>
        <row r="21">
          <cell r="A21" t="str">
            <v>Vector|||208015997|||ISSR|||DEPREC|||False|||</v>
          </cell>
          <cell r="C21" t="str">
            <v>V_KEYWORD_ISSR_208015997_DEPREC</v>
          </cell>
        </row>
        <row r="22">
          <cell r="A22" t="str">
            <v>Vector|||208015997|||ISSR|||GOODWILL_AMORT|||False|||</v>
          </cell>
          <cell r="C22" t="str">
            <v>V_KEYWORD_ISSR_208015997_GOODWILL_AMORT</v>
          </cell>
        </row>
        <row r="23">
          <cell r="A23" t="str">
            <v>Vector|||208015997|||ISSR|||EBIT|||False|||</v>
          </cell>
          <cell r="C23" t="str">
            <v>V_KEYWORD_ISSR_208015997_EBIT</v>
          </cell>
        </row>
        <row r="24">
          <cell r="A24" t="str">
            <v>Vector|||208015997|||ISSR|||INT_INC_IND|||False|||</v>
          </cell>
          <cell r="C24" t="str">
            <v>V_KEYWORD_ISSR_208015997_INT_INC_IND</v>
          </cell>
        </row>
        <row r="25">
          <cell r="A25" t="str">
            <v>Vector|||208015997|||ISSR|||INT_EXP_IND|||False|||</v>
          </cell>
          <cell r="C25" t="str">
            <v>V_KEYWORD_ISSR_208015997_INT_EXP_IND</v>
          </cell>
        </row>
        <row r="26">
          <cell r="A26" t="str">
            <v>Vector|||208015997|||ISSR|||NET_INT_EXP|||False|||</v>
          </cell>
          <cell r="C26" t="str">
            <v>V_KEYWORD_ISSR_208015997_NET_INT_EXP</v>
          </cell>
        </row>
        <row r="27">
          <cell r="A27" t="str">
            <v>Vector|||208015997|||ISSR|||ASSOCIATE|||False|||</v>
          </cell>
          <cell r="C27" t="str">
            <v>V_KEYWORD_ISSR_208015997_ASSOCIATE</v>
          </cell>
        </row>
        <row r="28">
          <cell r="A28" t="str">
            <v>Vector|||208015997|||ISSR|||PROFIT_ON_DISP|||False|||</v>
          </cell>
          <cell r="C28" t="str">
            <v>V_KEYWORD_ISSR_208015997_PROFIT_ON_DISP</v>
          </cell>
        </row>
        <row r="29">
          <cell r="A29" t="str">
            <v>Vector|||208015997|||ISSR|||OTH_COST_INC|||False|||</v>
          </cell>
          <cell r="C29" t="str">
            <v>V_KEYWORD_ISSR_208015997_OTH_COST_INC</v>
          </cell>
        </row>
        <row r="30">
          <cell r="A30" t="str">
            <v>Vector|||208015997|||ISSR|||PT_PROF|||False|||</v>
          </cell>
          <cell r="C30" t="str">
            <v>V_KEYWORD_ISSR_208015997_PT_PROF</v>
          </cell>
        </row>
        <row r="32">
          <cell r="A32" t="str">
            <v>Vector|||208015997|||ISSR|||CONTRIB_MARGIN_RATIO|||False|||</v>
          </cell>
          <cell r="C32" t="str">
            <v>V_KEYWORD_ISSR_208015997_CONTRIB_MARGIN_RATIO</v>
          </cell>
        </row>
        <row r="33">
          <cell r="A33" t="str">
            <v>Vector|||208015997|||ISSR|||LEASE_PAY|||False|||</v>
          </cell>
          <cell r="C33" t="str">
            <v>V_KEYWORD_ISSR_208015997_LEASE_PAY</v>
          </cell>
        </row>
        <row r="34">
          <cell r="A34" t="str">
            <v>Vector|||208015997|||ISSR|||LEASE_DEEM_INT|||False|||</v>
          </cell>
          <cell r="C34" t="str">
            <v>V_KEYWORD_ISSR_208015997_LEASE_DEEM_INT</v>
          </cell>
        </row>
        <row r="35">
          <cell r="A35" t="str">
            <v>Vector|||208015997|||ISSR|||LEASE_DEEM_DEPR|||False|||</v>
          </cell>
          <cell r="C35" t="str">
            <v>V_KEYWORD_ISSR_208015997_LEASE_DEEM_DEPR</v>
          </cell>
        </row>
        <row r="36">
          <cell r="A36" t="str">
            <v>Vector|||208015997|||ISSR|||NET_INT_CH|||False|||</v>
          </cell>
          <cell r="C36" t="str">
            <v>V_KEYWORD_ISSR_208015997_NET_INT_CH</v>
          </cell>
        </row>
        <row r="37">
          <cell r="A37" t="str">
            <v>Vector|||208015997|||ISSR|||ASSOCIATE_OP|||False|||</v>
          </cell>
          <cell r="C37" t="str">
            <v>V_KEYWORD_ISSR_208015997_ASSOCIATE_OP</v>
          </cell>
        </row>
        <row r="39">
          <cell r="A39" t="str">
            <v>Vector|||208015997|||ISSR|||CASH_EQ|||False|||</v>
          </cell>
          <cell r="C39" t="str">
            <v>V_KEYWORD_ISSR_208015997_CASH_EQ</v>
          </cell>
        </row>
        <row r="40">
          <cell r="A40" t="str">
            <v>Vector|||208015997|||ISSR|||DEBTORS|||False|||</v>
          </cell>
          <cell r="C40" t="str">
            <v>V_KEYWORD_ISSR_208015997_DEBTORS</v>
          </cell>
        </row>
        <row r="41">
          <cell r="A41" t="str">
            <v>Vector|||208015997|||ISSR|||STOCKS|||False|||</v>
          </cell>
          <cell r="C41" t="str">
            <v>V_KEYWORD_ISSR_208015997_STOCKS</v>
          </cell>
        </row>
        <row r="42">
          <cell r="A42" t="str">
            <v>Vector|||208015997|||ISSR|||OTH_CUR_ASS|||False|||</v>
          </cell>
          <cell r="C42" t="str">
            <v>V_KEYWORD_ISSR_208015997_OTH_CUR_ASS</v>
          </cell>
        </row>
        <row r="43">
          <cell r="A43" t="str">
            <v>Vector|||208015997|||ISSR|||CUR_ASS|||False|||</v>
          </cell>
          <cell r="C43" t="str">
            <v>V_KEYWORD_ISSR_208015997_CUR_ASS</v>
          </cell>
        </row>
        <row r="44">
          <cell r="A44" t="str">
            <v>Vector|||208015997|||ISSR|||GR_FIX_ASS|||False|||</v>
          </cell>
          <cell r="C44" t="str">
            <v>V_KEYWORD_ISSR_208015997_GR_FIX_ASS</v>
          </cell>
        </row>
        <row r="45">
          <cell r="A45" t="str">
            <v>Vector|||208015997|||ISSR|||ACC_DDA|||False|||</v>
          </cell>
          <cell r="C45" t="str">
            <v>V_KEYWORD_ISSR_208015997_ACC_DDA</v>
          </cell>
        </row>
        <row r="46">
          <cell r="A46" t="str">
            <v>Vector|||208015997|||ISSR|||NET_FIX_ASS|||False|||</v>
          </cell>
          <cell r="C46" t="str">
            <v>V_KEYWORD_ISSR_208015997_NET_FIX_ASS</v>
          </cell>
        </row>
        <row r="47">
          <cell r="A47" t="str">
            <v>Vector|||208015997|||ISSR|||GR_INTANG|||False|||</v>
          </cell>
          <cell r="C47" t="str">
            <v>V_KEYWORD_ISSR_208015997_GR_INTANG</v>
          </cell>
        </row>
        <row r="48">
          <cell r="A48" t="str">
            <v>Vector|||208015997|||ISSR|||ACC_AMORT|||False|||</v>
          </cell>
          <cell r="C48" t="str">
            <v>V_KEYWORD_ISSR_208015997_ACC_AMORT</v>
          </cell>
        </row>
        <row r="49">
          <cell r="A49" t="str">
            <v>Vector|||208015997|||ISSR|||NET_INTANG|||False|||</v>
          </cell>
          <cell r="C49" t="str">
            <v>V_KEYWORD_ISSR_208015997_NET_INTANG</v>
          </cell>
        </row>
        <row r="50">
          <cell r="A50" t="str">
            <v>Vector|||208015997|||ISSR|||FIX_ASS_INV|||False|||</v>
          </cell>
          <cell r="C50" t="str">
            <v>V_KEYWORD_ISSR_208015997_FIX_ASS_INV</v>
          </cell>
        </row>
        <row r="51">
          <cell r="A51" t="str">
            <v>Vector|||208015997|||ISSR|||INV_SECUR|||False|||</v>
          </cell>
          <cell r="C51" t="str">
            <v>V_KEYWORD_ISSR_208015997_INV_SECUR</v>
          </cell>
        </row>
        <row r="52">
          <cell r="A52" t="str">
            <v>Vector|||208015997|||ISSR|||OTH_LT_ASS|||False|||</v>
          </cell>
          <cell r="C52" t="str">
            <v>V_KEYWORD_ISSR_208015997_OTH_LT_ASS</v>
          </cell>
        </row>
        <row r="53">
          <cell r="A53" t="str">
            <v>Vector|||208015997|||ISSR|||TOT_ASSET|||False|||</v>
          </cell>
          <cell r="C53" t="str">
            <v>V_KEYWORD_ISSR_208015997_TOT_ASSET</v>
          </cell>
        </row>
        <row r="54">
          <cell r="A54" t="str">
            <v>Vector|||208015997|||ISSR|||ACC_PAY_GQ|||False|||</v>
          </cell>
          <cell r="C54" t="str">
            <v>V_KEYWORD_ISSR_208015997_ACC_PAY_GQ</v>
          </cell>
        </row>
        <row r="55">
          <cell r="A55" t="str">
            <v>Vector|||208015997|||ISSR|||SHORT_T_DEBT|||False|||</v>
          </cell>
          <cell r="C55" t="str">
            <v>V_KEYWORD_ISSR_208015997_SHORT_T_DEBT</v>
          </cell>
        </row>
        <row r="56">
          <cell r="A56" t="str">
            <v>Vector|||208015997|||ISSR|||OTH_CUR_LIABS|||False|||</v>
          </cell>
          <cell r="C56" t="str">
            <v>V_KEYWORD_ISSR_208015997_OTH_CUR_LIABS</v>
          </cell>
        </row>
        <row r="57">
          <cell r="A57" t="str">
            <v>Vector|||208015997|||ISSR|||SHORT_TERM_LIABS|||False|||</v>
          </cell>
          <cell r="C57" t="str">
            <v>V_KEYWORD_ISSR_208015997_SHORT_TERM_LIABS</v>
          </cell>
        </row>
        <row r="58">
          <cell r="A58" t="str">
            <v>Vector|||208015997|||ISSR|||LT_DEBT|||False|||</v>
          </cell>
          <cell r="C58" t="str">
            <v>V_KEYWORD_ISSR_208015997_LT_DEBT</v>
          </cell>
        </row>
        <row r="59">
          <cell r="A59" t="str">
            <v>Vector|||208015997|||ISSR|||OTH_LT_CRED_GQ|||False|||</v>
          </cell>
          <cell r="C59" t="str">
            <v>V_KEYWORD_ISSR_208015997_OTH_LT_CRED_GQ</v>
          </cell>
        </row>
        <row r="60">
          <cell r="A60" t="str">
            <v>Vector|||208015997|||ISSR|||TOT_LT_LIAB|||False|||</v>
          </cell>
          <cell r="C60" t="str">
            <v>V_KEYWORD_ISSR_208015997_TOT_LT_LIAB</v>
          </cell>
        </row>
        <row r="61">
          <cell r="A61" t="str">
            <v>Vector|||208015997|||ISSR|||TOT_LIAB|||False|||</v>
          </cell>
          <cell r="C61" t="str">
            <v>V_KEYWORD_ISSR_208015997_TOT_LIAB</v>
          </cell>
        </row>
        <row r="62">
          <cell r="A62" t="str">
            <v>Vector|||208015997|||ISSR|||PREF_SH|||False|||</v>
          </cell>
          <cell r="C62" t="str">
            <v>V_KEYWORD_ISSR_208015997_PREF_SH</v>
          </cell>
        </row>
        <row r="63">
          <cell r="A63" t="str">
            <v>Vector|||208015997|||ISSR|||ORD_SH_FUND|||False|||</v>
          </cell>
          <cell r="C63" t="str">
            <v>V_KEYWORD_ISSR_208015997_ORD_SH_FUND</v>
          </cell>
        </row>
        <row r="64">
          <cell r="A64" t="str">
            <v>Vector|||208015997|||ISSR|||MINORITIES|||False|||</v>
          </cell>
          <cell r="C64" t="str">
            <v>V_KEYWORD_ISSR_208015997_MINORITIES</v>
          </cell>
        </row>
        <row r="65">
          <cell r="A65" t="str">
            <v>Vector|||208015997|||ISSR|||EQ|||False|||</v>
          </cell>
          <cell r="C65" t="str">
            <v>V_KEYWORD_ISSR_208015997_EQ</v>
          </cell>
        </row>
        <row r="66">
          <cell r="A66" t="str">
            <v>Vector|||208015997|||ISSR|||TOT_LIAB_EQ|||False|||</v>
          </cell>
          <cell r="C66" t="str">
            <v>V_KEYWORD_ISSR_208015997_TOT_LIAB_EQ</v>
          </cell>
        </row>
        <row r="68">
          <cell r="A68" t="str">
            <v>Vector|||208015997|||ISSR|||NET_DEBT|||False|||</v>
          </cell>
          <cell r="C68" t="str">
            <v>V_KEYWORD_ISSR_208015997_NET_DEBT</v>
          </cell>
        </row>
        <row r="69">
          <cell r="A69" t="str">
            <v>Vector|||208015997|||ISSR|||CAP_LEASES|||False|||</v>
          </cell>
          <cell r="C69" t="str">
            <v>V_KEYWORD_ISSR_208015997_CAP_LEASES</v>
          </cell>
        </row>
        <row r="70">
          <cell r="A70" t="str">
            <v>Vector|||208015997|||ISSR|||DEF_INC_TAX|||False|||</v>
          </cell>
          <cell r="C70" t="str">
            <v>V_KEYWORD_ISSR_208015997_DEF_INC_TAX</v>
          </cell>
        </row>
        <row r="71">
          <cell r="A71" t="str">
            <v>Vector|||208015997|||ISSR|||MV_ASSOCIATES|||False|||</v>
          </cell>
          <cell r="C71" t="str">
            <v>V_KEYWORD_ISSR_208015997_MV_ASSOCIATES</v>
          </cell>
        </row>
        <row r="72">
          <cell r="A72" t="str">
            <v>Vector|||208015997|||ISSR|||NET_DEBT_ADJ|||False|||</v>
          </cell>
          <cell r="C72" t="str">
            <v>V_KEYWORD_ISSR_208015997_NET_DEBT_ADJ</v>
          </cell>
        </row>
        <row r="73">
          <cell r="A73" t="str">
            <v>Vector|||208015997|||ISSR|||CO_BOR_MARGIN|||False|||</v>
          </cell>
          <cell r="C73" t="str">
            <v>V_KEYWORD_ISSR_208015997_CO_BOR_MARGIN</v>
          </cell>
        </row>
        <row r="74">
          <cell r="A74" t="str">
            <v>Vector|||208015997|||ISSR|||UNF_PENS|||False|||</v>
          </cell>
          <cell r="C74" t="str">
            <v>V_KEYWORD_ISSR_208015997_UNF_PENS</v>
          </cell>
        </row>
        <row r="75">
          <cell r="A75" t="str">
            <v>Vector|||208015997|||ISSR|||UNF_PENS_OFF|||False|||</v>
          </cell>
          <cell r="C75" t="str">
            <v>V_KEYWORD_ISSR_208015997_UNF_PENS_OFF</v>
          </cell>
        </row>
        <row r="76">
          <cell r="A76" t="str">
            <v>Vector|||208015997|||ISSR|||UNF_PENS_LIAB_OTH|||False|||</v>
          </cell>
          <cell r="C76" t="str">
            <v>V_KEYWORD_ISSR_208015997_UNF_PENS_LIAB_OTH</v>
          </cell>
        </row>
        <row r="77">
          <cell r="A77" t="str">
            <v>Vector|||208015997|||ISSR|||ADJ_UNF_PENS_GOOD|||False|||</v>
          </cell>
          <cell r="C77" t="str">
            <v>V_KEYWORD_ISSR_208015997_ADJ_UNF_PENS_GOOD</v>
          </cell>
        </row>
        <row r="78">
          <cell r="A78" t="str">
            <v>Vector|||208015997|||ISSR|||OTH_GCI_ADJ|||False|||</v>
          </cell>
          <cell r="C78" t="str">
            <v>V_KEYWORD_ISSR_208015997_OTH_GCI_ADJ</v>
          </cell>
        </row>
        <row r="79">
          <cell r="A79" t="str">
            <v>Vector|||208015997|||ISSR|||GCI_INFL|||False|||</v>
          </cell>
          <cell r="C79" t="str">
            <v>V_KEYWORD_ISSR_208015997_GCI_INFL</v>
          </cell>
        </row>
        <row r="80">
          <cell r="A80" t="str">
            <v>Vector|||208015997|||ISSR|||BAL_MINO_INT|||False|||</v>
          </cell>
          <cell r="C80" t="str">
            <v>V_KEYWORD_ISSR_208015997_BAL_MINO_INT</v>
          </cell>
        </row>
        <row r="82">
          <cell r="A82" t="str">
            <v>Vector|||208015997|||ISSR|||CF_INC_MINORITY|||False|||</v>
          </cell>
          <cell r="C82" t="str">
            <v>V_KEYWORD_ISSR_208015997_CF_INC_MINORITY</v>
          </cell>
        </row>
        <row r="83">
          <cell r="A83" t="str">
            <v>Vector|||208015997|||ISSR|||DEPR_AMORT|||False|||</v>
          </cell>
          <cell r="C83" t="str">
            <v>V_KEYWORD_ISSR_208015997_DEPR_AMORT</v>
          </cell>
        </row>
        <row r="84">
          <cell r="A84" t="str">
            <v>Vector|||208015997|||ISSR|||WORK_CAP|||False|||</v>
          </cell>
          <cell r="C84" t="str">
            <v>V_KEYWORD_ISSR_208015997_WORK_CAP</v>
          </cell>
        </row>
        <row r="85">
          <cell r="A85" t="str">
            <v>Vector|||208015997|||ISSR|||OTH_OP_CF|||False|||</v>
          </cell>
          <cell r="C85" t="str">
            <v>V_KEYWORD_ISSR_208015997_OTH_OP_CF</v>
          </cell>
        </row>
        <row r="86">
          <cell r="A86" t="str">
            <v>Vector|||208015997|||ISSR|||CF_OPS|||False|||</v>
          </cell>
          <cell r="C86" t="str">
            <v>V_KEYWORD_ISSR_208015997_CF_OPS</v>
          </cell>
        </row>
        <row r="87">
          <cell r="A87" t="str">
            <v>Vector|||208015997|||ISSR|||CAPEX|||False|||</v>
          </cell>
          <cell r="C87" t="str">
            <v>V_KEYWORD_ISSR_208015997_CAPEX</v>
          </cell>
        </row>
        <row r="88">
          <cell r="A88" t="str">
            <v>Vector|||208015997|||ISSR|||ACQ|||False|||</v>
          </cell>
          <cell r="C88" t="str">
            <v>V_KEYWORD_ISSR_208015997_ACQ</v>
          </cell>
        </row>
        <row r="89">
          <cell r="A89" t="str">
            <v>Vector|||208015997|||ISSR|||DIVEST|||False|||</v>
          </cell>
          <cell r="C89" t="str">
            <v>V_KEYWORD_ISSR_208015997_DIVEST</v>
          </cell>
        </row>
        <row r="90">
          <cell r="A90" t="str">
            <v>Vector|||208015997|||ISSR|||OTH_INV_CF|||False|||</v>
          </cell>
          <cell r="C90" t="str">
            <v>V_KEYWORD_ISSR_208015997_OTH_INV_CF</v>
          </cell>
        </row>
        <row r="91">
          <cell r="A91" t="str">
            <v>Vector|||208015997|||ISSR|||CF_INV|||False|||</v>
          </cell>
          <cell r="C91" t="str">
            <v>V_KEYWORD_ISSR_208015997_CF_INV</v>
          </cell>
        </row>
        <row r="92">
          <cell r="A92" t="str">
            <v>Vector|||208015997|||ISSR|||DIV_PAID|||False|||</v>
          </cell>
          <cell r="C92" t="str">
            <v>V_KEYWORD_ISSR_208015997_DIV_PAID</v>
          </cell>
        </row>
        <row r="93">
          <cell r="A93" t="str">
            <v>Vector|||208015997|||ISSR|||SH_REPUR|||False|||</v>
          </cell>
          <cell r="C93" t="str">
            <v>V_KEYWORD_ISSR_208015997_SH_REPUR</v>
          </cell>
        </row>
        <row r="94">
          <cell r="A94" t="str">
            <v>Vector|||208015997|||ISSR|||CHG_LT_DEBT|||False|||</v>
          </cell>
          <cell r="C94" t="str">
            <v>V_KEYWORD_ISSR_208015997_CHG_LT_DEBT</v>
          </cell>
        </row>
        <row r="95">
          <cell r="A95" t="str">
            <v>Vector|||208015997|||ISSR|||OTH_FIN_CF|||False|||</v>
          </cell>
          <cell r="C95" t="str">
            <v>V_KEYWORD_ISSR_208015997_OTH_FIN_CF</v>
          </cell>
        </row>
        <row r="96">
          <cell r="A96" t="str">
            <v>Vector|||208015997|||ISSR|||CF_FIN|||False|||</v>
          </cell>
          <cell r="C96" t="str">
            <v>V_KEYWORD_ISSR_208015997_CF_FIN</v>
          </cell>
        </row>
        <row r="97">
          <cell r="A97" t="str">
            <v>Vector|||208015997|||ISSR|||TOT_CF|||False|||</v>
          </cell>
          <cell r="C97" t="str">
            <v>V_KEYWORD_ISSR_208015997_TOT_CF</v>
          </cell>
        </row>
        <row r="99">
          <cell r="A99" t="str">
            <v>Vector|||208015997|||ISSR|||ASSOC_JV_ADDBK|||False|||</v>
          </cell>
          <cell r="C99" t="str">
            <v>V_KEYWORD_ISSR_208015997_ASSOC_JV_ADDBK</v>
          </cell>
        </row>
        <row r="100">
          <cell r="A100" t="str">
            <v>Vector|||208015997|||ISSR|||PL_SALE_ASSETS|||False|||</v>
          </cell>
          <cell r="C100" t="str">
            <v>V_KEYWORD_ISSR_208015997_PL_SALE_ASSETS</v>
          </cell>
        </row>
        <row r="101">
          <cell r="A101" t="str">
            <v>Vector|||208015997|||ISSR|||OTH_NONCASH_ADJ|||False|||</v>
          </cell>
          <cell r="C101" t="str">
            <v>V_KEYWORD_ISSR_208015997_OTH_NONCASH_ADJ</v>
          </cell>
        </row>
        <row r="102">
          <cell r="A102" t="str">
            <v>Vector|||208015997|||ISSR|||OTH_DACF_ADJ|||False|||</v>
          </cell>
          <cell r="C102" t="str">
            <v>V_KEYWORD_ISSR_208015997_OTH_DACF_ADJ</v>
          </cell>
        </row>
        <row r="103">
          <cell r="A103" t="str">
            <v>Vector|||208015997|||ISSR|||CASH_INT_EXP|||False|||</v>
          </cell>
          <cell r="C103" t="str">
            <v>V_KEYWORD_ISSR_208015997_CASH_INT_EXP</v>
          </cell>
        </row>
        <row r="104">
          <cell r="A104" t="str">
            <v>Vector|||208015997|||ISSR|||CASH_TAX_EXP|||False|||</v>
          </cell>
          <cell r="C104" t="str">
            <v>V_KEYWORD_ISSR_208015997_CASH_TAX_EXP</v>
          </cell>
        </row>
        <row r="105">
          <cell r="A105" t="str">
            <v>Vector|||208015997|||ISSR|||DIVDS_ASSOC_JV|||False|||</v>
          </cell>
          <cell r="C105" t="str">
            <v>V_KEYWORD_ISSR_208015997_DIVDS_ASSOC_JV</v>
          </cell>
        </row>
        <row r="106">
          <cell r="A106" t="str">
            <v>Vector|||208015997|||ISSR|||CAPEX_MAINTENANCE|||False|||</v>
          </cell>
          <cell r="C106" t="str">
            <v>V_KEYWORD_ISSR_208015997_CAPEX_MAINTENANCE</v>
          </cell>
        </row>
        <row r="107">
          <cell r="A107" t="str">
            <v>Vector|||208015997|||ISSR|||CAPEX_EXPANSION|||False|||</v>
          </cell>
          <cell r="C107" t="str">
            <v>V_KEYWORD_ISSR_208015997_CAPEX_EXPANSION</v>
          </cell>
        </row>
        <row r="108">
          <cell r="A108" t="str">
            <v>Vector|||208015997|||ISSR|||NONPPE_CAPEX|||False|||</v>
          </cell>
          <cell r="C108" t="str">
            <v>V_KEYWORD_ISSR_208015997_NONPPE_CAPEX</v>
          </cell>
        </row>
        <row r="109">
          <cell r="A109" t="str">
            <v>Vector|||208015997|||ISSR|||DIVDS_PD_MINORITIES|||False|||</v>
          </cell>
          <cell r="C109" t="str">
            <v>V_KEYWORD_ISSR_208015997_DIVDS_PD_MINORITIES</v>
          </cell>
        </row>
        <row r="111">
          <cell r="A111" t="str">
            <v>Vector|||208015997|||ISSR|||EMPLOYEES|||False|||</v>
          </cell>
          <cell r="C111" t="str">
            <v>V_KEYWORD_ISSR_208015997_EMPLOYEES</v>
          </cell>
        </row>
        <row r="113">
          <cell r="A113" t="str">
            <v>Vector|||208015997|||ISSR|||SALES_TOT_AM|||False|||</v>
          </cell>
          <cell r="C113" t="str">
            <v>V_KEYWORD_ISSR_208015997_SALES_TOT_AM</v>
          </cell>
        </row>
        <row r="114">
          <cell r="A114" t="str">
            <v>Vector|||208015997|||ISSR|||SALES_US|||False|||</v>
          </cell>
          <cell r="C114" t="str">
            <v>V_KEYWORD_ISSR_208015997_SALES_US</v>
          </cell>
        </row>
        <row r="116">
          <cell r="A116" t="str">
            <v>Vector|||208015997|||ISSR|||SALES_BRAZIL|||False|||</v>
          </cell>
          <cell r="C116" t="str">
            <v>V_KEYWORD_ISSR_208015997_SALES_BRAZIL</v>
          </cell>
        </row>
        <row r="117">
          <cell r="A117" t="str">
            <v>Vector|||208015997|||ISSR|||SALES_OTH_AM|||False|||</v>
          </cell>
          <cell r="C117" t="str">
            <v>V_KEYWORD_ISSR_208015997_SALES_OTH_AM</v>
          </cell>
        </row>
        <row r="118">
          <cell r="A118" t="str">
            <v>Vector|||208015997|||ISSR|||SALES_TOT_EMEA|||False|||</v>
          </cell>
          <cell r="C118" t="str">
            <v>V_KEYWORD_ISSR_208015997_SALES_TOT_EMEA</v>
          </cell>
        </row>
        <row r="119">
          <cell r="A119" t="str">
            <v>Vector|||208015997|||ISSR|||SALES_UK|||False|||</v>
          </cell>
          <cell r="C119" t="str">
            <v>V_KEYWORD_ISSR_208015997_SALES_UK</v>
          </cell>
        </row>
        <row r="120">
          <cell r="A120" t="str">
            <v>Vector|||208015997|||ISSR|||SALES_EU_EX_UK|||False|||</v>
          </cell>
          <cell r="C120" t="str">
            <v>V_KEYWORD_ISSR_208015997_SALES_EU_EX_UK</v>
          </cell>
        </row>
        <row r="137">
          <cell r="A137" t="str">
            <v>Vector|||208015997|||ISSR|||SALES_CEE|||False|||</v>
          </cell>
          <cell r="C137" t="str">
            <v>V_KEYWORD_ISSR_208015997_SALES_CEE</v>
          </cell>
        </row>
        <row r="138">
          <cell r="A138" t="str">
            <v>Vector|||208015997|||ISSR|||SALES_ME|||False|||</v>
          </cell>
          <cell r="C138" t="str">
            <v>V_KEYWORD_ISSR_208015997_SALES_ME</v>
          </cell>
        </row>
        <row r="139">
          <cell r="A139" t="str">
            <v>Vector|||208015997|||ISSR|||SALES_TOT_AFRICA|||False|||</v>
          </cell>
          <cell r="C139" t="str">
            <v>V_KEYWORD_ISSR_208015997_SALES_TOT_AFRICA</v>
          </cell>
        </row>
        <row r="140">
          <cell r="A140" t="str">
            <v>Vector|||208015997|||ISSR|||SALES_RUSSIA|||False|||</v>
          </cell>
          <cell r="C140" t="str">
            <v>V_KEYWORD_ISSR_208015997_SALES_RUSSIA</v>
          </cell>
        </row>
        <row r="141">
          <cell r="A141" t="str">
            <v>Vector|||208015997|||ISSR|||SALES_OTH_EMEA|||False|||</v>
          </cell>
          <cell r="C141" t="str">
            <v>V_KEYWORD_ISSR_208015997_SALES_OTH_EMEA</v>
          </cell>
        </row>
        <row r="142">
          <cell r="A142" t="str">
            <v>Vector|||208015997|||ISSR|||SALES_TOT_ASIA|||False|||</v>
          </cell>
          <cell r="C142" t="str">
            <v>V_KEYWORD_ISSR_208015997_SALES_TOT_ASIA</v>
          </cell>
        </row>
        <row r="143">
          <cell r="A143" t="str">
            <v>Vector|||208015997|||ISSR|||SALES_JAPAN|||False|||</v>
          </cell>
          <cell r="C143" t="str">
            <v>V_KEYWORD_ISSR_208015997_SALES_JAPAN</v>
          </cell>
        </row>
        <row r="144">
          <cell r="A144" t="str">
            <v>Vector|||208015997|||ISSR|||SALES_CHINA|||False|||</v>
          </cell>
          <cell r="C144" t="str">
            <v>V_KEYWORD_ISSR_208015997_SALES_CHINA</v>
          </cell>
        </row>
        <row r="145">
          <cell r="A145" t="str">
            <v>Vector|||208015997|||ISSR|||SALES_INDIA|||False|||</v>
          </cell>
          <cell r="C145" t="str">
            <v>V_KEYWORD_ISSR_208015997_SALES_INDIA</v>
          </cell>
        </row>
        <row r="146">
          <cell r="A146" t="str">
            <v>Vector|||208015997|||ISSR|||SALES_SK|||False|||</v>
          </cell>
          <cell r="C146" t="str">
            <v>V_KEYWORD_ISSR_208015997_SALES_SK</v>
          </cell>
        </row>
        <row r="147">
          <cell r="A147" t="str">
            <v>Vector|||208015997|||ISSR|||SALES_TAIWAN|||False|||</v>
          </cell>
          <cell r="C147" t="str">
            <v>V_KEYWORD_ISSR_208015997_SALES_TAIWAN</v>
          </cell>
        </row>
        <row r="150">
          <cell r="A150" t="str">
            <v>Vector|||208015997|||ISSR|||SALES_OTH_AEJ|||False|||</v>
          </cell>
          <cell r="C150" t="str">
            <v>V_KEYWORD_ISSR_208015997_SALES_OTH_AEJ</v>
          </cell>
        </row>
        <row r="151">
          <cell r="A151" t="str">
            <v>Vector|||208015997|||ISSR|||SALES_OTHER|||False|||</v>
          </cell>
          <cell r="C151" t="str">
            <v>V_KEYWORD_ISSR_208015997_SALES_OTHER</v>
          </cell>
        </row>
        <row r="189">
          <cell r="A189" t="str">
            <v>Vector|||208015997|||ISSR|||SALES_CONS|||False|||</v>
          </cell>
          <cell r="C189" t="str">
            <v>V_KEYWORD_ISSR_208015997_SALES_CONS</v>
          </cell>
        </row>
        <row r="190">
          <cell r="A190" t="str">
            <v>Vector|||208015997|||ISSR|||SALES_IND|||False|||</v>
          </cell>
          <cell r="C190" t="str">
            <v>V_KEYWORD_ISSR_208015997_SALES_IND</v>
          </cell>
        </row>
        <row r="191">
          <cell r="A191" t="str">
            <v>Vector|||208015997|||ISSR|||SALES_GOV|||False|||</v>
          </cell>
          <cell r="C191" t="str">
            <v>V_KEYWORD_ISSR_208015997_SALES_GOV</v>
          </cell>
        </row>
        <row r="192">
          <cell r="A192" t="str">
            <v>Vector|||208015997|||ISSR|||SALES_FINAN|||False|||</v>
          </cell>
          <cell r="C192" t="str">
            <v>V_KEYWORD_ISSR_208015997_SALES_FINAN</v>
          </cell>
        </row>
        <row r="197">
          <cell r="A197" t="str">
            <v>Vector|||208015997|||ISSR|||SALES_FX_GPB|||False|||</v>
          </cell>
          <cell r="C197" t="str">
            <v>V_KEYWORD_ISSR_208015997_SALES_FX_GPB</v>
          </cell>
        </row>
        <row r="198">
          <cell r="A198" t="str">
            <v>Vector|||208015997|||ISSR|||SALES_FX_EUR|||False|||</v>
          </cell>
          <cell r="C198" t="str">
            <v>V_KEYWORD_ISSR_208015997_SALES_FX_EUR</v>
          </cell>
        </row>
        <row r="199">
          <cell r="A199" t="str">
            <v>Vector|||208015997|||ISSR|||SALES_FX_RUB|||False|||</v>
          </cell>
          <cell r="C199" t="str">
            <v>V_KEYWORD_ISSR_208015997_SALES_FX_RUB</v>
          </cell>
        </row>
        <row r="200">
          <cell r="A200" t="str">
            <v>Vector|||208015997|||ISSR|||SALES_FX_USD|||False|||</v>
          </cell>
          <cell r="C200" t="str">
            <v>V_KEYWORD_ISSR_208015997_SALES_FX_USD</v>
          </cell>
        </row>
        <row r="201">
          <cell r="A201" t="str">
            <v>Vector|||208015997|||ISSR|||SALES_FX_BRL|||False|||</v>
          </cell>
          <cell r="C201" t="str">
            <v>V_KEYWORD_ISSR_208015997_SALES_FX_BRL</v>
          </cell>
        </row>
        <row r="202">
          <cell r="A202" t="str">
            <v>Vector|||208015997|||ISSR|||SALES_FX_YEN|||False|||</v>
          </cell>
          <cell r="C202" t="str">
            <v>V_KEYWORD_ISSR_208015997_SALES_FX_YEN</v>
          </cell>
        </row>
        <row r="203">
          <cell r="A203" t="str">
            <v>Vector|||208015997|||ISSR|||SALES_FX_CNY|||False|||</v>
          </cell>
          <cell r="C203" t="str">
            <v>V_KEYWORD_ISSR_208015997_SALES_FX_CNY</v>
          </cell>
        </row>
        <row r="204">
          <cell r="A204" t="str">
            <v>Vector|||208015997|||ISSR|||SALES_FX_INR|||False|||</v>
          </cell>
          <cell r="C204" t="str">
            <v>V_KEYWORD_ISSR_208015997_SALES_FX_INR</v>
          </cell>
        </row>
        <row r="205">
          <cell r="A205" t="str">
            <v>Vector|||208015997|||ISSR|||SALES_FX_KRW|||False|||</v>
          </cell>
          <cell r="C205" t="str">
            <v>V_KEYWORD_ISSR_208015997_SALES_FX_KRW</v>
          </cell>
        </row>
        <row r="206">
          <cell r="A206" t="str">
            <v>Vector|||208015997|||ISSR|||SALES_FX_TWD|||False|||</v>
          </cell>
          <cell r="C206" t="str">
            <v>V_KEYWORD_ISSR_208015997_SALES_FX_TWD</v>
          </cell>
        </row>
        <row r="207">
          <cell r="A207" t="str">
            <v>Vector|||208015997|||ISSR|||SALES_FX_OTH|||False|||</v>
          </cell>
          <cell r="C207" t="str">
            <v>V_KEYWORD_ISSR_208015997_SALES_FX_OTH</v>
          </cell>
        </row>
        <row r="213">
          <cell r="A213" t="str">
            <v>Scalar|||200018245|||EQTY|||PUB_CURRENCY_ISO|||False|||</v>
          </cell>
          <cell r="C213" t="str">
            <v>V_KEYWORD_EQTY_200018245_PUB_CURRENCY_ISO</v>
          </cell>
        </row>
        <row r="214">
          <cell r="A214" t="str">
            <v>Scalar|||200018245|||EQTY|||PRICE_CURRENCY_ISO|||False|||</v>
          </cell>
          <cell r="C214" t="str">
            <v>V_KEYWORD_EQTY_200018245_PRICE_CURRENCY_ISO</v>
          </cell>
        </row>
        <row r="215">
          <cell r="A215" t="str">
            <v>Scalar|||200018245|||EQTY|||CURRENCY_ISO|||False|||</v>
          </cell>
          <cell r="C215" t="str">
            <v>V_KEYWORD_EQTY_200018245_CURRENCY_ISO</v>
          </cell>
        </row>
        <row r="217">
          <cell r="A217" t="str">
            <v>Scalar|||200018245|||EQTY|||AEJ_LIST|||False|||</v>
          </cell>
          <cell r="C217" t="str">
            <v>V_KEYWORD_EQTY_200018245_AEJ_LIST</v>
          </cell>
        </row>
        <row r="218">
          <cell r="A218" t="str">
            <v>Scalar|||200018245|||EQTY|||AEJ_CONVICTION|||False|||</v>
          </cell>
          <cell r="C218" t="str">
            <v>V_KEYWORD_EQTY_200018245_AEJ_CONVICTION</v>
          </cell>
        </row>
        <row r="219">
          <cell r="A219" t="str">
            <v>Scalar|||200018245|||EQTY|||LEGAL_RATING|||False|||</v>
          </cell>
          <cell r="C219" t="str">
            <v>V_KEYWORD_EQTY_200018245_LEGAL_RATING</v>
          </cell>
          <cell r="E219" t="str">
            <v>ERROR</v>
          </cell>
        </row>
        <row r="220">
          <cell r="A220" t="str">
            <v>Scalar|||200018245|||EQTY|||TARGET_PRICE|||False|||</v>
          </cell>
          <cell r="C220" t="str">
            <v>V_KEYWORD_EQTY_200018245_TARGET_PRICE</v>
          </cell>
          <cell r="E220" t="str">
            <v>ERROR</v>
          </cell>
        </row>
        <row r="221">
          <cell r="A221" t="str">
            <v>Scalar|||200018245|||EQTY|||TP_PERIOD|||False|||</v>
          </cell>
          <cell r="C221" t="str">
            <v>V_KEYWORD_EQTY_200018245_TP_PERIOD</v>
          </cell>
          <cell r="E221" t="str">
            <v>ERROR</v>
          </cell>
        </row>
        <row r="222">
          <cell r="A222" t="str">
            <v>Scalar|||200018245|||EQTY|||NUM_SH|||False|||</v>
          </cell>
          <cell r="C222" t="str">
            <v>V_KEYWORD_EQTY_200018245_NUM_SH</v>
          </cell>
        </row>
        <row r="223">
          <cell r="A223" t="str">
            <v>Scalar|||200018245|||EQTY|||FREE_FLOAT|||False|||</v>
          </cell>
          <cell r="C223" t="str">
            <v>V_KEYWORD_EQTY_200018245_FREE_FLOAT</v>
          </cell>
        </row>
        <row r="224">
          <cell r="A224" t="str">
            <v>Scalar|||200018245|||EQTY|||FOREIGN_HOLDNG|||False|||</v>
          </cell>
          <cell r="C224" t="str">
            <v>V_KEYWORD_EQTY_200018245_FOREIGN_HOLDNG</v>
          </cell>
        </row>
        <row r="228">
          <cell r="A228" t="str">
            <v>Scalar|||200018245|||EQTY|||CATALYST1_DATE|||True|||</v>
          </cell>
          <cell r="C228" t="str">
            <v>V_KEYWORD_EQTY_200018245_CATALYST1_DATE</v>
          </cell>
        </row>
        <row r="229">
          <cell r="A229" t="str">
            <v>Scalar|||200018245|||EQTY|||CATALYST1_EVENT|||False|||</v>
          </cell>
          <cell r="C229" t="str">
            <v>V_KEYWORD_EQTY_200018245_CATALYST1_EVENT</v>
          </cell>
        </row>
        <row r="230">
          <cell r="A230" t="str">
            <v>Scalar|||200018245|||EQTY|||CATALYST2_DATE|||True|||</v>
          </cell>
          <cell r="C230" t="str">
            <v>V_KEYWORD_EQTY_200018245_CATALYST2_DATE</v>
          </cell>
        </row>
        <row r="231">
          <cell r="A231" t="str">
            <v>Scalar|||200018245|||EQTY|||CATALYST2_EVENT|||False|||</v>
          </cell>
          <cell r="C231" t="str">
            <v>V_KEYWORD_EQTY_200018245_CATALYST2_EVENT</v>
          </cell>
        </row>
        <row r="232">
          <cell r="A232" t="str">
            <v>Scalar|||200018245|||EQTY|||CATALYST3_DATE|||True|||</v>
          </cell>
          <cell r="C232" t="str">
            <v>V_KEYWORD_EQTY_200018245_CATALYST3_DATE</v>
          </cell>
        </row>
        <row r="233">
          <cell r="A233" t="str">
            <v>Scalar|||200018245|||EQTY|||CATALYST3_EVENT|||False|||</v>
          </cell>
          <cell r="C233" t="str">
            <v>V_KEYWORD_EQTY_200018245_CATALYST3_EVENT</v>
          </cell>
        </row>
        <row r="234">
          <cell r="A234" t="str">
            <v>Scalar|||200018245|||EQTY|||CATALYST4_DATE|||True|||</v>
          </cell>
          <cell r="C234" t="str">
            <v>V_KEYWORD_EQTY_200018245_CATALYST4_DATE</v>
          </cell>
        </row>
        <row r="235">
          <cell r="A235" t="str">
            <v>Scalar|||200018245|||EQTY|||CATALYST4_EVENT|||False|||</v>
          </cell>
          <cell r="C235" t="str">
            <v>V_KEYWORD_EQTY_200018245_CATALYST4_EVENT</v>
          </cell>
        </row>
        <row r="236">
          <cell r="A236" t="str">
            <v>Scalar|||200018245|||EQTY|||CATALYST5_DATE|||True|||</v>
          </cell>
          <cell r="C236" t="str">
            <v>V_KEYWORD_EQTY_200018245_CATALYST5_DATE</v>
          </cell>
        </row>
        <row r="237">
          <cell r="A237" t="str">
            <v>Scalar|||200018245|||EQTY|||CATALYST5_EVENT|||False|||</v>
          </cell>
          <cell r="C237" t="str">
            <v>V_KEYWORD_EQTY_200018245_CATALYST5_EVENT</v>
          </cell>
        </row>
        <row r="238">
          <cell r="A238" t="str">
            <v>Scalar|||200018245|||EQTY|||PRI_TARG_MULT|||False|||</v>
          </cell>
          <cell r="C238" t="str">
            <v>V_KEYWORD_EQTY_200018245_PRI_TARG_MULT</v>
          </cell>
        </row>
        <row r="239">
          <cell r="A239" t="str">
            <v>Scalar|||200018245|||EQTY|||PRI_TARG_METH|||False|||</v>
          </cell>
          <cell r="C239" t="str">
            <v>V_KEYWORD_EQTY_200018245_PRI_TARG_METH</v>
          </cell>
        </row>
        <row r="241">
          <cell r="A241" t="str">
            <v>Vector|||200018245|||EQTY|||BVPS_PUB|||False|||</v>
          </cell>
          <cell r="C241" t="str">
            <v>V_KEYWORD_EQTY_200018245_BVPS_PUB</v>
          </cell>
        </row>
        <row r="242">
          <cell r="A242" t="str">
            <v>Vector|||200018245|||EQTY|||DPS_PUB|||False|||</v>
          </cell>
          <cell r="C242" t="str">
            <v>V_KEYWORD_EQTY_200018245_DPS_PUB</v>
          </cell>
        </row>
        <row r="243">
          <cell r="A243" t="str">
            <v>Vector|||200018245|||EQTY|||DPS_SPECIAL_PUB|||False|||</v>
          </cell>
          <cell r="C243" t="str">
            <v>V_KEYWORD_EQTY_200018245_DPS_SPECIAL_PUB</v>
          </cell>
        </row>
        <row r="244">
          <cell r="A244" t="str">
            <v>Vector|||200018245|||EQTY|||EBITDA_PUB|||False|||</v>
          </cell>
          <cell r="C244" t="str">
            <v>V_KEYWORD_EQTY_200018245_EBITDA_PUB</v>
          </cell>
        </row>
        <row r="245">
          <cell r="A245" t="str">
            <v>Vector|||200018245|||EQTY|||EPS_PUB|||False|||</v>
          </cell>
          <cell r="C245" t="str">
            <v>V_KEYWORD_EQTY_200018245_EPS_PUB</v>
          </cell>
          <cell r="BD245" t="str">
            <v>ERROR</v>
          </cell>
          <cell r="BE245" t="str">
            <v>ERROR</v>
          </cell>
          <cell r="BF245" t="str">
            <v>ERROR</v>
          </cell>
          <cell r="BG245" t="str">
            <v>ERROR</v>
          </cell>
          <cell r="BH245" t="str">
            <v>ERROR</v>
          </cell>
        </row>
        <row r="246">
          <cell r="A246" t="str">
            <v>Vector|||200018245|||EQTY|||EV_ADJ_PUB|||False|||</v>
          </cell>
          <cell r="C246" t="str">
            <v>V_KEYWORD_EQTY_200018245_EV_ADJ_PUB</v>
          </cell>
        </row>
        <row r="247">
          <cell r="A247" t="str">
            <v>Vector|||200018245|||EQTY|||NET_DEBT_PUB|||False|||</v>
          </cell>
          <cell r="C247" t="str">
            <v>V_KEYWORD_EQTY_200018245_NET_DEBT_PUB</v>
          </cell>
        </row>
        <row r="248">
          <cell r="A248" t="str">
            <v>Vector|||200018245|||EQTY|||NI_PUB|||False|||</v>
          </cell>
          <cell r="C248" t="str">
            <v>V_KEYWORD_EQTY_200018245_NI_PUB</v>
          </cell>
        </row>
        <row r="249">
          <cell r="A249" t="str">
            <v>Vector|||200018245|||EQTY|||EBIT_PUB|||False|||</v>
          </cell>
          <cell r="C249" t="str">
            <v>V_KEYWORD_EQTY_200018245_EBIT_PUB</v>
          </cell>
        </row>
        <row r="250">
          <cell r="A250" t="str">
            <v>Vector|||200018245|||EQTY|||PTP_PUB|||False|||</v>
          </cell>
          <cell r="C250" t="str">
            <v>V_KEYWORD_EQTY_200018245_PTP_PUB</v>
          </cell>
        </row>
        <row r="251">
          <cell r="A251" t="str">
            <v>Vector|||200018245|||EQTY|||REVS_PUB|||False|||</v>
          </cell>
          <cell r="C251" t="str">
            <v>V_KEYWORD_EQTY_200018245_REVS_PUB</v>
          </cell>
        </row>
        <row r="252">
          <cell r="A252" t="str">
            <v>Vector|||200018245|||EQTY|||EQ_PUB|||False|||</v>
          </cell>
          <cell r="C252" t="str">
            <v>V_KEYWORD_EQTY_200018245_EQ_PUB</v>
          </cell>
        </row>
        <row r="253">
          <cell r="A253" t="str">
            <v>Vector|||200018245|||EQTY|||EPS_CONS_PUB|||False|||</v>
          </cell>
          <cell r="C253" t="str">
            <v>V_KEYWORD_EQTY_200018245_EPS_CONS_PUB</v>
          </cell>
        </row>
        <row r="255">
          <cell r="A255" t="str">
            <v>Vector|||200018245|||EQTY|||PROV_INC_TAX|||False|||</v>
          </cell>
          <cell r="C255" t="str">
            <v>V_KEYWORD_EQTY_200018245_PROV_INC_TAX</v>
          </cell>
        </row>
        <row r="256">
          <cell r="A256" t="str">
            <v>Vector|||200018245|||EQTY|||INC_MINORITY|||False|||</v>
          </cell>
          <cell r="C256" t="str">
            <v>V_KEYWORD_EQTY_200018245_INC_MINORITY</v>
          </cell>
        </row>
        <row r="257">
          <cell r="A257" t="str">
            <v>Vector|||200018245|||EQTY|||NI_PRE_PREF|||False|||</v>
          </cell>
          <cell r="C257" t="str">
            <v>V_KEYWORD_EQTY_200018245_NI_PRE_PREF</v>
          </cell>
        </row>
        <row r="258">
          <cell r="A258" t="str">
            <v>Vector|||200018245|||EQTY|||PREF_DIV|||False|||</v>
          </cell>
          <cell r="C258" t="str">
            <v>V_KEYWORD_EQTY_200018245_PREF_DIV</v>
          </cell>
        </row>
        <row r="259">
          <cell r="A259" t="str">
            <v>Vector|||200018245|||EQTY|||NET_EARNING|||False|||</v>
          </cell>
          <cell r="C259" t="str">
            <v>V_KEYWORD_EQTY_200018245_NET_EARNING</v>
          </cell>
        </row>
        <row r="260">
          <cell r="A260" t="str">
            <v>Vector|||200018245|||EQTY|||TAX_EXC|||False|||</v>
          </cell>
          <cell r="C260" t="str">
            <v>V_KEYWORD_EQTY_200018245_TAX_EXC</v>
          </cell>
        </row>
        <row r="261">
          <cell r="A261" t="str">
            <v>Vector|||200018245|||EQTY|||NET_INC|||False|||</v>
          </cell>
          <cell r="C261" t="str">
            <v>V_KEYWORD_EQTY_200018245_NET_INC</v>
          </cell>
        </row>
        <row r="262">
          <cell r="A262" t="str">
            <v>Vector|||200018245|||EQTY|||EPS|||False|||</v>
          </cell>
          <cell r="C262" t="str">
            <v>V_KEYWORD_EQTY_200018245_EPS</v>
          </cell>
        </row>
        <row r="263">
          <cell r="A263" t="str">
            <v>Vector|||200018245|||EQTY|||EPS_FUL_DIL|||False|||</v>
          </cell>
          <cell r="C263" t="str">
            <v>V_KEYWORD_EQTY_200018245_EPS_FUL_DIL</v>
          </cell>
        </row>
        <row r="264">
          <cell r="A264" t="str">
            <v>Vector|||200018245|||EQTY|||EPS_POST_BASIC|||False|||</v>
          </cell>
          <cell r="C264" t="str">
            <v>V_KEYWORD_EQTY_200018245_EPS_POST_BASIC</v>
          </cell>
        </row>
        <row r="265">
          <cell r="A265" t="str">
            <v>Vector|||200018245|||EQTY|||FULLY_DIL_EPS|||False|||</v>
          </cell>
          <cell r="C265" t="str">
            <v>V_KEYWORD_EQTY_200018245_FULLY_DIL_EPS</v>
          </cell>
        </row>
        <row r="266">
          <cell r="A266" t="str">
            <v>Vector|||200018245|||EQTY|||COMMON_DIV_PAID|||False|||</v>
          </cell>
          <cell r="C266" t="str">
            <v>V_KEYWORD_EQTY_200018245_COMMON_DIV_PAID</v>
          </cell>
        </row>
        <row r="267">
          <cell r="A267" t="str">
            <v>Vector|||200018245|||EQTY|||DPS|||False|||</v>
          </cell>
          <cell r="C267" t="str">
            <v>V_KEYWORD_EQTY_200018245_DPS</v>
          </cell>
        </row>
        <row r="268">
          <cell r="A268" t="str">
            <v>Vector|||200018245|||EQTY|||SH|||False|||</v>
          </cell>
          <cell r="C268" t="str">
            <v>V_KEYWORD_EQTY_200018245_SH</v>
          </cell>
        </row>
        <row r="269">
          <cell r="A269" t="str">
            <v>Vector|||200018245|||EQTY|||DILUTE_SHARES|||False|||</v>
          </cell>
          <cell r="C269" t="str">
            <v>V_KEYWORD_EQTY_200018245_DILUTE_SHARES</v>
          </cell>
        </row>
        <row r="270">
          <cell r="A270" t="str">
            <v>Vector|||200018245|||EQTY|||NON_OP_ADD|||False|||</v>
          </cell>
          <cell r="C270" t="str">
            <v>V_KEYWORD_EQTY_200018245_NON_OP_ADD</v>
          </cell>
        </row>
        <row r="272">
          <cell r="A272" t="str">
            <v>Vector|||200018245|||EQTY|||MARGIN_TAX_RATE|||False|||</v>
          </cell>
          <cell r="C272" t="str">
            <v>V_KEYWORD_EQTY_200018245_MARGIN_TAX_RATE</v>
          </cell>
        </row>
        <row r="273">
          <cell r="A273" t="str">
            <v>Vector|||200018245|||EQTY|||NI_CONS|||False|||</v>
          </cell>
          <cell r="C273" t="str">
            <v>V_KEYWORD_EQTY_200018245_NI_CONS</v>
          </cell>
        </row>
        <row r="275">
          <cell r="A275" t="str">
            <v>Vector|||200018245|||EQTY|||BVPS|||False|||</v>
          </cell>
          <cell r="C275" t="str">
            <v>V_KEYWORD_EQTY_200018245_BVPS</v>
          </cell>
        </row>
        <row r="277">
          <cell r="A277" t="str">
            <v>Vector|||200018245|||EQTY|||CF_NI_PRE_PREF|||False|||</v>
          </cell>
          <cell r="C277" t="str">
            <v>V_KEYWORD_EQTY_200018245_CF_NI_PRE_PREF</v>
          </cell>
        </row>
        <row r="279">
          <cell r="A279" t="str">
            <v>Scalar|||200018245|||EQTY|||BETA_ANALYST|||False|||</v>
          </cell>
          <cell r="C279" t="str">
            <v>V_KEYWORD_EQTY_200018245_BETA_ANALYST</v>
          </cell>
        </row>
        <row r="280">
          <cell r="A280" t="str">
            <v>Scalar|||200018245|||EQTY|||MKT_EQ_RISK_PREM|||False|||</v>
          </cell>
          <cell r="C280" t="str">
            <v>V_KEYWORD_EQTY_200018245_MKT_EQ_RISK_PREM</v>
          </cell>
        </row>
        <row r="281">
          <cell r="A281" t="str">
            <v>Scalar|||200018245|||EQTY|||RISK_FR_RATE|||False|||</v>
          </cell>
          <cell r="C281" t="str">
            <v>V_KEYWORD_EQTY_200018245_RISK_FR_RATE</v>
          </cell>
        </row>
      </sheetData>
      <sheetData sheetId="24" refreshError="1">
        <row r="11">
          <cell r="B11" t="str">
            <v>Sales, net revenue</v>
          </cell>
          <cell r="C11" t="str">
            <v>SALES</v>
          </cell>
          <cell r="D11" t="str">
            <v>CNY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</row>
        <row r="33">
          <cell r="B33" t="str">
            <v>Lease payments</v>
          </cell>
          <cell r="C33" t="str">
            <v>LEASE_PAY</v>
          </cell>
          <cell r="D33" t="str">
            <v>CNY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CNY</v>
          </cell>
        </row>
        <row r="40">
          <cell r="B40" t="str">
            <v>Accounts receivable</v>
          </cell>
          <cell r="C40" t="str">
            <v>DEBTORS</v>
          </cell>
          <cell r="D40" t="str">
            <v>CNY</v>
          </cell>
        </row>
        <row r="41">
          <cell r="B41" t="str">
            <v>Inventory</v>
          </cell>
          <cell r="C41" t="str">
            <v>STOCKS</v>
          </cell>
          <cell r="D41" t="str">
            <v>CNY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CNY</v>
          </cell>
        </row>
        <row r="43">
          <cell r="B43" t="str">
            <v>Total current assets</v>
          </cell>
          <cell r="C43" t="str">
            <v>CUR_ASS</v>
          </cell>
          <cell r="D43" t="str">
            <v>CNY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CNY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CNY</v>
          </cell>
        </row>
        <row r="46">
          <cell r="B46" t="str">
            <v>Net PP&amp;E</v>
          </cell>
          <cell r="C46" t="str">
            <v>NET_FIX_ASS</v>
          </cell>
          <cell r="D46" t="str">
            <v>CNY</v>
          </cell>
        </row>
        <row r="47">
          <cell r="B47" t="str">
            <v>Gross intangibles</v>
          </cell>
          <cell r="C47" t="str">
            <v>GR_INTANG</v>
          </cell>
          <cell r="D47" t="str">
            <v>CNY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CNY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CNY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CNY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CNY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CNY</v>
          </cell>
        </row>
        <row r="53">
          <cell r="B53" t="str">
            <v>Total assets</v>
          </cell>
          <cell r="C53" t="str">
            <v>TOT_ASSET</v>
          </cell>
          <cell r="D53" t="str">
            <v>CNY</v>
          </cell>
        </row>
        <row r="54">
          <cell r="B54" t="str">
            <v>Accounts payable</v>
          </cell>
          <cell r="C54" t="str">
            <v>ACC_PAY_GQ</v>
          </cell>
          <cell r="D54" t="str">
            <v>CNY</v>
          </cell>
        </row>
        <row r="55">
          <cell r="B55" t="str">
            <v>Short-term debt</v>
          </cell>
          <cell r="C55" t="str">
            <v>SHORT_T_DEBT</v>
          </cell>
          <cell r="D55" t="str">
            <v>CNY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CNY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CNY</v>
          </cell>
        </row>
        <row r="58">
          <cell r="B58" t="str">
            <v>Long-term  debt</v>
          </cell>
          <cell r="C58" t="str">
            <v>LT_DEBT</v>
          </cell>
          <cell r="D58" t="str">
            <v>CNY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CNY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CNY</v>
          </cell>
        </row>
        <row r="61">
          <cell r="B61" t="str">
            <v>Total liabilities</v>
          </cell>
          <cell r="C61" t="str">
            <v>TOT_LIAB</v>
          </cell>
          <cell r="D61" t="str">
            <v>CNY</v>
          </cell>
        </row>
        <row r="62">
          <cell r="B62" t="str">
            <v>Preferred shares</v>
          </cell>
          <cell r="C62" t="str">
            <v>PREF_SH</v>
          </cell>
          <cell r="D62" t="str">
            <v>CNY</v>
          </cell>
        </row>
        <row r="63">
          <cell r="B63" t="str">
            <v>Total common equity</v>
          </cell>
          <cell r="C63" t="str">
            <v>ORD_SH_FUND</v>
          </cell>
          <cell r="D63" t="str">
            <v>CNY</v>
          </cell>
        </row>
        <row r="64">
          <cell r="B64" t="str">
            <v>Minority interest</v>
          </cell>
          <cell r="C64" t="str">
            <v>MINORITIES</v>
          </cell>
          <cell r="D64" t="str">
            <v>CNY</v>
          </cell>
        </row>
        <row r="65">
          <cell r="B65" t="str">
            <v>Total shareholders' equity</v>
          </cell>
          <cell r="C65" t="str">
            <v>EQ</v>
          </cell>
          <cell r="D65" t="str">
            <v>CNY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CNY</v>
          </cell>
        </row>
        <row r="68">
          <cell r="B68" t="str">
            <v>Net debt</v>
          </cell>
          <cell r="C68" t="str">
            <v>NET_DEBT</v>
          </cell>
          <cell r="D68" t="str">
            <v>CNY</v>
          </cell>
        </row>
        <row r="69">
          <cell r="B69" t="str">
            <v>Capitalized leases</v>
          </cell>
          <cell r="C69" t="str">
            <v>CAP_LEASES</v>
          </cell>
          <cell r="D69" t="str">
            <v>CNY</v>
          </cell>
        </row>
        <row r="70">
          <cell r="B70" t="str">
            <v>Deferred income taxes</v>
          </cell>
          <cell r="C70" t="str">
            <v>DEF_INC_TAX</v>
          </cell>
          <cell r="D70" t="str">
            <v>CNY</v>
          </cell>
        </row>
        <row r="71">
          <cell r="B71" t="str">
            <v>Associates (mkt value) used in EV calculation</v>
          </cell>
          <cell r="C71" t="str">
            <v>MV_ASSOCIATES</v>
          </cell>
          <cell r="D71" t="str">
            <v>CNY</v>
          </cell>
        </row>
        <row r="72">
          <cell r="B72" t="str">
            <v>Net debt adjustment</v>
          </cell>
          <cell r="C72" t="str">
            <v>NET_DEBT_ADJ</v>
          </cell>
          <cell r="D72" t="str">
            <v>CNY</v>
          </cell>
        </row>
        <row r="73">
          <cell r="B73" t="str">
            <v>Company borrowing margin</v>
          </cell>
          <cell r="C73" t="str">
            <v>CO_BOR_MARGIN</v>
          </cell>
        </row>
        <row r="74">
          <cell r="B74" t="str">
            <v>Unfunded pensions &amp; other provisions</v>
          </cell>
          <cell r="C74" t="str">
            <v>UNF_PENS</v>
          </cell>
          <cell r="D74" t="str">
            <v>CNY</v>
          </cell>
        </row>
        <row r="75">
          <cell r="B75" t="str">
            <v>Unfunded pension liabilities (off balance sheet)</v>
          </cell>
          <cell r="C75" t="str">
            <v>UNF_PENS_OFF</v>
          </cell>
          <cell r="D75" t="str">
            <v>CNY</v>
          </cell>
        </row>
        <row r="76">
          <cell r="B76" t="str">
            <v>Unfunded pension liabilities &amp; other, used in EV</v>
          </cell>
          <cell r="C76" t="str">
            <v>UNF_PENS_LIAB_OTH</v>
          </cell>
          <cell r="D76" t="str">
            <v>CNY</v>
          </cell>
        </row>
        <row r="77">
          <cell r="B77" t="str">
            <v>Adjustment for unfunded pensions &amp; goodwill</v>
          </cell>
          <cell r="C77" t="str">
            <v>ADJ_UNF_PENS_GOOD</v>
          </cell>
          <cell r="D77" t="str">
            <v>CNY</v>
          </cell>
        </row>
        <row r="78">
          <cell r="B78" t="str">
            <v>Other GCI adjustments</v>
          </cell>
          <cell r="C78" t="str">
            <v>OTH_GCI_ADJ</v>
          </cell>
          <cell r="D78" t="str">
            <v>CNY</v>
          </cell>
        </row>
        <row r="79">
          <cell r="B79" t="str">
            <v>GCI inflator</v>
          </cell>
          <cell r="C79" t="str">
            <v>GCI_INFL</v>
          </cell>
        </row>
        <row r="80">
          <cell r="B80" t="str">
            <v>Minority interest</v>
          </cell>
          <cell r="C80" t="str">
            <v>BAL_MINO_INT</v>
          </cell>
          <cell r="D80" t="str">
            <v>CNY</v>
          </cell>
        </row>
        <row r="82">
          <cell r="B82" t="str">
            <v>Minority interest add-back</v>
          </cell>
          <cell r="C82" t="str">
            <v>CF_INC_MINORITY</v>
          </cell>
          <cell r="D82" t="str">
            <v>CNY</v>
          </cell>
        </row>
        <row r="83">
          <cell r="B83" t="str">
            <v>Depreciation &amp; amortization add-back</v>
          </cell>
          <cell r="C83" t="str">
            <v>DEPR_AMORT</v>
          </cell>
          <cell r="D83" t="str">
            <v>CNY</v>
          </cell>
        </row>
        <row r="84">
          <cell r="B84" t="str">
            <v>(Increase)/decrease in working capital</v>
          </cell>
          <cell r="C84" t="str">
            <v>WORK_CAP</v>
          </cell>
          <cell r="D84" t="str">
            <v>CNY</v>
          </cell>
        </row>
        <row r="85">
          <cell r="B85" t="str">
            <v>Other operating cash flow items</v>
          </cell>
          <cell r="C85" t="str">
            <v>OTH_OP_CF</v>
          </cell>
          <cell r="D85" t="str">
            <v>CNY</v>
          </cell>
        </row>
        <row r="86">
          <cell r="B86" t="str">
            <v>Cash flow from operating activities</v>
          </cell>
          <cell r="C86" t="str">
            <v>CF_OPS</v>
          </cell>
          <cell r="D86" t="str">
            <v>CNY</v>
          </cell>
        </row>
        <row r="87">
          <cell r="B87" t="str">
            <v>Capital expenditures, Capex</v>
          </cell>
          <cell r="C87" t="str">
            <v>CAPEX</v>
          </cell>
          <cell r="D87" t="str">
            <v>CNY</v>
          </cell>
        </row>
        <row r="88">
          <cell r="B88" t="str">
            <v>Acquisitions</v>
          </cell>
          <cell r="C88" t="str">
            <v>ACQ</v>
          </cell>
          <cell r="D88" t="str">
            <v>CNY</v>
          </cell>
        </row>
        <row r="89">
          <cell r="B89" t="str">
            <v>Divestitures</v>
          </cell>
          <cell r="C89" t="str">
            <v>DIVEST</v>
          </cell>
          <cell r="D89" t="str">
            <v>CNY</v>
          </cell>
        </row>
        <row r="90">
          <cell r="B90" t="str">
            <v>Other investing cash flow items</v>
          </cell>
          <cell r="C90" t="str">
            <v>OTH_INV_CF</v>
          </cell>
          <cell r="D90" t="str">
            <v>CNY</v>
          </cell>
        </row>
        <row r="91">
          <cell r="B91" t="str">
            <v>Cash flow from investing</v>
          </cell>
          <cell r="C91" t="str">
            <v>CF_INV</v>
          </cell>
          <cell r="D91" t="str">
            <v>CNY</v>
          </cell>
        </row>
        <row r="92">
          <cell r="B92" t="str">
            <v>Dividends paid</v>
          </cell>
          <cell r="C92" t="str">
            <v>DIV_PAID</v>
          </cell>
          <cell r="D92" t="str">
            <v>CNY</v>
          </cell>
        </row>
        <row r="93">
          <cell r="B93" t="str">
            <v>Common stock issuance/(repurchase)</v>
          </cell>
          <cell r="C93" t="str">
            <v>SH_REPUR</v>
          </cell>
          <cell r="D93" t="str">
            <v>CNY</v>
          </cell>
        </row>
        <row r="94">
          <cell r="B94" t="str">
            <v>Increase/(decrease) in total debt</v>
          </cell>
          <cell r="C94" t="str">
            <v>CHG_LT_DEBT</v>
          </cell>
          <cell r="D94" t="str">
            <v>CNY</v>
          </cell>
        </row>
        <row r="95">
          <cell r="B95" t="str">
            <v>Other financing cash flow items</v>
          </cell>
          <cell r="C95" t="str">
            <v>OTH_FIN_CF</v>
          </cell>
          <cell r="D95" t="str">
            <v>CNY</v>
          </cell>
        </row>
        <row r="96">
          <cell r="B96" t="str">
            <v>Cash flow from financing</v>
          </cell>
          <cell r="C96" t="str">
            <v>CF_FIN</v>
          </cell>
          <cell r="D96" t="str">
            <v>CNY</v>
          </cell>
        </row>
        <row r="97">
          <cell r="B97" t="str">
            <v>Total cash flow</v>
          </cell>
          <cell r="C97" t="str">
            <v>TOT_CF</v>
          </cell>
          <cell r="D97" t="str">
            <v>CNY</v>
          </cell>
        </row>
        <row r="99">
          <cell r="B99" t="str">
            <v>Associate and JV add-back</v>
          </cell>
          <cell r="C99" t="str">
            <v>ASSOC_JV_ADDBK</v>
          </cell>
          <cell r="D99" t="str">
            <v>CNY</v>
          </cell>
        </row>
        <row r="100">
          <cell r="B100" t="str">
            <v>Profit/(loss) on sale of assets</v>
          </cell>
          <cell r="C100" t="str">
            <v>PL_SALE_ASSETS</v>
          </cell>
          <cell r="D100" t="str">
            <v>CNY</v>
          </cell>
        </row>
        <row r="101">
          <cell r="B101" t="str">
            <v>Other non-cash adjustments</v>
          </cell>
          <cell r="C101" t="str">
            <v>OTH_NONCASH_ADJ</v>
          </cell>
          <cell r="D101" t="str">
            <v>CNY</v>
          </cell>
        </row>
        <row r="102">
          <cell r="B102" t="str">
            <v>Other DACF adjustments</v>
          </cell>
          <cell r="C102" t="str">
            <v>OTH_DACF_ADJ</v>
          </cell>
          <cell r="D102" t="str">
            <v>CNY</v>
          </cell>
        </row>
        <row r="103">
          <cell r="B103" t="str">
            <v>Cash interest expense</v>
          </cell>
          <cell r="C103" t="str">
            <v>CASH_INT_EXP</v>
          </cell>
          <cell r="D103" t="str">
            <v>CNY</v>
          </cell>
        </row>
        <row r="104">
          <cell r="B104" t="str">
            <v>Cash tax expense</v>
          </cell>
          <cell r="C104" t="str">
            <v>CASH_TAX_EXP</v>
          </cell>
          <cell r="D104" t="str">
            <v>CNY</v>
          </cell>
        </row>
        <row r="105">
          <cell r="B105" t="str">
            <v>Dividends received from associates/JVs</v>
          </cell>
          <cell r="C105" t="str">
            <v>DIVDS_ASSOC_JV</v>
          </cell>
          <cell r="D105" t="str">
            <v>CNY</v>
          </cell>
        </row>
        <row r="106">
          <cell r="B106" t="str">
            <v>Capex maintenance</v>
          </cell>
          <cell r="C106" t="str">
            <v>CAPEX_MAINTENANCE</v>
          </cell>
          <cell r="D106" t="str">
            <v>CNY</v>
          </cell>
        </row>
        <row r="107">
          <cell r="B107" t="str">
            <v>Capex expansion</v>
          </cell>
          <cell r="C107" t="str">
            <v>CAPEX_EXPANSION</v>
          </cell>
          <cell r="D107" t="str">
            <v>CNY</v>
          </cell>
        </row>
        <row r="108">
          <cell r="B108" t="str">
            <v>Non-PP&amp;E capex</v>
          </cell>
          <cell r="C108" t="str">
            <v>NONPPE_CAPEX</v>
          </cell>
          <cell r="D108" t="str">
            <v>CNY</v>
          </cell>
        </row>
        <row r="109">
          <cell r="B109" t="str">
            <v>Dividends paid to minorities</v>
          </cell>
          <cell r="C109" t="str">
            <v>DIVDS_PD_MINORITIES</v>
          </cell>
          <cell r="D109" t="str">
            <v>CNY</v>
          </cell>
        </row>
        <row r="111">
          <cell r="B111" t="str">
            <v>Number of employees</v>
          </cell>
          <cell r="C111" t="str">
            <v>EMPLOYEES</v>
          </cell>
        </row>
        <row r="113">
          <cell r="B113" t="str">
            <v>Sales - Total % Americas</v>
          </cell>
          <cell r="C113" t="str">
            <v>SALES_TOT_AM</v>
          </cell>
        </row>
        <row r="114">
          <cell r="B114" t="str">
            <v>Sales - % United States</v>
          </cell>
          <cell r="C114" t="str">
            <v>SALES_US</v>
          </cell>
        </row>
        <row r="116">
          <cell r="B116" t="str">
            <v>Sales - % Brazil</v>
          </cell>
          <cell r="C116" t="str">
            <v>SALES_BRAZIL</v>
          </cell>
        </row>
        <row r="117">
          <cell r="B117" t="str">
            <v>Sales - % Other Americas</v>
          </cell>
          <cell r="C117" t="str">
            <v>SALES_OTH_AM</v>
          </cell>
        </row>
        <row r="118">
          <cell r="B118" t="str">
            <v>Sales - Total % EMEA</v>
          </cell>
          <cell r="C118" t="str">
            <v>SALES_TOT_EMEA</v>
          </cell>
        </row>
        <row r="119">
          <cell r="B119" t="str">
            <v>Sales - % UK</v>
          </cell>
          <cell r="C119" t="str">
            <v>SALES_UK</v>
          </cell>
        </row>
        <row r="120">
          <cell r="B120" t="str">
            <v>Sales - % Western Europe-Ex UK</v>
          </cell>
          <cell r="C120" t="str">
            <v>SALES_EU_EX_UK</v>
          </cell>
        </row>
        <row r="137">
          <cell r="B137" t="str">
            <v>Sales - % Central &amp; Eastern Europe</v>
          </cell>
          <cell r="C137" t="str">
            <v>SALES_CEE</v>
          </cell>
        </row>
        <row r="138">
          <cell r="B138" t="str">
            <v>Sales - % Middle East</v>
          </cell>
          <cell r="C138" t="str">
            <v>SALES_ME</v>
          </cell>
        </row>
        <row r="139">
          <cell r="B139" t="str">
            <v>Sales - % Total Africa</v>
          </cell>
          <cell r="C139" t="str">
            <v>SALES_TOT_AFRICA</v>
          </cell>
        </row>
        <row r="140">
          <cell r="B140" t="str">
            <v>Sales - % Russia</v>
          </cell>
          <cell r="C140" t="str">
            <v>SALES_RUSSIA</v>
          </cell>
        </row>
        <row r="141">
          <cell r="B141" t="str">
            <v>Sales - % Other EMEA</v>
          </cell>
          <cell r="C141" t="str">
            <v>SALES_OTH_EMEA</v>
          </cell>
        </row>
        <row r="142">
          <cell r="B142" t="str">
            <v>Sales - Total % Asia (incl Australia &amp; New Zealand)</v>
          </cell>
          <cell r="C142" t="str">
            <v>SALES_TOT_ASIA</v>
          </cell>
        </row>
        <row r="143">
          <cell r="B143" t="str">
            <v>Sales - % Japan</v>
          </cell>
          <cell r="C143" t="str">
            <v>SALES_JAPAN</v>
          </cell>
        </row>
        <row r="144">
          <cell r="B144" t="str">
            <v>Sales - % China</v>
          </cell>
          <cell r="C144" t="str">
            <v>SALES_CHINA</v>
          </cell>
        </row>
        <row r="145">
          <cell r="B145" t="str">
            <v>Sales - % India</v>
          </cell>
          <cell r="C145" t="str">
            <v>SALES_INDIA</v>
          </cell>
        </row>
        <row r="146">
          <cell r="B146" t="str">
            <v>Sales - % South Korea</v>
          </cell>
          <cell r="C146" t="str">
            <v>SALES_SK</v>
          </cell>
        </row>
        <row r="150">
          <cell r="B150" t="str">
            <v>Sales - % Other Asia</v>
          </cell>
          <cell r="C150" t="str">
            <v>SALES_OTH_AEJ</v>
          </cell>
        </row>
        <row r="151">
          <cell r="B151" t="str">
            <v>Sales - % Others</v>
          </cell>
          <cell r="C151" t="str">
            <v>SALES_OTHER</v>
          </cell>
        </row>
        <row r="189">
          <cell r="B189" t="str">
            <v>Sales -% Consumer (C)</v>
          </cell>
          <cell r="C189" t="str">
            <v>SALES_CONS</v>
          </cell>
        </row>
        <row r="190">
          <cell r="B190" t="str">
            <v>Sales -% Industry (I)</v>
          </cell>
          <cell r="C190" t="str">
            <v>SALES_IND</v>
          </cell>
        </row>
        <row r="191">
          <cell r="B191" t="str">
            <v>Sales -% Government (G)</v>
          </cell>
          <cell r="C191" t="str">
            <v>SALES_GOV</v>
          </cell>
        </row>
        <row r="197">
          <cell r="C197" t="str">
            <v>SALES_FX_GPB</v>
          </cell>
        </row>
        <row r="207">
          <cell r="B207" t="str">
            <v>Sales - % FX: Other Currency</v>
          </cell>
          <cell r="C207" t="str">
            <v>SALES_FX_OTH</v>
          </cell>
        </row>
        <row r="209">
          <cell r="A209" t="str">
            <v>Reference Data</v>
          </cell>
        </row>
        <row r="216">
          <cell r="A216" t="str">
            <v>General Information</v>
          </cell>
        </row>
        <row r="240">
          <cell r="A240" t="str">
            <v>Publishing Items</v>
          </cell>
        </row>
        <row r="241">
          <cell r="B241" t="str">
            <v>Book value per share, BVPS (Pub)</v>
          </cell>
          <cell r="C241" t="str">
            <v>BVPS_PUB</v>
          </cell>
          <cell r="D241" t="str">
            <v>CNY</v>
          </cell>
        </row>
        <row r="242">
          <cell r="B242" t="str">
            <v>DPS, dividend per share (Pub)</v>
          </cell>
          <cell r="C242" t="str">
            <v>DPS_PUB</v>
          </cell>
          <cell r="D242" t="str">
            <v>CNY</v>
          </cell>
        </row>
        <row r="243">
          <cell r="B243" t="str">
            <v>Special dividend per share</v>
          </cell>
          <cell r="C243" t="str">
            <v>DPS_SPECIAL_PUB</v>
          </cell>
          <cell r="D243" t="str">
            <v>CNY</v>
          </cell>
        </row>
        <row r="244">
          <cell r="B244" t="str">
            <v>EBITDA (Pub)</v>
          </cell>
          <cell r="C244" t="str">
            <v>EBITDA_PUB</v>
          </cell>
          <cell r="D244" t="str">
            <v>CNY</v>
          </cell>
        </row>
        <row r="245">
          <cell r="B245" t="str">
            <v>EPS (Pub)</v>
          </cell>
          <cell r="C245" t="str">
            <v>EPS_PUB</v>
          </cell>
          <cell r="D245" t="str">
            <v>CNY</v>
          </cell>
        </row>
        <row r="246">
          <cell r="B246" t="str">
            <v>EV adjustment (Pub)</v>
          </cell>
          <cell r="C246" t="str">
            <v>EV_ADJ_PUB</v>
          </cell>
          <cell r="D246" t="str">
            <v>CNY</v>
          </cell>
        </row>
        <row r="247">
          <cell r="B247" t="str">
            <v>Net debt (Pub)</v>
          </cell>
          <cell r="C247" t="str">
            <v>NET_DEBT_PUB</v>
          </cell>
          <cell r="D247" t="str">
            <v>CNY</v>
          </cell>
        </row>
        <row r="248">
          <cell r="B248" t="str">
            <v>Net income (Pub)</v>
          </cell>
          <cell r="C248" t="str">
            <v>NI_PUB</v>
          </cell>
          <cell r="D248" t="str">
            <v>CNY</v>
          </cell>
        </row>
        <row r="249">
          <cell r="B249" t="str">
            <v>EBIT, operating profit (Pub)</v>
          </cell>
          <cell r="C249" t="str">
            <v>EBIT_PUB</v>
          </cell>
          <cell r="D249" t="str">
            <v>CNY</v>
          </cell>
        </row>
        <row r="250">
          <cell r="B250" t="str">
            <v>Pre-tax profit (Pub)</v>
          </cell>
          <cell r="C250" t="str">
            <v>PTP_PUB</v>
          </cell>
          <cell r="D250" t="str">
            <v>CNY</v>
          </cell>
        </row>
        <row r="251">
          <cell r="B251" t="str">
            <v>Sales, revenue (Pub)</v>
          </cell>
          <cell r="C251" t="str">
            <v>REVS_PUB</v>
          </cell>
          <cell r="D251" t="str">
            <v>CNY</v>
          </cell>
        </row>
        <row r="252">
          <cell r="B252" t="str">
            <v>Total shareholders' equity (Pub)</v>
          </cell>
          <cell r="C252" t="str">
            <v>EQ_PUB</v>
          </cell>
          <cell r="D252" t="str">
            <v>CNY</v>
          </cell>
        </row>
        <row r="253">
          <cell r="B253" t="str">
            <v>EPS (consensus)</v>
          </cell>
          <cell r="C253" t="str">
            <v>EPS_CONS_PUB</v>
          </cell>
          <cell r="D253" t="str">
            <v>CNY</v>
          </cell>
        </row>
        <row r="254">
          <cell r="A254" t="str">
            <v>Income Statement</v>
          </cell>
        </row>
        <row r="255">
          <cell r="B255" t="str">
            <v>Provision for income tax</v>
          </cell>
          <cell r="C255" t="str">
            <v>PROV_INC_TAX</v>
          </cell>
          <cell r="D255" t="str">
            <v>CNY</v>
          </cell>
        </row>
        <row r="256">
          <cell r="B256" t="str">
            <v>Minority interest</v>
          </cell>
          <cell r="C256" t="str">
            <v>INC_MINORITY</v>
          </cell>
          <cell r="D256" t="str">
            <v>CNY</v>
          </cell>
        </row>
        <row r="257">
          <cell r="B257" t="str">
            <v>Net income (pre-preferred dividends)</v>
          </cell>
          <cell r="C257" t="str">
            <v>NI_PRE_PREF</v>
          </cell>
          <cell r="D257" t="str">
            <v>CNY</v>
          </cell>
        </row>
        <row r="258">
          <cell r="B258" t="str">
            <v>Preferred dividends</v>
          </cell>
          <cell r="C258" t="str">
            <v>PREF_DIV</v>
          </cell>
          <cell r="D258" t="str">
            <v>CNY</v>
          </cell>
        </row>
        <row r="259">
          <cell r="B259" t="str">
            <v>Net income (pre-exceptionals)</v>
          </cell>
          <cell r="C259" t="str">
            <v>NET_EARNING</v>
          </cell>
          <cell r="D259" t="str">
            <v>CNY</v>
          </cell>
        </row>
        <row r="260">
          <cell r="B260" t="str">
            <v>Post-tax exceptionals</v>
          </cell>
          <cell r="C260" t="str">
            <v>TAX_EXC</v>
          </cell>
          <cell r="D260" t="str">
            <v>CNY</v>
          </cell>
        </row>
        <row r="261">
          <cell r="B261" t="str">
            <v>Net income (post-exceptionals)</v>
          </cell>
          <cell r="C261" t="str">
            <v>NET_INC</v>
          </cell>
          <cell r="D261" t="str">
            <v>CNY</v>
          </cell>
        </row>
        <row r="262">
          <cell r="B262" t="str">
            <v>EPS (pre-exceptionals, basic)</v>
          </cell>
          <cell r="C262" t="str">
            <v>EPS</v>
          </cell>
          <cell r="D262" t="str">
            <v>CNY</v>
          </cell>
        </row>
        <row r="263">
          <cell r="B263" t="str">
            <v>EPS (pre-exceptionals, diluted)</v>
          </cell>
          <cell r="C263" t="str">
            <v>EPS_FUL_DIL</v>
          </cell>
          <cell r="D263" t="str">
            <v>CNY</v>
          </cell>
        </row>
        <row r="264">
          <cell r="B264" t="str">
            <v>EPS (post-exceptionals, basic)</v>
          </cell>
          <cell r="C264" t="str">
            <v>EPS_POST_BASIC</v>
          </cell>
          <cell r="D264" t="str">
            <v>CNY</v>
          </cell>
        </row>
        <row r="265">
          <cell r="B265" t="str">
            <v>EPS (post-exceptionals, diluted)</v>
          </cell>
          <cell r="C265" t="str">
            <v>FULLY_DIL_EPS</v>
          </cell>
          <cell r="D265" t="str">
            <v>CNY</v>
          </cell>
        </row>
        <row r="266">
          <cell r="B266" t="str">
            <v>Common dividends paid</v>
          </cell>
          <cell r="C266" t="str">
            <v>COMMON_DIV_PAID</v>
          </cell>
          <cell r="D266" t="str">
            <v>CNY</v>
          </cell>
        </row>
        <row r="267">
          <cell r="B267" t="str">
            <v>DPS, dividend per share</v>
          </cell>
          <cell r="C267" t="str">
            <v>DPS</v>
          </cell>
          <cell r="D267" t="str">
            <v>CNY</v>
          </cell>
        </row>
        <row r="268">
          <cell r="B268" t="str">
            <v>Weighted average shares outstanding, basic</v>
          </cell>
          <cell r="C268" t="str">
            <v>SH</v>
          </cell>
        </row>
        <row r="269">
          <cell r="B269" t="str">
            <v>Diluted average shares outstanding (mn)</v>
          </cell>
          <cell r="C269" t="str">
            <v>DILUTE_SHARES</v>
          </cell>
        </row>
        <row r="270">
          <cell r="B270" t="str">
            <v>Period-end shares outstanding</v>
          </cell>
          <cell r="C270" t="str">
            <v>NON_OP_ADD</v>
          </cell>
        </row>
        <row r="271">
          <cell r="A271" t="str">
            <v>Additional Income Statement Items</v>
          </cell>
        </row>
        <row r="272">
          <cell r="B272" t="str">
            <v>Marginal tax rate</v>
          </cell>
          <cell r="C272" t="str">
            <v>MARGIN_TAX_RATE</v>
          </cell>
        </row>
        <row r="273">
          <cell r="B273" t="str">
            <v>Net income (consensus) (Pub)</v>
          </cell>
          <cell r="C273" t="str">
            <v>NI_CONS</v>
          </cell>
          <cell r="D273" t="str">
            <v>CNY</v>
          </cell>
        </row>
        <row r="274">
          <cell r="A274" t="str">
            <v>Balance Sheet</v>
          </cell>
        </row>
        <row r="275">
          <cell r="B275" t="str">
            <v>BVPS, book value per share</v>
          </cell>
          <cell r="C275" t="str">
            <v>BVPS</v>
          </cell>
          <cell r="D275" t="str">
            <v>CNY</v>
          </cell>
        </row>
        <row r="276">
          <cell r="A276" t="str">
            <v>Cash Flow Statement</v>
          </cell>
        </row>
        <row r="277">
          <cell r="B277" t="str">
            <v>Net income (pre-preferred dividends)</v>
          </cell>
          <cell r="C277" t="str">
            <v>CF_NI_PRE_PREF</v>
          </cell>
          <cell r="D277" t="str">
            <v>CNY</v>
          </cell>
        </row>
        <row r="278">
          <cell r="A278" t="str">
            <v>Other Items</v>
          </cell>
        </row>
      </sheetData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Valuation"/>
      <sheetName val="AFOSHEET"/>
      <sheetName val="Act Vs Est "/>
      <sheetName val="%Change"/>
      <sheetName val="Company Data"/>
      <sheetName val="Industry Data"/>
      <sheetName val="Model"/>
      <sheetName val="Display"/>
      <sheetName val="Driver"/>
      <sheetName val="GS vs. BBG"/>
      <sheetName val="Market Data"/>
      <sheetName val="Raw Data"/>
      <sheetName val="Basic Data_Wind"/>
      <sheetName val="EPS Walk"/>
      <sheetName val="Driver old"/>
      <sheetName val="000725.SZ_Live_Sheet"/>
      <sheetName val="000725.SZ_Validation_Sheet"/>
      <sheetName val="000725.SZ_Annotation_Sheet"/>
      <sheetName val="000725.SZ_Exchange_Sheet"/>
      <sheetName val="Ratios"/>
      <sheetName val="Chart"/>
      <sheetName val="Sensitivity"/>
      <sheetName val="Output"/>
      <sheetName val="产线及项目"/>
      <sheetName val="公司介绍"/>
      <sheetName val="主营构成"/>
      <sheetName val="政府补助明细"/>
      <sheetName val="财务摘要"/>
      <sheetName val="Management"/>
      <sheetName val="Reg AC"/>
      <sheetName val="Disclaimer"/>
      <sheetName val="First take"/>
      <sheetName val="Commentary"/>
      <sheetName val="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">
          <cell r="A1" t="str">
            <v>Issuer: BOE Technology Group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42094</v>
          </cell>
          <cell r="AF3">
            <v>42185</v>
          </cell>
          <cell r="AG3">
            <v>42277</v>
          </cell>
          <cell r="AH3">
            <v>42369</v>
          </cell>
          <cell r="AI3">
            <v>42369</v>
          </cell>
          <cell r="AJ3">
            <v>42460</v>
          </cell>
          <cell r="AK3">
            <v>42551</v>
          </cell>
          <cell r="AL3">
            <v>42643</v>
          </cell>
          <cell r="AM3">
            <v>42735</v>
          </cell>
          <cell r="AN3">
            <v>42735</v>
          </cell>
          <cell r="AO3">
            <v>42825</v>
          </cell>
          <cell r="AP3">
            <v>42916</v>
          </cell>
          <cell r="AQ3">
            <v>43008</v>
          </cell>
          <cell r="AR3">
            <v>43100</v>
          </cell>
          <cell r="AS3">
            <v>43100</v>
          </cell>
          <cell r="AT3">
            <v>43190</v>
          </cell>
          <cell r="AU3">
            <v>43281</v>
          </cell>
          <cell r="AV3">
            <v>43373</v>
          </cell>
          <cell r="AW3">
            <v>43465</v>
          </cell>
          <cell r="AY3">
            <v>43555</v>
          </cell>
          <cell r="AZ3">
            <v>43646</v>
          </cell>
          <cell r="BA3">
            <v>43738</v>
          </cell>
          <cell r="BB3">
            <v>43830</v>
          </cell>
          <cell r="BC3">
            <v>43830</v>
          </cell>
          <cell r="BD3">
            <v>44196</v>
          </cell>
          <cell r="BE3">
            <v>44561</v>
          </cell>
        </row>
        <row r="11">
          <cell r="B11" t="str">
            <v>Sales, net revenue</v>
          </cell>
          <cell r="C11" t="str">
            <v>SALES</v>
          </cell>
          <cell r="D11">
            <v>0</v>
          </cell>
        </row>
        <row r="12">
          <cell r="B12" t="str">
            <v>Compensation &amp; benfits expense</v>
          </cell>
          <cell r="C12" t="str">
            <v>PERSONNEL</v>
          </cell>
          <cell r="D12">
            <v>0</v>
          </cell>
        </row>
        <row r="13">
          <cell r="B13" t="str">
            <v>Cost of goods sold, COGS</v>
          </cell>
          <cell r="C13" t="str">
            <v>COST_GD_SD</v>
          </cell>
          <cell r="D13">
            <v>0</v>
          </cell>
        </row>
        <row r="14">
          <cell r="B14" t="str">
            <v>SG&amp;A, selling, general and admin. expense</v>
          </cell>
          <cell r="C14" t="str">
            <v>SEL_GL_AD</v>
          </cell>
          <cell r="D14">
            <v>0</v>
          </cell>
        </row>
        <row r="15">
          <cell r="B15" t="str">
            <v>Total operating expense</v>
          </cell>
          <cell r="C15" t="str">
            <v>OP_COST</v>
          </cell>
          <cell r="D15">
            <v>0</v>
          </cell>
        </row>
        <row r="16">
          <cell r="B16" t="str">
            <v>R&amp;D expense</v>
          </cell>
          <cell r="C16" t="str">
            <v>RD_EXP</v>
          </cell>
          <cell r="D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>
            <v>0</v>
          </cell>
        </row>
        <row r="19">
          <cell r="B19" t="str">
            <v>Total operating expense (excl. D&amp;A)</v>
          </cell>
          <cell r="C19" t="str">
            <v>TOT_OPS_EXP</v>
          </cell>
          <cell r="D19">
            <v>0</v>
          </cell>
        </row>
        <row r="20">
          <cell r="B20" t="str">
            <v>EBITDA</v>
          </cell>
          <cell r="C20" t="str">
            <v>EBITDA_CALC</v>
          </cell>
          <cell r="D20">
            <v>0</v>
          </cell>
        </row>
        <row r="21">
          <cell r="B21" t="str">
            <v>Depreciation</v>
          </cell>
          <cell r="C21" t="str">
            <v>DEPREC</v>
          </cell>
          <cell r="D21">
            <v>0</v>
          </cell>
        </row>
        <row r="22">
          <cell r="B22" t="str">
            <v>Amortization</v>
          </cell>
          <cell r="C22" t="str">
            <v>GOODWILL_AMORT</v>
          </cell>
          <cell r="D22">
            <v>0</v>
          </cell>
        </row>
        <row r="23">
          <cell r="B23" t="str">
            <v>EBIT, operating profit</v>
          </cell>
          <cell r="C23" t="str">
            <v>EBIT</v>
          </cell>
          <cell r="D23">
            <v>0</v>
          </cell>
        </row>
        <row r="24">
          <cell r="B24" t="str">
            <v>Interest income</v>
          </cell>
          <cell r="C24" t="str">
            <v>INT_INC_IND</v>
          </cell>
          <cell r="D24">
            <v>0</v>
          </cell>
        </row>
        <row r="25">
          <cell r="B25" t="str">
            <v>Interest expense</v>
          </cell>
          <cell r="C25" t="str">
            <v>INT_EXP_IND</v>
          </cell>
          <cell r="D25">
            <v>0</v>
          </cell>
        </row>
        <row r="26">
          <cell r="B26" t="str">
            <v>Net interest income/(expense)</v>
          </cell>
          <cell r="C26" t="str">
            <v>NET_INT_EXP</v>
          </cell>
          <cell r="D26">
            <v>0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>
            <v>0</v>
          </cell>
        </row>
        <row r="30">
          <cell r="B30" t="str">
            <v>Pre-tax profit</v>
          </cell>
          <cell r="C30" t="str">
            <v>PT_PROF</v>
          </cell>
          <cell r="D30">
            <v>0</v>
          </cell>
        </row>
        <row r="32">
          <cell r="B32" t="str">
            <v>Contribution margin ratio</v>
          </cell>
          <cell r="C32" t="str">
            <v>CONTRIB_MARGIN_RATIO</v>
          </cell>
          <cell r="D32">
            <v>0</v>
          </cell>
        </row>
        <row r="33">
          <cell r="B33" t="str">
            <v>Lease payments</v>
          </cell>
          <cell r="C33" t="str">
            <v>LEASE_PAY</v>
          </cell>
          <cell r="D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>
            <v>0</v>
          </cell>
        </row>
        <row r="36">
          <cell r="B36" t="str">
            <v>Gross interest charge</v>
          </cell>
          <cell r="C36" t="str">
            <v>NET_INT_CH</v>
          </cell>
          <cell r="D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>
            <v>0</v>
          </cell>
        </row>
        <row r="39">
          <cell r="B39" t="str">
            <v>Cash &amp; cash equivalents</v>
          </cell>
          <cell r="C39" t="str">
            <v>CASH_EQ</v>
          </cell>
          <cell r="D39">
            <v>0</v>
          </cell>
        </row>
        <row r="40">
          <cell r="B40" t="str">
            <v>Accounts receivable</v>
          </cell>
          <cell r="C40" t="str">
            <v>DEBTORS</v>
          </cell>
          <cell r="D40">
            <v>0</v>
          </cell>
        </row>
        <row r="41">
          <cell r="B41" t="str">
            <v>Inventory</v>
          </cell>
          <cell r="C41" t="str">
            <v>STOCKS</v>
          </cell>
          <cell r="D41">
            <v>0</v>
          </cell>
        </row>
        <row r="42">
          <cell r="B42" t="str">
            <v>Other current assets</v>
          </cell>
          <cell r="C42" t="str">
            <v>OTH_CUR_ASS</v>
          </cell>
          <cell r="D42">
            <v>0</v>
          </cell>
        </row>
        <row r="43">
          <cell r="B43" t="str">
            <v>Total current assets</v>
          </cell>
          <cell r="C43" t="str">
            <v>CUR_ASS</v>
          </cell>
          <cell r="D43">
            <v>0</v>
          </cell>
        </row>
        <row r="44">
          <cell r="B44" t="str">
            <v>Gross fixed assets, PP&amp;E</v>
          </cell>
          <cell r="C44" t="str">
            <v>GR_FIX_ASS</v>
          </cell>
          <cell r="D44">
            <v>0</v>
          </cell>
        </row>
        <row r="45">
          <cell r="B45" t="str">
            <v>Accumulated depreciation</v>
          </cell>
          <cell r="C45" t="str">
            <v>ACC_DDA</v>
          </cell>
          <cell r="D45">
            <v>0</v>
          </cell>
        </row>
        <row r="46">
          <cell r="B46" t="str">
            <v>Net PP&amp;E</v>
          </cell>
          <cell r="C46" t="str">
            <v>NET_FIX_ASS</v>
          </cell>
          <cell r="D46">
            <v>0</v>
          </cell>
        </row>
        <row r="47">
          <cell r="B47" t="str">
            <v>Gross intangibles</v>
          </cell>
          <cell r="C47" t="str">
            <v>GR_INTANG</v>
          </cell>
          <cell r="D47">
            <v>0</v>
          </cell>
        </row>
        <row r="48">
          <cell r="B48" t="str">
            <v>Accumulated amortization</v>
          </cell>
          <cell r="C48" t="str">
            <v>ACC_AMORT</v>
          </cell>
          <cell r="D48">
            <v>0</v>
          </cell>
        </row>
        <row r="49">
          <cell r="B49" t="str">
            <v>Net intangible assets</v>
          </cell>
          <cell r="C49" t="str">
            <v>NET_INTANG</v>
          </cell>
          <cell r="D49">
            <v>0</v>
          </cell>
        </row>
        <row r="50">
          <cell r="B50" t="str">
            <v>Equity method investments</v>
          </cell>
          <cell r="C50" t="str">
            <v>FIX_ASS_INV</v>
          </cell>
          <cell r="D50">
            <v>0</v>
          </cell>
        </row>
        <row r="51">
          <cell r="B51" t="str">
            <v>Investments in securities</v>
          </cell>
          <cell r="C51" t="str">
            <v>INV_SECUR</v>
          </cell>
          <cell r="D51">
            <v>0</v>
          </cell>
        </row>
        <row r="52">
          <cell r="B52" t="str">
            <v>Other long-term assets</v>
          </cell>
          <cell r="C52" t="str">
            <v>OTH_LT_ASS</v>
          </cell>
          <cell r="D52">
            <v>0</v>
          </cell>
        </row>
        <row r="53">
          <cell r="B53" t="str">
            <v>Total assets</v>
          </cell>
          <cell r="C53" t="str">
            <v>TOT_ASSET</v>
          </cell>
          <cell r="D53">
            <v>0</v>
          </cell>
        </row>
        <row r="54">
          <cell r="B54" t="str">
            <v>Accounts payable</v>
          </cell>
          <cell r="C54" t="str">
            <v>ACC_PAY_GQ</v>
          </cell>
          <cell r="D54">
            <v>0</v>
          </cell>
        </row>
        <row r="55">
          <cell r="B55" t="str">
            <v>Short-term debt</v>
          </cell>
          <cell r="C55" t="str">
            <v>SHORT_T_DEBT</v>
          </cell>
          <cell r="D55">
            <v>0</v>
          </cell>
        </row>
        <row r="56">
          <cell r="B56" t="str">
            <v>Other current liabilities</v>
          </cell>
          <cell r="C56" t="str">
            <v>OTH_CUR_LIABS</v>
          </cell>
          <cell r="D56">
            <v>0</v>
          </cell>
        </row>
        <row r="57">
          <cell r="B57" t="str">
            <v>Total current liabilities</v>
          </cell>
          <cell r="C57" t="str">
            <v>SHORT_TERM_LIABS</v>
          </cell>
          <cell r="D57">
            <v>0</v>
          </cell>
        </row>
        <row r="58">
          <cell r="B58" t="str">
            <v>Long-term  debt</v>
          </cell>
          <cell r="C58" t="str">
            <v>LT_DEBT</v>
          </cell>
          <cell r="D58">
            <v>0</v>
          </cell>
        </row>
        <row r="59">
          <cell r="B59" t="str">
            <v>Other long-term liabilities</v>
          </cell>
          <cell r="C59" t="str">
            <v>OTH_LT_CRED_GQ</v>
          </cell>
          <cell r="D59">
            <v>0</v>
          </cell>
        </row>
        <row r="60">
          <cell r="B60" t="str">
            <v>Total long-term liabilities</v>
          </cell>
          <cell r="C60" t="str">
            <v>TOT_LT_LIAB</v>
          </cell>
          <cell r="D60">
            <v>0</v>
          </cell>
        </row>
        <row r="61">
          <cell r="B61" t="str">
            <v>Total liabilities</v>
          </cell>
          <cell r="C61" t="str">
            <v>TOT_LIAB</v>
          </cell>
          <cell r="D61">
            <v>0</v>
          </cell>
        </row>
        <row r="62">
          <cell r="B62" t="str">
            <v>Preferred shares</v>
          </cell>
          <cell r="C62" t="str">
            <v>PREF_SH</v>
          </cell>
          <cell r="D62">
            <v>0</v>
          </cell>
        </row>
        <row r="63">
          <cell r="B63" t="str">
            <v>Total common equity</v>
          </cell>
          <cell r="C63" t="str">
            <v>ORD_SH_FUND</v>
          </cell>
          <cell r="D63">
            <v>0</v>
          </cell>
        </row>
        <row r="64">
          <cell r="B64" t="str">
            <v>Minority interest</v>
          </cell>
          <cell r="C64" t="str">
            <v>MINORITIES</v>
          </cell>
          <cell r="D64">
            <v>0</v>
          </cell>
        </row>
        <row r="65">
          <cell r="B65" t="str">
            <v>Total shareholders' equity</v>
          </cell>
          <cell r="C65" t="str">
            <v>EQ</v>
          </cell>
          <cell r="D65">
            <v>0</v>
          </cell>
        </row>
        <row r="66">
          <cell r="B66" t="str">
            <v>Total liabilities and equity</v>
          </cell>
          <cell r="C66" t="str">
            <v>TOT_LIAB_EQ</v>
          </cell>
          <cell r="D66">
            <v>0</v>
          </cell>
        </row>
        <row r="72">
          <cell r="B72" t="str">
            <v>Net debt</v>
          </cell>
          <cell r="C72" t="str">
            <v>NET_DEBT</v>
          </cell>
          <cell r="D72">
            <v>0</v>
          </cell>
        </row>
        <row r="73">
          <cell r="B73" t="str">
            <v>Capitalized leases</v>
          </cell>
          <cell r="C73" t="str">
            <v>CAP_LEASES</v>
          </cell>
          <cell r="D73">
            <v>0</v>
          </cell>
        </row>
        <row r="74">
          <cell r="B74" t="str">
            <v>Deferred income taxes</v>
          </cell>
          <cell r="C74" t="str">
            <v>DEF_INC_TAX</v>
          </cell>
          <cell r="D74">
            <v>0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>
            <v>0</v>
          </cell>
        </row>
        <row r="76">
          <cell r="B76" t="str">
            <v>Net debt adjustment</v>
          </cell>
          <cell r="C76" t="str">
            <v>NET_DEBT_ADJ</v>
          </cell>
          <cell r="D76">
            <v>0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>
            <v>0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>
            <v>0</v>
          </cell>
        </row>
        <row r="82">
          <cell r="B82" t="str">
            <v>Other GCI adjustments</v>
          </cell>
          <cell r="C82" t="str">
            <v>OTH_GCI_ADJ</v>
          </cell>
          <cell r="D82">
            <v>0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>
            <v>0</v>
          </cell>
        </row>
        <row r="86">
          <cell r="B86" t="str">
            <v>Minority interest add-back</v>
          </cell>
          <cell r="C86" t="str">
            <v>CF_INC_MINORITY</v>
          </cell>
          <cell r="D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>
            <v>0</v>
          </cell>
        </row>
        <row r="88">
          <cell r="B88" t="str">
            <v>(Increase)/decrease in working capital</v>
          </cell>
          <cell r="C88" t="str">
            <v>WORK_CAP</v>
          </cell>
          <cell r="D88">
            <v>0</v>
          </cell>
        </row>
        <row r="89">
          <cell r="B89" t="str">
            <v>Other operating cash flow items</v>
          </cell>
          <cell r="C89" t="str">
            <v>OTH_OP_CF</v>
          </cell>
          <cell r="D89">
            <v>0</v>
          </cell>
        </row>
        <row r="90">
          <cell r="B90" t="str">
            <v>Cash flow from operating activities</v>
          </cell>
          <cell r="C90" t="str">
            <v>CF_OPS</v>
          </cell>
          <cell r="D90">
            <v>0</v>
          </cell>
        </row>
        <row r="91">
          <cell r="B91" t="str">
            <v>Capital expenditures, Capex</v>
          </cell>
          <cell r="C91" t="str">
            <v>CAPEX</v>
          </cell>
          <cell r="D91">
            <v>0</v>
          </cell>
        </row>
        <row r="92">
          <cell r="B92" t="str">
            <v>Acquisitions</v>
          </cell>
          <cell r="C92" t="str">
            <v>ACQ</v>
          </cell>
          <cell r="D92">
            <v>0</v>
          </cell>
        </row>
        <row r="93">
          <cell r="B93" t="str">
            <v>Divestitures</v>
          </cell>
          <cell r="C93" t="str">
            <v>DIVEST</v>
          </cell>
          <cell r="D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>
            <v>0</v>
          </cell>
        </row>
        <row r="95">
          <cell r="B95" t="str">
            <v>Cash flow from investing</v>
          </cell>
          <cell r="C95" t="str">
            <v>CF_INV</v>
          </cell>
          <cell r="D95">
            <v>0</v>
          </cell>
        </row>
        <row r="96">
          <cell r="B96" t="str">
            <v>Dividends paid</v>
          </cell>
          <cell r="C96" t="str">
            <v>DIV_PAID</v>
          </cell>
          <cell r="D96">
            <v>0</v>
          </cell>
        </row>
        <row r="97">
          <cell r="B97" t="str">
            <v>Common stock issuance/(repurchase)</v>
          </cell>
          <cell r="C97" t="str">
            <v>SH_REPUR</v>
          </cell>
          <cell r="D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>
            <v>0</v>
          </cell>
        </row>
        <row r="99">
          <cell r="B99" t="str">
            <v>Other financing cash flow items</v>
          </cell>
          <cell r="C99" t="str">
            <v>OTH_FIN_CF</v>
          </cell>
          <cell r="D99">
            <v>0</v>
          </cell>
        </row>
        <row r="100">
          <cell r="B100" t="str">
            <v>Cash flow from financing</v>
          </cell>
          <cell r="C100" t="str">
            <v>CF_FIN</v>
          </cell>
          <cell r="D100">
            <v>0</v>
          </cell>
        </row>
        <row r="101">
          <cell r="B101" t="str">
            <v>Total cash flow</v>
          </cell>
          <cell r="C101" t="str">
            <v>TOT_CF</v>
          </cell>
          <cell r="D101">
            <v>0</v>
          </cell>
        </row>
        <row r="103">
          <cell r="B103" t="str">
            <v>Associate and JV add-back</v>
          </cell>
          <cell r="C103" t="str">
            <v>ASSOC_JV_ADDBK</v>
          </cell>
          <cell r="D103">
            <v>0</v>
          </cell>
        </row>
        <row r="104">
          <cell r="B104" t="str">
            <v>Profit/(loss) on sale of assets</v>
          </cell>
          <cell r="C104" t="str">
            <v>PL_SALE_ASSETS</v>
          </cell>
          <cell r="D104">
            <v>0</v>
          </cell>
        </row>
        <row r="105">
          <cell r="B105" t="str">
            <v>Other non-cash adjustments</v>
          </cell>
          <cell r="C105" t="str">
            <v>OTH_NONCASH_ADJ</v>
          </cell>
          <cell r="D105">
            <v>0</v>
          </cell>
        </row>
        <row r="106">
          <cell r="B106" t="str">
            <v>Other DACF adjustments</v>
          </cell>
          <cell r="C106" t="str">
            <v>OTH_DACF_ADJ</v>
          </cell>
          <cell r="D106">
            <v>0</v>
          </cell>
        </row>
        <row r="107">
          <cell r="B107" t="str">
            <v>Cash interest expense</v>
          </cell>
          <cell r="C107" t="str">
            <v>CASH_INT_EXP</v>
          </cell>
          <cell r="D107">
            <v>0</v>
          </cell>
        </row>
        <row r="108">
          <cell r="B108" t="str">
            <v>Cash tax expense</v>
          </cell>
          <cell r="C108" t="str">
            <v>CASH_TAX_EXP</v>
          </cell>
          <cell r="D108">
            <v>0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>
            <v>0</v>
          </cell>
        </row>
        <row r="110">
          <cell r="B110" t="str">
            <v>Capex maintenance</v>
          </cell>
          <cell r="C110" t="str">
            <v>CAPEX_MAINTENANCE</v>
          </cell>
          <cell r="D110">
            <v>0</v>
          </cell>
        </row>
        <row r="111">
          <cell r="B111" t="str">
            <v>Capex expansion</v>
          </cell>
          <cell r="C111" t="str">
            <v>CAPEX_EXPANSION</v>
          </cell>
          <cell r="D111">
            <v>0</v>
          </cell>
        </row>
        <row r="112">
          <cell r="B112" t="str">
            <v>Non-PP&amp;E capex</v>
          </cell>
          <cell r="C112" t="str">
            <v>NONPPE_CAPEX</v>
          </cell>
          <cell r="D112">
            <v>0</v>
          </cell>
        </row>
        <row r="113">
          <cell r="B113" t="str">
            <v>Dividends paid to minorities</v>
          </cell>
          <cell r="C113" t="str">
            <v>DIVDS_PD_MINORITIES</v>
          </cell>
          <cell r="D113">
            <v>0</v>
          </cell>
        </row>
        <row r="115">
          <cell r="B115" t="str">
            <v>Number of employees</v>
          </cell>
          <cell r="C115" t="str">
            <v>EMPLOYEES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6">
          <cell r="B176" t="str">
            <v>Expense - % Oil/Petrol/Fuel</v>
          </cell>
          <cell r="C176" t="str">
            <v>EXP_OIL_PETRO_FUEL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4">
          <cell r="B184" t="str">
            <v>Sales - % FX: British Pounds/Pence</v>
          </cell>
          <cell r="C184" t="str">
            <v>SALES_FX_GPB</v>
          </cell>
        </row>
        <row r="185">
          <cell r="B185" t="str">
            <v>Sales - % FX: Euro</v>
          </cell>
          <cell r="C185" t="str">
            <v>SALES_FX_EUR</v>
          </cell>
        </row>
        <row r="186">
          <cell r="B186" t="str">
            <v>Sales - % FX: New Russian Ruble</v>
          </cell>
          <cell r="C186" t="str">
            <v>SALES_FX_RUB</v>
          </cell>
        </row>
        <row r="187">
          <cell r="B187" t="str">
            <v>Sales - % FX: U.S. Dollar</v>
          </cell>
          <cell r="C187" t="str">
            <v>SALES_FX_USD</v>
          </cell>
        </row>
        <row r="188">
          <cell r="B188" t="str">
            <v>Sales - % FX: Brazilian Real</v>
          </cell>
          <cell r="C188" t="str">
            <v>SALES_FX_BRL</v>
          </cell>
        </row>
        <row r="189">
          <cell r="B189" t="str">
            <v>Sales - % FX: Japanese Yen</v>
          </cell>
          <cell r="C189" t="str">
            <v>SALES_FX_YEN</v>
          </cell>
        </row>
        <row r="190">
          <cell r="B190" t="str">
            <v>Sales - % FX: Chinese Renminbi</v>
          </cell>
          <cell r="C190" t="str">
            <v>SALES_FX_CNY</v>
          </cell>
        </row>
        <row r="191">
          <cell r="B191" t="str">
            <v>Sales - % FX: Indian Rupee</v>
          </cell>
          <cell r="C191" t="str">
            <v>SALES_FX_INR</v>
          </cell>
        </row>
        <row r="192">
          <cell r="B192" t="str">
            <v>Sales - % FX: South Korean Won</v>
          </cell>
          <cell r="C192" t="str">
            <v>SALES_FX_KRW</v>
          </cell>
        </row>
        <row r="193">
          <cell r="B193" t="str">
            <v>Sales - % FX: Taiwan Dollar</v>
          </cell>
          <cell r="C193" t="str">
            <v>SALES_FX_TWD</v>
          </cell>
        </row>
        <row r="194">
          <cell r="B194" t="str">
            <v>Sales - % FX: Other Currency</v>
          </cell>
          <cell r="C194" t="str">
            <v>SALES_FX_OTH</v>
          </cell>
        </row>
        <row r="196">
          <cell r="C196" t="str">
            <v>SALES_TOT_AM</v>
          </cell>
        </row>
        <row r="205">
          <cell r="C205" t="str">
            <v>SALES_OTH_AEJ</v>
          </cell>
        </row>
      </sheetData>
      <sheetData sheetId="20" refreshError="1">
        <row r="1">
          <cell r="A1" t="str">
            <v>2971a6c6-2f88-4c1c-b992-9dba2a4308fc</v>
          </cell>
        </row>
        <row r="2">
          <cell r="A2" t="str">
            <v>M:\china_innovation\Display panel sector\BOE 京东方\[Copy of GS_BOE (000725.SZ) model.xlsm]000725.SZ_Validation_Sheet</v>
          </cell>
        </row>
        <row r="3">
          <cell r="A3" t="str">
            <v>Enabled</v>
          </cell>
        </row>
        <row r="11">
          <cell r="A11" t="str">
            <v>Vector|||208006410|||ISSR|||SALES|||False|||</v>
          </cell>
          <cell r="C11" t="str">
            <v>V_KEYWORD_ISSR_208006410_SALES</v>
          </cell>
        </row>
        <row r="12">
          <cell r="A12" t="str">
            <v>Vector|||208006410|||ISSR|||PERSONNEL|||False|||</v>
          </cell>
          <cell r="C12" t="str">
            <v>V_KEYWORD_ISSR_208006410_PERSONNEL</v>
          </cell>
        </row>
        <row r="13">
          <cell r="A13" t="str">
            <v>Vector|||208006410|||ISSR|||COST_GD_SD|||False|||</v>
          </cell>
          <cell r="C13" t="str">
            <v>V_KEYWORD_ISSR_208006410_COST_GD_SD</v>
          </cell>
        </row>
        <row r="14">
          <cell r="A14" t="str">
            <v>Vector|||208006410|||ISSR|||SEL_GL_AD|||False|||</v>
          </cell>
          <cell r="C14" t="str">
            <v>V_KEYWORD_ISSR_208006410_SEL_GL_AD</v>
          </cell>
        </row>
        <row r="15">
          <cell r="A15" t="str">
            <v>Vector|||208006410|||ISSR|||OP_COST|||False|||</v>
          </cell>
          <cell r="C15" t="str">
            <v>V_KEYWORD_ISSR_208006410_OP_COST</v>
          </cell>
        </row>
        <row r="16">
          <cell r="A16" t="str">
            <v>Vector|||208006410|||ISSR|||RD_EXP|||False|||</v>
          </cell>
          <cell r="C16" t="str">
            <v>V_KEYWORD_ISSR_208006410_RD_EXP</v>
          </cell>
        </row>
        <row r="17">
          <cell r="A17" t="str">
            <v>Vector|||208006410|||ISSR|||OTH_OP_INC_EXP|||False|||</v>
          </cell>
          <cell r="C17" t="str">
            <v>V_KEYWORD_ISSR_208006410_OTH_OP_INC_EXP</v>
          </cell>
        </row>
        <row r="18">
          <cell r="A18" t="str">
            <v>Vector|||208006410|||ISSR|||TOT_OPS_EXP_DDA|||False|||</v>
          </cell>
          <cell r="C18" t="str">
            <v>V_KEYWORD_ISSR_208006410_TOT_OPS_EXP_DDA</v>
          </cell>
        </row>
        <row r="19">
          <cell r="A19" t="str">
            <v>Vector|||208006410|||ISSR|||TOT_OPS_EXP|||False|||</v>
          </cell>
          <cell r="C19" t="str">
            <v>V_KEYWORD_ISSR_208006410_TOT_OPS_EXP</v>
          </cell>
        </row>
        <row r="20">
          <cell r="A20" t="str">
            <v>Vector|||208006410|||ISSR|||EBITDA_CALC|||False|||</v>
          </cell>
          <cell r="C20" t="str">
            <v>V_KEYWORD_ISSR_208006410_EBITDA_CALC</v>
          </cell>
        </row>
        <row r="21">
          <cell r="A21" t="str">
            <v>Vector|||208006410|||ISSR|||DEPREC|||False|||</v>
          </cell>
          <cell r="C21" t="str">
            <v>V_KEYWORD_ISSR_208006410_DEPREC</v>
          </cell>
        </row>
        <row r="22">
          <cell r="A22" t="str">
            <v>Vector|||208006410|||ISSR|||GOODWILL_AMORT|||False|||</v>
          </cell>
          <cell r="C22" t="str">
            <v>V_KEYWORD_ISSR_208006410_GOODWILL_AMORT</v>
          </cell>
        </row>
        <row r="23">
          <cell r="A23" t="str">
            <v>Vector|||208006410|||ISSR|||EBIT|||False|||</v>
          </cell>
          <cell r="C23" t="str">
            <v>V_KEYWORD_ISSR_208006410_EBIT</v>
          </cell>
        </row>
        <row r="24">
          <cell r="A24" t="str">
            <v>Vector|||208006410|||ISSR|||INT_INC_IND|||False|||</v>
          </cell>
          <cell r="C24" t="str">
            <v>V_KEYWORD_ISSR_208006410_INT_INC_IND</v>
          </cell>
        </row>
        <row r="25">
          <cell r="A25" t="str">
            <v>Vector|||208006410|||ISSR|||INT_EXP_IND|||False|||</v>
          </cell>
          <cell r="C25" t="str">
            <v>V_KEYWORD_ISSR_208006410_INT_EXP_IND</v>
          </cell>
        </row>
        <row r="26">
          <cell r="A26" t="str">
            <v>Vector|||208006410|||ISSR|||NET_INT_EXP|||False|||</v>
          </cell>
          <cell r="C26" t="str">
            <v>V_KEYWORD_ISSR_208006410_NET_INT_EXP</v>
          </cell>
        </row>
        <row r="27">
          <cell r="A27" t="str">
            <v>Vector|||208006410|||ISSR|||ASSOCIATE|||False|||</v>
          </cell>
          <cell r="C27" t="str">
            <v>V_KEYWORD_ISSR_208006410_ASSOCIATE</v>
          </cell>
        </row>
        <row r="28">
          <cell r="A28" t="str">
            <v>Vector|||208006410|||ISSR|||PROFIT_ON_DISP|||False|||</v>
          </cell>
          <cell r="C28" t="str">
            <v>V_KEYWORD_ISSR_208006410_PROFIT_ON_DISP</v>
          </cell>
        </row>
        <row r="29">
          <cell r="A29" t="str">
            <v>Vector|||208006410|||ISSR|||OTH_COST_INC|||False|||</v>
          </cell>
          <cell r="C29" t="str">
            <v>V_KEYWORD_ISSR_208006410_OTH_COST_INC</v>
          </cell>
        </row>
        <row r="30">
          <cell r="A30" t="str">
            <v>Vector|||208006410|||ISSR|||PT_PROF|||False|||</v>
          </cell>
          <cell r="C30" t="str">
            <v>V_KEYWORD_ISSR_208006410_PT_PROF</v>
          </cell>
        </row>
        <row r="32">
          <cell r="A32" t="str">
            <v>Vector|||208006410|||ISSR|||CONTRIB_MARGIN_RATIO|||False|||</v>
          </cell>
          <cell r="C32" t="str">
            <v>V_KEYWORD_ISSR_208006410_CONTRIB_MARGIN_RATIO</v>
          </cell>
        </row>
        <row r="33">
          <cell r="A33" t="str">
            <v>Vector|||208006410|||ISSR|||LEASE_PAY|||False|||</v>
          </cell>
          <cell r="C33" t="str">
            <v>V_KEYWORD_ISSR_208006410_LEASE_PAY</v>
          </cell>
        </row>
        <row r="34">
          <cell r="A34" t="str">
            <v>Vector|||208006410|||ISSR|||LEASE_DEEM_INT|||False|||</v>
          </cell>
          <cell r="C34" t="str">
            <v>V_KEYWORD_ISSR_208006410_LEASE_DEEM_INT</v>
          </cell>
        </row>
        <row r="35">
          <cell r="A35" t="str">
            <v>Vector|||208006410|||ISSR|||LEASE_DEEM_DEPR|||False|||</v>
          </cell>
          <cell r="C35" t="str">
            <v>V_KEYWORD_ISSR_208006410_LEASE_DEEM_DEPR</v>
          </cell>
        </row>
        <row r="36">
          <cell r="A36" t="str">
            <v>Vector|||208006410|||ISSR|||NET_INT_CH|||False|||</v>
          </cell>
          <cell r="C36" t="str">
            <v>V_KEYWORD_ISSR_208006410_NET_INT_CH</v>
          </cell>
        </row>
        <row r="37">
          <cell r="A37" t="str">
            <v>Vector|||208006410|||ISSR|||ASSOCIATE_OP|||False|||</v>
          </cell>
          <cell r="C37" t="str">
            <v>V_KEYWORD_ISSR_208006410_ASSOCIATE_OP</v>
          </cell>
        </row>
        <row r="39">
          <cell r="A39" t="str">
            <v>Vector|||208006410|||ISSR|||CASH_EQ|||False|||</v>
          </cell>
          <cell r="C39" t="str">
            <v>V_KEYWORD_ISSR_208006410_CASH_EQ</v>
          </cell>
        </row>
        <row r="40">
          <cell r="A40" t="str">
            <v>Vector|||208006410|||ISSR|||DEBTORS|||False|||</v>
          </cell>
          <cell r="C40" t="str">
            <v>V_KEYWORD_ISSR_208006410_DEBTORS</v>
          </cell>
        </row>
        <row r="41">
          <cell r="A41" t="str">
            <v>Vector|||208006410|||ISSR|||STOCKS|||False|||</v>
          </cell>
          <cell r="C41" t="str">
            <v>V_KEYWORD_ISSR_208006410_STOCKS</v>
          </cell>
        </row>
        <row r="42">
          <cell r="A42" t="str">
            <v>Vector|||208006410|||ISSR|||OTH_CUR_ASS|||False|||</v>
          </cell>
          <cell r="C42" t="str">
            <v>V_KEYWORD_ISSR_208006410_OTH_CUR_ASS</v>
          </cell>
        </row>
        <row r="43">
          <cell r="A43" t="str">
            <v>Vector|||208006410|||ISSR|||CUR_ASS|||False|||</v>
          </cell>
          <cell r="C43" t="str">
            <v>V_KEYWORD_ISSR_208006410_CUR_ASS</v>
          </cell>
        </row>
        <row r="44">
          <cell r="A44" t="str">
            <v>Vector|||208006410|||ISSR|||GR_FIX_ASS|||False|||</v>
          </cell>
          <cell r="C44" t="str">
            <v>V_KEYWORD_ISSR_208006410_GR_FIX_ASS</v>
          </cell>
        </row>
        <row r="45">
          <cell r="A45" t="str">
            <v>Vector|||208006410|||ISSR|||ACC_DDA|||False|||</v>
          </cell>
          <cell r="C45" t="str">
            <v>V_KEYWORD_ISSR_208006410_ACC_DDA</v>
          </cell>
        </row>
        <row r="46">
          <cell r="A46" t="str">
            <v>Vector|||208006410|||ISSR|||NET_FIX_ASS|||False|||</v>
          </cell>
          <cell r="C46" t="str">
            <v>V_KEYWORD_ISSR_208006410_NET_FIX_ASS</v>
          </cell>
        </row>
        <row r="47">
          <cell r="A47" t="str">
            <v>Vector|||208006410|||ISSR|||GR_INTANG|||False|||</v>
          </cell>
          <cell r="C47" t="str">
            <v>V_KEYWORD_ISSR_208006410_GR_INTANG</v>
          </cell>
        </row>
        <row r="48">
          <cell r="A48" t="str">
            <v>Vector|||208006410|||ISSR|||ACC_AMORT|||False|||</v>
          </cell>
          <cell r="C48" t="str">
            <v>V_KEYWORD_ISSR_208006410_ACC_AMORT</v>
          </cell>
        </row>
        <row r="49">
          <cell r="A49" t="str">
            <v>Vector|||208006410|||ISSR|||NET_INTANG|||False|||</v>
          </cell>
          <cell r="C49" t="str">
            <v>V_KEYWORD_ISSR_208006410_NET_INTANG</v>
          </cell>
        </row>
        <row r="50">
          <cell r="A50" t="str">
            <v>Vector|||208006410|||ISSR|||FIX_ASS_INV|||False|||</v>
          </cell>
          <cell r="C50" t="str">
            <v>V_KEYWORD_ISSR_208006410_FIX_ASS_INV</v>
          </cell>
        </row>
        <row r="51">
          <cell r="A51" t="str">
            <v>Vector|||208006410|||ISSR|||INV_SECUR|||False|||</v>
          </cell>
          <cell r="C51" t="str">
            <v>V_KEYWORD_ISSR_208006410_INV_SECUR</v>
          </cell>
        </row>
        <row r="52">
          <cell r="A52" t="str">
            <v>Vector|||208006410|||ISSR|||OTH_LT_ASS|||False|||</v>
          </cell>
          <cell r="C52" t="str">
            <v>V_KEYWORD_ISSR_208006410_OTH_LT_ASS</v>
          </cell>
        </row>
        <row r="53">
          <cell r="A53" t="str">
            <v>Vector|||208006410|||ISSR|||TOT_ASSET|||False|||</v>
          </cell>
          <cell r="C53" t="str">
            <v>V_KEYWORD_ISSR_208006410_TOT_ASSET</v>
          </cell>
        </row>
        <row r="54">
          <cell r="A54" t="str">
            <v>Vector|||208006410|||ISSR|||ACC_PAY_GQ|||False|||</v>
          </cell>
          <cell r="C54" t="str">
            <v>V_KEYWORD_ISSR_208006410_ACC_PAY_GQ</v>
          </cell>
        </row>
        <row r="55">
          <cell r="A55" t="str">
            <v>Vector|||208006410|||ISSR|||SHORT_T_DEBT|||False|||</v>
          </cell>
          <cell r="C55" t="str">
            <v>V_KEYWORD_ISSR_208006410_SHORT_T_DEBT</v>
          </cell>
        </row>
        <row r="56">
          <cell r="A56" t="str">
            <v>Vector|||208006410|||ISSR|||OTH_CUR_LIABS|||False|||</v>
          </cell>
          <cell r="C56" t="str">
            <v>V_KEYWORD_ISSR_208006410_OTH_CUR_LIABS</v>
          </cell>
        </row>
        <row r="57">
          <cell r="A57" t="str">
            <v>Vector|||208006410|||ISSR|||SHORT_TERM_LIABS|||False|||</v>
          </cell>
          <cell r="C57" t="str">
            <v>V_KEYWORD_ISSR_208006410_SHORT_TERM_LIABS</v>
          </cell>
        </row>
        <row r="58">
          <cell r="A58" t="str">
            <v>Vector|||208006410|||ISSR|||LT_DEBT|||False|||</v>
          </cell>
          <cell r="C58" t="str">
            <v>V_KEYWORD_ISSR_208006410_LT_DEBT</v>
          </cell>
        </row>
        <row r="59">
          <cell r="A59" t="str">
            <v>Vector|||208006410|||ISSR|||OTH_LT_CRED_GQ|||False|||</v>
          </cell>
          <cell r="C59" t="str">
            <v>V_KEYWORD_ISSR_208006410_OTH_LT_CRED_GQ</v>
          </cell>
        </row>
        <row r="60">
          <cell r="A60" t="str">
            <v>Vector|||208006410|||ISSR|||TOT_LT_LIAB|||False|||</v>
          </cell>
          <cell r="C60" t="str">
            <v>V_KEYWORD_ISSR_208006410_TOT_LT_LIAB</v>
          </cell>
        </row>
        <row r="61">
          <cell r="A61" t="str">
            <v>Vector|||208006410|||ISSR|||TOT_LIAB|||False|||</v>
          </cell>
          <cell r="C61" t="str">
            <v>V_KEYWORD_ISSR_208006410_TOT_LIAB</v>
          </cell>
        </row>
        <row r="62">
          <cell r="A62" t="str">
            <v>Vector|||208006410|||ISSR|||PREF_SH|||False|||</v>
          </cell>
          <cell r="C62" t="str">
            <v>V_KEYWORD_ISSR_208006410_PREF_SH</v>
          </cell>
        </row>
        <row r="63">
          <cell r="A63" t="str">
            <v>Vector|||208006410|||ISSR|||ORD_SH_FUND|||False|||</v>
          </cell>
          <cell r="C63" t="str">
            <v>V_KEYWORD_ISSR_208006410_ORD_SH_FUND</v>
          </cell>
        </row>
        <row r="64">
          <cell r="A64" t="str">
            <v>Vector|||208006410|||ISSR|||MINORITIES|||False|||</v>
          </cell>
          <cell r="C64" t="str">
            <v>V_KEYWORD_ISSR_208006410_MINORITIES</v>
          </cell>
        </row>
        <row r="65">
          <cell r="A65" t="str">
            <v>Vector|||208006410|||ISSR|||EQ|||False|||</v>
          </cell>
          <cell r="C65" t="str">
            <v>V_KEYWORD_ISSR_208006410_EQ</v>
          </cell>
        </row>
        <row r="66">
          <cell r="A66" t="str">
            <v>Vector|||208006410|||ISSR|||TOT_LIAB_EQ|||False|||</v>
          </cell>
          <cell r="C66" t="str">
            <v>V_KEYWORD_ISSR_208006410_TOT_LIAB_EQ</v>
          </cell>
        </row>
        <row r="72">
          <cell r="A72" t="str">
            <v>Vector|||208006410|||ISSR|||NET_DEBT|||False|||</v>
          </cell>
          <cell r="C72" t="str">
            <v>V_KEYWORD_ISSR_208006410_NET_DEBT</v>
          </cell>
        </row>
        <row r="73">
          <cell r="A73" t="str">
            <v>Vector|||208006410|||ISSR|||CAP_LEASES|||False|||</v>
          </cell>
          <cell r="C73" t="str">
            <v>V_KEYWORD_ISSR_208006410_CAP_LEASES</v>
          </cell>
        </row>
        <row r="74">
          <cell r="A74" t="str">
            <v>Vector|||208006410|||ISSR|||DEF_INC_TAX|||False|||</v>
          </cell>
          <cell r="C74" t="str">
            <v>V_KEYWORD_ISSR_208006410_DEF_INC_TAX</v>
          </cell>
        </row>
        <row r="75">
          <cell r="A75" t="str">
            <v>Vector|||208006410|||ISSR|||MV_ASSOCIATES|||False|||</v>
          </cell>
          <cell r="C75" t="str">
            <v>V_KEYWORD_ISSR_208006410_MV_ASSOCIATES</v>
          </cell>
        </row>
        <row r="76">
          <cell r="A76" t="str">
            <v>Vector|||208006410|||ISSR|||NET_DEBT_ADJ|||False|||</v>
          </cell>
          <cell r="C76" t="str">
            <v>V_KEYWORD_ISSR_208006410_NET_DEBT_ADJ</v>
          </cell>
        </row>
        <row r="77">
          <cell r="A77" t="str">
            <v>Vector|||208006410|||ISSR|||CO_BOR_MARGIN|||False|||</v>
          </cell>
          <cell r="C77" t="str">
            <v>V_KEYWORD_ISSR_208006410_CO_BOR_MARGIN</v>
          </cell>
        </row>
        <row r="78">
          <cell r="A78" t="str">
            <v>Vector|||208006410|||ISSR|||UNF_PENS|||False|||</v>
          </cell>
          <cell r="C78" t="str">
            <v>V_KEYWORD_ISSR_208006410_UNF_PENS</v>
          </cell>
        </row>
        <row r="79">
          <cell r="A79" t="str">
            <v>Vector|||208006410|||ISSR|||UNF_PENS_OFF|||False|||</v>
          </cell>
          <cell r="C79" t="str">
            <v>V_KEYWORD_ISSR_208006410_UNF_PENS_OFF</v>
          </cell>
        </row>
        <row r="80">
          <cell r="A80" t="str">
            <v>Vector|||208006410|||ISSR|||UNF_PENS_LIAB_OTH|||False|||</v>
          </cell>
          <cell r="C80" t="str">
            <v>V_KEYWORD_ISSR_208006410_UNF_PENS_LIAB_OTH</v>
          </cell>
        </row>
        <row r="81">
          <cell r="A81" t="str">
            <v>Vector|||208006410|||ISSR|||ADJ_UNF_PENS_GOOD|||False|||</v>
          </cell>
          <cell r="C81" t="str">
            <v>V_KEYWORD_ISSR_208006410_ADJ_UNF_PENS_GOOD</v>
          </cell>
        </row>
        <row r="82">
          <cell r="A82" t="str">
            <v>Vector|||208006410|||ISSR|||OTH_GCI_ADJ|||False|||</v>
          </cell>
          <cell r="C82" t="str">
            <v>V_KEYWORD_ISSR_208006410_OTH_GCI_ADJ</v>
          </cell>
        </row>
        <row r="83">
          <cell r="A83" t="str">
            <v>Vector|||208006410|||ISSR|||GCI_INFL|||False|||</v>
          </cell>
          <cell r="C83" t="str">
            <v>V_KEYWORD_ISSR_208006410_GCI_INFL</v>
          </cell>
        </row>
        <row r="84">
          <cell r="A84" t="str">
            <v>Vector|||208006410|||ISSR|||BAL_MINO_INT|||False|||</v>
          </cell>
          <cell r="C84" t="str">
            <v>V_KEYWORD_ISSR_208006410_BAL_MINO_INT</v>
          </cell>
        </row>
        <row r="86">
          <cell r="A86" t="str">
            <v>Vector|||208006410|||ISSR|||CF_INC_MINORITY|||False|||</v>
          </cell>
          <cell r="C86" t="str">
            <v>V_KEYWORD_ISSR_208006410_CF_INC_MINORITY</v>
          </cell>
        </row>
        <row r="87">
          <cell r="A87" t="str">
            <v>Vector|||208006410|||ISSR|||DEPR_AMORT|||False|||</v>
          </cell>
          <cell r="C87" t="str">
            <v>V_KEYWORD_ISSR_208006410_DEPR_AMORT</v>
          </cell>
        </row>
        <row r="88">
          <cell r="A88" t="str">
            <v>Vector|||208006410|||ISSR|||WORK_CAP|||False|||</v>
          </cell>
          <cell r="C88" t="str">
            <v>V_KEYWORD_ISSR_208006410_WORK_CAP</v>
          </cell>
        </row>
        <row r="89">
          <cell r="A89" t="str">
            <v>Vector|||208006410|||ISSR|||OTH_OP_CF|||False|||</v>
          </cell>
          <cell r="C89" t="str">
            <v>V_KEYWORD_ISSR_208006410_OTH_OP_CF</v>
          </cell>
        </row>
        <row r="90">
          <cell r="A90" t="str">
            <v>Vector|||208006410|||ISSR|||CF_OPS|||False|||</v>
          </cell>
          <cell r="C90" t="str">
            <v>V_KEYWORD_ISSR_208006410_CF_OPS</v>
          </cell>
        </row>
        <row r="91">
          <cell r="A91" t="str">
            <v>Vector|||208006410|||ISSR|||CAPEX|||False|||</v>
          </cell>
          <cell r="C91" t="str">
            <v>V_KEYWORD_ISSR_208006410_CAPEX</v>
          </cell>
        </row>
        <row r="92">
          <cell r="A92" t="str">
            <v>Vector|||208006410|||ISSR|||ACQ|||False|||</v>
          </cell>
          <cell r="C92" t="str">
            <v>V_KEYWORD_ISSR_208006410_ACQ</v>
          </cell>
        </row>
        <row r="93">
          <cell r="A93" t="str">
            <v>Vector|||208006410|||ISSR|||DIVEST|||False|||</v>
          </cell>
          <cell r="C93" t="str">
            <v>V_KEYWORD_ISSR_208006410_DIVEST</v>
          </cell>
        </row>
        <row r="94">
          <cell r="A94" t="str">
            <v>Vector|||208006410|||ISSR|||OTH_INV_CF|||False|||</v>
          </cell>
          <cell r="C94" t="str">
            <v>V_KEYWORD_ISSR_208006410_OTH_INV_CF</v>
          </cell>
        </row>
        <row r="95">
          <cell r="A95" t="str">
            <v>Vector|||208006410|||ISSR|||CF_INV|||False|||</v>
          </cell>
          <cell r="C95" t="str">
            <v>V_KEYWORD_ISSR_208006410_CF_INV</v>
          </cell>
        </row>
        <row r="96">
          <cell r="A96" t="str">
            <v>Vector|||208006410|||ISSR|||DIV_PAID|||False|||</v>
          </cell>
          <cell r="C96" t="str">
            <v>V_KEYWORD_ISSR_208006410_DIV_PAID</v>
          </cell>
        </row>
        <row r="97">
          <cell r="A97" t="str">
            <v>Vector|||208006410|||ISSR|||SH_REPUR|||False|||</v>
          </cell>
          <cell r="C97" t="str">
            <v>V_KEYWORD_ISSR_208006410_SH_REPUR</v>
          </cell>
        </row>
        <row r="98">
          <cell r="A98" t="str">
            <v>Vector|||208006410|||ISSR|||CHG_LT_DEBT|||False|||</v>
          </cell>
          <cell r="C98" t="str">
            <v>V_KEYWORD_ISSR_208006410_CHG_LT_DEBT</v>
          </cell>
        </row>
        <row r="99">
          <cell r="A99" t="str">
            <v>Vector|||208006410|||ISSR|||OTH_FIN_CF|||False|||</v>
          </cell>
          <cell r="C99" t="str">
            <v>V_KEYWORD_ISSR_208006410_OTH_FIN_CF</v>
          </cell>
        </row>
        <row r="100">
          <cell r="A100" t="str">
            <v>Vector|||208006410|||ISSR|||CF_FIN|||False|||</v>
          </cell>
          <cell r="C100" t="str">
            <v>V_KEYWORD_ISSR_208006410_CF_FIN</v>
          </cell>
        </row>
        <row r="101">
          <cell r="A101" t="str">
            <v>Vector|||208006410|||ISSR|||TOT_CF|||False|||</v>
          </cell>
          <cell r="C101" t="str">
            <v>V_KEYWORD_ISSR_208006410_TOT_CF</v>
          </cell>
        </row>
        <row r="103">
          <cell r="A103" t="str">
            <v>Vector|||208006410|||ISSR|||ASSOC_JV_ADDBK|||False|||</v>
          </cell>
          <cell r="C103" t="str">
            <v>V_KEYWORD_ISSR_208006410_ASSOC_JV_ADDBK</v>
          </cell>
        </row>
        <row r="104">
          <cell r="A104" t="str">
            <v>Vector|||208006410|||ISSR|||PL_SALE_ASSETS|||False|||</v>
          </cell>
          <cell r="C104" t="str">
            <v>V_KEYWORD_ISSR_208006410_PL_SALE_ASSETS</v>
          </cell>
        </row>
        <row r="105">
          <cell r="A105" t="str">
            <v>Vector|||208006410|||ISSR|||OTH_NONCASH_ADJ|||False|||</v>
          </cell>
          <cell r="C105" t="str">
            <v>V_KEYWORD_ISSR_208006410_OTH_NONCASH_ADJ</v>
          </cell>
        </row>
        <row r="106">
          <cell r="A106" t="str">
            <v>Vector|||208006410|||ISSR|||OTH_DACF_ADJ|||False|||</v>
          </cell>
          <cell r="C106" t="str">
            <v>V_KEYWORD_ISSR_208006410_OTH_DACF_ADJ</v>
          </cell>
        </row>
        <row r="107">
          <cell r="A107" t="str">
            <v>Vector|||208006410|||ISSR|||CASH_INT_EXP|||False|||</v>
          </cell>
          <cell r="C107" t="str">
            <v>V_KEYWORD_ISSR_208006410_CASH_INT_EXP</v>
          </cell>
        </row>
        <row r="108">
          <cell r="A108" t="str">
            <v>Vector|||208006410|||ISSR|||CASH_TAX_EXP|||False|||</v>
          </cell>
          <cell r="C108" t="str">
            <v>V_KEYWORD_ISSR_208006410_CASH_TAX_EXP</v>
          </cell>
        </row>
        <row r="109">
          <cell r="A109" t="str">
            <v>Vector|||208006410|||ISSR|||DIVDS_ASSOC_JV|||False|||</v>
          </cell>
          <cell r="C109" t="str">
            <v>V_KEYWORD_ISSR_208006410_DIVDS_ASSOC_JV</v>
          </cell>
        </row>
        <row r="110">
          <cell r="A110" t="str">
            <v>Vector|||208006410|||ISSR|||CAPEX_MAINTENANCE|||False|||</v>
          </cell>
          <cell r="C110" t="str">
            <v>V_KEYWORD_ISSR_208006410_CAPEX_MAINTENANCE</v>
          </cell>
        </row>
        <row r="111">
          <cell r="A111" t="str">
            <v>Vector|||208006410|||ISSR|||CAPEX_EXPANSION|||False|||</v>
          </cell>
          <cell r="C111" t="str">
            <v>V_KEYWORD_ISSR_208006410_CAPEX_EXPANSION</v>
          </cell>
        </row>
        <row r="112">
          <cell r="A112" t="str">
            <v>Vector|||208006410|||ISSR|||NONPPE_CAPEX|||False|||</v>
          </cell>
          <cell r="C112" t="str">
            <v>V_KEYWORD_ISSR_208006410_NONPPE_CAPEX</v>
          </cell>
        </row>
        <row r="113">
          <cell r="A113" t="str">
            <v>Vector|||208006410|||ISSR|||DIVDS_PD_MINORITIES|||False|||</v>
          </cell>
          <cell r="C113" t="str">
            <v>V_KEYWORD_ISSR_208006410_DIVDS_PD_MINORITIES</v>
          </cell>
        </row>
        <row r="115">
          <cell r="A115" t="str">
            <v>Vector|||208006410|||ISSR|||EMPLOYEES|||False|||</v>
          </cell>
          <cell r="C115" t="str">
            <v>V_KEYWORD_ISSR_208006410_EMPLOYEES</v>
          </cell>
        </row>
        <row r="118">
          <cell r="A118" t="str">
            <v>Vector|||208006410|||ISSR|||SALES_US|||False|||</v>
          </cell>
          <cell r="C118" t="str">
            <v>V_KEYWORD_ISSR_208006410_SALES_US</v>
          </cell>
        </row>
        <row r="119">
          <cell r="A119" t="str">
            <v>Vector|||208006410|||ISSR|||SALES_OTH_NO_AMER|||False|||</v>
          </cell>
          <cell r="C119" t="str">
            <v>V_KEYWORD_ISSR_208006410_SALES_OTH_NO_AMER</v>
          </cell>
        </row>
        <row r="120">
          <cell r="A120" t="str">
            <v>Vector|||208006410|||ISSR|||SALES_ARGENTINA|||False|||</v>
          </cell>
          <cell r="C120" t="str">
            <v>V_KEYWORD_ISSR_208006410_SALES_ARGENTINA</v>
          </cell>
        </row>
        <row r="121">
          <cell r="A121" t="str">
            <v>Vector|||208006410|||ISSR|||SALES_BRAZIL|||False|||</v>
          </cell>
          <cell r="C121" t="str">
            <v>V_KEYWORD_ISSR_208006410_SALES_BRAZIL</v>
          </cell>
        </row>
        <row r="122">
          <cell r="A122" t="str">
            <v>Vector|||208006410|||ISSR|||SALES_CHILE|||False|||</v>
          </cell>
          <cell r="C122" t="str">
            <v>V_KEYWORD_ISSR_208006410_SALES_CHILE</v>
          </cell>
        </row>
        <row r="123">
          <cell r="A123" t="str">
            <v>Vector|||208006410|||ISSR|||SALES_COLOMBIA|||False|||</v>
          </cell>
          <cell r="C123" t="str">
            <v>V_KEYWORD_ISSR_208006410_SALES_COLOMBIA</v>
          </cell>
        </row>
        <row r="124">
          <cell r="A124" t="str">
            <v>Vector|||208006410|||ISSR|||SALES_MEXICO|||False|||</v>
          </cell>
          <cell r="C124" t="str">
            <v>V_KEYWORD_ISSR_208006410_SALES_MEXICO</v>
          </cell>
        </row>
        <row r="125">
          <cell r="A125" t="str">
            <v>Vector|||208006410|||ISSR|||SALES_VENEZUELA|||False|||</v>
          </cell>
          <cell r="C125" t="str">
            <v>V_KEYWORD_ISSR_208006410_SALES_VENEZUELA</v>
          </cell>
        </row>
        <row r="126">
          <cell r="A126" t="str">
            <v>Vector|||208006410|||ISSR|||SALES_OTH_LATAM|||False|||</v>
          </cell>
          <cell r="C126" t="str">
            <v>V_KEYWORD_ISSR_208006410_SALES_OTH_LATAM</v>
          </cell>
        </row>
        <row r="127">
          <cell r="A127" t="str">
            <v>Vector|||208006410|||ISSR|||SALES_AUSTRIA|||False|||</v>
          </cell>
          <cell r="C127" t="str">
            <v>V_KEYWORD_ISSR_208006410_SALES_AUSTRIA</v>
          </cell>
        </row>
        <row r="128">
          <cell r="A128" t="str">
            <v>Vector|||208006410|||ISSR|||SALES_BEL|||False|||</v>
          </cell>
          <cell r="C128" t="str">
            <v>V_KEYWORD_ISSR_208006410_SALES_BEL</v>
          </cell>
        </row>
        <row r="129">
          <cell r="A129" t="str">
            <v>Vector|||208006410|||ISSR|||SALES_FRA|||False|||</v>
          </cell>
          <cell r="C129" t="str">
            <v>V_KEYWORD_ISSR_208006410_SALES_FRA</v>
          </cell>
        </row>
        <row r="130">
          <cell r="A130" t="str">
            <v>Vector|||208006410|||ISSR|||SALES_GER|||False|||</v>
          </cell>
          <cell r="C130" t="str">
            <v>V_KEYWORD_ISSR_208006410_SALES_GER</v>
          </cell>
        </row>
        <row r="131">
          <cell r="A131" t="str">
            <v>Vector|||208006410|||ISSR|||SALES_GRE|||False|||</v>
          </cell>
          <cell r="C131" t="str">
            <v>V_KEYWORD_ISSR_208006410_SALES_GRE</v>
          </cell>
        </row>
        <row r="132">
          <cell r="A132" t="str">
            <v>Vector|||208006410|||ISSR|||SALES_IRE|||False|||</v>
          </cell>
          <cell r="C132" t="str">
            <v>V_KEYWORD_ISSR_208006410_SALES_IRE</v>
          </cell>
        </row>
        <row r="133">
          <cell r="A133" t="str">
            <v>Vector|||208006410|||ISSR|||SALES_ITA|||False|||</v>
          </cell>
          <cell r="C133" t="str">
            <v>V_KEYWORD_ISSR_208006410_SALES_ITA</v>
          </cell>
        </row>
        <row r="134">
          <cell r="A134" t="str">
            <v>Vector|||208006410|||ISSR|||SALES_NETH|||False|||</v>
          </cell>
          <cell r="C134" t="str">
            <v>V_KEYWORD_ISSR_208006410_SALES_NETH</v>
          </cell>
        </row>
        <row r="135">
          <cell r="A135" t="str">
            <v>Vector|||208006410|||ISSR|||SALES_NOR|||False|||</v>
          </cell>
          <cell r="C135" t="str">
            <v>V_KEYWORD_ISSR_208006410_SALES_NOR</v>
          </cell>
        </row>
        <row r="136">
          <cell r="A136" t="str">
            <v>Vector|||208006410|||ISSR|||SALES_POR|||False|||</v>
          </cell>
          <cell r="C136" t="str">
            <v>V_KEYWORD_ISSR_208006410_SALES_POR</v>
          </cell>
        </row>
        <row r="137">
          <cell r="A137" t="str">
            <v>Vector|||208006410|||ISSR|||SALES_SPA|||False|||</v>
          </cell>
          <cell r="C137" t="str">
            <v>V_KEYWORD_ISSR_208006410_SALES_SPA</v>
          </cell>
        </row>
        <row r="138">
          <cell r="A138" t="str">
            <v>Vector|||208006410|||ISSR|||SALES_SWE|||False|||</v>
          </cell>
          <cell r="C138" t="str">
            <v>V_KEYWORD_ISSR_208006410_SALES_SWE</v>
          </cell>
        </row>
        <row r="139">
          <cell r="A139" t="str">
            <v>Vector|||208006410|||ISSR|||SALES_SWIT|||False|||</v>
          </cell>
          <cell r="C139" t="str">
            <v>V_KEYWORD_ISSR_208006410_SALES_SWIT</v>
          </cell>
        </row>
        <row r="140">
          <cell r="A140" t="str">
            <v>Vector|||208006410|||ISSR|||SALES_UK|||False|||</v>
          </cell>
          <cell r="C140" t="str">
            <v>V_KEYWORD_ISSR_208006410_SALES_UK</v>
          </cell>
        </row>
        <row r="141">
          <cell r="A141" t="str">
            <v>Vector|||208006410|||ISSR|||SALES_OTH_WEST_EURO|||False|||</v>
          </cell>
          <cell r="C141" t="str">
            <v>V_KEYWORD_ISSR_208006410_SALES_OTH_WEST_EURO</v>
          </cell>
        </row>
        <row r="142">
          <cell r="A142" t="str">
            <v>Vector|||208006410|||ISSR|||SALES_POLAND|||False|||</v>
          </cell>
          <cell r="C142" t="str">
            <v>V_KEYWORD_ISSR_208006410_SALES_POLAND</v>
          </cell>
        </row>
        <row r="143">
          <cell r="A143" t="str">
            <v>Vector|||208006410|||ISSR|||SALES_RUSSIA|||False|||</v>
          </cell>
          <cell r="C143" t="str">
            <v>V_KEYWORD_ISSR_208006410_SALES_RUSSIA</v>
          </cell>
        </row>
        <row r="144">
          <cell r="A144" t="str">
            <v>Vector|||208006410|||ISSR|||SALES_TURKEY|||False|||</v>
          </cell>
          <cell r="C144" t="str">
            <v>V_KEYWORD_ISSR_208006410_SALES_TURKEY</v>
          </cell>
        </row>
        <row r="145">
          <cell r="A145" t="str">
            <v>Vector|||208006410|||ISSR|||SALES_OTH_CEE|||False|||</v>
          </cell>
          <cell r="C145" t="str">
            <v>V_KEYWORD_ISSR_208006410_SALES_OTH_CEE</v>
          </cell>
        </row>
        <row r="146">
          <cell r="A146" t="str">
            <v>Vector|||208006410|||ISSR|||SALES_SAUDI_ARABIA|||False|||</v>
          </cell>
          <cell r="C146" t="str">
            <v>V_KEYWORD_ISSR_208006410_SALES_SAUDI_ARABIA</v>
          </cell>
        </row>
        <row r="147">
          <cell r="A147" t="str">
            <v>Vector|||208006410|||ISSR|||SALES_UAE|||False|||</v>
          </cell>
          <cell r="C147" t="str">
            <v>V_KEYWORD_ISSR_208006410_SALES_UAE</v>
          </cell>
        </row>
        <row r="148">
          <cell r="A148" t="str">
            <v>Vector|||208006410|||ISSR|||SALES_OTH_ME|||False|||</v>
          </cell>
          <cell r="C148" t="str">
            <v>V_KEYWORD_ISSR_208006410_SALES_OTH_ME</v>
          </cell>
        </row>
        <row r="149">
          <cell r="A149" t="str">
            <v>Vector|||208006410|||ISSR|||SALES_NIGERIA|||False|||</v>
          </cell>
          <cell r="C149" t="str">
            <v>V_KEYWORD_ISSR_208006410_SALES_NIGERIA</v>
          </cell>
        </row>
        <row r="150">
          <cell r="A150" t="str">
            <v>Vector|||208006410|||ISSR|||SALES_SO_AFRICA|||False|||</v>
          </cell>
          <cell r="C150" t="str">
            <v>V_KEYWORD_ISSR_208006410_SALES_SO_AFRICA</v>
          </cell>
        </row>
        <row r="151">
          <cell r="A151" t="str">
            <v>Vector|||208006410|||ISSR|||SALES_OTH_AFRICA|||False|||</v>
          </cell>
          <cell r="C151" t="str">
            <v>V_KEYWORD_ISSR_208006410_SALES_OTH_AFRICA</v>
          </cell>
        </row>
        <row r="152">
          <cell r="A152" t="str">
            <v>Vector|||208006410|||ISSR|||SALES_HONG_KONG|||False|||</v>
          </cell>
          <cell r="C152" t="str">
            <v>V_KEYWORD_ISSR_208006410_SALES_HONG_KONG</v>
          </cell>
        </row>
        <row r="153">
          <cell r="A153" t="str">
            <v>Vector|||208006410|||ISSR|||SALES_JAPAN|||False|||</v>
          </cell>
          <cell r="C153" t="str">
            <v>V_KEYWORD_ISSR_208006410_SALES_JAPAN</v>
          </cell>
        </row>
        <row r="154">
          <cell r="A154" t="str">
            <v>Vector|||208006410|||ISSR|||SALES_SINGAPORE|||False|||</v>
          </cell>
          <cell r="C154" t="str">
            <v>V_KEYWORD_ISSR_208006410_SALES_SINGAPORE</v>
          </cell>
        </row>
        <row r="155">
          <cell r="A155" t="str">
            <v>Vector|||208006410|||ISSR|||SALES_SK|||False|||</v>
          </cell>
          <cell r="C155" t="str">
            <v>V_KEYWORD_ISSR_208006410_SALES_SK</v>
          </cell>
        </row>
        <row r="156">
          <cell r="A156" t="str">
            <v>Vector|||208006410|||ISSR|||SALES_TAIWAN|||False|||</v>
          </cell>
          <cell r="C156" t="str">
            <v>V_KEYWORD_ISSR_208006410_SALES_TAIWAN</v>
          </cell>
        </row>
        <row r="157">
          <cell r="A157" t="str">
            <v>Vector|||208006410|||ISSR|||SALES_OTH_DEV_ASIA|||False|||</v>
          </cell>
          <cell r="C157" t="str">
            <v>V_KEYWORD_ISSR_208006410_SALES_OTH_DEV_ASIA</v>
          </cell>
        </row>
        <row r="158">
          <cell r="A158" t="str">
            <v>Vector|||208006410|||ISSR|||SALES_CHINA|||False|||</v>
          </cell>
          <cell r="C158" t="str">
            <v>V_KEYWORD_ISSR_208006410_SALES_CHINA</v>
          </cell>
        </row>
        <row r="159">
          <cell r="A159" t="str">
            <v>Vector|||208006410|||ISSR|||SALES_INDIA|||False|||</v>
          </cell>
          <cell r="C159" t="str">
            <v>V_KEYWORD_ISSR_208006410_SALES_INDIA</v>
          </cell>
        </row>
        <row r="160">
          <cell r="A160" t="str">
            <v>Vector|||208006410|||ISSR|||SALES_INDONESIA|||False|||</v>
          </cell>
          <cell r="C160" t="str">
            <v>V_KEYWORD_ISSR_208006410_SALES_INDONESIA</v>
          </cell>
        </row>
        <row r="161">
          <cell r="A161" t="str">
            <v>Vector|||208006410|||ISSR|||SALES_THAILAND|||False|||</v>
          </cell>
          <cell r="C161" t="str">
            <v>V_KEYWORD_ISSR_208006410_SALES_THAILAND</v>
          </cell>
        </row>
        <row r="162">
          <cell r="A162" t="str">
            <v>Vector|||208006410|||ISSR|||SALES_OTH_EMERG_ASIA|||False|||</v>
          </cell>
          <cell r="C162" t="str">
            <v>V_KEYWORD_ISSR_208006410_SALES_OTH_EMERG_ASIA</v>
          </cell>
        </row>
        <row r="163">
          <cell r="A163" t="str">
            <v>Vector|||208006410|||ISSR|||SALES_AUSTRA|||False|||</v>
          </cell>
          <cell r="C163" t="str">
            <v>V_KEYWORD_ISSR_208006410_SALES_AUSTRA</v>
          </cell>
        </row>
        <row r="164">
          <cell r="A164" t="str">
            <v>Vector|||208006410|||ISSR|||SALES_NZ|||False|||</v>
          </cell>
          <cell r="C164" t="str">
            <v>V_KEYWORD_ISSR_208006410_SALES_NZ</v>
          </cell>
        </row>
        <row r="165">
          <cell r="A165" t="str">
            <v>Vector|||208006410|||ISSR|||SALES_OTHER|||False|||</v>
          </cell>
          <cell r="C165" t="str">
            <v>V_KEYWORD_ISSR_208006410_SALES_OTHER</v>
          </cell>
        </row>
        <row r="166">
          <cell r="A166" t="str">
            <v>Vector|||208006410|||ISSR|||COGS_PCT_US|||False|||</v>
          </cell>
          <cell r="C166" t="str">
            <v>V_KEYWORD_ISSR_208006410_COGS_PCT_US</v>
          </cell>
        </row>
        <row r="167">
          <cell r="A167" t="str">
            <v>Vector|||208006410|||ISSR|||COGS_PCT_ROW|||False|||</v>
          </cell>
          <cell r="C167" t="str">
            <v>V_KEYWORD_ISSR_208006410_COGS_PCT_ROW</v>
          </cell>
        </row>
        <row r="168">
          <cell r="A168" t="str">
            <v>Vector|||208006410|||ISSR|||SGA_PCT_US|||False|||</v>
          </cell>
          <cell r="C168" t="str">
            <v>V_KEYWORD_ISSR_208006410_SGA_PCT_US</v>
          </cell>
        </row>
        <row r="169">
          <cell r="A169" t="str">
            <v>Vector|||208006410|||ISSR|||SGA_PCT_ROW|||False|||</v>
          </cell>
          <cell r="C169" t="str">
            <v>V_KEYWORD_ISSR_208006410_SGA_PCT_ROW</v>
          </cell>
        </row>
        <row r="170">
          <cell r="A170" t="str">
            <v>Vector|||208006410|||ISSR|||SALES_CONS|||False|||</v>
          </cell>
          <cell r="C170" t="str">
            <v>V_KEYWORD_ISSR_208006410_SALES_CONS</v>
          </cell>
        </row>
        <row r="171">
          <cell r="A171" t="str">
            <v>Vector|||208006410|||ISSR|||SALES_IND|||False|||</v>
          </cell>
          <cell r="C171" t="str">
            <v>V_KEYWORD_ISSR_208006410_SALES_IND</v>
          </cell>
        </row>
        <row r="172">
          <cell r="A172" t="str">
            <v>Vector|||208006410|||ISSR|||SALES_GOV|||False|||</v>
          </cell>
          <cell r="C172" t="str">
            <v>V_KEYWORD_ISSR_208006410_SALES_GOV</v>
          </cell>
        </row>
        <row r="173">
          <cell r="A173" t="str">
            <v>Vector|||208006410|||ISSR|||SALES_FINAN|||False|||</v>
          </cell>
          <cell r="C173" t="str">
            <v>V_KEYWORD_ISSR_208006410_SALES_FINAN</v>
          </cell>
        </row>
        <row r="176">
          <cell r="A176" t="str">
            <v>Vector|||208006410|||ISSR|||EXP_OIL_PETRO_FUEL|||False|||</v>
          </cell>
          <cell r="C176" t="str">
            <v>V_KEYWORD_ISSR_208006410_EXP_OIL_PETRO_FUEL</v>
          </cell>
        </row>
        <row r="177">
          <cell r="A177" t="str">
            <v>Vector|||208006410|||ISSR|||EXP_OIL_DERIV_NGLS_PLASTICS|||False|||</v>
          </cell>
          <cell r="C177" t="str">
            <v>V_KEYWORD_ISSR_208006410_EXP_OIL_DERIV_NGLS_PLASTICS</v>
          </cell>
        </row>
        <row r="178">
          <cell r="A178" t="str">
            <v>Vector|||208006410|||ISSR|||EXP_PAPER_PULP|||False|||</v>
          </cell>
          <cell r="C178" t="str">
            <v>V_KEYWORD_ISSR_208006410_EXP_PAPER_PULP</v>
          </cell>
        </row>
        <row r="179">
          <cell r="A179" t="str">
            <v>Vector|||208006410|||ISSR|||EXP_GLASS|||False|||</v>
          </cell>
          <cell r="C179" t="str">
            <v>V_KEYWORD_ISSR_208006410_EXP_GLASS</v>
          </cell>
        </row>
        <row r="180">
          <cell r="A180" t="str">
            <v>Vector|||208006410|||ISSR|||EXP_WATER|||False|||</v>
          </cell>
          <cell r="C180" t="str">
            <v>V_KEYWORD_ISSR_208006410_EXP_WATER</v>
          </cell>
        </row>
        <row r="181">
          <cell r="A181" t="str">
            <v>Vector|||208006410|||ISSR|||EXP_OTH_COMMODITY|||False|||</v>
          </cell>
          <cell r="C181" t="str">
            <v>V_KEYWORD_ISSR_208006410_EXP_OTH_COMMODITY</v>
          </cell>
        </row>
        <row r="182">
          <cell r="A182" t="str">
            <v>Vector|||208006410|||ISSR|||EXP_OTH_COST|||False|||</v>
          </cell>
          <cell r="C182" t="str">
            <v>V_KEYWORD_ISSR_208006410_EXP_OTH_COST</v>
          </cell>
        </row>
        <row r="184">
          <cell r="A184" t="str">
            <v>Vector|||208006410|||ISSR|||SALES_FX_GPB|||False|||</v>
          </cell>
          <cell r="C184" t="str">
            <v>V_KEYWORD_ISSR_208006410_SALES_FX_GPB</v>
          </cell>
        </row>
        <row r="185">
          <cell r="A185" t="str">
            <v>Vector|||208006410|||ISSR|||SALES_FX_EUR|||False|||</v>
          </cell>
          <cell r="C185" t="str">
            <v>V_KEYWORD_ISSR_208006410_SALES_FX_EUR</v>
          </cell>
        </row>
        <row r="186">
          <cell r="A186" t="str">
            <v>Vector|||208006410|||ISSR|||SALES_FX_RUB|||False|||</v>
          </cell>
          <cell r="C186" t="str">
            <v>V_KEYWORD_ISSR_208006410_SALES_FX_RUB</v>
          </cell>
        </row>
        <row r="187">
          <cell r="A187" t="str">
            <v>Vector|||208006410|||ISSR|||SALES_FX_USD|||False|||</v>
          </cell>
          <cell r="C187" t="str">
            <v>V_KEYWORD_ISSR_208006410_SALES_FX_USD</v>
          </cell>
        </row>
        <row r="188">
          <cell r="A188" t="str">
            <v>Vector|||208006410|||ISSR|||SALES_FX_BRL|||False|||</v>
          </cell>
          <cell r="C188" t="str">
            <v>V_KEYWORD_ISSR_208006410_SALES_FX_BRL</v>
          </cell>
        </row>
        <row r="189">
          <cell r="A189" t="str">
            <v>Vector|||208006410|||ISSR|||SALES_FX_YEN|||False|||</v>
          </cell>
          <cell r="C189" t="str">
            <v>V_KEYWORD_ISSR_208006410_SALES_FX_YEN</v>
          </cell>
        </row>
        <row r="190">
          <cell r="A190" t="str">
            <v>Vector|||208006410|||ISSR|||SALES_FX_CNY|||False|||</v>
          </cell>
          <cell r="C190" t="str">
            <v>V_KEYWORD_ISSR_208006410_SALES_FX_CNY</v>
          </cell>
        </row>
        <row r="191">
          <cell r="A191" t="str">
            <v>Vector|||208006410|||ISSR|||SALES_FX_INR|||False|||</v>
          </cell>
          <cell r="C191" t="str">
            <v>V_KEYWORD_ISSR_208006410_SALES_FX_INR</v>
          </cell>
        </row>
        <row r="192">
          <cell r="A192" t="str">
            <v>Vector|||208006410|||ISSR|||SALES_FX_KRW|||False|||</v>
          </cell>
          <cell r="C192" t="str">
            <v>V_KEYWORD_ISSR_208006410_SALES_FX_KRW</v>
          </cell>
        </row>
        <row r="193">
          <cell r="A193" t="str">
            <v>Vector|||208006410|||ISSR|||SALES_FX_TWD|||False|||</v>
          </cell>
          <cell r="C193" t="str">
            <v>V_KEYWORD_ISSR_208006410_SALES_FX_TWD</v>
          </cell>
        </row>
        <row r="194">
          <cell r="A194" t="str">
            <v>Vector|||208006410|||ISSR|||SALES_FX_OTH|||False|||</v>
          </cell>
          <cell r="C194" t="str">
            <v>V_KEYWORD_ISSR_208006410_SALES_FX_OTH</v>
          </cell>
        </row>
        <row r="196">
          <cell r="C196" t="str">
            <v>V_KEYWORD_ISSR_208006410_SALES_TOT_AM</v>
          </cell>
        </row>
        <row r="205">
          <cell r="C205" t="str">
            <v>V_KEYWORD_ISSR_208006410_SALES_OTH_AEJ</v>
          </cell>
        </row>
      </sheetData>
      <sheetData sheetId="21" refreshError="1">
        <row r="11">
          <cell r="B11" t="str">
            <v>Sales, net revenue</v>
          </cell>
          <cell r="C11" t="str">
            <v>SALES</v>
          </cell>
          <cell r="D11" t="e">
            <v>#NAME?</v>
          </cell>
        </row>
        <row r="12">
          <cell r="B12" t="str">
            <v>Compensation &amp; benfits expense</v>
          </cell>
          <cell r="C12" t="str">
            <v>PERSONNEL</v>
          </cell>
          <cell r="D12" t="e">
            <v>#NAME?</v>
          </cell>
        </row>
        <row r="13">
          <cell r="B13" t="str">
            <v>Cost of goods sold, COGS</v>
          </cell>
          <cell r="C13" t="str">
            <v>COST_GD_SD</v>
          </cell>
          <cell r="D13" t="e">
            <v>#NAME?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e">
            <v>#NAME?</v>
          </cell>
        </row>
        <row r="15">
          <cell r="B15" t="str">
            <v>Total operating expense</v>
          </cell>
          <cell r="C15" t="str">
            <v>OP_COST</v>
          </cell>
          <cell r="D15" t="e">
            <v>#NAME?</v>
          </cell>
        </row>
        <row r="16">
          <cell r="B16" t="str">
            <v>R&amp;D expense</v>
          </cell>
          <cell r="C16" t="str">
            <v>RD_EXP</v>
          </cell>
          <cell r="D16" t="e">
            <v>#NAME?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e">
            <v>#NAME?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e">
            <v>#NAME?</v>
          </cell>
        </row>
        <row r="19">
          <cell r="B19" t="str">
            <v>Total operating expense (excl. D&amp;A)</v>
          </cell>
          <cell r="C19" t="str">
            <v>TOT_OPS_EXP</v>
          </cell>
          <cell r="D19" t="e">
            <v>#NAME?</v>
          </cell>
        </row>
        <row r="20">
          <cell r="B20" t="str">
            <v>EBITDA</v>
          </cell>
          <cell r="C20" t="str">
            <v>EBITDA_CALC</v>
          </cell>
          <cell r="D20" t="e">
            <v>#NAME?</v>
          </cell>
        </row>
        <row r="21">
          <cell r="B21" t="str">
            <v>Depreciation</v>
          </cell>
          <cell r="C21" t="str">
            <v>DEPREC</v>
          </cell>
          <cell r="D21" t="e">
            <v>#NAME?</v>
          </cell>
        </row>
        <row r="22">
          <cell r="B22" t="str">
            <v>Amortization</v>
          </cell>
          <cell r="C22" t="str">
            <v>GOODWILL_AMORT</v>
          </cell>
          <cell r="D22" t="e">
            <v>#NAME?</v>
          </cell>
        </row>
        <row r="23">
          <cell r="B23" t="str">
            <v>EBIT, operating profit</v>
          </cell>
          <cell r="C23" t="str">
            <v>EBIT</v>
          </cell>
          <cell r="D23" t="e">
            <v>#NAME?</v>
          </cell>
        </row>
        <row r="24">
          <cell r="B24" t="str">
            <v>Interest income</v>
          </cell>
          <cell r="C24" t="str">
            <v>INT_INC_IND</v>
          </cell>
          <cell r="D24" t="e">
            <v>#NAME?</v>
          </cell>
        </row>
        <row r="25">
          <cell r="B25" t="str">
            <v>Interest expense</v>
          </cell>
          <cell r="C25" t="str">
            <v>INT_EXP_IND</v>
          </cell>
          <cell r="D25" t="e">
            <v>#NAME?</v>
          </cell>
        </row>
        <row r="26">
          <cell r="B26" t="str">
            <v>Net interest income/(expense)</v>
          </cell>
          <cell r="C26" t="str">
            <v>NET_INT_EXP</v>
          </cell>
          <cell r="D26" t="e">
            <v>#NAME?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e">
            <v>#NAME?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e">
            <v>#NAME?</v>
          </cell>
        </row>
        <row r="29">
          <cell r="B29" t="str">
            <v>Other non-ops income/(expense)</v>
          </cell>
          <cell r="C29" t="str">
            <v>OTH_COST_INC</v>
          </cell>
          <cell r="D29" t="e">
            <v>#NAME?</v>
          </cell>
        </row>
        <row r="30">
          <cell r="B30" t="str">
            <v>Pre-tax profit</v>
          </cell>
          <cell r="C30" t="str">
            <v>PT_PROF</v>
          </cell>
          <cell r="D30" t="e">
            <v>#NAME?</v>
          </cell>
        </row>
        <row r="32">
          <cell r="B32" t="str">
            <v>Contribution margin ratio</v>
          </cell>
          <cell r="C32" t="str">
            <v>CONTRIB_MARGIN_RATIO</v>
          </cell>
          <cell r="D32" t="e">
            <v>#NAME?</v>
          </cell>
        </row>
        <row r="33">
          <cell r="B33" t="str">
            <v>Lease payments</v>
          </cell>
          <cell r="C33" t="str">
            <v>LEASE_PAY</v>
          </cell>
          <cell r="D33" t="e">
            <v>#NAME?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e">
            <v>#NAME?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e">
            <v>#NAME?</v>
          </cell>
        </row>
        <row r="36">
          <cell r="B36" t="str">
            <v>Gross interest charge</v>
          </cell>
          <cell r="C36" t="str">
            <v>NET_INT_CH</v>
          </cell>
          <cell r="D36" t="e">
            <v>#NAME?</v>
          </cell>
        </row>
        <row r="37">
          <cell r="B37" t="str">
            <v>Income from associates (operating)</v>
          </cell>
          <cell r="C37" t="str">
            <v>ASSOCIATE_OP</v>
          </cell>
          <cell r="D37" t="e">
            <v>#NAME?</v>
          </cell>
        </row>
        <row r="39">
          <cell r="B39" t="str">
            <v>Cash &amp; cash equivalents</v>
          </cell>
          <cell r="C39" t="str">
            <v>CASH_EQ</v>
          </cell>
          <cell r="D39" t="e">
            <v>#NAME?</v>
          </cell>
        </row>
        <row r="40">
          <cell r="B40" t="str">
            <v>Accounts receivable</v>
          </cell>
          <cell r="C40" t="str">
            <v>DEBTORS</v>
          </cell>
          <cell r="D40" t="e">
            <v>#NAME?</v>
          </cell>
        </row>
        <row r="41">
          <cell r="B41" t="str">
            <v>Inventory</v>
          </cell>
          <cell r="C41" t="str">
            <v>STOCKS</v>
          </cell>
          <cell r="D41" t="e">
            <v>#NAME?</v>
          </cell>
        </row>
        <row r="42">
          <cell r="B42" t="str">
            <v>Other current assets</v>
          </cell>
          <cell r="C42" t="str">
            <v>OTH_CUR_ASS</v>
          </cell>
          <cell r="D42" t="e">
            <v>#NAME?</v>
          </cell>
        </row>
        <row r="43">
          <cell r="B43" t="str">
            <v>Total current assets</v>
          </cell>
          <cell r="C43" t="str">
            <v>CUR_ASS</v>
          </cell>
          <cell r="D43" t="e">
            <v>#NAME?</v>
          </cell>
        </row>
        <row r="44">
          <cell r="B44" t="str">
            <v>Gross fixed assets, PP&amp;E</v>
          </cell>
          <cell r="C44" t="str">
            <v>GR_FIX_ASS</v>
          </cell>
          <cell r="D44" t="e">
            <v>#NAME?</v>
          </cell>
        </row>
        <row r="45">
          <cell r="B45" t="str">
            <v>Accumulated depreciation</v>
          </cell>
          <cell r="C45" t="str">
            <v>ACC_DDA</v>
          </cell>
          <cell r="D45" t="e">
            <v>#NAME?</v>
          </cell>
        </row>
        <row r="46">
          <cell r="B46" t="str">
            <v>Net PP&amp;E</v>
          </cell>
          <cell r="C46" t="str">
            <v>NET_FIX_ASS</v>
          </cell>
          <cell r="D46" t="e">
            <v>#NAME?</v>
          </cell>
        </row>
        <row r="47">
          <cell r="B47" t="str">
            <v>Gross intangibles</v>
          </cell>
          <cell r="C47" t="str">
            <v>GR_INTANG</v>
          </cell>
          <cell r="D47" t="e">
            <v>#NAME?</v>
          </cell>
        </row>
        <row r="48">
          <cell r="B48" t="str">
            <v>Accumulated amortization</v>
          </cell>
          <cell r="C48" t="str">
            <v>ACC_AMORT</v>
          </cell>
          <cell r="D48" t="e">
            <v>#NAME?</v>
          </cell>
        </row>
        <row r="49">
          <cell r="B49" t="str">
            <v>Net intangible assets</v>
          </cell>
          <cell r="C49" t="str">
            <v>NET_INTANG</v>
          </cell>
          <cell r="D49" t="e">
            <v>#NAME?</v>
          </cell>
        </row>
        <row r="50">
          <cell r="B50" t="str">
            <v>Equity method investments</v>
          </cell>
          <cell r="C50" t="str">
            <v>FIX_ASS_INV</v>
          </cell>
          <cell r="D50" t="e">
            <v>#NAME?</v>
          </cell>
        </row>
        <row r="51">
          <cell r="B51" t="str">
            <v>Investments in securities</v>
          </cell>
          <cell r="C51" t="str">
            <v>INV_SECUR</v>
          </cell>
          <cell r="D51" t="e">
            <v>#NAME?</v>
          </cell>
        </row>
        <row r="52">
          <cell r="B52" t="str">
            <v>Other long-term assets</v>
          </cell>
          <cell r="C52" t="str">
            <v>OTH_LT_ASS</v>
          </cell>
          <cell r="D52" t="e">
            <v>#NAME?</v>
          </cell>
        </row>
        <row r="53">
          <cell r="B53" t="str">
            <v>Total assets</v>
          </cell>
          <cell r="C53" t="str">
            <v>TOT_ASSET</v>
          </cell>
          <cell r="D53" t="e">
            <v>#NAME?</v>
          </cell>
        </row>
        <row r="54">
          <cell r="B54" t="str">
            <v>Accounts payable</v>
          </cell>
          <cell r="C54" t="str">
            <v>ACC_PAY_GQ</v>
          </cell>
          <cell r="D54" t="e">
            <v>#NAME?</v>
          </cell>
        </row>
        <row r="55">
          <cell r="B55" t="str">
            <v>Short-term debt</v>
          </cell>
          <cell r="C55" t="str">
            <v>SHORT_T_DEBT</v>
          </cell>
          <cell r="D55" t="e">
            <v>#NAME?</v>
          </cell>
        </row>
        <row r="56">
          <cell r="B56" t="str">
            <v>Other current liabilities</v>
          </cell>
          <cell r="C56" t="str">
            <v>OTH_CUR_LIABS</v>
          </cell>
          <cell r="D56" t="e">
            <v>#NAME?</v>
          </cell>
        </row>
        <row r="57">
          <cell r="B57" t="str">
            <v>Total current liabilities</v>
          </cell>
          <cell r="C57" t="str">
            <v>SHORT_TERM_LIABS</v>
          </cell>
          <cell r="D57" t="e">
            <v>#NAME?</v>
          </cell>
        </row>
        <row r="58">
          <cell r="B58" t="str">
            <v>Long-term  debt</v>
          </cell>
          <cell r="C58" t="str">
            <v>LT_DEBT</v>
          </cell>
          <cell r="D58" t="e">
            <v>#NAME?</v>
          </cell>
        </row>
        <row r="59">
          <cell r="B59" t="str">
            <v>Other long-term liabilities</v>
          </cell>
          <cell r="C59" t="str">
            <v>OTH_LT_CRED_GQ</v>
          </cell>
          <cell r="D59" t="e">
            <v>#NAME?</v>
          </cell>
        </row>
        <row r="60">
          <cell r="B60" t="str">
            <v>Total long-term liabilities</v>
          </cell>
          <cell r="C60" t="str">
            <v>TOT_LT_LIAB</v>
          </cell>
          <cell r="D60" t="e">
            <v>#NAME?</v>
          </cell>
        </row>
        <row r="61">
          <cell r="B61" t="str">
            <v>Total liabilities</v>
          </cell>
          <cell r="C61" t="str">
            <v>TOT_LIAB</v>
          </cell>
          <cell r="D61" t="e">
            <v>#NAME?</v>
          </cell>
        </row>
        <row r="62">
          <cell r="B62" t="str">
            <v>Preferred shares</v>
          </cell>
          <cell r="C62" t="str">
            <v>PREF_SH</v>
          </cell>
          <cell r="D62" t="e">
            <v>#NAME?</v>
          </cell>
        </row>
        <row r="63">
          <cell r="B63" t="str">
            <v>Total common equity</v>
          </cell>
          <cell r="C63" t="str">
            <v>ORD_SH_FUND</v>
          </cell>
          <cell r="D63" t="e">
            <v>#NAME?</v>
          </cell>
        </row>
        <row r="64">
          <cell r="B64" t="str">
            <v>Minority interest</v>
          </cell>
          <cell r="C64" t="str">
            <v>MINORITIES</v>
          </cell>
          <cell r="D64" t="e">
            <v>#NAME?</v>
          </cell>
        </row>
        <row r="65">
          <cell r="B65" t="str">
            <v>Total shareholders' equity</v>
          </cell>
          <cell r="C65" t="str">
            <v>EQ</v>
          </cell>
          <cell r="D65" t="e">
            <v>#NAME?</v>
          </cell>
        </row>
        <row r="66">
          <cell r="B66" t="str">
            <v>Total liabilities and equity</v>
          </cell>
          <cell r="C66" t="str">
            <v>TOT_LIAB_EQ</v>
          </cell>
          <cell r="D66" t="e">
            <v>#NAME?</v>
          </cell>
        </row>
        <row r="72">
          <cell r="B72" t="str">
            <v>Net debt</v>
          </cell>
          <cell r="C72" t="str">
            <v>NET_DEBT</v>
          </cell>
          <cell r="D72" t="e">
            <v>#NAME?</v>
          </cell>
        </row>
        <row r="73">
          <cell r="B73" t="str">
            <v>Capitalized leases</v>
          </cell>
          <cell r="C73" t="str">
            <v>CAP_LEASES</v>
          </cell>
          <cell r="D73" t="e">
            <v>#NAME?</v>
          </cell>
        </row>
        <row r="74">
          <cell r="B74" t="str">
            <v>Deferred income taxes</v>
          </cell>
          <cell r="C74" t="str">
            <v>DEF_INC_TAX</v>
          </cell>
          <cell r="D74" t="e">
            <v>#NAME?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e">
            <v>#NAME?</v>
          </cell>
        </row>
        <row r="76">
          <cell r="B76" t="str">
            <v>Net debt adjustment</v>
          </cell>
          <cell r="C76" t="str">
            <v>NET_DEBT_ADJ</v>
          </cell>
          <cell r="D76" t="e">
            <v>#NAME?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 t="e">
            <v>#NAME?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e">
            <v>#NAME?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e">
            <v>#NAME?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e">
            <v>#NAME?</v>
          </cell>
        </row>
        <row r="82">
          <cell r="B82" t="str">
            <v>Other GCI adjustments</v>
          </cell>
          <cell r="C82" t="str">
            <v>OTH_GCI_ADJ</v>
          </cell>
          <cell r="D82" t="e">
            <v>#NAME?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 t="e">
            <v>#NAME?</v>
          </cell>
        </row>
        <row r="86">
          <cell r="B86" t="str">
            <v>Minority interest add-back</v>
          </cell>
          <cell r="C86" t="str">
            <v>CF_INC_MINORITY</v>
          </cell>
          <cell r="D86" t="e">
            <v>#NAME?</v>
          </cell>
        </row>
        <row r="87">
          <cell r="B87" t="str">
            <v>Depreciation &amp; amortization add-back</v>
          </cell>
          <cell r="C87" t="str">
            <v>DEPR_AMORT</v>
          </cell>
          <cell r="D87" t="e">
            <v>#NAME?</v>
          </cell>
        </row>
        <row r="88">
          <cell r="B88" t="str">
            <v>(Increase)/decrease in working capital</v>
          </cell>
          <cell r="C88" t="str">
            <v>WORK_CAP</v>
          </cell>
          <cell r="D88" t="e">
            <v>#NAME?</v>
          </cell>
        </row>
        <row r="89">
          <cell r="B89" t="str">
            <v>Other operating cash flow items</v>
          </cell>
          <cell r="C89" t="str">
            <v>OTH_OP_CF</v>
          </cell>
          <cell r="D89" t="e">
            <v>#NAME?</v>
          </cell>
        </row>
        <row r="90">
          <cell r="B90" t="str">
            <v>Cash flow from operating activities</v>
          </cell>
          <cell r="C90" t="str">
            <v>CF_OPS</v>
          </cell>
          <cell r="D90" t="e">
            <v>#NAME?</v>
          </cell>
        </row>
        <row r="91">
          <cell r="B91" t="str">
            <v>Capital expenditures, Capex</v>
          </cell>
          <cell r="C91" t="str">
            <v>CAPEX</v>
          </cell>
          <cell r="D91" t="e">
            <v>#NAME?</v>
          </cell>
        </row>
        <row r="92">
          <cell r="B92" t="str">
            <v>Acquisitions</v>
          </cell>
          <cell r="C92" t="str">
            <v>ACQ</v>
          </cell>
          <cell r="D92" t="e">
            <v>#NAME?</v>
          </cell>
        </row>
        <row r="93">
          <cell r="B93" t="str">
            <v>Divestitures</v>
          </cell>
          <cell r="C93" t="str">
            <v>DIVEST</v>
          </cell>
          <cell r="D93" t="e">
            <v>#NAME?</v>
          </cell>
        </row>
        <row r="94">
          <cell r="B94" t="str">
            <v>Other investing cash flow items</v>
          </cell>
          <cell r="C94" t="str">
            <v>OTH_INV_CF</v>
          </cell>
          <cell r="D94" t="e">
            <v>#NAME?</v>
          </cell>
        </row>
        <row r="95">
          <cell r="B95" t="str">
            <v>Cash flow from investing</v>
          </cell>
          <cell r="C95" t="str">
            <v>CF_INV</v>
          </cell>
          <cell r="D95" t="e">
            <v>#NAME?</v>
          </cell>
        </row>
        <row r="96">
          <cell r="B96" t="str">
            <v>Dividends paid</v>
          </cell>
          <cell r="C96" t="str">
            <v>DIV_PAID</v>
          </cell>
          <cell r="D96" t="e">
            <v>#NAME?</v>
          </cell>
        </row>
        <row r="97">
          <cell r="B97" t="str">
            <v>Common stock issuance/(repurchase)</v>
          </cell>
          <cell r="C97" t="str">
            <v>SH_REPUR</v>
          </cell>
          <cell r="D97" t="e">
            <v>#NAME?</v>
          </cell>
        </row>
        <row r="98">
          <cell r="B98" t="str">
            <v>Increase/(decrease) in total debt</v>
          </cell>
          <cell r="C98" t="str">
            <v>CHG_LT_DEBT</v>
          </cell>
          <cell r="D98" t="e">
            <v>#NAME?</v>
          </cell>
        </row>
        <row r="99">
          <cell r="B99" t="str">
            <v>Other financing cash flow items</v>
          </cell>
          <cell r="C99" t="str">
            <v>OTH_FIN_CF</v>
          </cell>
          <cell r="D99" t="e">
            <v>#NAME?</v>
          </cell>
        </row>
        <row r="100">
          <cell r="B100" t="str">
            <v>Cash flow from financing</v>
          </cell>
          <cell r="C100" t="str">
            <v>CF_FIN</v>
          </cell>
          <cell r="D100" t="e">
            <v>#NAME?</v>
          </cell>
        </row>
        <row r="101">
          <cell r="B101" t="str">
            <v>Total cash flow</v>
          </cell>
          <cell r="C101" t="str">
            <v>TOT_CF</v>
          </cell>
          <cell r="D101" t="e">
            <v>#NAME?</v>
          </cell>
        </row>
        <row r="103">
          <cell r="B103" t="str">
            <v>Associate and JV add-back</v>
          </cell>
          <cell r="C103" t="str">
            <v>ASSOC_JV_ADDBK</v>
          </cell>
          <cell r="D103" t="e">
            <v>#NAME?</v>
          </cell>
        </row>
        <row r="104">
          <cell r="B104" t="str">
            <v>Profit/(loss) on sale of assets</v>
          </cell>
          <cell r="C104" t="str">
            <v>PL_SALE_ASSETS</v>
          </cell>
          <cell r="D104" t="e">
            <v>#NAME?</v>
          </cell>
        </row>
        <row r="105">
          <cell r="B105" t="str">
            <v>Other non-cash adjustments</v>
          </cell>
          <cell r="C105" t="str">
            <v>OTH_NONCASH_ADJ</v>
          </cell>
          <cell r="D105" t="e">
            <v>#NAME?</v>
          </cell>
        </row>
        <row r="106">
          <cell r="B106" t="str">
            <v>Other DACF adjustments</v>
          </cell>
          <cell r="C106" t="str">
            <v>OTH_DACF_ADJ</v>
          </cell>
          <cell r="D106" t="e">
            <v>#NAME?</v>
          </cell>
        </row>
        <row r="107">
          <cell r="B107" t="str">
            <v>Cash interest expense</v>
          </cell>
          <cell r="C107" t="str">
            <v>CASH_INT_EXP</v>
          </cell>
          <cell r="D107" t="e">
            <v>#NAME?</v>
          </cell>
        </row>
        <row r="108">
          <cell r="B108" t="str">
            <v>Cash tax expense</v>
          </cell>
          <cell r="C108" t="str">
            <v>CASH_TAX_EXP</v>
          </cell>
          <cell r="D108" t="e">
            <v>#NAME?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e">
            <v>#NAME?</v>
          </cell>
        </row>
        <row r="110">
          <cell r="B110" t="str">
            <v>Capex maintenance</v>
          </cell>
          <cell r="C110" t="str">
            <v>CAPEX_MAINTENANCE</v>
          </cell>
          <cell r="D110" t="e">
            <v>#NAME?</v>
          </cell>
        </row>
        <row r="111">
          <cell r="B111" t="str">
            <v>Capex expansion</v>
          </cell>
          <cell r="C111" t="str">
            <v>CAPEX_EXPANSION</v>
          </cell>
          <cell r="D111" t="e">
            <v>#NAME?</v>
          </cell>
        </row>
        <row r="112">
          <cell r="B112" t="str">
            <v>Non-PP&amp;E capex</v>
          </cell>
          <cell r="C112" t="str">
            <v>NONPPE_CAPEX</v>
          </cell>
          <cell r="D112" t="e">
            <v>#NAME?</v>
          </cell>
        </row>
        <row r="113">
          <cell r="B113" t="str">
            <v>Dividends paid to minorities</v>
          </cell>
          <cell r="C113" t="str">
            <v>DIVDS_PD_MINORITIES</v>
          </cell>
          <cell r="D113" t="e">
            <v>#NAME?</v>
          </cell>
        </row>
        <row r="115">
          <cell r="B115" t="str">
            <v>Number of employees</v>
          </cell>
          <cell r="C115" t="str">
            <v>EMPLOYEES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6">
          <cell r="B176" t="str">
            <v>Expense - % Oil/Petrol/Fuel</v>
          </cell>
          <cell r="C176" t="str">
            <v>EXP_OIL_PETRO_FUEL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4">
          <cell r="B184" t="str">
            <v>Sales - % FX: British Pounds/Pence</v>
          </cell>
          <cell r="C184" t="str">
            <v>SALES_FX_GPB</v>
          </cell>
        </row>
        <row r="185">
          <cell r="B185" t="str">
            <v>Sales - % FX: Euro</v>
          </cell>
          <cell r="C185" t="str">
            <v>SALES_FX_EUR</v>
          </cell>
        </row>
        <row r="186">
          <cell r="B186" t="str">
            <v>Sales - % FX: New Russian Ruble</v>
          </cell>
          <cell r="C186" t="str">
            <v>SALES_FX_RUB</v>
          </cell>
        </row>
        <row r="187">
          <cell r="B187" t="str">
            <v>Sales - % FX: U.S. Dollar</v>
          </cell>
          <cell r="C187" t="str">
            <v>SALES_FX_USD</v>
          </cell>
        </row>
        <row r="188">
          <cell r="B188" t="str">
            <v>Sales - % FX: Brazilian Real</v>
          </cell>
          <cell r="C188" t="str">
            <v>SALES_FX_BRL</v>
          </cell>
        </row>
        <row r="189">
          <cell r="B189" t="str">
            <v>Sales - % FX: Japanese Yen</v>
          </cell>
          <cell r="C189" t="str">
            <v>SALES_FX_YEN</v>
          </cell>
        </row>
        <row r="190">
          <cell r="B190" t="str">
            <v>Sales - % FX: Chinese Renminbi</v>
          </cell>
          <cell r="C190" t="str">
            <v>SALES_FX_CNY</v>
          </cell>
        </row>
        <row r="191">
          <cell r="B191" t="str">
            <v>Sales - % FX: Indian Rupee</v>
          </cell>
          <cell r="C191" t="str">
            <v>SALES_FX_INR</v>
          </cell>
        </row>
        <row r="192">
          <cell r="B192" t="str">
            <v>Sales - % FX: South Korean Won</v>
          </cell>
          <cell r="C192" t="str">
            <v>SALES_FX_KRW</v>
          </cell>
        </row>
        <row r="193">
          <cell r="B193" t="str">
            <v>Sales - % FX: Taiwan Dollar</v>
          </cell>
          <cell r="C193" t="str">
            <v>SALES_FX_TWD</v>
          </cell>
        </row>
        <row r="194">
          <cell r="B194" t="str">
            <v>Sales - % FX: Other Currency</v>
          </cell>
          <cell r="C194" t="str">
            <v>SALES_FX_OTH</v>
          </cell>
        </row>
        <row r="196">
          <cell r="C196" t="str">
            <v>SALES_TOT_AM</v>
          </cell>
        </row>
        <row r="205">
          <cell r="C205" t="str">
            <v>SALES_OTH_AEJ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Valuation"/>
      <sheetName val="AFOSHEET"/>
      <sheetName val="Act Vs Est "/>
      <sheetName val="%Change"/>
      <sheetName val="Company Data"/>
      <sheetName val="Industry Data"/>
      <sheetName val="Model"/>
      <sheetName val="Driver"/>
      <sheetName val="002449.SZ_Exchange_Sheet"/>
      <sheetName val="Raw Data"/>
      <sheetName val="Basic Data_Wind"/>
      <sheetName val="EPS Walk"/>
      <sheetName val="Market Data"/>
      <sheetName val="Ratios"/>
      <sheetName val="公司介绍"/>
      <sheetName val="002449.SZ_Live_Sheet"/>
      <sheetName val="002449.SZ_Validation_Sheet"/>
      <sheetName val="002449.SZ_Annotation_Sheet"/>
      <sheetName val="Reg AC"/>
      <sheetName val="Disclaimer"/>
      <sheetName val="First take"/>
      <sheetName val="Commentary"/>
      <sheetName val="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Issuer: Foshan Nationstar Optoelectronics</v>
          </cell>
          <cell r="C1">
            <v>3533928548</v>
          </cell>
          <cell r="F1">
            <v>2007</v>
          </cell>
          <cell r="G1">
            <v>2008</v>
          </cell>
          <cell r="H1">
            <v>2009</v>
          </cell>
          <cell r="I1">
            <v>2010</v>
          </cell>
          <cell r="J1" t="str">
            <v>2011 Q1</v>
          </cell>
          <cell r="K1" t="str">
            <v>2011 Q2</v>
          </cell>
          <cell r="L1" t="str">
            <v>2011 Q3</v>
          </cell>
          <cell r="M1" t="str">
            <v>2011 Q4</v>
          </cell>
          <cell r="N1">
            <v>2011</v>
          </cell>
          <cell r="O1" t="str">
            <v>2012 Q1</v>
          </cell>
          <cell r="P1" t="str">
            <v>2012 Q2</v>
          </cell>
          <cell r="Q1" t="str">
            <v>2012 Q3</v>
          </cell>
          <cell r="R1" t="str">
            <v>2012 Q4</v>
          </cell>
          <cell r="S1">
            <v>2012</v>
          </cell>
          <cell r="T1" t="str">
            <v>2013 Q1</v>
          </cell>
          <cell r="U1" t="str">
            <v>2013 Q2</v>
          </cell>
          <cell r="V1" t="str">
            <v>2013 Q3</v>
          </cell>
          <cell r="W1" t="str">
            <v>2013 Q4</v>
          </cell>
          <cell r="X1">
            <v>2013</v>
          </cell>
          <cell r="Y1" t="str">
            <v>2014 Q1</v>
          </cell>
          <cell r="Z1" t="str">
            <v>2014 Q2</v>
          </cell>
          <cell r="AA1" t="str">
            <v>2014 Q3</v>
          </cell>
          <cell r="AB1" t="str">
            <v>2014 Q4</v>
          </cell>
          <cell r="AC1">
            <v>2014</v>
          </cell>
          <cell r="AD1" t="str">
            <v>2015 Q1</v>
          </cell>
          <cell r="AE1" t="str">
            <v>2015 Q2</v>
          </cell>
          <cell r="AF1" t="str">
            <v>2015 Q3</v>
          </cell>
          <cell r="AG1" t="str">
            <v>2015 Q4</v>
          </cell>
          <cell r="AH1">
            <v>2015</v>
          </cell>
          <cell r="AI1" t="str">
            <v>2016 Q1</v>
          </cell>
          <cell r="AJ1" t="str">
            <v>2016 Q2</v>
          </cell>
          <cell r="AK1" t="str">
            <v>2016 Q3</v>
          </cell>
          <cell r="AL1" t="str">
            <v>2016 Q4</v>
          </cell>
          <cell r="AM1">
            <v>2016</v>
          </cell>
          <cell r="AN1" t="str">
            <v>2017 Q1</v>
          </cell>
          <cell r="AO1" t="str">
            <v>2017 Q2</v>
          </cell>
          <cell r="AP1" t="str">
            <v>2017 Q3</v>
          </cell>
          <cell r="AQ1" t="str">
            <v>2017 Q4</v>
          </cell>
          <cell r="AR1">
            <v>2017</v>
          </cell>
          <cell r="AS1" t="str">
            <v>2018 Q1</v>
          </cell>
          <cell r="AT1" t="str">
            <v>2018 Q2</v>
          </cell>
          <cell r="AU1" t="str">
            <v>2018 Q3</v>
          </cell>
          <cell r="AV1" t="str">
            <v>2018 Q4</v>
          </cell>
          <cell r="AW1">
            <v>2018</v>
          </cell>
          <cell r="AX1" t="str">
            <v>2019 Q1</v>
          </cell>
          <cell r="AY1" t="str">
            <v>2019 Q2</v>
          </cell>
          <cell r="AZ1" t="str">
            <v>2019 Q3</v>
          </cell>
          <cell r="BA1" t="str">
            <v>2019 Q4</v>
          </cell>
          <cell r="BB1">
            <v>2019</v>
          </cell>
          <cell r="BC1">
            <v>2020</v>
          </cell>
          <cell r="BD1">
            <v>2021</v>
          </cell>
        </row>
        <row r="2">
          <cell r="AS2" t="str">
            <v>Estimate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</row>
        <row r="3">
          <cell r="AS3">
            <v>43190</v>
          </cell>
          <cell r="AT3">
            <v>43281</v>
          </cell>
          <cell r="AU3">
            <v>43373</v>
          </cell>
          <cell r="AV3">
            <v>43465</v>
          </cell>
          <cell r="AX3">
            <v>43555</v>
          </cell>
          <cell r="AY3">
            <v>43646</v>
          </cell>
          <cell r="AZ3">
            <v>43738</v>
          </cell>
          <cell r="BA3">
            <v>43830</v>
          </cell>
        </row>
        <row r="4">
          <cell r="A4" t="str">
            <v>Issuer: Foshan Nationstar Optoelectronics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Foshan Nationstar Optoelectronics</v>
          </cell>
        </row>
        <row r="7">
          <cell r="B7" t="str">
            <v>Reporting Currency</v>
          </cell>
          <cell r="C7" t="str">
            <v>CURRENCY_ISO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>
            <v>0</v>
          </cell>
        </row>
        <row r="12">
          <cell r="B12" t="str">
            <v>Compensation &amp; benfits expense</v>
          </cell>
          <cell r="C12" t="str">
            <v>PERSONNEL</v>
          </cell>
          <cell r="D12">
            <v>0</v>
          </cell>
        </row>
        <row r="13">
          <cell r="B13" t="str">
            <v>Cost of goods sold, COGS</v>
          </cell>
          <cell r="C13" t="str">
            <v>COST_GD_SD</v>
          </cell>
          <cell r="D13">
            <v>0</v>
          </cell>
        </row>
        <row r="14">
          <cell r="B14" t="str">
            <v>SG&amp;A, selling, general and admin. expense</v>
          </cell>
          <cell r="C14" t="str">
            <v>SEL_GL_AD</v>
          </cell>
          <cell r="D14">
            <v>0</v>
          </cell>
        </row>
        <row r="15">
          <cell r="B15" t="str">
            <v>Total operating expense</v>
          </cell>
          <cell r="C15" t="str">
            <v>OP_COST</v>
          </cell>
          <cell r="D15">
            <v>0</v>
          </cell>
        </row>
        <row r="16">
          <cell r="B16" t="str">
            <v>R&amp;D expense</v>
          </cell>
          <cell r="C16" t="str">
            <v>RD_EXP</v>
          </cell>
          <cell r="D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>
            <v>0</v>
          </cell>
        </row>
        <row r="19">
          <cell r="B19" t="str">
            <v>Total operating expense (excl. D&amp;A)</v>
          </cell>
          <cell r="C19" t="str">
            <v>TOT_OPS_EXP</v>
          </cell>
          <cell r="D19">
            <v>0</v>
          </cell>
        </row>
        <row r="20">
          <cell r="B20" t="str">
            <v>EBITDA</v>
          </cell>
          <cell r="C20" t="str">
            <v>EBITDA_CALC</v>
          </cell>
          <cell r="D20">
            <v>0</v>
          </cell>
        </row>
        <row r="21">
          <cell r="B21" t="str">
            <v>Depreciation</v>
          </cell>
          <cell r="C21" t="str">
            <v>DEPREC</v>
          </cell>
          <cell r="D21">
            <v>0</v>
          </cell>
        </row>
        <row r="22">
          <cell r="B22" t="str">
            <v>Amortization</v>
          </cell>
          <cell r="C22" t="str">
            <v>GOODWILL_AMORT</v>
          </cell>
          <cell r="D22">
            <v>0</v>
          </cell>
        </row>
        <row r="23">
          <cell r="B23" t="str">
            <v>EBIT, operating profit</v>
          </cell>
          <cell r="C23" t="str">
            <v>EBIT</v>
          </cell>
          <cell r="D23">
            <v>0</v>
          </cell>
        </row>
        <row r="24">
          <cell r="B24" t="str">
            <v>Interest income</v>
          </cell>
          <cell r="C24" t="str">
            <v>INT_INC_IND</v>
          </cell>
          <cell r="D24">
            <v>0</v>
          </cell>
        </row>
        <row r="25">
          <cell r="B25" t="str">
            <v>Interest expense</v>
          </cell>
          <cell r="C25" t="str">
            <v>INT_EXP_IND</v>
          </cell>
          <cell r="D25">
            <v>0</v>
          </cell>
        </row>
        <row r="26">
          <cell r="B26" t="str">
            <v>Net interest income/(expense)</v>
          </cell>
          <cell r="C26" t="str">
            <v>NET_INT_EXP</v>
          </cell>
          <cell r="D26">
            <v>0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>
            <v>0</v>
          </cell>
        </row>
        <row r="30">
          <cell r="B30" t="str">
            <v>Pre-tax profit</v>
          </cell>
          <cell r="C30" t="str">
            <v>PT_PROF</v>
          </cell>
          <cell r="D30">
            <v>0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>
            <v>0</v>
          </cell>
        </row>
        <row r="33">
          <cell r="B33" t="str">
            <v>Lease payments</v>
          </cell>
          <cell r="C33" t="str">
            <v>LEASE_PAY</v>
          </cell>
          <cell r="D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>
            <v>0</v>
          </cell>
        </row>
        <row r="36">
          <cell r="B36" t="str">
            <v>Gross interest charge</v>
          </cell>
          <cell r="C36" t="str">
            <v>NET_INT_CH</v>
          </cell>
          <cell r="D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>
            <v>0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>
            <v>0</v>
          </cell>
        </row>
        <row r="40">
          <cell r="B40" t="str">
            <v>Accounts receivable</v>
          </cell>
          <cell r="C40" t="str">
            <v>DEBTORS</v>
          </cell>
          <cell r="D40">
            <v>0</v>
          </cell>
        </row>
        <row r="41">
          <cell r="B41" t="str">
            <v>Inventory</v>
          </cell>
          <cell r="C41" t="str">
            <v>STOCKS</v>
          </cell>
          <cell r="D41">
            <v>0</v>
          </cell>
        </row>
        <row r="42">
          <cell r="B42" t="str">
            <v>Other current assets</v>
          </cell>
          <cell r="C42" t="str">
            <v>OTH_CUR_ASS</v>
          </cell>
          <cell r="D42">
            <v>0</v>
          </cell>
        </row>
        <row r="43">
          <cell r="B43" t="str">
            <v>Total current assets</v>
          </cell>
          <cell r="C43" t="str">
            <v>CUR_ASS</v>
          </cell>
          <cell r="D43">
            <v>0</v>
          </cell>
        </row>
        <row r="44">
          <cell r="B44" t="str">
            <v>Gross fixed assets, PP&amp;E</v>
          </cell>
          <cell r="C44" t="str">
            <v>GR_FIX_ASS</v>
          </cell>
          <cell r="D44">
            <v>0</v>
          </cell>
        </row>
        <row r="45">
          <cell r="B45" t="str">
            <v>Accumulated depreciation</v>
          </cell>
          <cell r="C45" t="str">
            <v>ACC_DDA</v>
          </cell>
          <cell r="D45">
            <v>0</v>
          </cell>
        </row>
        <row r="46">
          <cell r="B46" t="str">
            <v>Net PP&amp;E</v>
          </cell>
          <cell r="C46" t="str">
            <v>NET_FIX_ASS</v>
          </cell>
          <cell r="D46">
            <v>0</v>
          </cell>
        </row>
        <row r="47">
          <cell r="B47" t="str">
            <v>Gross intangibles</v>
          </cell>
          <cell r="C47" t="str">
            <v>GR_INTANG</v>
          </cell>
          <cell r="D47">
            <v>0</v>
          </cell>
        </row>
        <row r="48">
          <cell r="B48" t="str">
            <v>Accumulated amortization</v>
          </cell>
          <cell r="C48" t="str">
            <v>ACC_AMORT</v>
          </cell>
          <cell r="D48">
            <v>0</v>
          </cell>
        </row>
        <row r="49">
          <cell r="B49" t="str">
            <v>Net intangible assets</v>
          </cell>
          <cell r="C49" t="str">
            <v>NET_INTANG</v>
          </cell>
          <cell r="D49">
            <v>0</v>
          </cell>
        </row>
        <row r="50">
          <cell r="B50" t="str">
            <v>Equity method investments</v>
          </cell>
          <cell r="C50" t="str">
            <v>FIX_ASS_INV</v>
          </cell>
          <cell r="D50">
            <v>0</v>
          </cell>
        </row>
        <row r="51">
          <cell r="B51" t="str">
            <v>Investments in securities</v>
          </cell>
          <cell r="C51" t="str">
            <v>INV_SECUR</v>
          </cell>
          <cell r="D51">
            <v>0</v>
          </cell>
        </row>
        <row r="52">
          <cell r="B52" t="str">
            <v>Other long-term assets</v>
          </cell>
          <cell r="C52" t="str">
            <v>OTH_LT_ASS</v>
          </cell>
          <cell r="D52">
            <v>0</v>
          </cell>
        </row>
        <row r="53">
          <cell r="B53" t="str">
            <v>Total assets</v>
          </cell>
          <cell r="C53" t="str">
            <v>TOT_ASSET</v>
          </cell>
          <cell r="D53">
            <v>0</v>
          </cell>
        </row>
        <row r="54">
          <cell r="B54" t="str">
            <v>Accounts payable</v>
          </cell>
          <cell r="C54" t="str">
            <v>ACC_PAY_GQ</v>
          </cell>
          <cell r="D54">
            <v>0</v>
          </cell>
        </row>
        <row r="55">
          <cell r="B55" t="str">
            <v>Short-term debt</v>
          </cell>
          <cell r="C55" t="str">
            <v>SHORT_T_DEBT</v>
          </cell>
          <cell r="D55">
            <v>0</v>
          </cell>
        </row>
        <row r="56">
          <cell r="B56" t="str">
            <v>Other current liabilities</v>
          </cell>
          <cell r="C56" t="str">
            <v>OTH_CUR_LIABS</v>
          </cell>
          <cell r="D56">
            <v>0</v>
          </cell>
        </row>
        <row r="57">
          <cell r="B57" t="str">
            <v>Total current liabilities</v>
          </cell>
          <cell r="C57" t="str">
            <v>SHORT_TERM_LIABS</v>
          </cell>
          <cell r="D57">
            <v>0</v>
          </cell>
        </row>
        <row r="58">
          <cell r="B58" t="str">
            <v>Long-term  debt</v>
          </cell>
          <cell r="C58" t="str">
            <v>LT_DEBT</v>
          </cell>
          <cell r="D58">
            <v>0</v>
          </cell>
        </row>
        <row r="59">
          <cell r="B59" t="str">
            <v>Other long-term liabilities</v>
          </cell>
          <cell r="C59" t="str">
            <v>OTH_LT_CRED_GQ</v>
          </cell>
          <cell r="D59">
            <v>0</v>
          </cell>
        </row>
        <row r="60">
          <cell r="B60" t="str">
            <v>Total long-term liabilities</v>
          </cell>
          <cell r="C60" t="str">
            <v>TOT_LT_LIAB</v>
          </cell>
          <cell r="D60">
            <v>0</v>
          </cell>
        </row>
        <row r="61">
          <cell r="B61" t="str">
            <v>Total liabilities</v>
          </cell>
          <cell r="C61" t="str">
            <v>TOT_LIAB</v>
          </cell>
          <cell r="D61">
            <v>0</v>
          </cell>
        </row>
        <row r="62">
          <cell r="B62" t="str">
            <v>Preferred shares</v>
          </cell>
          <cell r="C62" t="str">
            <v>PREF_SH</v>
          </cell>
          <cell r="D62">
            <v>0</v>
          </cell>
        </row>
        <row r="63">
          <cell r="B63" t="str">
            <v>Total common equity</v>
          </cell>
          <cell r="C63" t="str">
            <v>ORD_SH_FUND</v>
          </cell>
          <cell r="D63">
            <v>0</v>
          </cell>
        </row>
        <row r="64">
          <cell r="B64" t="str">
            <v>Minority interest</v>
          </cell>
          <cell r="C64" t="str">
            <v>MINORITIES</v>
          </cell>
          <cell r="D64">
            <v>0</v>
          </cell>
        </row>
        <row r="65">
          <cell r="B65" t="str">
            <v>Total shareholders' equity</v>
          </cell>
          <cell r="C65" t="str">
            <v>EQ</v>
          </cell>
          <cell r="D65">
            <v>0</v>
          </cell>
        </row>
        <row r="66">
          <cell r="B66" t="str">
            <v>Total liabilities and equity</v>
          </cell>
          <cell r="C66" t="str">
            <v>TOT_LIAB_EQ</v>
          </cell>
          <cell r="D66">
            <v>0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</row>
        <row r="69">
          <cell r="B69" t="str">
            <v>% US$ debt hedged (principal)</v>
          </cell>
          <cell r="C69" t="str">
            <v>TOT_PCT_USD_DEBT_HEDGED</v>
          </cell>
        </row>
        <row r="70">
          <cell r="B70" t="str">
            <v>% Floating debt (local currency debt)</v>
          </cell>
          <cell r="C70" t="str">
            <v>FLOATING_PCT_LOCAL_DEBT</v>
          </cell>
        </row>
        <row r="71">
          <cell r="B71" t="str">
            <v>% floating debt hedged (rates)</v>
          </cell>
          <cell r="C71" t="str">
            <v>FLOATING_PCT_LOCAL_DEBT_HEDGED</v>
          </cell>
        </row>
        <row r="72">
          <cell r="B72" t="str">
            <v>Net debt</v>
          </cell>
          <cell r="C72" t="str">
            <v>NET_DEBT</v>
          </cell>
          <cell r="D72">
            <v>0</v>
          </cell>
        </row>
        <row r="73">
          <cell r="B73" t="str">
            <v>Capitalized leases</v>
          </cell>
          <cell r="C73" t="str">
            <v>CAP_LEASES</v>
          </cell>
          <cell r="D73">
            <v>0</v>
          </cell>
        </row>
        <row r="74">
          <cell r="B74" t="str">
            <v>Deferred income taxes</v>
          </cell>
          <cell r="C74" t="str">
            <v>DEF_INC_TAX</v>
          </cell>
          <cell r="D74">
            <v>0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>
            <v>0</v>
          </cell>
        </row>
        <row r="76">
          <cell r="B76" t="str">
            <v>Net debt adjustment</v>
          </cell>
          <cell r="C76" t="str">
            <v>NET_DEBT_ADJ</v>
          </cell>
          <cell r="D76">
            <v>0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>
            <v>0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>
            <v>0</v>
          </cell>
        </row>
        <row r="82">
          <cell r="B82" t="str">
            <v>Other GCI adjustments</v>
          </cell>
          <cell r="C82" t="str">
            <v>OTH_GCI_ADJ</v>
          </cell>
          <cell r="D82">
            <v>0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>
            <v>0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>
            <v>0</v>
          </cell>
        </row>
        <row r="88">
          <cell r="B88" t="str">
            <v>(Increase)/decrease in working capital</v>
          </cell>
          <cell r="C88" t="str">
            <v>WORK_CAP</v>
          </cell>
          <cell r="D88">
            <v>0</v>
          </cell>
        </row>
        <row r="89">
          <cell r="B89" t="str">
            <v>Other operating cash flow items</v>
          </cell>
          <cell r="C89" t="str">
            <v>OTH_OP_CF</v>
          </cell>
          <cell r="D89">
            <v>0</v>
          </cell>
        </row>
        <row r="90">
          <cell r="B90" t="str">
            <v>Cash flow from operating activities</v>
          </cell>
          <cell r="C90" t="str">
            <v>CF_OPS</v>
          </cell>
          <cell r="D90">
            <v>0</v>
          </cell>
        </row>
        <row r="91">
          <cell r="B91" t="str">
            <v>Capital expenditures, Capex</v>
          </cell>
          <cell r="C91" t="str">
            <v>CAPEX</v>
          </cell>
          <cell r="D91">
            <v>0</v>
          </cell>
        </row>
        <row r="92">
          <cell r="B92" t="str">
            <v>Acquisitions</v>
          </cell>
          <cell r="C92" t="str">
            <v>ACQ</v>
          </cell>
          <cell r="D92">
            <v>0</v>
          </cell>
        </row>
        <row r="93">
          <cell r="B93" t="str">
            <v>Divestitures</v>
          </cell>
          <cell r="C93" t="str">
            <v>DIVEST</v>
          </cell>
          <cell r="D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>
            <v>0</v>
          </cell>
        </row>
        <row r="95">
          <cell r="B95" t="str">
            <v>Cash flow from investing</v>
          </cell>
          <cell r="C95" t="str">
            <v>CF_INV</v>
          </cell>
          <cell r="D95">
            <v>0</v>
          </cell>
        </row>
        <row r="96">
          <cell r="B96" t="str">
            <v>Dividends paid</v>
          </cell>
          <cell r="C96" t="str">
            <v>DIV_PAID</v>
          </cell>
          <cell r="D96">
            <v>0</v>
          </cell>
        </row>
        <row r="97">
          <cell r="B97" t="str">
            <v>Common stock issuance/(repurchase)</v>
          </cell>
          <cell r="C97" t="str">
            <v>SH_REPUR</v>
          </cell>
          <cell r="D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>
            <v>0</v>
          </cell>
        </row>
        <row r="99">
          <cell r="B99" t="str">
            <v>Other financing cash flow items</v>
          </cell>
          <cell r="C99" t="str">
            <v>OTH_FIN_CF</v>
          </cell>
          <cell r="D99">
            <v>0</v>
          </cell>
        </row>
        <row r="100">
          <cell r="B100" t="str">
            <v>Cash flow from financing</v>
          </cell>
          <cell r="C100" t="str">
            <v>CF_FIN</v>
          </cell>
          <cell r="D100">
            <v>0</v>
          </cell>
        </row>
        <row r="101">
          <cell r="B101" t="str">
            <v>Total cash flow</v>
          </cell>
          <cell r="C101" t="str">
            <v>TOT_CF</v>
          </cell>
          <cell r="D101">
            <v>0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>
            <v>0</v>
          </cell>
        </row>
        <row r="104">
          <cell r="B104" t="str">
            <v>Profit/(loss) on sale of assets</v>
          </cell>
          <cell r="C104" t="str">
            <v>PL_SALE_ASSETS</v>
          </cell>
          <cell r="D104">
            <v>0</v>
          </cell>
        </row>
        <row r="105">
          <cell r="B105" t="str">
            <v>Other non-cash adjustments</v>
          </cell>
          <cell r="C105" t="str">
            <v>OTH_NONCASH_ADJ</v>
          </cell>
          <cell r="D105">
            <v>0</v>
          </cell>
        </row>
        <row r="106">
          <cell r="B106" t="str">
            <v>Other DACF adjustments</v>
          </cell>
          <cell r="C106" t="str">
            <v>OTH_DACF_ADJ</v>
          </cell>
          <cell r="D106">
            <v>0</v>
          </cell>
        </row>
        <row r="107">
          <cell r="B107" t="str">
            <v>Cash interest expense</v>
          </cell>
          <cell r="C107" t="str">
            <v>CASH_INT_EXP</v>
          </cell>
          <cell r="D107">
            <v>0</v>
          </cell>
        </row>
        <row r="108">
          <cell r="B108" t="str">
            <v>Cash tax expense</v>
          </cell>
          <cell r="C108" t="str">
            <v>CASH_TAX_EXP</v>
          </cell>
          <cell r="D108">
            <v>0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>
            <v>0</v>
          </cell>
        </row>
        <row r="110">
          <cell r="B110" t="str">
            <v>Capex maintenance</v>
          </cell>
          <cell r="C110" t="str">
            <v>CAPEX_MAINTENANCE</v>
          </cell>
          <cell r="D110">
            <v>0</v>
          </cell>
        </row>
        <row r="111">
          <cell r="B111" t="str">
            <v>Capex expansion</v>
          </cell>
          <cell r="C111" t="str">
            <v>CAPEX_EXPANSION</v>
          </cell>
          <cell r="D111">
            <v>0</v>
          </cell>
        </row>
        <row r="112">
          <cell r="B112" t="str">
            <v>Non-PP&amp;E capex</v>
          </cell>
          <cell r="C112" t="str">
            <v>NONPPE_CAPEX</v>
          </cell>
          <cell r="D112">
            <v>0</v>
          </cell>
        </row>
        <row r="113">
          <cell r="B113" t="str">
            <v>Dividends paid to minorities</v>
          </cell>
          <cell r="C113" t="str">
            <v>DIVDS_PD_MINORITIES</v>
          </cell>
          <cell r="D113">
            <v>0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4">
          <cell r="B174" t="str">
            <v>Sales - % Industry Sub-Segment: Oil &amp; Gas</v>
          </cell>
          <cell r="C174" t="str">
            <v>SALES_OIL_GAS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3">
          <cell r="A183" t="str">
            <v>FX Exposure - Sales</v>
          </cell>
        </row>
        <row r="184">
          <cell r="B184" t="str">
            <v>Sales - % FX: British Pounds/Pence</v>
          </cell>
          <cell r="C184" t="str">
            <v>SALES_FX_GPB</v>
          </cell>
        </row>
        <row r="185">
          <cell r="B185" t="str">
            <v>Sales - % FX: Euro</v>
          </cell>
          <cell r="C185" t="str">
            <v>SALES_FX_EUR</v>
          </cell>
        </row>
        <row r="186">
          <cell r="B186" t="str">
            <v>Sales - % FX: New Russian Ruble</v>
          </cell>
          <cell r="C186" t="str">
            <v>SALES_FX_RUB</v>
          </cell>
        </row>
        <row r="187">
          <cell r="B187" t="str">
            <v>Sales - % FX: U.S. Dollar</v>
          </cell>
          <cell r="C187" t="str">
            <v>SALES_FX_USD</v>
          </cell>
        </row>
        <row r="188">
          <cell r="B188" t="str">
            <v>Sales - % FX: Brazilian Real</v>
          </cell>
          <cell r="C188" t="str">
            <v>SALES_FX_BRL</v>
          </cell>
        </row>
        <row r="189">
          <cell r="B189" t="str">
            <v>Sales - % FX: Japanese Yen</v>
          </cell>
          <cell r="C189" t="str">
            <v>SALES_FX_YEN</v>
          </cell>
        </row>
        <row r="190">
          <cell r="B190" t="str">
            <v>Sales - % FX: Chinese Renminbi</v>
          </cell>
          <cell r="C190" t="str">
            <v>SALES_FX_CNY</v>
          </cell>
        </row>
        <row r="191">
          <cell r="B191" t="str">
            <v>Sales - % FX: Indian Rupee</v>
          </cell>
          <cell r="C191" t="str">
            <v>SALES_FX_INR</v>
          </cell>
        </row>
        <row r="192">
          <cell r="B192" t="str">
            <v>Sales - % FX: South Korean Won</v>
          </cell>
          <cell r="C192" t="str">
            <v>SALES_FX_KRW</v>
          </cell>
        </row>
        <row r="193">
          <cell r="B193" t="str">
            <v>Sales - % FX: Taiwan Dollar</v>
          </cell>
          <cell r="C193" t="str">
            <v>SALES_FX_TWD</v>
          </cell>
        </row>
        <row r="194">
          <cell r="B194" t="str">
            <v>Sales - % FX: Other Currency</v>
          </cell>
          <cell r="C194" t="str">
            <v>SALES_FX_OTH</v>
          </cell>
        </row>
        <row r="195">
          <cell r="A195" t="str">
            <v>Items to be removed</v>
          </cell>
        </row>
        <row r="196">
          <cell r="B196" t="str">
            <v>Sales - Total % Americas</v>
          </cell>
          <cell r="C196" t="str">
            <v>SALES_TOT_AM</v>
          </cell>
        </row>
        <row r="197">
          <cell r="B197" t="str">
            <v>Sales - % Other Americas</v>
          </cell>
          <cell r="C197" t="str">
            <v>SALES_OTH_AM</v>
          </cell>
        </row>
        <row r="198">
          <cell r="B198" t="str">
            <v>Sales - Total % EMEA</v>
          </cell>
          <cell r="C198" t="str">
            <v>SALES_TOT_EMEA</v>
          </cell>
        </row>
        <row r="199">
          <cell r="B199" t="str">
            <v>Sales - % Western Europe-Ex UK</v>
          </cell>
          <cell r="C199" t="str">
            <v>SALES_EU_EX_UK</v>
          </cell>
        </row>
        <row r="200">
          <cell r="B200" t="str">
            <v>Sales - % Central &amp; Eastern Europe</v>
          </cell>
          <cell r="C200" t="str">
            <v>SALES_CEE</v>
          </cell>
        </row>
        <row r="201">
          <cell r="B201" t="str">
            <v>Sales - % Middle East</v>
          </cell>
          <cell r="C201" t="str">
            <v>SALES_ME</v>
          </cell>
        </row>
        <row r="202">
          <cell r="B202" t="str">
            <v>Sales - % Total Africa</v>
          </cell>
          <cell r="C202" t="str">
            <v>SALES_TOT_AFRICA</v>
          </cell>
        </row>
        <row r="203">
          <cell r="B203" t="str">
            <v>Sales - % Other EMEA</v>
          </cell>
          <cell r="C203" t="str">
            <v>SALES_OTH_EMEA</v>
          </cell>
        </row>
        <row r="204">
          <cell r="B204" t="str">
            <v>Sales - Total % Asia (incl Australia &amp; New Zealand)</v>
          </cell>
          <cell r="C204" t="str">
            <v>SALES_TOT_ASIA</v>
          </cell>
        </row>
        <row r="205">
          <cell r="B205" t="str">
            <v>Sales - % Other Asia</v>
          </cell>
          <cell r="C205" t="str">
            <v>SALES_OTH_AEJ</v>
          </cell>
        </row>
        <row r="206">
          <cell r="A206" t="str">
            <v>Security: Foshan Nationstar Optoelectronics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002449.SZ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Foshan Nationstar Optoelectronics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</row>
        <row r="212">
          <cell r="B212" t="str">
            <v>Pricing Currency</v>
          </cell>
          <cell r="C212" t="str">
            <v>PRICE_CURRENCY_ISO</v>
          </cell>
        </row>
        <row r="213">
          <cell r="B213" t="str">
            <v>Reporting Currency</v>
          </cell>
          <cell r="C213" t="str">
            <v>CURRENCY_ISO</v>
          </cell>
        </row>
        <row r="214">
          <cell r="A214" t="str">
            <v>General Information</v>
          </cell>
        </row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>
            <v>0</v>
          </cell>
        </row>
        <row r="219">
          <cell r="B219" t="str">
            <v>Target price period</v>
          </cell>
          <cell r="C219" t="str">
            <v>TP_PERIOD</v>
          </cell>
        </row>
        <row r="220">
          <cell r="B220" t="str">
            <v>Current shares outstanding (mn)</v>
          </cell>
          <cell r="C220" t="str">
            <v>NUM_SH</v>
          </cell>
        </row>
        <row r="221">
          <cell r="B221" t="str">
            <v>Free float</v>
          </cell>
          <cell r="C221" t="str">
            <v>FREE_FLOAT</v>
          </cell>
        </row>
        <row r="222">
          <cell r="B222" t="str">
            <v>Foreign ownership</v>
          </cell>
          <cell r="C222" t="str">
            <v>FOREIGN_HOLDNG</v>
          </cell>
        </row>
        <row r="223">
          <cell r="B223" t="str">
            <v>Catalyst 1 date</v>
          </cell>
          <cell r="C223" t="str">
            <v>CATALYST1_DATE</v>
          </cell>
        </row>
        <row r="224">
          <cell r="B224" t="str">
            <v>Catalyst 1 description</v>
          </cell>
          <cell r="C224" t="str">
            <v>CATALYST1_EVENT</v>
          </cell>
        </row>
        <row r="225">
          <cell r="B225" t="str">
            <v>Catalyst 2 date</v>
          </cell>
          <cell r="C225" t="str">
            <v>CATALYST2_DATE</v>
          </cell>
        </row>
        <row r="226">
          <cell r="B226" t="str">
            <v>Catalyst 2 description</v>
          </cell>
          <cell r="C226" t="str">
            <v>CATALYST2_EVENT</v>
          </cell>
        </row>
        <row r="227">
          <cell r="B227" t="str">
            <v>Catalyst 3 date</v>
          </cell>
          <cell r="C227" t="str">
            <v>CATALYST3_DATE</v>
          </cell>
        </row>
        <row r="228">
          <cell r="B228" t="str">
            <v>Catalyst 3 description</v>
          </cell>
          <cell r="C228" t="str">
            <v>CATALYST3_EVENT</v>
          </cell>
        </row>
        <row r="229">
          <cell r="B229" t="str">
            <v>Catalyst 4 date</v>
          </cell>
          <cell r="C229" t="str">
            <v>CATALYST4_DATE</v>
          </cell>
        </row>
        <row r="230">
          <cell r="B230" t="str">
            <v>Catalyst 4 description</v>
          </cell>
          <cell r="C230" t="str">
            <v>CATALYST4_EVENT</v>
          </cell>
        </row>
        <row r="231">
          <cell r="B231" t="str">
            <v>Catalyst 5 date</v>
          </cell>
          <cell r="C231" t="str">
            <v>CATALYST5_DATE</v>
          </cell>
        </row>
        <row r="232">
          <cell r="B232" t="str">
            <v>Catalyst 5 description</v>
          </cell>
          <cell r="C232" t="str">
            <v>CATALYST5_EVENT</v>
          </cell>
        </row>
        <row r="233">
          <cell r="B233" t="str">
            <v>Target price multiple</v>
          </cell>
          <cell r="C233" t="str">
            <v>PRI_TARG_MULT</v>
          </cell>
        </row>
        <row r="234">
          <cell r="B234" t="str">
            <v>Target price methodology</v>
          </cell>
          <cell r="C234" t="str">
            <v>PRI_TARG_METH</v>
          </cell>
        </row>
        <row r="235">
          <cell r="A235" t="str">
            <v>Publishing Items</v>
          </cell>
        </row>
        <row r="236">
          <cell r="B236" t="str">
            <v>Book value per share, BVPS (Pub)</v>
          </cell>
          <cell r="C236" t="str">
            <v>BVPS_PUB</v>
          </cell>
          <cell r="D236">
            <v>0</v>
          </cell>
        </row>
        <row r="237">
          <cell r="B237" t="str">
            <v>DPS, dividend per share (Pub)</v>
          </cell>
          <cell r="C237" t="str">
            <v>DPS_PUB</v>
          </cell>
          <cell r="D237">
            <v>0</v>
          </cell>
        </row>
        <row r="238">
          <cell r="B238" t="str">
            <v>Special dividend per share</v>
          </cell>
          <cell r="C238" t="str">
            <v>DPS_SPECIAL_PUB</v>
          </cell>
          <cell r="D238">
            <v>0</v>
          </cell>
        </row>
        <row r="239">
          <cell r="B239" t="str">
            <v>EBITDA (Pub)</v>
          </cell>
          <cell r="C239" t="str">
            <v>EBITDA_PUB</v>
          </cell>
          <cell r="D239">
            <v>0</v>
          </cell>
        </row>
        <row r="240">
          <cell r="B240" t="str">
            <v>EPS (Pub)</v>
          </cell>
          <cell r="C240" t="str">
            <v>EPS_PUB</v>
          </cell>
          <cell r="D240">
            <v>0</v>
          </cell>
        </row>
        <row r="241">
          <cell r="B241" t="str">
            <v>EV adjustment (Pub)</v>
          </cell>
          <cell r="C241" t="str">
            <v>EV_ADJ_PUB</v>
          </cell>
          <cell r="D241">
            <v>0</v>
          </cell>
        </row>
        <row r="242">
          <cell r="B242" t="str">
            <v>Net debt (Pub)</v>
          </cell>
          <cell r="C242" t="str">
            <v>NET_DEBT_PUB</v>
          </cell>
          <cell r="D242">
            <v>0</v>
          </cell>
        </row>
        <row r="243">
          <cell r="B243" t="str">
            <v>Net income (Pub)</v>
          </cell>
          <cell r="C243" t="str">
            <v>NI_PUB</v>
          </cell>
          <cell r="D243">
            <v>0</v>
          </cell>
        </row>
        <row r="244">
          <cell r="B244" t="str">
            <v>EBIT, operating profit (Pub)</v>
          </cell>
          <cell r="C244" t="str">
            <v>EBIT_PUB</v>
          </cell>
          <cell r="D244">
            <v>0</v>
          </cell>
        </row>
        <row r="245">
          <cell r="B245" t="str">
            <v>Pre-tax profit (Pub)</v>
          </cell>
          <cell r="C245" t="str">
            <v>PTP_PUB</v>
          </cell>
          <cell r="D245">
            <v>0</v>
          </cell>
        </row>
        <row r="246">
          <cell r="B246" t="str">
            <v>Sales, revenue (Pub)</v>
          </cell>
          <cell r="C246" t="str">
            <v>REVS_PUB</v>
          </cell>
          <cell r="D246">
            <v>0</v>
          </cell>
        </row>
        <row r="247">
          <cell r="B247" t="str">
            <v>Total shareholders' equity (Pub)</v>
          </cell>
          <cell r="C247" t="str">
            <v>EQ_PUB</v>
          </cell>
          <cell r="D247">
            <v>0</v>
          </cell>
        </row>
        <row r="248">
          <cell r="B248" t="str">
            <v>EPS (consensus)</v>
          </cell>
          <cell r="C248" t="str">
            <v>EPS_CONS_PUB</v>
          </cell>
          <cell r="D248">
            <v>0</v>
          </cell>
        </row>
        <row r="249">
          <cell r="A249" t="str">
            <v>Income Statement</v>
          </cell>
        </row>
        <row r="250">
          <cell r="B250" t="str">
            <v>Provision for income tax</v>
          </cell>
          <cell r="C250" t="str">
            <v>PROV_INC_TAX</v>
          </cell>
          <cell r="D250">
            <v>0</v>
          </cell>
        </row>
        <row r="251">
          <cell r="B251" t="str">
            <v>Minority interest</v>
          </cell>
          <cell r="C251" t="str">
            <v>INC_MINORITY</v>
          </cell>
          <cell r="D251">
            <v>0</v>
          </cell>
        </row>
        <row r="252">
          <cell r="B252" t="str">
            <v>Net income (pre-preferred dividends)</v>
          </cell>
          <cell r="C252" t="str">
            <v>NI_PRE_PREF</v>
          </cell>
          <cell r="D252">
            <v>0</v>
          </cell>
        </row>
        <row r="253">
          <cell r="B253" t="str">
            <v>Preferred dividends</v>
          </cell>
          <cell r="C253" t="str">
            <v>PREF_DIV</v>
          </cell>
          <cell r="D253">
            <v>0</v>
          </cell>
        </row>
        <row r="254">
          <cell r="B254" t="str">
            <v>Net income (pre-exceptionals)</v>
          </cell>
          <cell r="C254" t="str">
            <v>NET_EARNING</v>
          </cell>
          <cell r="D254">
            <v>0</v>
          </cell>
        </row>
        <row r="255">
          <cell r="B255" t="str">
            <v>Post-tax exceptionals</v>
          </cell>
          <cell r="C255" t="str">
            <v>TAX_EXC</v>
          </cell>
          <cell r="D255">
            <v>0</v>
          </cell>
        </row>
        <row r="256">
          <cell r="B256" t="str">
            <v>Net income (post-exceptionals)</v>
          </cell>
          <cell r="C256" t="str">
            <v>NET_INC</v>
          </cell>
          <cell r="D256">
            <v>0</v>
          </cell>
        </row>
        <row r="257">
          <cell r="B257" t="str">
            <v>EPS (pre-exceptionals, basic)</v>
          </cell>
          <cell r="C257" t="str">
            <v>EPS</v>
          </cell>
          <cell r="D257">
            <v>0</v>
          </cell>
        </row>
        <row r="258">
          <cell r="B258" t="str">
            <v>EPS (pre-exceptionals, diluted)</v>
          </cell>
          <cell r="C258" t="str">
            <v>EPS_FUL_DIL</v>
          </cell>
          <cell r="D258">
            <v>0</v>
          </cell>
        </row>
        <row r="259">
          <cell r="B259" t="str">
            <v>EPS (post-exceptionals, basic)</v>
          </cell>
          <cell r="C259" t="str">
            <v>EPS_POST_BASIC</v>
          </cell>
          <cell r="D259">
            <v>0</v>
          </cell>
        </row>
        <row r="260">
          <cell r="B260" t="str">
            <v>EPS (post-exceptionals, diluted)</v>
          </cell>
          <cell r="C260" t="str">
            <v>FULLY_DIL_EPS</v>
          </cell>
          <cell r="D260">
            <v>0</v>
          </cell>
        </row>
        <row r="261">
          <cell r="B261" t="str">
            <v>Common dividends paid</v>
          </cell>
          <cell r="C261" t="str">
            <v>COMMON_DIV_PAID</v>
          </cell>
          <cell r="D261">
            <v>0</v>
          </cell>
        </row>
        <row r="262">
          <cell r="B262" t="str">
            <v>DPS, dividend per share</v>
          </cell>
          <cell r="C262" t="str">
            <v>DPS</v>
          </cell>
          <cell r="D262">
            <v>0</v>
          </cell>
        </row>
        <row r="263">
          <cell r="B263" t="str">
            <v>Weighted average shares outstanding, basic</v>
          </cell>
          <cell r="C263" t="str">
            <v>SH</v>
          </cell>
        </row>
        <row r="264">
          <cell r="B264" t="str">
            <v>Diluted average shares outstanding (mn)</v>
          </cell>
          <cell r="C264" t="str">
            <v>DILUTE_SHARES</v>
          </cell>
        </row>
        <row r="265">
          <cell r="B265" t="str">
            <v>Period-end shares outstanding</v>
          </cell>
          <cell r="C265" t="str">
            <v>NON_OP_ADD</v>
          </cell>
        </row>
        <row r="266">
          <cell r="A266" t="str">
            <v>Additional Income Statement Items</v>
          </cell>
        </row>
        <row r="267">
          <cell r="B267" t="str">
            <v>Marginal tax rate</v>
          </cell>
          <cell r="C267" t="str">
            <v>MARGIN_TAX_RATE</v>
          </cell>
        </row>
        <row r="268">
          <cell r="B268" t="str">
            <v>Net income (consensus) (Pub)</v>
          </cell>
          <cell r="C268" t="str">
            <v>NI_CONS</v>
          </cell>
          <cell r="D268">
            <v>0</v>
          </cell>
        </row>
        <row r="269">
          <cell r="A269" t="str">
            <v>Balance Sheet</v>
          </cell>
        </row>
        <row r="270">
          <cell r="B270" t="str">
            <v>BVPS, book value per share</v>
          </cell>
          <cell r="C270" t="str">
            <v>BVPS</v>
          </cell>
          <cell r="D270">
            <v>0</v>
          </cell>
        </row>
        <row r="271">
          <cell r="A271" t="str">
            <v>Cash Flow Statement</v>
          </cell>
        </row>
        <row r="272">
          <cell r="B272" t="str">
            <v>Net income (pre-preferred dividends)</v>
          </cell>
          <cell r="C272" t="str">
            <v>CF_NI_PRE_PREF</v>
          </cell>
          <cell r="D272">
            <v>0</v>
          </cell>
        </row>
        <row r="273">
          <cell r="A273" t="str">
            <v>Other Items</v>
          </cell>
        </row>
        <row r="274">
          <cell r="B274" t="str">
            <v>Beta</v>
          </cell>
          <cell r="C274" t="str">
            <v>BETA_ANALYST</v>
          </cell>
        </row>
        <row r="275">
          <cell r="B275" t="str">
            <v>Market equity risk premium</v>
          </cell>
          <cell r="C275" t="str">
            <v>MKT_EQ_RISK_PREM</v>
          </cell>
        </row>
        <row r="276">
          <cell r="B276" t="str">
            <v>Risk-free rate</v>
          </cell>
          <cell r="C276" t="str">
            <v>RISK_FR_RATE</v>
          </cell>
        </row>
      </sheetData>
      <sheetData sheetId="20">
        <row r="1">
          <cell r="A1" t="str">
            <v>6ee64613-7771-4974-b023-0ae8151f6a21</v>
          </cell>
        </row>
        <row r="2">
          <cell r="A2" t="str">
            <v>M:\china_innovation\LED sector\Companies\Nationstar 国星光电\[GS_Nationstar model.xlsm]002449.SZ_Validation_Sheet</v>
          </cell>
        </row>
        <row r="3">
          <cell r="A3" t="str">
            <v>Enabled</v>
          </cell>
          <cell r="L3" t="str">
            <v>ERROR</v>
          </cell>
          <cell r="M3" t="str">
            <v>ERROR</v>
          </cell>
          <cell r="Q3" t="str">
            <v>ERROR</v>
          </cell>
          <cell r="R3" t="str">
            <v>ERROR</v>
          </cell>
          <cell r="V3" t="str">
            <v>ERROR</v>
          </cell>
          <cell r="W3" t="str">
            <v>ERROR</v>
          </cell>
          <cell r="AA3" t="str">
            <v>ERROR</v>
          </cell>
          <cell r="AB3" t="str">
            <v>ERROR</v>
          </cell>
          <cell r="AF3" t="str">
            <v>ERROR</v>
          </cell>
          <cell r="AG3" t="str">
            <v>ERROR</v>
          </cell>
          <cell r="AK3" t="str">
            <v>ERROR</v>
          </cell>
          <cell r="AL3" t="str">
            <v>ERROR</v>
          </cell>
          <cell r="AP3" t="str">
            <v>ERROR</v>
          </cell>
          <cell r="AQ3" t="str">
            <v>ERROR</v>
          </cell>
          <cell r="AU3" t="str">
            <v>ERROR</v>
          </cell>
          <cell r="AV3" t="str">
            <v>ERROR</v>
          </cell>
          <cell r="AZ3" t="str">
            <v>ERROR</v>
          </cell>
          <cell r="BA3" t="str">
            <v>ERROR</v>
          </cell>
          <cell r="BC3" t="str">
            <v>ERROR</v>
          </cell>
          <cell r="BD3" t="str">
            <v>ERROR</v>
          </cell>
        </row>
        <row r="7">
          <cell r="A7" t="str">
            <v>Scalar|||208011603|||ISSR|||CURRENCY_ISO|||False|||</v>
          </cell>
          <cell r="C7" t="str">
            <v>V_KEYWORD_ISSR_208011603_CURRENCY_ISO</v>
          </cell>
          <cell r="E7" t="str">
            <v>ERROR</v>
          </cell>
        </row>
        <row r="9">
          <cell r="A9" t="str">
            <v>Scalar|||208011603|||ISSR|||MA_PROB|||False|||</v>
          </cell>
          <cell r="C9" t="str">
            <v>V_KEYWORD_ISSR_208011603_MA_PROB</v>
          </cell>
          <cell r="E9" t="str">
            <v>ERROR</v>
          </cell>
        </row>
        <row r="11">
          <cell r="A11" t="str">
            <v>Vector|||208011603|||ISSR|||SALES|||False|||</v>
          </cell>
          <cell r="C11" t="str">
            <v>V_KEYWORD_ISSR_208011603_SALES</v>
          </cell>
        </row>
        <row r="12">
          <cell r="A12" t="str">
            <v>Vector|||208011603|||ISSR|||PERSONNEL|||False|||</v>
          </cell>
          <cell r="C12" t="str">
            <v>V_KEYWORD_ISSR_208011603_PERSONNEL</v>
          </cell>
        </row>
        <row r="13">
          <cell r="A13" t="str">
            <v>Vector|||208011603|||ISSR|||COST_GD_SD|||False|||</v>
          </cell>
          <cell r="C13" t="str">
            <v>V_KEYWORD_ISSR_208011603_COST_GD_SD</v>
          </cell>
        </row>
        <row r="14">
          <cell r="A14" t="str">
            <v>Vector|||208011603|||ISSR|||SEL_GL_AD|||False|||</v>
          </cell>
          <cell r="C14" t="str">
            <v>V_KEYWORD_ISSR_208011603_SEL_GL_AD</v>
          </cell>
        </row>
        <row r="15">
          <cell r="A15" t="str">
            <v>Vector|||208011603|||ISSR|||OP_COST|||False|||</v>
          </cell>
          <cell r="C15" t="str">
            <v>V_KEYWORD_ISSR_208011603_OP_COST</v>
          </cell>
        </row>
        <row r="16">
          <cell r="A16" t="str">
            <v>Vector|||208011603|||ISSR|||RD_EXP|||False|||</v>
          </cell>
          <cell r="C16" t="str">
            <v>V_KEYWORD_ISSR_208011603_RD_EXP</v>
          </cell>
        </row>
        <row r="17">
          <cell r="A17" t="str">
            <v>Vector|||208011603|||ISSR|||OTH_OP_INC_EXP|||False|||</v>
          </cell>
          <cell r="C17" t="str">
            <v>V_KEYWORD_ISSR_208011603_OTH_OP_INC_EXP</v>
          </cell>
        </row>
        <row r="18">
          <cell r="A18" t="str">
            <v>Vector|||208011603|||ISSR|||TOT_OPS_EXP_DDA|||False|||</v>
          </cell>
          <cell r="C18" t="str">
            <v>V_KEYWORD_ISSR_208011603_TOT_OPS_EXP_DDA</v>
          </cell>
        </row>
        <row r="19">
          <cell r="A19" t="str">
            <v>Vector|||208011603|||ISSR|||TOT_OPS_EXP|||False|||</v>
          </cell>
          <cell r="C19" t="str">
            <v>V_KEYWORD_ISSR_208011603_TOT_OPS_EXP</v>
          </cell>
        </row>
        <row r="20">
          <cell r="A20" t="str">
            <v>Vector|||208011603|||ISSR|||EBITDA_CALC|||False|||</v>
          </cell>
          <cell r="C20" t="str">
            <v>V_KEYWORD_ISSR_208011603_EBITDA_CALC</v>
          </cell>
        </row>
        <row r="21">
          <cell r="A21" t="str">
            <v>Vector|||208011603|||ISSR|||DEPREC|||False|||</v>
          </cell>
          <cell r="C21" t="str">
            <v>V_KEYWORD_ISSR_208011603_DEPREC</v>
          </cell>
        </row>
        <row r="22">
          <cell r="A22" t="str">
            <v>Vector|||208011603|||ISSR|||GOODWILL_AMORT|||False|||</v>
          </cell>
          <cell r="C22" t="str">
            <v>V_KEYWORD_ISSR_208011603_GOODWILL_AMORT</v>
          </cell>
        </row>
        <row r="23">
          <cell r="A23" t="str">
            <v>Vector|||208011603|||ISSR|||EBIT|||False|||</v>
          </cell>
          <cell r="C23" t="str">
            <v>V_KEYWORD_ISSR_208011603_EBIT</v>
          </cell>
        </row>
        <row r="24">
          <cell r="A24" t="str">
            <v>Vector|||208011603|||ISSR|||INT_INC_IND|||False|||</v>
          </cell>
          <cell r="C24" t="str">
            <v>V_KEYWORD_ISSR_208011603_INT_INC_IND</v>
          </cell>
        </row>
        <row r="25">
          <cell r="A25" t="str">
            <v>Vector|||208011603|||ISSR|||INT_EXP_IND|||False|||</v>
          </cell>
          <cell r="C25" t="str">
            <v>V_KEYWORD_ISSR_208011603_INT_EXP_IND</v>
          </cell>
        </row>
        <row r="26">
          <cell r="A26" t="str">
            <v>Vector|||208011603|||ISSR|||NET_INT_EXP|||False|||</v>
          </cell>
          <cell r="C26" t="str">
            <v>V_KEYWORD_ISSR_208011603_NET_INT_EXP</v>
          </cell>
        </row>
        <row r="27">
          <cell r="A27" t="str">
            <v>Vector|||208011603|||ISSR|||ASSOCIATE|||False|||</v>
          </cell>
          <cell r="C27" t="str">
            <v>V_KEYWORD_ISSR_208011603_ASSOCIATE</v>
          </cell>
        </row>
        <row r="28">
          <cell r="A28" t="str">
            <v>Vector|||208011603|||ISSR|||PROFIT_ON_DISP|||False|||</v>
          </cell>
          <cell r="C28" t="str">
            <v>V_KEYWORD_ISSR_208011603_PROFIT_ON_DISP</v>
          </cell>
        </row>
        <row r="29">
          <cell r="A29" t="str">
            <v>Vector|||208011603|||ISSR|||OTH_COST_INC|||False|||</v>
          </cell>
          <cell r="C29" t="str">
            <v>V_KEYWORD_ISSR_208011603_OTH_COST_INC</v>
          </cell>
        </row>
        <row r="30">
          <cell r="A30" t="str">
            <v>Vector|||208011603|||ISSR|||PT_PROF|||False|||</v>
          </cell>
          <cell r="C30" t="str">
            <v>V_KEYWORD_ISSR_208011603_PT_PROF</v>
          </cell>
        </row>
        <row r="32">
          <cell r="A32" t="str">
            <v>Vector|||208011603|||ISSR|||CONTRIB_MARGIN_RATIO|||False|||</v>
          </cell>
          <cell r="C32" t="str">
            <v>V_KEYWORD_ISSR_208011603_CONTRIB_MARGIN_RATIO</v>
          </cell>
        </row>
        <row r="33">
          <cell r="A33" t="str">
            <v>Vector|||208011603|||ISSR|||LEASE_PAY|||False|||</v>
          </cell>
          <cell r="C33" t="str">
            <v>V_KEYWORD_ISSR_208011603_LEASE_PAY</v>
          </cell>
        </row>
        <row r="34">
          <cell r="A34" t="str">
            <v>Vector|||208011603|||ISSR|||LEASE_DEEM_INT|||False|||</v>
          </cell>
          <cell r="C34" t="str">
            <v>V_KEYWORD_ISSR_208011603_LEASE_DEEM_INT</v>
          </cell>
        </row>
        <row r="35">
          <cell r="A35" t="str">
            <v>Vector|||208011603|||ISSR|||LEASE_DEEM_DEPR|||False|||</v>
          </cell>
          <cell r="C35" t="str">
            <v>V_KEYWORD_ISSR_208011603_LEASE_DEEM_DEPR</v>
          </cell>
        </row>
        <row r="36">
          <cell r="A36" t="str">
            <v>Vector|||208011603|||ISSR|||NET_INT_CH|||False|||</v>
          </cell>
          <cell r="C36" t="str">
            <v>V_KEYWORD_ISSR_208011603_NET_INT_CH</v>
          </cell>
        </row>
        <row r="37">
          <cell r="A37" t="str">
            <v>Vector|||208011603|||ISSR|||ASSOCIATE_OP|||False|||</v>
          </cell>
          <cell r="C37" t="str">
            <v>V_KEYWORD_ISSR_208011603_ASSOCIATE_OP</v>
          </cell>
        </row>
        <row r="39">
          <cell r="A39" t="str">
            <v>Vector|||208011603|||ISSR|||CASH_EQ|||False|||</v>
          </cell>
          <cell r="C39" t="str">
            <v>V_KEYWORD_ISSR_208011603_CASH_EQ</v>
          </cell>
        </row>
        <row r="40">
          <cell r="A40" t="str">
            <v>Vector|||208011603|||ISSR|||DEBTORS|||False|||</v>
          </cell>
          <cell r="C40" t="str">
            <v>V_KEYWORD_ISSR_208011603_DEBTORS</v>
          </cell>
        </row>
        <row r="41">
          <cell r="A41" t="str">
            <v>Vector|||208011603|||ISSR|||STOCKS|||False|||</v>
          </cell>
          <cell r="C41" t="str">
            <v>V_KEYWORD_ISSR_208011603_STOCKS</v>
          </cell>
        </row>
        <row r="42">
          <cell r="A42" t="str">
            <v>Vector|||208011603|||ISSR|||OTH_CUR_ASS|||False|||</v>
          </cell>
          <cell r="C42" t="str">
            <v>V_KEYWORD_ISSR_208011603_OTH_CUR_ASS</v>
          </cell>
        </row>
        <row r="43">
          <cell r="A43" t="str">
            <v>Vector|||208011603|||ISSR|||CUR_ASS|||False|||</v>
          </cell>
          <cell r="C43" t="str">
            <v>V_KEYWORD_ISSR_208011603_CUR_ASS</v>
          </cell>
        </row>
        <row r="44">
          <cell r="A44" t="str">
            <v>Vector|||208011603|||ISSR|||GR_FIX_ASS|||False|||</v>
          </cell>
          <cell r="C44" t="str">
            <v>V_KEYWORD_ISSR_208011603_GR_FIX_ASS</v>
          </cell>
        </row>
        <row r="45">
          <cell r="A45" t="str">
            <v>Vector|||208011603|||ISSR|||ACC_DDA|||False|||</v>
          </cell>
          <cell r="C45" t="str">
            <v>V_KEYWORD_ISSR_208011603_ACC_DDA</v>
          </cell>
        </row>
        <row r="46">
          <cell r="A46" t="str">
            <v>Vector|||208011603|||ISSR|||NET_FIX_ASS|||False|||</v>
          </cell>
          <cell r="C46" t="str">
            <v>V_KEYWORD_ISSR_208011603_NET_FIX_ASS</v>
          </cell>
        </row>
        <row r="47">
          <cell r="A47" t="str">
            <v>Vector|||208011603|||ISSR|||GR_INTANG|||False|||</v>
          </cell>
          <cell r="C47" t="str">
            <v>V_KEYWORD_ISSR_208011603_GR_INTANG</v>
          </cell>
        </row>
        <row r="48">
          <cell r="A48" t="str">
            <v>Vector|||208011603|||ISSR|||ACC_AMORT|||False|||</v>
          </cell>
          <cell r="C48" t="str">
            <v>V_KEYWORD_ISSR_208011603_ACC_AMORT</v>
          </cell>
        </row>
        <row r="49">
          <cell r="A49" t="str">
            <v>Vector|||208011603|||ISSR|||NET_INTANG|||False|||</v>
          </cell>
          <cell r="C49" t="str">
            <v>V_KEYWORD_ISSR_208011603_NET_INTANG</v>
          </cell>
        </row>
        <row r="50">
          <cell r="A50" t="str">
            <v>Vector|||208011603|||ISSR|||FIX_ASS_INV|||False|||</v>
          </cell>
          <cell r="C50" t="str">
            <v>V_KEYWORD_ISSR_208011603_FIX_ASS_INV</v>
          </cell>
        </row>
        <row r="51">
          <cell r="A51" t="str">
            <v>Vector|||208011603|||ISSR|||INV_SECUR|||False|||</v>
          </cell>
          <cell r="C51" t="str">
            <v>V_KEYWORD_ISSR_208011603_INV_SECUR</v>
          </cell>
        </row>
        <row r="52">
          <cell r="A52" t="str">
            <v>Vector|||208011603|||ISSR|||OTH_LT_ASS|||False|||</v>
          </cell>
          <cell r="C52" t="str">
            <v>V_KEYWORD_ISSR_208011603_OTH_LT_ASS</v>
          </cell>
        </row>
        <row r="53">
          <cell r="A53" t="str">
            <v>Vector|||208011603|||ISSR|||TOT_ASSET|||False|||</v>
          </cell>
          <cell r="C53" t="str">
            <v>V_KEYWORD_ISSR_208011603_TOT_ASSET</v>
          </cell>
        </row>
        <row r="54">
          <cell r="A54" t="str">
            <v>Vector|||208011603|||ISSR|||ACC_PAY_GQ|||False|||</v>
          </cell>
          <cell r="C54" t="str">
            <v>V_KEYWORD_ISSR_208011603_ACC_PAY_GQ</v>
          </cell>
        </row>
        <row r="55">
          <cell r="A55" t="str">
            <v>Vector|||208011603|||ISSR|||SHORT_T_DEBT|||False|||</v>
          </cell>
          <cell r="C55" t="str">
            <v>V_KEYWORD_ISSR_208011603_SHORT_T_DEBT</v>
          </cell>
        </row>
        <row r="56">
          <cell r="A56" t="str">
            <v>Vector|||208011603|||ISSR|||OTH_CUR_LIABS|||False|||</v>
          </cell>
          <cell r="C56" t="str">
            <v>V_KEYWORD_ISSR_208011603_OTH_CUR_LIABS</v>
          </cell>
        </row>
        <row r="57">
          <cell r="A57" t="str">
            <v>Vector|||208011603|||ISSR|||SHORT_TERM_LIABS|||False|||</v>
          </cell>
          <cell r="C57" t="str">
            <v>V_KEYWORD_ISSR_208011603_SHORT_TERM_LIABS</v>
          </cell>
        </row>
        <row r="58">
          <cell r="A58" t="str">
            <v>Vector|||208011603|||ISSR|||LT_DEBT|||False|||</v>
          </cell>
          <cell r="C58" t="str">
            <v>V_KEYWORD_ISSR_208011603_LT_DEBT</v>
          </cell>
        </row>
        <row r="59">
          <cell r="A59" t="str">
            <v>Vector|||208011603|||ISSR|||OTH_LT_CRED_GQ|||False|||</v>
          </cell>
          <cell r="C59" t="str">
            <v>V_KEYWORD_ISSR_208011603_OTH_LT_CRED_GQ</v>
          </cell>
        </row>
        <row r="60">
          <cell r="A60" t="str">
            <v>Vector|||208011603|||ISSR|||TOT_LT_LIAB|||False|||</v>
          </cell>
          <cell r="C60" t="str">
            <v>V_KEYWORD_ISSR_208011603_TOT_LT_LIAB</v>
          </cell>
        </row>
        <row r="61">
          <cell r="A61" t="str">
            <v>Vector|||208011603|||ISSR|||TOT_LIAB|||False|||</v>
          </cell>
          <cell r="C61" t="str">
            <v>V_KEYWORD_ISSR_208011603_TOT_LIAB</v>
          </cell>
        </row>
        <row r="62">
          <cell r="A62" t="str">
            <v>Vector|||208011603|||ISSR|||PREF_SH|||False|||</v>
          </cell>
          <cell r="C62" t="str">
            <v>V_KEYWORD_ISSR_208011603_PREF_SH</v>
          </cell>
        </row>
        <row r="63">
          <cell r="A63" t="str">
            <v>Vector|||208011603|||ISSR|||ORD_SH_FUND|||False|||</v>
          </cell>
          <cell r="C63" t="str">
            <v>V_KEYWORD_ISSR_208011603_ORD_SH_FUND</v>
          </cell>
        </row>
        <row r="64">
          <cell r="A64" t="str">
            <v>Vector|||208011603|||ISSR|||MINORITIES|||False|||</v>
          </cell>
          <cell r="C64" t="str">
            <v>V_KEYWORD_ISSR_208011603_MINORITIES</v>
          </cell>
        </row>
        <row r="65">
          <cell r="A65" t="str">
            <v>Vector|||208011603|||ISSR|||EQ|||False|||</v>
          </cell>
          <cell r="C65" t="str">
            <v>V_KEYWORD_ISSR_208011603_EQ</v>
          </cell>
        </row>
        <row r="66">
          <cell r="A66" t="str">
            <v>Vector|||208011603|||ISSR|||TOT_LIAB_EQ|||False|||</v>
          </cell>
          <cell r="C66" t="str">
            <v>V_KEYWORD_ISSR_208011603_TOT_LIAB_EQ</v>
          </cell>
        </row>
        <row r="68">
          <cell r="A68" t="str">
            <v>Vector|||208011603|||ISSR|||TOT_USD_DEBT|||False|||</v>
          </cell>
          <cell r="C68" t="str">
            <v>V_KEYWORD_ISSR_208011603_TOT_USD_DEBT</v>
          </cell>
        </row>
        <row r="69">
          <cell r="A69" t="str">
            <v>Vector|||208011603|||ISSR|||TOT_PCT_USD_DEBT_HEDGED|||False|||</v>
          </cell>
          <cell r="C69" t="str">
            <v>V_KEYWORD_ISSR_208011603_TOT_PCT_USD_DEBT_HEDGED</v>
          </cell>
        </row>
        <row r="70">
          <cell r="A70" t="str">
            <v>Vector|||208011603|||ISSR|||FLOATING_PCT_LOCAL_DEBT|||False|||</v>
          </cell>
          <cell r="C70" t="str">
            <v>V_KEYWORD_ISSR_208011603_FLOATING_PCT_LOCAL_DEBT</v>
          </cell>
        </row>
        <row r="71">
          <cell r="A71" t="str">
            <v>Vector|||208011603|||ISSR|||FLOATING_PCT_LOCAL_DEBT_HEDGED|||False|||</v>
          </cell>
          <cell r="C71" t="str">
            <v>V_KEYWORD_ISSR_208011603_FLOATING_PCT_LOCAL_DEBT_HEDGED</v>
          </cell>
        </row>
        <row r="72">
          <cell r="A72" t="str">
            <v>Vector|||208011603|||ISSR|||NET_DEBT|||False|||</v>
          </cell>
          <cell r="C72" t="str">
            <v>V_KEYWORD_ISSR_208011603_NET_DEBT</v>
          </cell>
        </row>
        <row r="73">
          <cell r="A73" t="str">
            <v>Vector|||208011603|||ISSR|||CAP_LEASES|||False|||</v>
          </cell>
          <cell r="C73" t="str">
            <v>V_KEYWORD_ISSR_208011603_CAP_LEASES</v>
          </cell>
        </row>
        <row r="74">
          <cell r="A74" t="str">
            <v>Vector|||208011603|||ISSR|||DEF_INC_TAX|||False|||</v>
          </cell>
          <cell r="C74" t="str">
            <v>V_KEYWORD_ISSR_208011603_DEF_INC_TAX</v>
          </cell>
        </row>
        <row r="75">
          <cell r="A75" t="str">
            <v>Vector|||208011603|||ISSR|||MV_ASSOCIATES|||False|||</v>
          </cell>
          <cell r="C75" t="str">
            <v>V_KEYWORD_ISSR_208011603_MV_ASSOCIATES</v>
          </cell>
        </row>
        <row r="76">
          <cell r="A76" t="str">
            <v>Vector|||208011603|||ISSR|||NET_DEBT_ADJ|||False|||</v>
          </cell>
          <cell r="C76" t="str">
            <v>V_KEYWORD_ISSR_208011603_NET_DEBT_ADJ</v>
          </cell>
        </row>
        <row r="77">
          <cell r="A77" t="str">
            <v>Vector|||208011603|||ISSR|||CO_BOR_MARGIN|||False|||</v>
          </cell>
          <cell r="C77" t="str">
            <v>V_KEYWORD_ISSR_208011603_CO_BOR_MARGIN</v>
          </cell>
        </row>
        <row r="78">
          <cell r="A78" t="str">
            <v>Vector|||208011603|||ISSR|||UNF_PENS|||False|||</v>
          </cell>
          <cell r="C78" t="str">
            <v>V_KEYWORD_ISSR_208011603_UNF_PENS</v>
          </cell>
        </row>
        <row r="79">
          <cell r="A79" t="str">
            <v>Vector|||208011603|||ISSR|||UNF_PENS_OFF|||False|||</v>
          </cell>
          <cell r="C79" t="str">
            <v>V_KEYWORD_ISSR_208011603_UNF_PENS_OFF</v>
          </cell>
        </row>
        <row r="80">
          <cell r="A80" t="str">
            <v>Vector|||208011603|||ISSR|||UNF_PENS_LIAB_OTH|||False|||</v>
          </cell>
          <cell r="C80" t="str">
            <v>V_KEYWORD_ISSR_208011603_UNF_PENS_LIAB_OTH</v>
          </cell>
        </row>
        <row r="81">
          <cell r="A81" t="str">
            <v>Vector|||208011603|||ISSR|||ADJ_UNF_PENS_GOOD|||False|||</v>
          </cell>
          <cell r="C81" t="str">
            <v>V_KEYWORD_ISSR_208011603_ADJ_UNF_PENS_GOOD</v>
          </cell>
        </row>
        <row r="82">
          <cell r="A82" t="str">
            <v>Vector|||208011603|||ISSR|||OTH_GCI_ADJ|||False|||</v>
          </cell>
          <cell r="C82" t="str">
            <v>V_KEYWORD_ISSR_208011603_OTH_GCI_ADJ</v>
          </cell>
        </row>
        <row r="83">
          <cell r="A83" t="str">
            <v>Vector|||208011603|||ISSR|||GCI_INFL|||False|||</v>
          </cell>
          <cell r="C83" t="str">
            <v>V_KEYWORD_ISSR_208011603_GCI_INFL</v>
          </cell>
        </row>
        <row r="84">
          <cell r="A84" t="str">
            <v>Vector|||208011603|||ISSR|||BAL_MINO_INT|||False|||</v>
          </cell>
          <cell r="C84" t="str">
            <v>V_KEYWORD_ISSR_208011603_BAL_MINO_INT</v>
          </cell>
        </row>
        <row r="86">
          <cell r="A86" t="str">
            <v>Vector|||208011603|||ISSR|||CF_INC_MINORITY|||False|||</v>
          </cell>
          <cell r="C86" t="str">
            <v>V_KEYWORD_ISSR_208011603_CF_INC_MINORITY</v>
          </cell>
        </row>
        <row r="87">
          <cell r="A87" t="str">
            <v>Vector|||208011603|||ISSR|||DEPR_AMORT|||False|||</v>
          </cell>
          <cell r="C87" t="str">
            <v>V_KEYWORD_ISSR_208011603_DEPR_AMORT</v>
          </cell>
        </row>
        <row r="88">
          <cell r="A88" t="str">
            <v>Vector|||208011603|||ISSR|||WORK_CAP|||False|||</v>
          </cell>
          <cell r="C88" t="str">
            <v>V_KEYWORD_ISSR_208011603_WORK_CAP</v>
          </cell>
        </row>
        <row r="89">
          <cell r="A89" t="str">
            <v>Vector|||208011603|||ISSR|||OTH_OP_CF|||False|||</v>
          </cell>
          <cell r="C89" t="str">
            <v>V_KEYWORD_ISSR_208011603_OTH_OP_CF</v>
          </cell>
        </row>
        <row r="90">
          <cell r="A90" t="str">
            <v>Vector|||208011603|||ISSR|||CF_OPS|||False|||</v>
          </cell>
          <cell r="C90" t="str">
            <v>V_KEYWORD_ISSR_208011603_CF_OPS</v>
          </cell>
        </row>
        <row r="91">
          <cell r="A91" t="str">
            <v>Vector|||208011603|||ISSR|||CAPEX|||False|||</v>
          </cell>
          <cell r="C91" t="str">
            <v>V_KEYWORD_ISSR_208011603_CAPEX</v>
          </cell>
        </row>
        <row r="92">
          <cell r="A92" t="str">
            <v>Vector|||208011603|||ISSR|||ACQ|||False|||</v>
          </cell>
          <cell r="C92" t="str">
            <v>V_KEYWORD_ISSR_208011603_ACQ</v>
          </cell>
        </row>
        <row r="93">
          <cell r="A93" t="str">
            <v>Vector|||208011603|||ISSR|||DIVEST|||False|||</v>
          </cell>
          <cell r="C93" t="str">
            <v>V_KEYWORD_ISSR_208011603_DIVEST</v>
          </cell>
        </row>
        <row r="94">
          <cell r="A94" t="str">
            <v>Vector|||208011603|||ISSR|||OTH_INV_CF|||False|||</v>
          </cell>
          <cell r="C94" t="str">
            <v>V_KEYWORD_ISSR_208011603_OTH_INV_CF</v>
          </cell>
        </row>
        <row r="95">
          <cell r="A95" t="str">
            <v>Vector|||208011603|||ISSR|||CF_INV|||False|||</v>
          </cell>
          <cell r="C95" t="str">
            <v>V_KEYWORD_ISSR_208011603_CF_INV</v>
          </cell>
        </row>
        <row r="96">
          <cell r="A96" t="str">
            <v>Vector|||208011603|||ISSR|||DIV_PAID|||False|||</v>
          </cell>
          <cell r="C96" t="str">
            <v>V_KEYWORD_ISSR_208011603_DIV_PAID</v>
          </cell>
        </row>
        <row r="97">
          <cell r="A97" t="str">
            <v>Vector|||208011603|||ISSR|||SH_REPUR|||False|||</v>
          </cell>
          <cell r="C97" t="str">
            <v>V_KEYWORD_ISSR_208011603_SH_REPUR</v>
          </cell>
        </row>
        <row r="98">
          <cell r="A98" t="str">
            <v>Vector|||208011603|||ISSR|||CHG_LT_DEBT|||False|||</v>
          </cell>
          <cell r="C98" t="str">
            <v>V_KEYWORD_ISSR_208011603_CHG_LT_DEBT</v>
          </cell>
        </row>
        <row r="99">
          <cell r="A99" t="str">
            <v>Vector|||208011603|||ISSR|||OTH_FIN_CF|||False|||</v>
          </cell>
          <cell r="C99" t="str">
            <v>V_KEYWORD_ISSR_208011603_OTH_FIN_CF</v>
          </cell>
        </row>
        <row r="100">
          <cell r="A100" t="str">
            <v>Vector|||208011603|||ISSR|||CF_FIN|||False|||</v>
          </cell>
          <cell r="C100" t="str">
            <v>V_KEYWORD_ISSR_208011603_CF_FIN</v>
          </cell>
        </row>
        <row r="101">
          <cell r="A101" t="str">
            <v>Vector|||208011603|||ISSR|||TOT_CF|||False|||</v>
          </cell>
          <cell r="C101" t="str">
            <v>V_KEYWORD_ISSR_208011603_TOT_CF</v>
          </cell>
        </row>
        <row r="103">
          <cell r="A103" t="str">
            <v>Vector|||208011603|||ISSR|||ASSOC_JV_ADDBK|||False|||</v>
          </cell>
          <cell r="C103" t="str">
            <v>V_KEYWORD_ISSR_208011603_ASSOC_JV_ADDBK</v>
          </cell>
        </row>
        <row r="104">
          <cell r="A104" t="str">
            <v>Vector|||208011603|||ISSR|||PL_SALE_ASSETS|||False|||</v>
          </cell>
          <cell r="C104" t="str">
            <v>V_KEYWORD_ISSR_208011603_PL_SALE_ASSETS</v>
          </cell>
        </row>
        <row r="105">
          <cell r="A105" t="str">
            <v>Vector|||208011603|||ISSR|||OTH_NONCASH_ADJ|||False|||</v>
          </cell>
          <cell r="C105" t="str">
            <v>V_KEYWORD_ISSR_208011603_OTH_NONCASH_ADJ</v>
          </cell>
        </row>
        <row r="106">
          <cell r="A106" t="str">
            <v>Vector|||208011603|||ISSR|||OTH_DACF_ADJ|||False|||</v>
          </cell>
          <cell r="C106" t="str">
            <v>V_KEYWORD_ISSR_208011603_OTH_DACF_ADJ</v>
          </cell>
        </row>
        <row r="107">
          <cell r="A107" t="str">
            <v>Vector|||208011603|||ISSR|||CASH_INT_EXP|||False|||</v>
          </cell>
          <cell r="C107" t="str">
            <v>V_KEYWORD_ISSR_208011603_CASH_INT_EXP</v>
          </cell>
        </row>
        <row r="108">
          <cell r="A108" t="str">
            <v>Vector|||208011603|||ISSR|||CASH_TAX_EXP|||False|||</v>
          </cell>
          <cell r="C108" t="str">
            <v>V_KEYWORD_ISSR_208011603_CASH_TAX_EXP</v>
          </cell>
        </row>
        <row r="109">
          <cell r="A109" t="str">
            <v>Vector|||208011603|||ISSR|||DIVDS_ASSOC_JV|||False|||</v>
          </cell>
          <cell r="C109" t="str">
            <v>V_KEYWORD_ISSR_208011603_DIVDS_ASSOC_JV</v>
          </cell>
        </row>
        <row r="110">
          <cell r="A110" t="str">
            <v>Vector|||208011603|||ISSR|||CAPEX_MAINTENANCE|||False|||</v>
          </cell>
          <cell r="C110" t="str">
            <v>V_KEYWORD_ISSR_208011603_CAPEX_MAINTENANCE</v>
          </cell>
        </row>
        <row r="111">
          <cell r="A111" t="str">
            <v>Vector|||208011603|||ISSR|||CAPEX_EXPANSION|||False|||</v>
          </cell>
          <cell r="C111" t="str">
            <v>V_KEYWORD_ISSR_208011603_CAPEX_EXPANSION</v>
          </cell>
        </row>
        <row r="112">
          <cell r="A112" t="str">
            <v>Vector|||208011603|||ISSR|||NONPPE_CAPEX|||False|||</v>
          </cell>
          <cell r="C112" t="str">
            <v>V_KEYWORD_ISSR_208011603_NONPPE_CAPEX</v>
          </cell>
        </row>
        <row r="113">
          <cell r="A113" t="str">
            <v>Vector|||208011603|||ISSR|||DIVDS_PD_MINORITIES|||False|||</v>
          </cell>
          <cell r="C113" t="str">
            <v>V_KEYWORD_ISSR_208011603_DIVDS_PD_MINORITIES</v>
          </cell>
        </row>
        <row r="115">
          <cell r="A115" t="str">
            <v>Vector|||208011603|||ISSR|||EMPLOYEES|||False|||</v>
          </cell>
          <cell r="C115" t="str">
            <v>V_KEYWORD_ISSR_208011603_EMPLOYEES</v>
          </cell>
        </row>
        <row r="117">
          <cell r="A117" t="str">
            <v>Vector|||208011603|||ISSR|||SALES_CANADA|||False|||</v>
          </cell>
          <cell r="C117" t="str">
            <v>V_KEYWORD_ISSR_208011603_SALES_CANADA</v>
          </cell>
        </row>
        <row r="118">
          <cell r="A118" t="str">
            <v>Vector|||208011603|||ISSR|||SALES_US|||False|||</v>
          </cell>
          <cell r="C118" t="str">
            <v>V_KEYWORD_ISSR_208011603_SALES_US</v>
          </cell>
        </row>
        <row r="119">
          <cell r="A119" t="str">
            <v>Vector|||208011603|||ISSR|||SALES_OTH_NO_AMER|||False|||</v>
          </cell>
          <cell r="C119" t="str">
            <v>V_KEYWORD_ISSR_208011603_SALES_OTH_NO_AMER</v>
          </cell>
        </row>
        <row r="120">
          <cell r="A120" t="str">
            <v>Vector|||208011603|||ISSR|||SALES_ARGENTINA|||False|||</v>
          </cell>
          <cell r="C120" t="str">
            <v>V_KEYWORD_ISSR_208011603_SALES_ARGENTINA</v>
          </cell>
        </row>
        <row r="121">
          <cell r="A121" t="str">
            <v>Vector|||208011603|||ISSR|||SALES_BRAZIL|||False|||</v>
          </cell>
          <cell r="C121" t="str">
            <v>V_KEYWORD_ISSR_208011603_SALES_BRAZIL</v>
          </cell>
        </row>
        <row r="122">
          <cell r="A122" t="str">
            <v>Vector|||208011603|||ISSR|||SALES_CHILE|||False|||</v>
          </cell>
          <cell r="C122" t="str">
            <v>V_KEYWORD_ISSR_208011603_SALES_CHILE</v>
          </cell>
        </row>
        <row r="123">
          <cell r="A123" t="str">
            <v>Vector|||208011603|||ISSR|||SALES_COLOMBIA|||False|||</v>
          </cell>
          <cell r="C123" t="str">
            <v>V_KEYWORD_ISSR_208011603_SALES_COLOMBIA</v>
          </cell>
        </row>
        <row r="124">
          <cell r="A124" t="str">
            <v>Vector|||208011603|||ISSR|||SALES_MEXICO|||False|||</v>
          </cell>
          <cell r="C124" t="str">
            <v>V_KEYWORD_ISSR_208011603_SALES_MEXICO</v>
          </cell>
        </row>
        <row r="125">
          <cell r="A125" t="str">
            <v>Vector|||208011603|||ISSR|||SALES_VENEZUELA|||False|||</v>
          </cell>
          <cell r="C125" t="str">
            <v>V_KEYWORD_ISSR_208011603_SALES_VENEZUELA</v>
          </cell>
        </row>
        <row r="126">
          <cell r="A126" t="str">
            <v>Vector|||208011603|||ISSR|||SALES_OTH_LATAM|||False|||</v>
          </cell>
          <cell r="C126" t="str">
            <v>V_KEYWORD_ISSR_208011603_SALES_OTH_LATAM</v>
          </cell>
        </row>
        <row r="127">
          <cell r="A127" t="str">
            <v>Vector|||208011603|||ISSR|||SALES_AUSTRIA|||False|||</v>
          </cell>
          <cell r="C127" t="str">
            <v>V_KEYWORD_ISSR_208011603_SALES_AUSTRIA</v>
          </cell>
        </row>
        <row r="128">
          <cell r="A128" t="str">
            <v>Vector|||208011603|||ISSR|||SALES_BEL|||False|||</v>
          </cell>
          <cell r="C128" t="str">
            <v>V_KEYWORD_ISSR_208011603_SALES_BEL</v>
          </cell>
        </row>
        <row r="129">
          <cell r="A129" t="str">
            <v>Vector|||208011603|||ISSR|||SALES_FRA|||False|||</v>
          </cell>
          <cell r="C129" t="str">
            <v>V_KEYWORD_ISSR_208011603_SALES_FRA</v>
          </cell>
        </row>
        <row r="130">
          <cell r="A130" t="str">
            <v>Vector|||208011603|||ISSR|||SALES_GER|||False|||</v>
          </cell>
          <cell r="C130" t="str">
            <v>V_KEYWORD_ISSR_208011603_SALES_GER</v>
          </cell>
        </row>
        <row r="131">
          <cell r="A131" t="str">
            <v>Vector|||208011603|||ISSR|||SALES_GRE|||False|||</v>
          </cell>
          <cell r="C131" t="str">
            <v>V_KEYWORD_ISSR_208011603_SALES_GRE</v>
          </cell>
        </row>
        <row r="132">
          <cell r="A132" t="str">
            <v>Vector|||208011603|||ISSR|||SALES_IRE|||False|||</v>
          </cell>
          <cell r="C132" t="str">
            <v>V_KEYWORD_ISSR_208011603_SALES_IRE</v>
          </cell>
        </row>
        <row r="133">
          <cell r="A133" t="str">
            <v>Vector|||208011603|||ISSR|||SALES_ITA|||False|||</v>
          </cell>
          <cell r="C133" t="str">
            <v>V_KEYWORD_ISSR_208011603_SALES_ITA</v>
          </cell>
        </row>
        <row r="134">
          <cell r="A134" t="str">
            <v>Vector|||208011603|||ISSR|||SALES_NETH|||False|||</v>
          </cell>
          <cell r="C134" t="str">
            <v>V_KEYWORD_ISSR_208011603_SALES_NETH</v>
          </cell>
        </row>
        <row r="135">
          <cell r="A135" t="str">
            <v>Vector|||208011603|||ISSR|||SALES_NOR|||False|||</v>
          </cell>
          <cell r="C135" t="str">
            <v>V_KEYWORD_ISSR_208011603_SALES_NOR</v>
          </cell>
        </row>
        <row r="136">
          <cell r="A136" t="str">
            <v>Vector|||208011603|||ISSR|||SALES_POR|||False|||</v>
          </cell>
          <cell r="C136" t="str">
            <v>V_KEYWORD_ISSR_208011603_SALES_POR</v>
          </cell>
        </row>
        <row r="137">
          <cell r="A137" t="str">
            <v>Vector|||208011603|||ISSR|||SALES_SPA|||False|||</v>
          </cell>
          <cell r="C137" t="str">
            <v>V_KEYWORD_ISSR_208011603_SALES_SPA</v>
          </cell>
        </row>
        <row r="138">
          <cell r="A138" t="str">
            <v>Vector|||208011603|||ISSR|||SALES_SWE|||False|||</v>
          </cell>
          <cell r="C138" t="str">
            <v>V_KEYWORD_ISSR_208011603_SALES_SWE</v>
          </cell>
        </row>
        <row r="139">
          <cell r="A139" t="str">
            <v>Vector|||208011603|||ISSR|||SALES_SWIT|||False|||</v>
          </cell>
          <cell r="C139" t="str">
            <v>V_KEYWORD_ISSR_208011603_SALES_SWIT</v>
          </cell>
        </row>
        <row r="140">
          <cell r="A140" t="str">
            <v>Vector|||208011603|||ISSR|||SALES_UK|||False|||</v>
          </cell>
          <cell r="C140" t="str">
            <v>V_KEYWORD_ISSR_208011603_SALES_UK</v>
          </cell>
        </row>
        <row r="141">
          <cell r="A141" t="str">
            <v>Vector|||208011603|||ISSR|||SALES_OTH_WEST_EURO|||False|||</v>
          </cell>
          <cell r="C141" t="str">
            <v>V_KEYWORD_ISSR_208011603_SALES_OTH_WEST_EURO</v>
          </cell>
        </row>
        <row r="142">
          <cell r="A142" t="str">
            <v>Vector|||208011603|||ISSR|||SALES_POLAND|||False|||</v>
          </cell>
          <cell r="C142" t="str">
            <v>V_KEYWORD_ISSR_208011603_SALES_POLAND</v>
          </cell>
        </row>
        <row r="143">
          <cell r="A143" t="str">
            <v>Vector|||208011603|||ISSR|||SALES_RUSSIA|||False|||</v>
          </cell>
          <cell r="C143" t="str">
            <v>V_KEYWORD_ISSR_208011603_SALES_RUSSIA</v>
          </cell>
        </row>
        <row r="144">
          <cell r="A144" t="str">
            <v>Vector|||208011603|||ISSR|||SALES_TURKEY|||False|||</v>
          </cell>
          <cell r="C144" t="str">
            <v>V_KEYWORD_ISSR_208011603_SALES_TURKEY</v>
          </cell>
        </row>
        <row r="145">
          <cell r="A145" t="str">
            <v>Vector|||208011603|||ISSR|||SALES_OTH_CEE|||False|||</v>
          </cell>
          <cell r="C145" t="str">
            <v>V_KEYWORD_ISSR_208011603_SALES_OTH_CEE</v>
          </cell>
        </row>
        <row r="146">
          <cell r="A146" t="str">
            <v>Vector|||208011603|||ISSR|||SALES_SAUDI_ARABIA|||False|||</v>
          </cell>
          <cell r="C146" t="str">
            <v>V_KEYWORD_ISSR_208011603_SALES_SAUDI_ARABIA</v>
          </cell>
        </row>
        <row r="147">
          <cell r="A147" t="str">
            <v>Vector|||208011603|||ISSR|||SALES_UAE|||False|||</v>
          </cell>
          <cell r="C147" t="str">
            <v>V_KEYWORD_ISSR_208011603_SALES_UAE</v>
          </cell>
        </row>
        <row r="148">
          <cell r="A148" t="str">
            <v>Vector|||208011603|||ISSR|||SALES_OTH_ME|||False|||</v>
          </cell>
          <cell r="C148" t="str">
            <v>V_KEYWORD_ISSR_208011603_SALES_OTH_ME</v>
          </cell>
        </row>
        <row r="149">
          <cell r="A149" t="str">
            <v>Vector|||208011603|||ISSR|||SALES_NIGERIA|||False|||</v>
          </cell>
          <cell r="C149" t="str">
            <v>V_KEYWORD_ISSR_208011603_SALES_NIGERIA</v>
          </cell>
        </row>
        <row r="150">
          <cell r="A150" t="str">
            <v>Vector|||208011603|||ISSR|||SALES_SO_AFRICA|||False|||</v>
          </cell>
          <cell r="C150" t="str">
            <v>V_KEYWORD_ISSR_208011603_SALES_SO_AFRICA</v>
          </cell>
        </row>
        <row r="151">
          <cell r="A151" t="str">
            <v>Vector|||208011603|||ISSR|||SALES_OTH_AFRICA|||False|||</v>
          </cell>
          <cell r="C151" t="str">
            <v>V_KEYWORD_ISSR_208011603_SALES_OTH_AFRICA</v>
          </cell>
        </row>
        <row r="152">
          <cell r="A152" t="str">
            <v>Vector|||208011603|||ISSR|||SALES_HONG_KONG|||False|||</v>
          </cell>
          <cell r="C152" t="str">
            <v>V_KEYWORD_ISSR_208011603_SALES_HONG_KONG</v>
          </cell>
        </row>
        <row r="153">
          <cell r="A153" t="str">
            <v>Vector|||208011603|||ISSR|||SALES_JAPAN|||False|||</v>
          </cell>
          <cell r="C153" t="str">
            <v>V_KEYWORD_ISSR_208011603_SALES_JAPAN</v>
          </cell>
        </row>
        <row r="154">
          <cell r="A154" t="str">
            <v>Vector|||208011603|||ISSR|||SALES_SINGAPORE|||False|||</v>
          </cell>
          <cell r="C154" t="str">
            <v>V_KEYWORD_ISSR_208011603_SALES_SINGAPORE</v>
          </cell>
        </row>
        <row r="155">
          <cell r="A155" t="str">
            <v>Vector|||208011603|||ISSR|||SALES_SK|||False|||</v>
          </cell>
          <cell r="C155" t="str">
            <v>V_KEYWORD_ISSR_208011603_SALES_SK</v>
          </cell>
        </row>
        <row r="156">
          <cell r="A156" t="str">
            <v>Vector|||208011603|||ISSR|||SALES_TAIWAN|||False|||</v>
          </cell>
          <cell r="C156" t="str">
            <v>V_KEYWORD_ISSR_208011603_SALES_TAIWAN</v>
          </cell>
        </row>
        <row r="157">
          <cell r="A157" t="str">
            <v>Vector|||208011603|||ISSR|||SALES_OTH_DEV_ASIA|||False|||</v>
          </cell>
          <cell r="C157" t="str">
            <v>V_KEYWORD_ISSR_208011603_SALES_OTH_DEV_ASIA</v>
          </cell>
        </row>
        <row r="158">
          <cell r="A158" t="str">
            <v>Vector|||208011603|||ISSR|||SALES_CHINA|||False|||</v>
          </cell>
          <cell r="C158" t="str">
            <v>V_KEYWORD_ISSR_208011603_SALES_CHINA</v>
          </cell>
        </row>
        <row r="159">
          <cell r="A159" t="str">
            <v>Vector|||208011603|||ISSR|||SALES_INDIA|||False|||</v>
          </cell>
          <cell r="C159" t="str">
            <v>V_KEYWORD_ISSR_208011603_SALES_INDIA</v>
          </cell>
        </row>
        <row r="160">
          <cell r="A160" t="str">
            <v>Vector|||208011603|||ISSR|||SALES_INDONESIA|||False|||</v>
          </cell>
          <cell r="C160" t="str">
            <v>V_KEYWORD_ISSR_208011603_SALES_INDONESIA</v>
          </cell>
        </row>
        <row r="161">
          <cell r="A161" t="str">
            <v>Vector|||208011603|||ISSR|||SALES_THAILAND|||False|||</v>
          </cell>
          <cell r="C161" t="str">
            <v>V_KEYWORD_ISSR_208011603_SALES_THAILAND</v>
          </cell>
        </row>
        <row r="162">
          <cell r="A162" t="str">
            <v>Vector|||208011603|||ISSR|||SALES_OTH_EMERG_ASIA|||False|||</v>
          </cell>
          <cell r="C162" t="str">
            <v>V_KEYWORD_ISSR_208011603_SALES_OTH_EMERG_ASIA</v>
          </cell>
        </row>
        <row r="163">
          <cell r="A163" t="str">
            <v>Vector|||208011603|||ISSR|||SALES_AUSTRA|||False|||</v>
          </cell>
          <cell r="C163" t="str">
            <v>V_KEYWORD_ISSR_208011603_SALES_AUSTRA</v>
          </cell>
        </row>
        <row r="164">
          <cell r="A164" t="str">
            <v>Vector|||208011603|||ISSR|||SALES_NZ|||False|||</v>
          </cell>
          <cell r="C164" t="str">
            <v>V_KEYWORD_ISSR_208011603_SALES_NZ</v>
          </cell>
        </row>
        <row r="165">
          <cell r="A165" t="str">
            <v>Vector|||208011603|||ISSR|||SALES_OTHER|||False|||</v>
          </cell>
          <cell r="C165" t="str">
            <v>V_KEYWORD_ISSR_208011603_SALES_OTHER</v>
          </cell>
        </row>
        <row r="166">
          <cell r="A166" t="str">
            <v>Vector|||208011603|||ISSR|||COGS_PCT_US|||False|||</v>
          </cell>
          <cell r="C166" t="str">
            <v>V_KEYWORD_ISSR_208011603_COGS_PCT_US</v>
          </cell>
        </row>
        <row r="167">
          <cell r="A167" t="str">
            <v>Vector|||208011603|||ISSR|||COGS_PCT_ROW|||False|||</v>
          </cell>
          <cell r="C167" t="str">
            <v>V_KEYWORD_ISSR_208011603_COGS_PCT_ROW</v>
          </cell>
        </row>
        <row r="168">
          <cell r="A168" t="str">
            <v>Vector|||208011603|||ISSR|||SGA_PCT_US|||False|||</v>
          </cell>
          <cell r="C168" t="str">
            <v>V_KEYWORD_ISSR_208011603_SGA_PCT_US</v>
          </cell>
        </row>
        <row r="169">
          <cell r="A169" t="str">
            <v>Vector|||208011603|||ISSR|||SGA_PCT_ROW|||False|||</v>
          </cell>
          <cell r="C169" t="str">
            <v>V_KEYWORD_ISSR_208011603_SGA_PCT_ROW</v>
          </cell>
        </row>
        <row r="170">
          <cell r="A170" t="str">
            <v>Vector|||208011603|||ISSR|||SALES_CONS|||False|||</v>
          </cell>
          <cell r="C170" t="str">
            <v>V_KEYWORD_ISSR_208011603_SALES_CONS</v>
          </cell>
        </row>
        <row r="171">
          <cell r="A171" t="str">
            <v>Vector|||208011603|||ISSR|||SALES_IND|||False|||</v>
          </cell>
          <cell r="C171" t="str">
            <v>V_KEYWORD_ISSR_208011603_SALES_IND</v>
          </cell>
        </row>
        <row r="172">
          <cell r="A172" t="str">
            <v>Vector|||208011603|||ISSR|||SALES_GOV|||False|||</v>
          </cell>
          <cell r="C172" t="str">
            <v>V_KEYWORD_ISSR_208011603_SALES_GOV</v>
          </cell>
        </row>
        <row r="173">
          <cell r="A173" t="str">
            <v>Vector|||208011603|||ISSR|||SALES_FINAN|||False|||</v>
          </cell>
          <cell r="C173" t="str">
            <v>V_KEYWORD_ISSR_208011603_SALES_FINAN</v>
          </cell>
        </row>
        <row r="174">
          <cell r="A174" t="str">
            <v>Vector|||208011603|||ISSR|||SALES_OIL_GAS|||False|||</v>
          </cell>
          <cell r="C174" t="str">
            <v>V_KEYWORD_ISSR_208011603_SALES_OIL_GAS</v>
          </cell>
        </row>
        <row r="176">
          <cell r="A176" t="str">
            <v>Vector|||208011603|||ISSR|||EXP_OIL_PETRO_FUEL|||False|||</v>
          </cell>
          <cell r="C176" t="str">
            <v>V_KEYWORD_ISSR_208011603_EXP_OIL_PETRO_FUEL</v>
          </cell>
        </row>
        <row r="177">
          <cell r="A177" t="str">
            <v>Vector|||208011603|||ISSR|||EXP_OIL_DERIV_NGLS_PLASTICS|||False|||</v>
          </cell>
          <cell r="C177" t="str">
            <v>V_KEYWORD_ISSR_208011603_EXP_OIL_DERIV_NGLS_PLASTICS</v>
          </cell>
        </row>
        <row r="178">
          <cell r="A178" t="str">
            <v>Vector|||208011603|||ISSR|||EXP_PAPER_PULP|||False|||</v>
          </cell>
          <cell r="C178" t="str">
            <v>V_KEYWORD_ISSR_208011603_EXP_PAPER_PULP</v>
          </cell>
        </row>
        <row r="179">
          <cell r="A179" t="str">
            <v>Vector|||208011603|||ISSR|||EXP_GLASS|||False|||</v>
          </cell>
          <cell r="C179" t="str">
            <v>V_KEYWORD_ISSR_208011603_EXP_GLASS</v>
          </cell>
        </row>
        <row r="180">
          <cell r="A180" t="str">
            <v>Vector|||208011603|||ISSR|||EXP_WATER|||False|||</v>
          </cell>
          <cell r="C180" t="str">
            <v>V_KEYWORD_ISSR_208011603_EXP_WATER</v>
          </cell>
        </row>
        <row r="181">
          <cell r="A181" t="str">
            <v>Vector|||208011603|||ISSR|||EXP_OTH_COMMODITY|||False|||</v>
          </cell>
          <cell r="C181" t="str">
            <v>V_KEYWORD_ISSR_208011603_EXP_OTH_COMMODITY</v>
          </cell>
        </row>
        <row r="182">
          <cell r="A182" t="str">
            <v>Vector|||208011603|||ISSR|||EXP_OTH_COST|||False|||</v>
          </cell>
          <cell r="C182" t="str">
            <v>V_KEYWORD_ISSR_208011603_EXP_OTH_COST</v>
          </cell>
        </row>
        <row r="184">
          <cell r="A184" t="str">
            <v>Vector|||208011603|||ISSR|||SALES_FX_GPB|||False|||</v>
          </cell>
          <cell r="C184" t="str">
            <v>V_KEYWORD_ISSR_208011603_SALES_FX_GPB</v>
          </cell>
        </row>
        <row r="185">
          <cell r="A185" t="str">
            <v>Vector|||208011603|||ISSR|||SALES_FX_EUR|||False|||</v>
          </cell>
          <cell r="C185" t="str">
            <v>V_KEYWORD_ISSR_208011603_SALES_FX_EUR</v>
          </cell>
        </row>
        <row r="186">
          <cell r="A186" t="str">
            <v>Vector|||208011603|||ISSR|||SALES_FX_RUB|||False|||</v>
          </cell>
          <cell r="C186" t="str">
            <v>V_KEYWORD_ISSR_208011603_SALES_FX_RUB</v>
          </cell>
        </row>
        <row r="187">
          <cell r="A187" t="str">
            <v>Vector|||208011603|||ISSR|||SALES_FX_USD|||False|||</v>
          </cell>
          <cell r="C187" t="str">
            <v>V_KEYWORD_ISSR_208011603_SALES_FX_USD</v>
          </cell>
        </row>
        <row r="188">
          <cell r="A188" t="str">
            <v>Vector|||208011603|||ISSR|||SALES_FX_BRL|||False|||</v>
          </cell>
          <cell r="C188" t="str">
            <v>V_KEYWORD_ISSR_208011603_SALES_FX_BRL</v>
          </cell>
        </row>
        <row r="189">
          <cell r="A189" t="str">
            <v>Vector|||208011603|||ISSR|||SALES_FX_YEN|||False|||</v>
          </cell>
          <cell r="C189" t="str">
            <v>V_KEYWORD_ISSR_208011603_SALES_FX_YEN</v>
          </cell>
        </row>
        <row r="190">
          <cell r="A190" t="str">
            <v>Vector|||208011603|||ISSR|||SALES_FX_CNY|||False|||</v>
          </cell>
          <cell r="C190" t="str">
            <v>V_KEYWORD_ISSR_208011603_SALES_FX_CNY</v>
          </cell>
        </row>
        <row r="191">
          <cell r="A191" t="str">
            <v>Vector|||208011603|||ISSR|||SALES_FX_INR|||False|||</v>
          </cell>
          <cell r="C191" t="str">
            <v>V_KEYWORD_ISSR_208011603_SALES_FX_INR</v>
          </cell>
        </row>
        <row r="192">
          <cell r="A192" t="str">
            <v>Vector|||208011603|||ISSR|||SALES_FX_KRW|||False|||</v>
          </cell>
          <cell r="C192" t="str">
            <v>V_KEYWORD_ISSR_208011603_SALES_FX_KRW</v>
          </cell>
        </row>
        <row r="193">
          <cell r="A193" t="str">
            <v>Vector|||208011603|||ISSR|||SALES_FX_TWD|||False|||</v>
          </cell>
          <cell r="C193" t="str">
            <v>V_KEYWORD_ISSR_208011603_SALES_FX_TWD</v>
          </cell>
        </row>
        <row r="194">
          <cell r="A194" t="str">
            <v>Vector|||208011603|||ISSR|||SALES_FX_OTH|||False|||</v>
          </cell>
          <cell r="C194" t="str">
            <v>V_KEYWORD_ISSR_208011603_SALES_FX_OTH</v>
          </cell>
        </row>
        <row r="196">
          <cell r="A196" t="str">
            <v>Vector|||208011603|||ISSR|||SALES_TOT_AM|||False|||</v>
          </cell>
          <cell r="C196" t="str">
            <v>V_KEYWORD_ISSR_208011603_SALES_TOT_AM</v>
          </cell>
        </row>
        <row r="197">
          <cell r="A197" t="str">
            <v>Vector|||208011603|||ISSR|||SALES_OTH_AM|||False|||</v>
          </cell>
          <cell r="C197" t="str">
            <v>V_KEYWORD_ISSR_208011603_SALES_OTH_AM</v>
          </cell>
        </row>
        <row r="198">
          <cell r="A198" t="str">
            <v>Vector|||208011603|||ISSR|||SALES_TOT_EMEA|||False|||</v>
          </cell>
          <cell r="C198" t="str">
            <v>V_KEYWORD_ISSR_208011603_SALES_TOT_EMEA</v>
          </cell>
        </row>
        <row r="199">
          <cell r="A199" t="str">
            <v>Vector|||208011603|||ISSR|||SALES_EU_EX_UK|||False|||</v>
          </cell>
          <cell r="C199" t="str">
            <v>V_KEYWORD_ISSR_208011603_SALES_EU_EX_UK</v>
          </cell>
        </row>
        <row r="200">
          <cell r="A200" t="str">
            <v>Vector|||208011603|||ISSR|||SALES_CEE|||False|||</v>
          </cell>
          <cell r="C200" t="str">
            <v>V_KEYWORD_ISSR_208011603_SALES_CEE</v>
          </cell>
        </row>
        <row r="201">
          <cell r="A201" t="str">
            <v>Vector|||208011603|||ISSR|||SALES_ME|||False|||</v>
          </cell>
          <cell r="C201" t="str">
            <v>V_KEYWORD_ISSR_208011603_SALES_ME</v>
          </cell>
        </row>
        <row r="202">
          <cell r="A202" t="str">
            <v>Vector|||208011603|||ISSR|||SALES_TOT_AFRICA|||False|||</v>
          </cell>
          <cell r="C202" t="str">
            <v>V_KEYWORD_ISSR_208011603_SALES_TOT_AFRICA</v>
          </cell>
        </row>
        <row r="203">
          <cell r="A203" t="str">
            <v>Vector|||208011603|||ISSR|||SALES_OTH_EMEA|||False|||</v>
          </cell>
          <cell r="C203" t="str">
            <v>V_KEYWORD_ISSR_208011603_SALES_OTH_EMEA</v>
          </cell>
        </row>
        <row r="204">
          <cell r="A204" t="str">
            <v>Vector|||208011603|||ISSR|||SALES_TOT_ASIA|||False|||</v>
          </cell>
          <cell r="C204" t="str">
            <v>V_KEYWORD_ISSR_208011603_SALES_TOT_ASIA</v>
          </cell>
        </row>
        <row r="205">
          <cell r="A205" t="str">
            <v>Vector|||208011603|||ISSR|||SALES_OTH_AEJ|||False|||</v>
          </cell>
          <cell r="C205" t="str">
            <v>V_KEYWORD_ISSR_208011603_SALES_OTH_AEJ</v>
          </cell>
        </row>
        <row r="211">
          <cell r="A211" t="str">
            <v>Scalar|||200014820|||EQTY|||PUB_CURRENCY_ISO|||False|||</v>
          </cell>
          <cell r="C211" t="str">
            <v>V_KEYWORD_EQTY_200014820_PUB_CURRENCY_ISO</v>
          </cell>
          <cell r="E211" t="str">
            <v>ERROR</v>
          </cell>
        </row>
        <row r="212">
          <cell r="A212" t="str">
            <v>Scalar|||200014820|||EQTY|||PRICE_CURRENCY_ISO|||False|||</v>
          </cell>
          <cell r="C212" t="str">
            <v>V_KEYWORD_EQTY_200014820_PRICE_CURRENCY_ISO</v>
          </cell>
          <cell r="E212" t="str">
            <v>ERROR</v>
          </cell>
        </row>
        <row r="213">
          <cell r="A213" t="str">
            <v>Scalar|||200014820|||EQTY|||CURRENCY_ISO|||False|||</v>
          </cell>
          <cell r="C213" t="str">
            <v>V_KEYWORD_EQTY_200014820_CURRENCY_ISO</v>
          </cell>
        </row>
        <row r="215">
          <cell r="A215" t="str">
            <v>Scalar|||200014820|||EQTY|||AEJ_LIST|||False|||</v>
          </cell>
          <cell r="C215" t="str">
            <v>V_KEYWORD_EQTY_200014820_AEJ_LIST</v>
          </cell>
        </row>
        <row r="216">
          <cell r="A216" t="str">
            <v>Scalar|||200014820|||EQTY|||AEJ_CONVICTION|||False|||</v>
          </cell>
          <cell r="C216" t="str">
            <v>V_KEYWORD_EQTY_200014820_AEJ_CONVICTION</v>
          </cell>
        </row>
        <row r="217">
          <cell r="A217" t="str">
            <v>Scalar|||200014820|||EQTY|||LEGAL_RATING|||False|||</v>
          </cell>
          <cell r="C217" t="str">
            <v>V_KEYWORD_EQTY_200014820_LEGAL_RATING</v>
          </cell>
          <cell r="E217" t="str">
            <v>ERROR</v>
          </cell>
        </row>
        <row r="218">
          <cell r="A218" t="str">
            <v>Scalar|||200014820|||EQTY|||TARGET_PRICE|||False|||</v>
          </cell>
          <cell r="C218" t="str">
            <v>V_KEYWORD_EQTY_200014820_TARGET_PRICE</v>
          </cell>
          <cell r="E218" t="str">
            <v>ERROR</v>
          </cell>
        </row>
        <row r="219">
          <cell r="A219" t="str">
            <v>Scalar|||200014820|||EQTY|||TP_PERIOD|||False|||</v>
          </cell>
          <cell r="C219" t="str">
            <v>V_KEYWORD_EQTY_200014820_TP_PERIOD</v>
          </cell>
          <cell r="E219" t="str">
            <v>ERROR</v>
          </cell>
        </row>
        <row r="220">
          <cell r="A220" t="str">
            <v>Scalar|||200014820|||EQTY|||NUM_SH|||False|||</v>
          </cell>
          <cell r="C220" t="str">
            <v>V_KEYWORD_EQTY_200014820_NUM_SH</v>
          </cell>
        </row>
        <row r="221">
          <cell r="A221" t="str">
            <v>Scalar|||200014820|||EQTY|||FREE_FLOAT|||False|||</v>
          </cell>
          <cell r="C221" t="str">
            <v>V_KEYWORD_EQTY_200014820_FREE_FLOAT</v>
          </cell>
        </row>
        <row r="222">
          <cell r="A222" t="str">
            <v>Scalar|||200014820|||EQTY|||FOREIGN_HOLDNG|||False|||</v>
          </cell>
          <cell r="C222" t="str">
            <v>V_KEYWORD_EQTY_200014820_FOREIGN_HOLDNG</v>
          </cell>
        </row>
        <row r="223">
          <cell r="A223" t="str">
            <v>Scalar|||200014820|||EQTY|||CATALYST1_DATE|||True|||</v>
          </cell>
          <cell r="C223" t="str">
            <v>V_KEYWORD_EQTY_200014820_CATALYST1_DATE</v>
          </cell>
        </row>
        <row r="224">
          <cell r="A224" t="str">
            <v>Scalar|||200014820|||EQTY|||CATALYST1_EVENT|||False|||</v>
          </cell>
          <cell r="C224" t="str">
            <v>V_KEYWORD_EQTY_200014820_CATALYST1_EVENT</v>
          </cell>
        </row>
        <row r="225">
          <cell r="A225" t="str">
            <v>Scalar|||200014820|||EQTY|||CATALYST2_DATE|||True|||</v>
          </cell>
          <cell r="C225" t="str">
            <v>V_KEYWORD_EQTY_200014820_CATALYST2_DATE</v>
          </cell>
        </row>
        <row r="226">
          <cell r="A226" t="str">
            <v>Scalar|||200014820|||EQTY|||CATALYST2_EVENT|||False|||</v>
          </cell>
          <cell r="C226" t="str">
            <v>V_KEYWORD_EQTY_200014820_CATALYST2_EVENT</v>
          </cell>
        </row>
        <row r="227">
          <cell r="A227" t="str">
            <v>Scalar|||200014820|||EQTY|||CATALYST3_DATE|||True|||</v>
          </cell>
          <cell r="C227" t="str">
            <v>V_KEYWORD_EQTY_200014820_CATALYST3_DATE</v>
          </cell>
        </row>
        <row r="228">
          <cell r="A228" t="str">
            <v>Scalar|||200014820|||EQTY|||CATALYST3_EVENT|||False|||</v>
          </cell>
          <cell r="C228" t="str">
            <v>V_KEYWORD_EQTY_200014820_CATALYST3_EVENT</v>
          </cell>
        </row>
        <row r="229">
          <cell r="A229" t="str">
            <v>Scalar|||200014820|||EQTY|||CATALYST4_DATE|||True|||</v>
          </cell>
          <cell r="C229" t="str">
            <v>V_KEYWORD_EQTY_200014820_CATALYST4_DATE</v>
          </cell>
        </row>
        <row r="230">
          <cell r="A230" t="str">
            <v>Scalar|||200014820|||EQTY|||CATALYST4_EVENT|||False|||</v>
          </cell>
          <cell r="C230" t="str">
            <v>V_KEYWORD_EQTY_200014820_CATALYST4_EVENT</v>
          </cell>
        </row>
        <row r="231">
          <cell r="A231" t="str">
            <v>Scalar|||200014820|||EQTY|||CATALYST5_DATE|||True|||</v>
          </cell>
          <cell r="C231" t="str">
            <v>V_KEYWORD_EQTY_200014820_CATALYST5_DATE</v>
          </cell>
        </row>
        <row r="232">
          <cell r="A232" t="str">
            <v>Scalar|||200014820|||EQTY|||CATALYST5_EVENT|||False|||</v>
          </cell>
          <cell r="C232" t="str">
            <v>V_KEYWORD_EQTY_200014820_CATALYST5_EVENT</v>
          </cell>
        </row>
        <row r="233">
          <cell r="A233" t="str">
            <v>Scalar|||200014820|||EQTY|||PRI_TARG_MULT|||False|||</v>
          </cell>
          <cell r="C233" t="str">
            <v>V_KEYWORD_EQTY_200014820_PRI_TARG_MULT</v>
          </cell>
        </row>
        <row r="234">
          <cell r="A234" t="str">
            <v>Scalar|||200014820|||EQTY|||PRI_TARG_METH|||False|||</v>
          </cell>
          <cell r="C234" t="str">
            <v>V_KEYWORD_EQTY_200014820_PRI_TARG_METH</v>
          </cell>
        </row>
        <row r="236">
          <cell r="A236" t="str">
            <v>Vector|||200014820|||EQTY|||BVPS_PUB|||False|||</v>
          </cell>
          <cell r="C236" t="str">
            <v>V_KEYWORD_EQTY_200014820_BVPS_PUB</v>
          </cell>
        </row>
        <row r="237">
          <cell r="A237" t="str">
            <v>Vector|||200014820|||EQTY|||DPS_PUB|||False|||</v>
          </cell>
          <cell r="C237" t="str">
            <v>V_KEYWORD_EQTY_200014820_DPS_PUB</v>
          </cell>
        </row>
        <row r="238">
          <cell r="A238" t="str">
            <v>Vector|||200014820|||EQTY|||DPS_SPECIAL_PUB|||False|||</v>
          </cell>
          <cell r="C238" t="str">
            <v>V_KEYWORD_EQTY_200014820_DPS_SPECIAL_PUB</v>
          </cell>
        </row>
        <row r="239">
          <cell r="A239" t="str">
            <v>Vector|||200014820|||EQTY|||EBITDA_PUB|||False|||</v>
          </cell>
          <cell r="C239" t="str">
            <v>V_KEYWORD_EQTY_200014820_EBITDA_PUB</v>
          </cell>
        </row>
        <row r="240">
          <cell r="A240" t="str">
            <v>Vector|||200014820|||EQTY|||EPS_PUB|||False|||</v>
          </cell>
          <cell r="C240" t="str">
            <v>V_KEYWORD_EQTY_200014820_EPS_PUB</v>
          </cell>
          <cell r="F240" t="str">
            <v>ERROR</v>
          </cell>
          <cell r="G240" t="str">
            <v>ERROR</v>
          </cell>
          <cell r="H240" t="str">
            <v>ERROR</v>
          </cell>
          <cell r="I240" t="str">
            <v>ERROR</v>
          </cell>
          <cell r="J240" t="str">
            <v>ERROR</v>
          </cell>
          <cell r="K240" t="str">
            <v>ERROR</v>
          </cell>
          <cell r="L240" t="str">
            <v>ERROR</v>
          </cell>
          <cell r="M240" t="str">
            <v>ERROR</v>
          </cell>
          <cell r="N240" t="str">
            <v>ERROR</v>
          </cell>
          <cell r="O240" t="str">
            <v>ERROR</v>
          </cell>
          <cell r="P240" t="str">
            <v>ERROR</v>
          </cell>
          <cell r="Q240" t="str">
            <v>ERROR</v>
          </cell>
          <cell r="R240" t="str">
            <v>ERROR</v>
          </cell>
          <cell r="S240" t="str">
            <v>ERROR</v>
          </cell>
          <cell r="T240" t="str">
            <v>ERROR</v>
          </cell>
          <cell r="U240" t="str">
            <v>ERROR</v>
          </cell>
          <cell r="V240" t="str">
            <v>ERROR</v>
          </cell>
          <cell r="W240" t="str">
            <v>ERROR</v>
          </cell>
          <cell r="X240" t="str">
            <v>ERROR</v>
          </cell>
          <cell r="Y240" t="str">
            <v>ERROR</v>
          </cell>
          <cell r="Z240" t="str">
            <v>ERROR</v>
          </cell>
          <cell r="AA240" t="str">
            <v>ERROR</v>
          </cell>
          <cell r="AB240" t="str">
            <v>ERROR</v>
          </cell>
          <cell r="AC240" t="str">
            <v>ERROR</v>
          </cell>
          <cell r="AD240" t="str">
            <v>ERROR</v>
          </cell>
          <cell r="AE240" t="str">
            <v>ERROR</v>
          </cell>
          <cell r="AF240" t="str">
            <v>ERROR</v>
          </cell>
          <cell r="AG240" t="str">
            <v>ERROR</v>
          </cell>
          <cell r="AH240" t="str">
            <v>ERROR</v>
          </cell>
          <cell r="AI240" t="str">
            <v>ERROR</v>
          </cell>
          <cell r="AJ240" t="str">
            <v>ERROR</v>
          </cell>
          <cell r="AK240" t="str">
            <v>ERROR</v>
          </cell>
          <cell r="AL240" t="str">
            <v>ERROR</v>
          </cell>
          <cell r="AM240" t="str">
            <v>ERROR</v>
          </cell>
          <cell r="AN240" t="str">
            <v>ERROR</v>
          </cell>
          <cell r="AO240" t="str">
            <v>ERROR</v>
          </cell>
          <cell r="AP240" t="str">
            <v>ERROR</v>
          </cell>
          <cell r="AQ240" t="str">
            <v>ERROR</v>
          </cell>
          <cell r="AR240" t="str">
            <v>ERROR</v>
          </cell>
          <cell r="AS240" t="str">
            <v>ERROR</v>
          </cell>
          <cell r="AT240" t="str">
            <v>ERROR</v>
          </cell>
          <cell r="AU240" t="str">
            <v>ERROR</v>
          </cell>
          <cell r="AV240" t="str">
            <v>ERROR</v>
          </cell>
          <cell r="AW240" t="str">
            <v>ERROR</v>
          </cell>
          <cell r="AX240" t="str">
            <v>ERROR</v>
          </cell>
          <cell r="AY240" t="str">
            <v>ERROR</v>
          </cell>
          <cell r="AZ240" t="str">
            <v>ERROR</v>
          </cell>
          <cell r="BA240" t="str">
            <v>ERROR</v>
          </cell>
          <cell r="BB240" t="str">
            <v>ERROR</v>
          </cell>
          <cell r="BC240" t="str">
            <v>ERROR</v>
          </cell>
          <cell r="BD240" t="str">
            <v>ERROR</v>
          </cell>
        </row>
        <row r="241">
          <cell r="A241" t="str">
            <v>Vector|||200014820|||EQTY|||EV_ADJ_PUB|||False|||</v>
          </cell>
          <cell r="C241" t="str">
            <v>V_KEYWORD_EQTY_200014820_EV_ADJ_PUB</v>
          </cell>
        </row>
        <row r="242">
          <cell r="A242" t="str">
            <v>Vector|||200014820|||EQTY|||NET_DEBT_PUB|||False|||</v>
          </cell>
          <cell r="C242" t="str">
            <v>V_KEYWORD_EQTY_200014820_NET_DEBT_PUB</v>
          </cell>
        </row>
        <row r="243">
          <cell r="A243" t="str">
            <v>Vector|||200014820|||EQTY|||NI_PUB|||False|||</v>
          </cell>
          <cell r="C243" t="str">
            <v>V_KEYWORD_EQTY_200014820_NI_PUB</v>
          </cell>
        </row>
        <row r="244">
          <cell r="A244" t="str">
            <v>Vector|||200014820|||EQTY|||EBIT_PUB|||False|||</v>
          </cell>
          <cell r="C244" t="str">
            <v>V_KEYWORD_EQTY_200014820_EBIT_PUB</v>
          </cell>
        </row>
        <row r="245">
          <cell r="A245" t="str">
            <v>Vector|||200014820|||EQTY|||PTP_PUB|||False|||</v>
          </cell>
          <cell r="C245" t="str">
            <v>V_KEYWORD_EQTY_200014820_PTP_PUB</v>
          </cell>
        </row>
        <row r="246">
          <cell r="A246" t="str">
            <v>Vector|||200014820|||EQTY|||REVS_PUB|||False|||</v>
          </cell>
          <cell r="C246" t="str">
            <v>V_KEYWORD_EQTY_200014820_REVS_PUB</v>
          </cell>
        </row>
        <row r="247">
          <cell r="A247" t="str">
            <v>Vector|||200014820|||EQTY|||EQ_PUB|||False|||</v>
          </cell>
          <cell r="C247" t="str">
            <v>V_KEYWORD_EQTY_200014820_EQ_PUB</v>
          </cell>
        </row>
        <row r="248">
          <cell r="A248" t="str">
            <v>Vector|||200014820|||EQTY|||EPS_CONS_PUB|||False|||</v>
          </cell>
          <cell r="C248" t="str">
            <v>V_KEYWORD_EQTY_200014820_EPS_CONS_PUB</v>
          </cell>
        </row>
        <row r="250">
          <cell r="A250" t="str">
            <v>Vector|||200014820|||EQTY|||PROV_INC_TAX|||False|||</v>
          </cell>
          <cell r="C250" t="str">
            <v>V_KEYWORD_EQTY_200014820_PROV_INC_TAX</v>
          </cell>
        </row>
        <row r="251">
          <cell r="A251" t="str">
            <v>Vector|||200014820|||EQTY|||INC_MINORITY|||False|||</v>
          </cell>
          <cell r="C251" t="str">
            <v>V_KEYWORD_EQTY_200014820_INC_MINORITY</v>
          </cell>
        </row>
        <row r="252">
          <cell r="A252" t="str">
            <v>Vector|||200014820|||EQTY|||NI_PRE_PREF|||False|||</v>
          </cell>
          <cell r="C252" t="str">
            <v>V_KEYWORD_EQTY_200014820_NI_PRE_PREF</v>
          </cell>
        </row>
        <row r="253">
          <cell r="A253" t="str">
            <v>Vector|||200014820|||EQTY|||PREF_DIV|||False|||</v>
          </cell>
          <cell r="C253" t="str">
            <v>V_KEYWORD_EQTY_200014820_PREF_DIV</v>
          </cell>
        </row>
        <row r="254">
          <cell r="A254" t="str">
            <v>Vector|||200014820|||EQTY|||NET_EARNING|||False|||</v>
          </cell>
          <cell r="C254" t="str">
            <v>V_KEYWORD_EQTY_200014820_NET_EARNING</v>
          </cell>
        </row>
        <row r="255">
          <cell r="A255" t="str">
            <v>Vector|||200014820|||EQTY|||TAX_EXC|||False|||</v>
          </cell>
          <cell r="C255" t="str">
            <v>V_KEYWORD_EQTY_200014820_TAX_EXC</v>
          </cell>
        </row>
        <row r="256">
          <cell r="A256" t="str">
            <v>Vector|||200014820|||EQTY|||NET_INC|||False|||</v>
          </cell>
          <cell r="C256" t="str">
            <v>V_KEYWORD_EQTY_200014820_NET_INC</v>
          </cell>
        </row>
        <row r="257">
          <cell r="A257" t="str">
            <v>Vector|||200014820|||EQTY|||EPS|||False|||</v>
          </cell>
          <cell r="C257" t="str">
            <v>V_KEYWORD_EQTY_200014820_EPS</v>
          </cell>
        </row>
        <row r="258">
          <cell r="A258" t="str">
            <v>Vector|||200014820|||EQTY|||EPS_FUL_DIL|||False|||</v>
          </cell>
          <cell r="C258" t="str">
            <v>V_KEYWORD_EQTY_200014820_EPS_FUL_DIL</v>
          </cell>
        </row>
        <row r="259">
          <cell r="A259" t="str">
            <v>Vector|||200014820|||EQTY|||EPS_POST_BASIC|||False|||</v>
          </cell>
          <cell r="C259" t="str">
            <v>V_KEYWORD_EQTY_200014820_EPS_POST_BASIC</v>
          </cell>
        </row>
        <row r="260">
          <cell r="A260" t="str">
            <v>Vector|||200014820|||EQTY|||FULLY_DIL_EPS|||False|||</v>
          </cell>
          <cell r="C260" t="str">
            <v>V_KEYWORD_EQTY_200014820_FULLY_DIL_EPS</v>
          </cell>
        </row>
        <row r="261">
          <cell r="A261" t="str">
            <v>Vector|||200014820|||EQTY|||COMMON_DIV_PAID|||False|||</v>
          </cell>
          <cell r="C261" t="str">
            <v>V_KEYWORD_EQTY_200014820_COMMON_DIV_PAID</v>
          </cell>
        </row>
        <row r="262">
          <cell r="A262" t="str">
            <v>Vector|||200014820|||EQTY|||DPS|||False|||</v>
          </cell>
          <cell r="C262" t="str">
            <v>V_KEYWORD_EQTY_200014820_DPS</v>
          </cell>
        </row>
        <row r="263">
          <cell r="A263" t="str">
            <v>Vector|||200014820|||EQTY|||SH|||False|||</v>
          </cell>
          <cell r="C263" t="str">
            <v>V_KEYWORD_EQTY_200014820_SH</v>
          </cell>
        </row>
        <row r="264">
          <cell r="A264" t="str">
            <v>Vector|||200014820|||EQTY|||DILUTE_SHARES|||False|||</v>
          </cell>
          <cell r="C264" t="str">
            <v>V_KEYWORD_EQTY_200014820_DILUTE_SHARES</v>
          </cell>
        </row>
        <row r="265">
          <cell r="A265" t="str">
            <v>Vector|||200014820|||EQTY|||NON_OP_ADD|||False|||</v>
          </cell>
          <cell r="C265" t="str">
            <v>V_KEYWORD_EQTY_200014820_NON_OP_ADD</v>
          </cell>
        </row>
        <row r="267">
          <cell r="A267" t="str">
            <v>Vector|||200014820|||EQTY|||MARGIN_TAX_RATE|||False|||</v>
          </cell>
          <cell r="C267" t="str">
            <v>V_KEYWORD_EQTY_200014820_MARGIN_TAX_RATE</v>
          </cell>
        </row>
        <row r="268">
          <cell r="A268" t="str">
            <v>Vector|||200014820|||EQTY|||NI_CONS|||False|||</v>
          </cell>
          <cell r="C268" t="str">
            <v>V_KEYWORD_EQTY_200014820_NI_CONS</v>
          </cell>
        </row>
        <row r="270">
          <cell r="A270" t="str">
            <v>Vector|||200014820|||EQTY|||BVPS|||False|||</v>
          </cell>
          <cell r="C270" t="str">
            <v>V_KEYWORD_EQTY_200014820_BVPS</v>
          </cell>
        </row>
        <row r="272">
          <cell r="A272" t="str">
            <v>Vector|||200014820|||EQTY|||CF_NI_PRE_PREF|||False|||</v>
          </cell>
          <cell r="C272" t="str">
            <v>V_KEYWORD_EQTY_200014820_CF_NI_PRE_PREF</v>
          </cell>
        </row>
        <row r="274">
          <cell r="A274" t="str">
            <v>Scalar|||200014820|||EQTY|||BETA_ANALYST|||False|||</v>
          </cell>
          <cell r="C274" t="str">
            <v>V_KEYWORD_EQTY_200014820_BETA_ANALYST</v>
          </cell>
        </row>
        <row r="275">
          <cell r="A275" t="str">
            <v>Scalar|||200014820|||EQTY|||MKT_EQ_RISK_PREM|||False|||</v>
          </cell>
          <cell r="C275" t="str">
            <v>V_KEYWORD_EQTY_200014820_MKT_EQ_RISK_PREM</v>
          </cell>
        </row>
        <row r="276">
          <cell r="A276" t="str">
            <v>Scalar|||200014820|||EQTY|||RISK_FR_RATE|||False|||</v>
          </cell>
          <cell r="C276" t="str">
            <v>V_KEYWORD_EQTY_200014820_RISK_FR_RATE</v>
          </cell>
        </row>
      </sheetData>
      <sheetData sheetId="21">
        <row r="11">
          <cell r="B11" t="str">
            <v>Sales, net revenue</v>
          </cell>
          <cell r="C11" t="str">
            <v>SALES</v>
          </cell>
          <cell r="D11" t="e">
            <v>#NAME?</v>
          </cell>
        </row>
        <row r="12">
          <cell r="B12" t="str">
            <v>Compensation &amp; benfits expense</v>
          </cell>
          <cell r="C12" t="str">
            <v>PERSONNEL</v>
          </cell>
          <cell r="D12" t="e">
            <v>#NAME?</v>
          </cell>
        </row>
        <row r="13">
          <cell r="B13" t="str">
            <v>Cost of goods sold, COGS</v>
          </cell>
          <cell r="C13" t="str">
            <v>COST_GD_SD</v>
          </cell>
          <cell r="D13" t="e">
            <v>#NAME?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e">
            <v>#NAME?</v>
          </cell>
        </row>
        <row r="15">
          <cell r="B15" t="str">
            <v>Total operating expense</v>
          </cell>
          <cell r="C15" t="str">
            <v>OP_COST</v>
          </cell>
          <cell r="D15" t="e">
            <v>#NAME?</v>
          </cell>
        </row>
        <row r="16">
          <cell r="B16" t="str">
            <v>R&amp;D expense</v>
          </cell>
          <cell r="C16" t="str">
            <v>RD_EXP</v>
          </cell>
          <cell r="D16" t="e">
            <v>#NAME?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e">
            <v>#NAME?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e">
            <v>#NAME?</v>
          </cell>
        </row>
        <row r="19">
          <cell r="B19" t="str">
            <v>Total operating expense (excl. D&amp;A)</v>
          </cell>
          <cell r="C19" t="str">
            <v>TOT_OPS_EXP</v>
          </cell>
          <cell r="D19" t="e">
            <v>#NAME?</v>
          </cell>
        </row>
        <row r="20">
          <cell r="B20" t="str">
            <v>EBITDA</v>
          </cell>
          <cell r="C20" t="str">
            <v>EBITDA_CALC</v>
          </cell>
          <cell r="D20" t="e">
            <v>#NAME?</v>
          </cell>
        </row>
        <row r="21">
          <cell r="B21" t="str">
            <v>Depreciation</v>
          </cell>
          <cell r="C21" t="str">
            <v>DEPREC</v>
          </cell>
          <cell r="D21" t="e">
            <v>#NAME?</v>
          </cell>
        </row>
        <row r="22">
          <cell r="B22" t="str">
            <v>Amortization</v>
          </cell>
          <cell r="C22" t="str">
            <v>GOODWILL_AMORT</v>
          </cell>
          <cell r="D22" t="e">
            <v>#NAME?</v>
          </cell>
        </row>
        <row r="23">
          <cell r="B23" t="str">
            <v>EBIT, operating profit</v>
          </cell>
          <cell r="C23" t="str">
            <v>EBIT</v>
          </cell>
          <cell r="D23" t="e">
            <v>#NAME?</v>
          </cell>
        </row>
        <row r="24">
          <cell r="B24" t="str">
            <v>Interest income</v>
          </cell>
          <cell r="C24" t="str">
            <v>INT_INC_IND</v>
          </cell>
          <cell r="D24" t="e">
            <v>#NAME?</v>
          </cell>
        </row>
        <row r="25">
          <cell r="B25" t="str">
            <v>Interest expense</v>
          </cell>
          <cell r="C25" t="str">
            <v>INT_EXP_IND</v>
          </cell>
          <cell r="D25" t="e">
            <v>#NAME?</v>
          </cell>
        </row>
        <row r="26">
          <cell r="B26" t="str">
            <v>Net interest income/(expense)</v>
          </cell>
          <cell r="C26" t="str">
            <v>NET_INT_EXP</v>
          </cell>
          <cell r="D26" t="e">
            <v>#NAME?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e">
            <v>#NAME?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e">
            <v>#NAME?</v>
          </cell>
        </row>
        <row r="29">
          <cell r="B29" t="str">
            <v>Other non-ops income/(expense)</v>
          </cell>
          <cell r="C29" t="str">
            <v>OTH_COST_INC</v>
          </cell>
          <cell r="D29" t="e">
            <v>#NAME?</v>
          </cell>
        </row>
        <row r="30">
          <cell r="B30" t="str">
            <v>Pre-tax profit</v>
          </cell>
          <cell r="C30" t="str">
            <v>PT_PROF</v>
          </cell>
          <cell r="D30" t="e">
            <v>#NAME?</v>
          </cell>
        </row>
        <row r="32">
          <cell r="B32" t="str">
            <v>Contribution margin ratio</v>
          </cell>
          <cell r="C32" t="str">
            <v>CONTRIB_MARGIN_RATIO</v>
          </cell>
          <cell r="D32" t="e">
            <v>#NAME?</v>
          </cell>
        </row>
        <row r="33">
          <cell r="B33" t="str">
            <v>Lease payments</v>
          </cell>
          <cell r="C33" t="str">
            <v>LEASE_PAY</v>
          </cell>
          <cell r="D33" t="e">
            <v>#NAME?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e">
            <v>#NAME?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e">
            <v>#NAME?</v>
          </cell>
        </row>
        <row r="36">
          <cell r="B36" t="str">
            <v>Gross interest charge</v>
          </cell>
          <cell r="C36" t="str">
            <v>NET_INT_CH</v>
          </cell>
          <cell r="D36" t="e">
            <v>#NAME?</v>
          </cell>
        </row>
        <row r="37">
          <cell r="B37" t="str">
            <v>Income from associates (operating)</v>
          </cell>
          <cell r="C37" t="str">
            <v>ASSOCIATE_OP</v>
          </cell>
          <cell r="D37" t="e">
            <v>#NAME?</v>
          </cell>
        </row>
        <row r="39">
          <cell r="B39" t="str">
            <v>Cash &amp; cash equivalents</v>
          </cell>
          <cell r="C39" t="str">
            <v>CASH_EQ</v>
          </cell>
          <cell r="D39" t="e">
            <v>#NAME?</v>
          </cell>
        </row>
        <row r="40">
          <cell r="B40" t="str">
            <v>Accounts receivable</v>
          </cell>
          <cell r="C40" t="str">
            <v>DEBTORS</v>
          </cell>
          <cell r="D40" t="e">
            <v>#NAME?</v>
          </cell>
        </row>
        <row r="41">
          <cell r="B41" t="str">
            <v>Inventory</v>
          </cell>
          <cell r="C41" t="str">
            <v>STOCKS</v>
          </cell>
          <cell r="D41" t="e">
            <v>#NAME?</v>
          </cell>
        </row>
        <row r="42">
          <cell r="B42" t="str">
            <v>Other current assets</v>
          </cell>
          <cell r="C42" t="str">
            <v>OTH_CUR_ASS</v>
          </cell>
          <cell r="D42" t="e">
            <v>#NAME?</v>
          </cell>
        </row>
        <row r="43">
          <cell r="B43" t="str">
            <v>Total current assets</v>
          </cell>
          <cell r="C43" t="str">
            <v>CUR_ASS</v>
          </cell>
          <cell r="D43" t="e">
            <v>#NAME?</v>
          </cell>
        </row>
        <row r="44">
          <cell r="B44" t="str">
            <v>Gross fixed assets, PP&amp;E</v>
          </cell>
          <cell r="C44" t="str">
            <v>GR_FIX_ASS</v>
          </cell>
          <cell r="D44" t="e">
            <v>#NAME?</v>
          </cell>
        </row>
        <row r="45">
          <cell r="B45" t="str">
            <v>Accumulated depreciation</v>
          </cell>
          <cell r="C45" t="str">
            <v>ACC_DDA</v>
          </cell>
          <cell r="D45" t="e">
            <v>#NAME?</v>
          </cell>
        </row>
        <row r="46">
          <cell r="B46" t="str">
            <v>Net PP&amp;E</v>
          </cell>
          <cell r="C46" t="str">
            <v>NET_FIX_ASS</v>
          </cell>
          <cell r="D46" t="e">
            <v>#NAME?</v>
          </cell>
        </row>
        <row r="47">
          <cell r="B47" t="str">
            <v>Gross intangibles</v>
          </cell>
          <cell r="C47" t="str">
            <v>GR_INTANG</v>
          </cell>
          <cell r="D47" t="e">
            <v>#NAME?</v>
          </cell>
        </row>
        <row r="48">
          <cell r="B48" t="str">
            <v>Accumulated amortization</v>
          </cell>
          <cell r="C48" t="str">
            <v>ACC_AMORT</v>
          </cell>
          <cell r="D48" t="e">
            <v>#NAME?</v>
          </cell>
        </row>
        <row r="49">
          <cell r="B49" t="str">
            <v>Net intangible assets</v>
          </cell>
          <cell r="C49" t="str">
            <v>NET_INTANG</v>
          </cell>
          <cell r="D49" t="e">
            <v>#NAME?</v>
          </cell>
        </row>
        <row r="50">
          <cell r="B50" t="str">
            <v>Equity method investments</v>
          </cell>
          <cell r="C50" t="str">
            <v>FIX_ASS_INV</v>
          </cell>
          <cell r="D50" t="e">
            <v>#NAME?</v>
          </cell>
        </row>
        <row r="51">
          <cell r="B51" t="str">
            <v>Investments in securities</v>
          </cell>
          <cell r="C51" t="str">
            <v>INV_SECUR</v>
          </cell>
          <cell r="D51" t="e">
            <v>#NAME?</v>
          </cell>
        </row>
        <row r="52">
          <cell r="B52" t="str">
            <v>Other long-term assets</v>
          </cell>
          <cell r="C52" t="str">
            <v>OTH_LT_ASS</v>
          </cell>
          <cell r="D52" t="e">
            <v>#NAME?</v>
          </cell>
        </row>
        <row r="53">
          <cell r="B53" t="str">
            <v>Total assets</v>
          </cell>
          <cell r="C53" t="str">
            <v>TOT_ASSET</v>
          </cell>
          <cell r="D53" t="e">
            <v>#NAME?</v>
          </cell>
        </row>
        <row r="54">
          <cell r="B54" t="str">
            <v>Accounts payable</v>
          </cell>
          <cell r="C54" t="str">
            <v>ACC_PAY_GQ</v>
          </cell>
          <cell r="D54" t="e">
            <v>#NAME?</v>
          </cell>
        </row>
        <row r="55">
          <cell r="B55" t="str">
            <v>Short-term debt</v>
          </cell>
          <cell r="C55" t="str">
            <v>SHORT_T_DEBT</v>
          </cell>
          <cell r="D55" t="e">
            <v>#NAME?</v>
          </cell>
        </row>
        <row r="56">
          <cell r="B56" t="str">
            <v>Other current liabilities</v>
          </cell>
          <cell r="C56" t="str">
            <v>OTH_CUR_LIABS</v>
          </cell>
          <cell r="D56" t="e">
            <v>#NAME?</v>
          </cell>
        </row>
        <row r="57">
          <cell r="B57" t="str">
            <v>Total current liabilities</v>
          </cell>
          <cell r="C57" t="str">
            <v>SHORT_TERM_LIABS</v>
          </cell>
          <cell r="D57" t="e">
            <v>#NAME?</v>
          </cell>
        </row>
        <row r="58">
          <cell r="B58" t="str">
            <v>Long-term  debt</v>
          </cell>
          <cell r="C58" t="str">
            <v>LT_DEBT</v>
          </cell>
          <cell r="D58" t="e">
            <v>#NAME?</v>
          </cell>
        </row>
        <row r="59">
          <cell r="B59" t="str">
            <v>Other long-term liabilities</v>
          </cell>
          <cell r="C59" t="str">
            <v>OTH_LT_CRED_GQ</v>
          </cell>
          <cell r="D59" t="e">
            <v>#NAME?</v>
          </cell>
        </row>
        <row r="60">
          <cell r="B60" t="str">
            <v>Total long-term liabilities</v>
          </cell>
          <cell r="C60" t="str">
            <v>TOT_LT_LIAB</v>
          </cell>
          <cell r="D60" t="e">
            <v>#NAME?</v>
          </cell>
        </row>
        <row r="61">
          <cell r="B61" t="str">
            <v>Total liabilities</v>
          </cell>
          <cell r="C61" t="str">
            <v>TOT_LIAB</v>
          </cell>
          <cell r="D61" t="e">
            <v>#NAME?</v>
          </cell>
        </row>
        <row r="62">
          <cell r="B62" t="str">
            <v>Preferred shares</v>
          </cell>
          <cell r="C62" t="str">
            <v>PREF_SH</v>
          </cell>
          <cell r="D62" t="e">
            <v>#NAME?</v>
          </cell>
        </row>
        <row r="63">
          <cell r="B63" t="str">
            <v>Total common equity</v>
          </cell>
          <cell r="C63" t="str">
            <v>ORD_SH_FUND</v>
          </cell>
          <cell r="D63" t="e">
            <v>#NAME?</v>
          </cell>
        </row>
        <row r="64">
          <cell r="B64" t="str">
            <v>Minority interest</v>
          </cell>
          <cell r="C64" t="str">
            <v>MINORITIES</v>
          </cell>
          <cell r="D64" t="e">
            <v>#NAME?</v>
          </cell>
        </row>
        <row r="65">
          <cell r="B65" t="str">
            <v>Total shareholders' equity</v>
          </cell>
          <cell r="C65" t="str">
            <v>EQ</v>
          </cell>
          <cell r="D65" t="e">
            <v>#NAME?</v>
          </cell>
        </row>
        <row r="66">
          <cell r="B66" t="str">
            <v>Total liabilities and equity</v>
          </cell>
          <cell r="C66" t="str">
            <v>TOT_LIAB_EQ</v>
          </cell>
          <cell r="D66" t="e">
            <v>#NAME?</v>
          </cell>
        </row>
        <row r="72">
          <cell r="B72" t="str">
            <v>Net debt</v>
          </cell>
          <cell r="C72" t="str">
            <v>NET_DEBT</v>
          </cell>
          <cell r="D72" t="e">
            <v>#NAME?</v>
          </cell>
        </row>
        <row r="73">
          <cell r="B73" t="str">
            <v>Capitalized leases</v>
          </cell>
          <cell r="C73" t="str">
            <v>CAP_LEASES</v>
          </cell>
          <cell r="D73" t="e">
            <v>#NAME?</v>
          </cell>
        </row>
        <row r="74">
          <cell r="B74" t="str">
            <v>Deferred income taxes</v>
          </cell>
          <cell r="C74" t="str">
            <v>DEF_INC_TAX</v>
          </cell>
          <cell r="D74" t="e">
            <v>#NAME?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e">
            <v>#NAME?</v>
          </cell>
        </row>
        <row r="76">
          <cell r="B76" t="str">
            <v>Net debt adjustment</v>
          </cell>
          <cell r="C76" t="str">
            <v>NET_DEBT_ADJ</v>
          </cell>
          <cell r="D76" t="e">
            <v>#NAME?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 t="e">
            <v>#NAME?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e">
            <v>#NAME?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e">
            <v>#NAME?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e">
            <v>#NAME?</v>
          </cell>
        </row>
        <row r="82">
          <cell r="B82" t="str">
            <v>Other GCI adjustments</v>
          </cell>
          <cell r="C82" t="str">
            <v>OTH_GCI_ADJ</v>
          </cell>
          <cell r="D82" t="e">
            <v>#NAME?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 t="e">
            <v>#NAME?</v>
          </cell>
        </row>
        <row r="86">
          <cell r="B86" t="str">
            <v>Minority interest add-back</v>
          </cell>
          <cell r="C86" t="str">
            <v>CF_INC_MINORITY</v>
          </cell>
          <cell r="D86" t="e">
            <v>#NAME?</v>
          </cell>
        </row>
        <row r="87">
          <cell r="B87" t="str">
            <v>Depreciation &amp; amortization add-back</v>
          </cell>
          <cell r="C87" t="str">
            <v>DEPR_AMORT</v>
          </cell>
          <cell r="D87" t="e">
            <v>#NAME?</v>
          </cell>
        </row>
        <row r="88">
          <cell r="B88" t="str">
            <v>(Increase)/decrease in working capital</v>
          </cell>
          <cell r="C88" t="str">
            <v>WORK_CAP</v>
          </cell>
          <cell r="D88" t="e">
            <v>#NAME?</v>
          </cell>
        </row>
        <row r="89">
          <cell r="B89" t="str">
            <v>Other operating cash flow items</v>
          </cell>
          <cell r="C89" t="str">
            <v>OTH_OP_CF</v>
          </cell>
          <cell r="D89" t="e">
            <v>#NAME?</v>
          </cell>
        </row>
        <row r="90">
          <cell r="B90" t="str">
            <v>Cash flow from operating activities</v>
          </cell>
          <cell r="C90" t="str">
            <v>CF_OPS</v>
          </cell>
          <cell r="D90" t="e">
            <v>#NAME?</v>
          </cell>
        </row>
        <row r="91">
          <cell r="B91" t="str">
            <v>Capital expenditures, Capex</v>
          </cell>
          <cell r="C91" t="str">
            <v>CAPEX</v>
          </cell>
          <cell r="D91" t="e">
            <v>#NAME?</v>
          </cell>
        </row>
        <row r="92">
          <cell r="B92" t="str">
            <v>Acquisitions</v>
          </cell>
          <cell r="C92" t="str">
            <v>ACQ</v>
          </cell>
          <cell r="D92" t="e">
            <v>#NAME?</v>
          </cell>
        </row>
        <row r="93">
          <cell r="B93" t="str">
            <v>Divestitures</v>
          </cell>
          <cell r="C93" t="str">
            <v>DIVEST</v>
          </cell>
          <cell r="D93" t="e">
            <v>#NAME?</v>
          </cell>
        </row>
        <row r="94">
          <cell r="B94" t="str">
            <v>Other investing cash flow items</v>
          </cell>
          <cell r="C94" t="str">
            <v>OTH_INV_CF</v>
          </cell>
          <cell r="D94" t="e">
            <v>#NAME?</v>
          </cell>
        </row>
        <row r="95">
          <cell r="B95" t="str">
            <v>Cash flow from investing</v>
          </cell>
          <cell r="C95" t="str">
            <v>CF_INV</v>
          </cell>
          <cell r="D95" t="e">
            <v>#NAME?</v>
          </cell>
        </row>
        <row r="96">
          <cell r="B96" t="str">
            <v>Dividends paid</v>
          </cell>
          <cell r="C96" t="str">
            <v>DIV_PAID</v>
          </cell>
          <cell r="D96" t="e">
            <v>#NAME?</v>
          </cell>
        </row>
        <row r="97">
          <cell r="B97" t="str">
            <v>Common stock issuance/(repurchase)</v>
          </cell>
          <cell r="C97" t="str">
            <v>SH_REPUR</v>
          </cell>
          <cell r="D97" t="e">
            <v>#NAME?</v>
          </cell>
        </row>
        <row r="98">
          <cell r="B98" t="str">
            <v>Increase/(decrease) in total debt</v>
          </cell>
          <cell r="C98" t="str">
            <v>CHG_LT_DEBT</v>
          </cell>
          <cell r="D98" t="e">
            <v>#NAME?</v>
          </cell>
        </row>
        <row r="99">
          <cell r="B99" t="str">
            <v>Other financing cash flow items</v>
          </cell>
          <cell r="C99" t="str">
            <v>OTH_FIN_CF</v>
          </cell>
          <cell r="D99" t="e">
            <v>#NAME?</v>
          </cell>
        </row>
        <row r="100">
          <cell r="B100" t="str">
            <v>Cash flow from financing</v>
          </cell>
          <cell r="C100" t="str">
            <v>CF_FIN</v>
          </cell>
          <cell r="D100" t="e">
            <v>#NAME?</v>
          </cell>
        </row>
        <row r="101">
          <cell r="B101" t="str">
            <v>Total cash flow</v>
          </cell>
          <cell r="C101" t="str">
            <v>TOT_CF</v>
          </cell>
          <cell r="D101" t="e">
            <v>#NAME?</v>
          </cell>
        </row>
        <row r="103">
          <cell r="B103" t="str">
            <v>Associate and JV add-back</v>
          </cell>
          <cell r="C103" t="str">
            <v>ASSOC_JV_ADDBK</v>
          </cell>
          <cell r="D103" t="e">
            <v>#NAME?</v>
          </cell>
        </row>
        <row r="104">
          <cell r="B104" t="str">
            <v>Profit/(loss) on sale of assets</v>
          </cell>
          <cell r="C104" t="str">
            <v>PL_SALE_ASSETS</v>
          </cell>
          <cell r="D104" t="e">
            <v>#NAME?</v>
          </cell>
        </row>
        <row r="105">
          <cell r="B105" t="str">
            <v>Other non-cash adjustments</v>
          </cell>
          <cell r="C105" t="str">
            <v>OTH_NONCASH_ADJ</v>
          </cell>
          <cell r="D105" t="e">
            <v>#NAME?</v>
          </cell>
        </row>
        <row r="106">
          <cell r="B106" t="str">
            <v>Other DACF adjustments</v>
          </cell>
          <cell r="C106" t="str">
            <v>OTH_DACF_ADJ</v>
          </cell>
          <cell r="D106" t="e">
            <v>#NAME?</v>
          </cell>
        </row>
        <row r="107">
          <cell r="B107" t="str">
            <v>Cash interest expense</v>
          </cell>
          <cell r="C107" t="str">
            <v>CASH_INT_EXP</v>
          </cell>
          <cell r="D107" t="e">
            <v>#NAME?</v>
          </cell>
        </row>
        <row r="108">
          <cell r="B108" t="str">
            <v>Cash tax expense</v>
          </cell>
          <cell r="C108" t="str">
            <v>CASH_TAX_EXP</v>
          </cell>
          <cell r="D108" t="e">
            <v>#NAME?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e">
            <v>#NAME?</v>
          </cell>
        </row>
        <row r="110">
          <cell r="B110" t="str">
            <v>Capex maintenance</v>
          </cell>
          <cell r="C110" t="str">
            <v>CAPEX_MAINTENANCE</v>
          </cell>
          <cell r="D110" t="e">
            <v>#NAME?</v>
          </cell>
        </row>
        <row r="111">
          <cell r="B111" t="str">
            <v>Capex expansion</v>
          </cell>
          <cell r="C111" t="str">
            <v>CAPEX_EXPANSION</v>
          </cell>
          <cell r="D111" t="e">
            <v>#NAME?</v>
          </cell>
        </row>
        <row r="112">
          <cell r="B112" t="str">
            <v>Non-PP&amp;E capex</v>
          </cell>
          <cell r="C112" t="str">
            <v>NONPPE_CAPEX</v>
          </cell>
          <cell r="D112" t="e">
            <v>#NAME?</v>
          </cell>
        </row>
        <row r="113">
          <cell r="B113" t="str">
            <v>Dividends paid to minorities</v>
          </cell>
          <cell r="C113" t="str">
            <v>DIVDS_PD_MINORITIES</v>
          </cell>
          <cell r="D113" t="e">
            <v>#NAME?</v>
          </cell>
        </row>
        <row r="115">
          <cell r="B115" t="str">
            <v>Number of employees</v>
          </cell>
          <cell r="C115" t="str">
            <v>EMPLOYEES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6">
          <cell r="B176" t="str">
            <v>Expense - % Oil/Petrol/Fuel</v>
          </cell>
          <cell r="C176" t="str">
            <v>EXP_OIL_PETRO_FUEL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4">
          <cell r="B184" t="str">
            <v>Sales - % FX: British Pounds/Pence</v>
          </cell>
          <cell r="C184" t="str">
            <v>SALES_FX_GPB</v>
          </cell>
        </row>
        <row r="185">
          <cell r="B185" t="str">
            <v>Sales - % FX: Euro</v>
          </cell>
          <cell r="C185" t="str">
            <v>SALES_FX_EUR</v>
          </cell>
        </row>
        <row r="186">
          <cell r="B186" t="str">
            <v>Sales - % FX: New Russian Ruble</v>
          </cell>
          <cell r="C186" t="str">
            <v>SALES_FX_RUB</v>
          </cell>
        </row>
        <row r="187">
          <cell r="B187" t="str">
            <v>Sales - % FX: U.S. Dollar</v>
          </cell>
          <cell r="C187" t="str">
            <v>SALES_FX_USD</v>
          </cell>
        </row>
        <row r="188">
          <cell r="B188" t="str">
            <v>Sales - % FX: Brazilian Real</v>
          </cell>
          <cell r="C188" t="str">
            <v>SALES_FX_BRL</v>
          </cell>
        </row>
        <row r="189">
          <cell r="B189" t="str">
            <v>Sales - % FX: Japanese Yen</v>
          </cell>
          <cell r="C189" t="str">
            <v>SALES_FX_YEN</v>
          </cell>
        </row>
        <row r="190">
          <cell r="B190" t="str">
            <v>Sales - % FX: Chinese Renminbi</v>
          </cell>
          <cell r="C190" t="str">
            <v>SALES_FX_CNY</v>
          </cell>
        </row>
        <row r="191">
          <cell r="B191" t="str">
            <v>Sales - % FX: Indian Rupee</v>
          </cell>
          <cell r="C191" t="str">
            <v>SALES_FX_INR</v>
          </cell>
        </row>
        <row r="192">
          <cell r="B192" t="str">
            <v>Sales - % FX: South Korean Won</v>
          </cell>
          <cell r="C192" t="str">
            <v>SALES_FX_KRW</v>
          </cell>
        </row>
        <row r="193">
          <cell r="B193" t="str">
            <v>Sales - % FX: Taiwan Dollar</v>
          </cell>
          <cell r="C193" t="str">
            <v>SALES_FX_TWD</v>
          </cell>
        </row>
        <row r="194">
          <cell r="B194" t="str">
            <v>Sales - % FX: Other Currency</v>
          </cell>
          <cell r="C194" t="str">
            <v>SALES_FX_OTH</v>
          </cell>
        </row>
        <row r="196">
          <cell r="C196" t="str">
            <v>SALES_TOT_AM</v>
          </cell>
        </row>
        <row r="205">
          <cell r="C205" t="str">
            <v>SALES_OTH_AEJ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rts"/>
      <sheetName val="Cover Page"/>
      <sheetName val="TP"/>
      <sheetName val="Discount PE"/>
      <sheetName val="PL"/>
      <sheetName val="BS"/>
      <sheetName val="CF"/>
      <sheetName val="Assumption"/>
      <sheetName val="Table &amp; EEO"/>
      <sheetName val="PL sum"/>
      <sheetName val="DCF"/>
      <sheetName val="AR days"/>
      <sheetName val="Table &amp; EEO (3)"/>
      <sheetName val="TAM"/>
      <sheetName val="Segment"/>
      <sheetName val="Annual"/>
      <sheetName val="Quarter"/>
      <sheetName val="300782.SZ_Live_Sheet"/>
      <sheetName val="300782.SZ_Validation_Sheet"/>
      <sheetName val="300782.SZ_Annotation_Sheet"/>
      <sheetName val="300782.SZ_Exchange_Sheet"/>
      <sheetName val="AFOSHEET"/>
      <sheetName val="Test"/>
      <sheetName val="Peers"/>
      <sheetName val="EEO"/>
      <sheetName val="Table &amp; EEO (2)"/>
      <sheetName val="Inventory"/>
      <sheetName val="Sheet1"/>
    </sheetNames>
    <sheetDataSet>
      <sheetData sheetId="0">
        <row r="2">
          <cell r="B2">
            <v>2015</v>
          </cell>
        </row>
      </sheetData>
      <sheetData sheetId="1"/>
      <sheetData sheetId="2"/>
      <sheetData sheetId="3"/>
      <sheetData sheetId="4">
        <row r="25">
          <cell r="AO25">
            <v>1007.5281271733338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Issuer: Maxscend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Estimate</v>
          </cell>
          <cell r="O2" t="str">
            <v>Estimate</v>
          </cell>
          <cell r="P2" t="str">
            <v>Estimate</v>
          </cell>
          <cell r="Q2" t="str">
            <v>Estimate</v>
          </cell>
          <cell r="R2" t="str">
            <v>Estimate</v>
          </cell>
          <cell r="S2" t="str">
            <v>Estimate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Estimate</v>
          </cell>
          <cell r="AN2" t="str">
            <v>Estimate</v>
          </cell>
          <cell r="AO2" t="str">
            <v>Estimate</v>
          </cell>
          <cell r="AP2" t="str">
            <v>Estimate</v>
          </cell>
          <cell r="AQ2" t="str">
            <v>Estimate</v>
          </cell>
          <cell r="AR2" t="str">
            <v>Estimate</v>
          </cell>
          <cell r="AS2" t="str">
            <v>Estimate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  <cell r="BF2" t="str">
            <v>Estimate</v>
          </cell>
          <cell r="BG2" t="str">
            <v>Estimate</v>
          </cell>
          <cell r="BH2" t="str">
            <v>Estimate</v>
          </cell>
        </row>
        <row r="3">
          <cell r="F3">
            <v>42004</v>
          </cell>
          <cell r="G3">
            <v>42369</v>
          </cell>
          <cell r="H3">
            <v>42735</v>
          </cell>
          <cell r="I3">
            <v>43100</v>
          </cell>
          <cell r="J3">
            <v>43465</v>
          </cell>
          <cell r="K3">
            <v>43830</v>
          </cell>
          <cell r="L3">
            <v>44196</v>
          </cell>
          <cell r="M3">
            <v>44561</v>
          </cell>
          <cell r="N3">
            <v>44926</v>
          </cell>
          <cell r="O3">
            <v>45291</v>
          </cell>
          <cell r="P3">
            <v>45657</v>
          </cell>
          <cell r="Q3">
            <v>46022</v>
          </cell>
          <cell r="R3">
            <v>46387</v>
          </cell>
          <cell r="S3">
            <v>46752</v>
          </cell>
          <cell r="T3">
            <v>43465</v>
          </cell>
          <cell r="U3">
            <v>43190</v>
          </cell>
          <cell r="V3">
            <v>43281</v>
          </cell>
          <cell r="W3">
            <v>43373</v>
          </cell>
          <cell r="X3">
            <v>43465</v>
          </cell>
          <cell r="Y3">
            <v>43555</v>
          </cell>
          <cell r="Z3">
            <v>43646</v>
          </cell>
          <cell r="AA3">
            <v>43738</v>
          </cell>
          <cell r="AB3">
            <v>43830</v>
          </cell>
          <cell r="AC3">
            <v>43921</v>
          </cell>
          <cell r="AD3">
            <v>44012</v>
          </cell>
          <cell r="AE3">
            <v>44104</v>
          </cell>
          <cell r="AF3">
            <v>44196</v>
          </cell>
          <cell r="AG3">
            <v>44286</v>
          </cell>
          <cell r="AH3">
            <v>44377</v>
          </cell>
          <cell r="AI3">
            <v>44469</v>
          </cell>
          <cell r="AJ3">
            <v>44561</v>
          </cell>
          <cell r="AK3">
            <v>44651</v>
          </cell>
          <cell r="AL3">
            <v>44742</v>
          </cell>
          <cell r="AM3">
            <v>44834</v>
          </cell>
          <cell r="AN3">
            <v>44926</v>
          </cell>
          <cell r="AO3">
            <v>45016</v>
          </cell>
          <cell r="AP3">
            <v>45107</v>
          </cell>
          <cell r="AQ3">
            <v>45199</v>
          </cell>
          <cell r="AR3">
            <v>45291</v>
          </cell>
          <cell r="AS3">
            <v>45382</v>
          </cell>
          <cell r="AT3">
            <v>45473</v>
          </cell>
          <cell r="AU3">
            <v>45565</v>
          </cell>
          <cell r="AV3">
            <v>45657</v>
          </cell>
          <cell r="AW3">
            <v>45747</v>
          </cell>
          <cell r="AX3">
            <v>45838</v>
          </cell>
          <cell r="AY3">
            <v>45930</v>
          </cell>
          <cell r="AZ3">
            <v>46022</v>
          </cell>
          <cell r="BA3">
            <v>46112</v>
          </cell>
          <cell r="BB3">
            <v>46203</v>
          </cell>
          <cell r="BC3">
            <v>46295</v>
          </cell>
          <cell r="BD3">
            <v>46387</v>
          </cell>
          <cell r="BE3">
            <v>46477</v>
          </cell>
          <cell r="BF3">
            <v>46568</v>
          </cell>
          <cell r="BG3">
            <v>46660</v>
          </cell>
          <cell r="BH3">
            <v>46752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G11">
            <v>110.932334</v>
          </cell>
          <cell r="H11">
            <v>385.20928400000003</v>
          </cell>
          <cell r="I11">
            <v>591.64736900000003</v>
          </cell>
          <cell r="J11">
            <v>560.190021</v>
          </cell>
          <cell r="K11">
            <v>1512.3945541099999</v>
          </cell>
          <cell r="L11">
            <v>2792.14753548</v>
          </cell>
          <cell r="M11">
            <v>4633.5708656999996</v>
          </cell>
          <cell r="N11">
            <v>4684.64935539415</v>
          </cell>
          <cell r="O11">
            <v>6303.5182208387096</v>
          </cell>
          <cell r="P11">
            <v>8401.1140734551791</v>
          </cell>
          <cell r="Q11">
            <v>11370.278130844399</v>
          </cell>
          <cell r="R11">
            <v>15490.557619528299</v>
          </cell>
          <cell r="S11">
            <v>20929.013894499101</v>
          </cell>
          <cell r="T11">
            <v>120.11325600000001</v>
          </cell>
          <cell r="U11">
            <v>127.681359</v>
          </cell>
          <cell r="V11">
            <v>131.120937</v>
          </cell>
          <cell r="W11">
            <v>181.27446900000001</v>
          </cell>
          <cell r="X11">
            <v>120.11325600000001</v>
          </cell>
          <cell r="Y11">
            <v>181.27072100000001</v>
          </cell>
          <cell r="Z11">
            <v>333.95692400000001</v>
          </cell>
          <cell r="AA11">
            <v>469.65044</v>
          </cell>
          <cell r="AB11">
            <v>527.51646911</v>
          </cell>
          <cell r="AC11">
            <v>450.90549109</v>
          </cell>
          <cell r="AD11">
            <v>546.78773932000001</v>
          </cell>
          <cell r="AE11">
            <v>974.76697107999996</v>
          </cell>
          <cell r="AF11">
            <v>819.68733398999996</v>
          </cell>
          <cell r="AG11">
            <v>1183.04579033</v>
          </cell>
          <cell r="AH11">
            <v>1176.3126858600001</v>
          </cell>
          <cell r="AI11">
            <v>1124.2153693600001</v>
          </cell>
          <cell r="AJ11">
            <v>1149.99702015</v>
          </cell>
          <cell r="AK11">
            <v>1330.11304761</v>
          </cell>
          <cell r="AL11">
            <v>904.82199707999996</v>
          </cell>
          <cell r="AM11">
            <v>1139.7079431866</v>
          </cell>
          <cell r="AN11">
            <v>1310.00636751755</v>
          </cell>
          <cell r="AO11">
            <v>2774.40327401388</v>
          </cell>
          <cell r="AP11">
            <v>2855.8046198612901</v>
          </cell>
          <cell r="AQ11">
            <v>2488.8731837202099</v>
          </cell>
          <cell r="AR11">
            <v>2530.1541355806899</v>
          </cell>
          <cell r="AS11">
            <v>3794.26376306273</v>
          </cell>
          <cell r="AT11">
            <v>3988.74118800727</v>
          </cell>
          <cell r="AU11">
            <v>3531.0419069767399</v>
          </cell>
          <cell r="AV11">
            <v>3650.7336580129199</v>
          </cell>
          <cell r="AW11">
            <v>5096.67003529053</v>
          </cell>
          <cell r="AX11">
            <v>5600.5770349630002</v>
          </cell>
          <cell r="AY11">
            <v>4843.7663270773201</v>
          </cell>
          <cell r="AZ11">
            <v>5162.5140514629002</v>
          </cell>
          <cell r="BA11">
            <v>6612.03978101333</v>
          </cell>
          <cell r="BB11">
            <v>7650.9834666986899</v>
          </cell>
          <cell r="BC11">
            <v>6152.01318086225</v>
          </cell>
          <cell r="BD11">
            <v>6643.05159014737</v>
          </cell>
          <cell r="BE11">
            <v>8688.7768219694808</v>
          </cell>
          <cell r="BF11">
            <v>10626.6819108666</v>
          </cell>
          <cell r="BG11">
            <v>8187.3465215140995</v>
          </cell>
          <cell r="BH11">
            <v>8975.4452575199994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G13">
            <v>-47.928308000000001</v>
          </cell>
          <cell r="H13">
            <v>-145.96760499999999</v>
          </cell>
          <cell r="I13">
            <v>-260.95862599999998</v>
          </cell>
          <cell r="J13">
            <v>-270.35773499999999</v>
          </cell>
          <cell r="K13">
            <v>-718.90536951000001</v>
          </cell>
          <cell r="L13">
            <v>-1316.84167548</v>
          </cell>
          <cell r="M13">
            <v>-1958.8571345800001</v>
          </cell>
          <cell r="N13">
            <v>-2330.1883737818898</v>
          </cell>
          <cell r="O13">
            <v>-3209.20290072641</v>
          </cell>
          <cell r="P13">
            <v>-4359.8957564601897</v>
          </cell>
          <cell r="Q13">
            <v>-6032.59185148507</v>
          </cell>
          <cell r="R13">
            <v>-8417.3908100899898</v>
          </cell>
          <cell r="S13">
            <v>-11761.8935318927</v>
          </cell>
          <cell r="T13">
            <v>-59.113284</v>
          </cell>
          <cell r="U13">
            <v>-59.147061999999998</v>
          </cell>
          <cell r="V13">
            <v>-64.780534000000003</v>
          </cell>
          <cell r="W13">
            <v>-87.316855000000004</v>
          </cell>
          <cell r="X13">
            <v>-59.113284</v>
          </cell>
          <cell r="Y13">
            <v>-85.596224000000007</v>
          </cell>
          <cell r="Z13">
            <v>-156.953317</v>
          </cell>
          <cell r="AA13">
            <v>-222.27748700000001</v>
          </cell>
          <cell r="AB13">
            <v>-254.07834151</v>
          </cell>
          <cell r="AC13">
            <v>-213.42609662999999</v>
          </cell>
          <cell r="AD13">
            <v>-259.07009721999998</v>
          </cell>
          <cell r="AE13">
            <v>-485.76597249000002</v>
          </cell>
          <cell r="AF13">
            <v>-358.57950914000003</v>
          </cell>
          <cell r="AG13">
            <v>-499.09479778999997</v>
          </cell>
          <cell r="AH13">
            <v>-500.5685871</v>
          </cell>
          <cell r="AI13">
            <v>-464.57614846000001</v>
          </cell>
          <cell r="AJ13">
            <v>-494.61760122999999</v>
          </cell>
          <cell r="AK13">
            <v>-632.73233383000002</v>
          </cell>
          <cell r="AL13">
            <v>-427.71118188000003</v>
          </cell>
          <cell r="AM13">
            <v>-590.630050909283</v>
          </cell>
          <cell r="AN13">
            <v>-679.11480716260496</v>
          </cell>
          <cell r="AO13">
            <v>-1257.7672064472499</v>
          </cell>
          <cell r="AP13">
            <v>-1306.5142712317499</v>
          </cell>
          <cell r="AQ13">
            <v>-1154.3744233085899</v>
          </cell>
          <cell r="AR13">
            <v>-1207.7846138431</v>
          </cell>
          <cell r="AS13">
            <v>-1795.7981665292</v>
          </cell>
          <cell r="AT13">
            <v>-1904.97450521317</v>
          </cell>
          <cell r="AU13">
            <v>-1710.76827714966</v>
          </cell>
          <cell r="AV13">
            <v>-1812.75052516862</v>
          </cell>
          <cell r="AW13">
            <v>-2485.97298148254</v>
          </cell>
          <cell r="AX13">
            <v>-2803.6905155334398</v>
          </cell>
          <cell r="AY13">
            <v>-2469.2806908707298</v>
          </cell>
          <cell r="AZ13">
            <v>-2692.8769171429299</v>
          </cell>
          <cell r="BA13">
            <v>-3365.4027064115999</v>
          </cell>
          <cell r="BB13">
            <v>-4055.0258702184901</v>
          </cell>
          <cell r="BC13">
            <v>-3232.1232515638799</v>
          </cell>
          <cell r="BD13">
            <v>-3554.7492975904202</v>
          </cell>
          <cell r="BE13">
            <v>-4618.2180992349304</v>
          </cell>
          <cell r="BF13">
            <v>-5931.1961347752404</v>
          </cell>
          <cell r="BG13">
            <v>-4498.1352319109901</v>
          </cell>
          <cell r="BH13">
            <v>-4987.9067277180302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G14">
            <v>-28.522407000000001</v>
          </cell>
          <cell r="H14">
            <v>-83.466904999999997</v>
          </cell>
          <cell r="I14">
            <v>-61.020544999999998</v>
          </cell>
          <cell r="J14">
            <v>-54.915377999999997</v>
          </cell>
          <cell r="K14">
            <v>-75.602014150000002</v>
          </cell>
          <cell r="L14">
            <v>-66.162963950000005</v>
          </cell>
          <cell r="M14">
            <v>-97.461363610000006</v>
          </cell>
          <cell r="N14">
            <v>-125.88431273200599</v>
          </cell>
          <cell r="O14">
            <v>-136.78634539219999</v>
          </cell>
          <cell r="P14">
            <v>-141.97882784139199</v>
          </cell>
          <cell r="Q14">
            <v>-170.554171962666</v>
          </cell>
          <cell r="R14">
            <v>-201.37724905386801</v>
          </cell>
          <cell r="S14">
            <v>-209.29013894499101</v>
          </cell>
          <cell r="T14">
            <v>-14.567629999999999</v>
          </cell>
          <cell r="U14">
            <v>-12.123989</v>
          </cell>
          <cell r="V14">
            <v>-12.464410000000001</v>
          </cell>
          <cell r="W14">
            <v>-15.759349</v>
          </cell>
          <cell r="X14">
            <v>-14.567629999999999</v>
          </cell>
          <cell r="Y14">
            <v>-14.575912000000001</v>
          </cell>
          <cell r="Z14">
            <v>-25.446161</v>
          </cell>
          <cell r="AA14">
            <v>-18.387747000000001</v>
          </cell>
          <cell r="AB14">
            <v>-17.192194149999999</v>
          </cell>
          <cell r="AC14">
            <v>-12.78514972</v>
          </cell>
          <cell r="AD14">
            <v>-12.012563800000001</v>
          </cell>
          <cell r="AE14">
            <v>-12.90702415</v>
          </cell>
          <cell r="AF14">
            <v>-28.458226280000002</v>
          </cell>
          <cell r="AG14">
            <v>-17.69628385</v>
          </cell>
          <cell r="AH14">
            <v>-17.32637235</v>
          </cell>
          <cell r="AI14">
            <v>-22.88445158</v>
          </cell>
          <cell r="AJ14">
            <v>-39.554255830000002</v>
          </cell>
          <cell r="AK14">
            <v>-29.16224987</v>
          </cell>
          <cell r="AL14">
            <v>-35.243370300000002</v>
          </cell>
          <cell r="AM14">
            <v>-44.448609784276996</v>
          </cell>
          <cell r="AN14">
            <v>-17.030082777728001</v>
          </cell>
          <cell r="AO14">
            <v>-41.616049110208003</v>
          </cell>
          <cell r="AP14">
            <v>-42.837069297919001</v>
          </cell>
          <cell r="AQ14">
            <v>-37.333097755803003</v>
          </cell>
          <cell r="AR14">
            <v>-37.952312033710001</v>
          </cell>
          <cell r="AS14">
            <v>-56.913956445940997</v>
          </cell>
          <cell r="AT14">
            <v>-59.831117820109</v>
          </cell>
          <cell r="AU14">
            <v>-52.965628604651002</v>
          </cell>
          <cell r="AV14">
            <v>-54.761004870194</v>
          </cell>
          <cell r="AW14">
            <v>-71.353380494066997</v>
          </cell>
          <cell r="AX14">
            <v>-78.408078489481994</v>
          </cell>
          <cell r="AY14">
            <v>-67.812728579082005</v>
          </cell>
          <cell r="AZ14">
            <v>-72.275196720481006</v>
          </cell>
          <cell r="BA14">
            <v>-72.732437591147004</v>
          </cell>
          <cell r="BB14">
            <v>-84.160818133686007</v>
          </cell>
          <cell r="BC14">
            <v>-67.672144989485005</v>
          </cell>
          <cell r="BD14">
            <v>-73.073567491621006</v>
          </cell>
          <cell r="BE14">
            <v>-78.198991397724996</v>
          </cell>
          <cell r="BF14">
            <v>-95.640137197799007</v>
          </cell>
          <cell r="BG14">
            <v>-73.686118693626995</v>
          </cell>
          <cell r="BH14">
            <v>-80.779007317679998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G15">
            <v>-76.450715000000002</v>
          </cell>
          <cell r="H15">
            <v>-229.43450999999999</v>
          </cell>
          <cell r="I15">
            <v>-321.97917100000001</v>
          </cell>
          <cell r="J15">
            <v>-325.27311300000002</v>
          </cell>
          <cell r="K15">
            <v>-794.50738365999996</v>
          </cell>
          <cell r="L15">
            <v>-1383.00463943</v>
          </cell>
          <cell r="M15">
            <v>-2056.3184981899999</v>
          </cell>
          <cell r="N15">
            <v>-2456.0726865138899</v>
          </cell>
          <cell r="O15">
            <v>-3345.98924611861</v>
          </cell>
          <cell r="P15">
            <v>-4501.8745843015804</v>
          </cell>
          <cell r="Q15">
            <v>-6203.1460234477399</v>
          </cell>
          <cell r="R15">
            <v>-8618.7680591438602</v>
          </cell>
          <cell r="S15">
            <v>-11971.1836708377</v>
          </cell>
          <cell r="T15">
            <v>-73.680914000000001</v>
          </cell>
          <cell r="U15">
            <v>-71.271051</v>
          </cell>
          <cell r="V15">
            <v>-77.244944000000004</v>
          </cell>
          <cell r="W15">
            <v>-103.076204</v>
          </cell>
          <cell r="X15">
            <v>-73.680914000000001</v>
          </cell>
          <cell r="Y15">
            <v>-100.17213599999999</v>
          </cell>
          <cell r="Z15">
            <v>-182.39947799999999</v>
          </cell>
          <cell r="AA15">
            <v>-240.665234</v>
          </cell>
          <cell r="AB15">
            <v>-271.27053566000001</v>
          </cell>
          <cell r="AC15">
            <v>-226.21124635000001</v>
          </cell>
          <cell r="AD15">
            <v>-271.08266101999999</v>
          </cell>
          <cell r="AE15">
            <v>-498.67299664000001</v>
          </cell>
          <cell r="AF15">
            <v>-387.03773541999999</v>
          </cell>
          <cell r="AG15">
            <v>-516.79108164000002</v>
          </cell>
          <cell r="AH15">
            <v>-517.89495944999999</v>
          </cell>
          <cell r="AI15">
            <v>-487.46060003999997</v>
          </cell>
          <cell r="AJ15">
            <v>-534.17185705999998</v>
          </cell>
          <cell r="AK15">
            <v>-661.8945837</v>
          </cell>
          <cell r="AL15">
            <v>-462.95455218000001</v>
          </cell>
          <cell r="AM15">
            <v>-635.07866069355998</v>
          </cell>
          <cell r="AN15">
            <v>-696.14488994033297</v>
          </cell>
          <cell r="AO15">
            <v>-1299.38325555746</v>
          </cell>
          <cell r="AP15">
            <v>-1349.3513405296701</v>
          </cell>
          <cell r="AQ15">
            <v>-1191.70752106439</v>
          </cell>
          <cell r="AR15">
            <v>-1245.7369258768099</v>
          </cell>
          <cell r="AS15">
            <v>-1852.7121229751399</v>
          </cell>
          <cell r="AT15">
            <v>-1964.80562303328</v>
          </cell>
          <cell r="AU15">
            <v>-1763.7339057543099</v>
          </cell>
          <cell r="AV15">
            <v>-1867.51153003881</v>
          </cell>
          <cell r="AW15">
            <v>-2557.3263619766099</v>
          </cell>
          <cell r="AX15">
            <v>-2882.0985940229202</v>
          </cell>
          <cell r="AY15">
            <v>-2537.09341944981</v>
          </cell>
          <cell r="AZ15">
            <v>-2765.1521138634098</v>
          </cell>
          <cell r="BA15">
            <v>-3438.1351440027502</v>
          </cell>
          <cell r="BB15">
            <v>-4139.1866883521798</v>
          </cell>
          <cell r="BC15">
            <v>-3299.7953965533602</v>
          </cell>
          <cell r="BD15">
            <v>-3627.8228650820402</v>
          </cell>
          <cell r="BE15">
            <v>-4696.4170906326499</v>
          </cell>
          <cell r="BF15">
            <v>-6026.8362719730403</v>
          </cell>
          <cell r="BG15">
            <v>-4571.8213506046204</v>
          </cell>
          <cell r="BH15">
            <v>-5068.6857350357104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G16">
            <v>-25.7563</v>
          </cell>
          <cell r="H16">
            <v>-59.015518</v>
          </cell>
          <cell r="I16">
            <v>-47.838102999999997</v>
          </cell>
          <cell r="J16">
            <v>-67.704528999999994</v>
          </cell>
          <cell r="K16">
            <v>-137.64592146000001</v>
          </cell>
          <cell r="L16">
            <v>-182.28582807000001</v>
          </cell>
          <cell r="M16">
            <v>-304.25326966</v>
          </cell>
          <cell r="N16">
            <v>-401.19522047765997</v>
          </cell>
          <cell r="O16">
            <v>-586.22719453800005</v>
          </cell>
          <cell r="P16">
            <v>-714.09469624369001</v>
          </cell>
          <cell r="Q16">
            <v>-818.660025420794</v>
          </cell>
          <cell r="R16">
            <v>-1006.88624526934</v>
          </cell>
          <cell r="S16">
            <v>-1255.74083366995</v>
          </cell>
          <cell r="T16">
            <v>-22.774374000000002</v>
          </cell>
          <cell r="U16">
            <v>-13.416715999999999</v>
          </cell>
          <cell r="V16">
            <v>-14.303406000000001</v>
          </cell>
          <cell r="W16">
            <v>-17.210032999999999</v>
          </cell>
          <cell r="X16">
            <v>-22.774374000000002</v>
          </cell>
          <cell r="Y16">
            <v>-19.313161000000001</v>
          </cell>
          <cell r="Z16">
            <v>-31.491966999999999</v>
          </cell>
          <cell r="AA16">
            <v>-35.394551999999997</v>
          </cell>
          <cell r="AB16">
            <v>-51.446241460000003</v>
          </cell>
          <cell r="AC16">
            <v>-50.73782791</v>
          </cell>
          <cell r="AD16">
            <v>-38.681337650000003</v>
          </cell>
          <cell r="AE16">
            <v>-47.624516620000001</v>
          </cell>
          <cell r="AF16">
            <v>-45.242145890000003</v>
          </cell>
          <cell r="AG16">
            <v>-60.597378630000001</v>
          </cell>
          <cell r="AH16">
            <v>-62.155769829999997</v>
          </cell>
          <cell r="AI16">
            <v>-71.667089730000001</v>
          </cell>
          <cell r="AJ16">
            <v>-109.83303146999999</v>
          </cell>
          <cell r="AK16">
            <v>-79.220300750000007</v>
          </cell>
          <cell r="AL16">
            <v>-89.107952299999994</v>
          </cell>
          <cell r="AM16">
            <v>-111.691378432287</v>
          </cell>
          <cell r="AN16">
            <v>-121.175588995374</v>
          </cell>
          <cell r="AO16">
            <v>-202.53143900301299</v>
          </cell>
          <cell r="AP16">
            <v>-208.47373724987401</v>
          </cell>
          <cell r="AQ16">
            <v>-181.68774241157499</v>
          </cell>
          <cell r="AR16">
            <v>-184.70125189738999</v>
          </cell>
          <cell r="AS16">
            <v>-284.56978222970503</v>
          </cell>
          <cell r="AT16">
            <v>-299.155589100545</v>
          </cell>
          <cell r="AU16">
            <v>-264.82814302325602</v>
          </cell>
          <cell r="AV16">
            <v>-292.05869264103399</v>
          </cell>
          <cell r="AW16">
            <v>-407.73360282324302</v>
          </cell>
          <cell r="AX16">
            <v>-448.04616279703998</v>
          </cell>
          <cell r="AY16">
            <v>-387.50130616618497</v>
          </cell>
          <cell r="AZ16">
            <v>-413.00112411703202</v>
          </cell>
          <cell r="BA16">
            <v>-330.60198905066699</v>
          </cell>
          <cell r="BB16">
            <v>-382.54917333493501</v>
          </cell>
          <cell r="BC16">
            <v>-246.08052723449001</v>
          </cell>
          <cell r="BD16">
            <v>-265.72206360589502</v>
          </cell>
          <cell r="BE16">
            <v>-173.77553643939001</v>
          </cell>
          <cell r="BF16">
            <v>-212.533638217332</v>
          </cell>
          <cell r="BG16">
            <v>-163.74693043028199</v>
          </cell>
          <cell r="BH16">
            <v>-179.50890515040001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  <cell r="G17">
            <v>-4.0062E-2</v>
          </cell>
          <cell r="H17">
            <v>-0.14016999999999999</v>
          </cell>
          <cell r="I17">
            <v>-2.1793849999999999</v>
          </cell>
          <cell r="J17">
            <v>-3.870679</v>
          </cell>
          <cell r="K17">
            <v>-9.2803410399999997</v>
          </cell>
          <cell r="L17">
            <v>-4.1336884400000002</v>
          </cell>
          <cell r="M17">
            <v>-3.5492839200000001</v>
          </cell>
          <cell r="N17">
            <v>-3.2737713469449998</v>
          </cell>
          <cell r="O17">
            <v>-3.1517591104189999</v>
          </cell>
          <cell r="P17">
            <v>-4.2005570367280001</v>
          </cell>
          <cell r="Q17">
            <v>-5.6851390654219998</v>
          </cell>
          <cell r="R17">
            <v>-7.7452788097639997</v>
          </cell>
          <cell r="S17">
            <v>-10.464506947249999</v>
          </cell>
          <cell r="T17">
            <v>-0.66984100000000002</v>
          </cell>
          <cell r="U17">
            <v>-1.410873</v>
          </cell>
          <cell r="V17">
            <v>-1.656166</v>
          </cell>
          <cell r="W17">
            <v>-0.133799</v>
          </cell>
          <cell r="X17">
            <v>-0.66984100000000002</v>
          </cell>
          <cell r="Y17">
            <v>-1.2305060000000001</v>
          </cell>
          <cell r="Z17">
            <v>-1.3055140000000001</v>
          </cell>
          <cell r="AA17">
            <v>-0.62083200000000005</v>
          </cell>
          <cell r="AB17">
            <v>-6.1234890399999999</v>
          </cell>
          <cell r="AC17">
            <v>-0.87093882</v>
          </cell>
          <cell r="AD17">
            <v>-0.19903974999999999</v>
          </cell>
          <cell r="AE17">
            <v>-2.3521576</v>
          </cell>
          <cell r="AF17">
            <v>-0.71155226999999999</v>
          </cell>
          <cell r="AG17">
            <v>-0.53454477</v>
          </cell>
          <cell r="AH17">
            <v>-1.4442392799999999</v>
          </cell>
          <cell r="AI17">
            <v>-0.96376550999999999</v>
          </cell>
          <cell r="AJ17">
            <v>-0.60673436000000003</v>
          </cell>
          <cell r="AK17">
            <v>-0.62300752000000004</v>
          </cell>
          <cell r="AL17">
            <v>-0.8560527</v>
          </cell>
          <cell r="AM17">
            <v>-1.1397079431870001</v>
          </cell>
          <cell r="AN17">
            <v>-0.65500318375900002</v>
          </cell>
          <cell r="AO17">
            <v>-2.7744032740139999</v>
          </cell>
          <cell r="AP17">
            <v>-2.8558046198609999</v>
          </cell>
          <cell r="AQ17">
            <v>-2.48887318372</v>
          </cell>
          <cell r="AR17">
            <v>-2.5301541355810002</v>
          </cell>
          <cell r="AS17">
            <v>-3.7942637630629998</v>
          </cell>
          <cell r="AT17">
            <v>-3.9887411880069998</v>
          </cell>
          <cell r="AU17">
            <v>-3.5310419069769998</v>
          </cell>
          <cell r="AV17">
            <v>-3.6507336580129999</v>
          </cell>
          <cell r="AW17">
            <v>-5.0966700352909999</v>
          </cell>
          <cell r="AX17">
            <v>-5.600577034963</v>
          </cell>
          <cell r="AY17">
            <v>-4.8437663270769997</v>
          </cell>
          <cell r="AZ17">
            <v>-5.1625140514629999</v>
          </cell>
          <cell r="BA17">
            <v>-6.6120397810130003</v>
          </cell>
          <cell r="BB17">
            <v>-7.6509834666990004</v>
          </cell>
          <cell r="BC17">
            <v>-6.1520131808620002</v>
          </cell>
          <cell r="BD17">
            <v>-6.6430515901470004</v>
          </cell>
          <cell r="BE17">
            <v>-8.6887768219690003</v>
          </cell>
          <cell r="BF17">
            <v>-10.626681910866999</v>
          </cell>
          <cell r="BG17">
            <v>-8.1873465215139998</v>
          </cell>
          <cell r="BH17">
            <v>-8.9754452575200006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G18">
            <v>-102.247077</v>
          </cell>
          <cell r="H18">
            <v>-288.59019799999999</v>
          </cell>
          <cell r="I18">
            <v>-371.99665900000002</v>
          </cell>
          <cell r="J18">
            <v>-396.848321</v>
          </cell>
          <cell r="K18">
            <v>-941.43364615999997</v>
          </cell>
          <cell r="L18">
            <v>-1569.42415594</v>
          </cell>
          <cell r="M18">
            <v>-2364.1210517700001</v>
          </cell>
          <cell r="N18">
            <v>-2860.5416783384999</v>
          </cell>
          <cell r="O18">
            <v>-3935.3681997670301</v>
          </cell>
          <cell r="P18">
            <v>-5220.1698375819997</v>
          </cell>
          <cell r="Q18">
            <v>-7027.4911879339597</v>
          </cell>
          <cell r="R18">
            <v>-9633.3995832229593</v>
          </cell>
          <cell r="S18">
            <v>-13237.389011454899</v>
          </cell>
          <cell r="T18">
            <v>-97.125129000000001</v>
          </cell>
          <cell r="U18">
            <v>-86.098640000000003</v>
          </cell>
          <cell r="V18">
            <v>-93.204515999999998</v>
          </cell>
          <cell r="W18">
            <v>-120.420036</v>
          </cell>
          <cell r="X18">
            <v>-97.125129000000001</v>
          </cell>
          <cell r="Y18">
            <v>-120.71580299999999</v>
          </cell>
          <cell r="Z18">
            <v>-215.19695899999999</v>
          </cell>
          <cell r="AA18">
            <v>-276.68061799999998</v>
          </cell>
          <cell r="AB18">
            <v>-328.84026616</v>
          </cell>
          <cell r="AC18">
            <v>-277.82001308000002</v>
          </cell>
          <cell r="AD18">
            <v>-309.96303841999998</v>
          </cell>
          <cell r="AE18">
            <v>-548.64967086000001</v>
          </cell>
          <cell r="AF18">
            <v>-432.99143357999998</v>
          </cell>
          <cell r="AG18">
            <v>-577.92300504000002</v>
          </cell>
          <cell r="AH18">
            <v>-581.49496855999996</v>
          </cell>
          <cell r="AI18">
            <v>-560.09145527999999</v>
          </cell>
          <cell r="AJ18">
            <v>-644.61162289000004</v>
          </cell>
          <cell r="AK18">
            <v>-741.73789196999996</v>
          </cell>
          <cell r="AL18">
            <v>-552.91855717999999</v>
          </cell>
          <cell r="AM18">
            <v>-747.90974706903398</v>
          </cell>
          <cell r="AN18">
            <v>-817.97548211946605</v>
          </cell>
          <cell r="AO18">
            <v>-1504.68909783448</v>
          </cell>
          <cell r="AP18">
            <v>-1560.6808823994099</v>
          </cell>
          <cell r="AQ18">
            <v>-1375.8841366596801</v>
          </cell>
          <cell r="AR18">
            <v>-1432.9683319097801</v>
          </cell>
          <cell r="AS18">
            <v>-2141.0761689678998</v>
          </cell>
          <cell r="AT18">
            <v>-2267.94995332183</v>
          </cell>
          <cell r="AU18">
            <v>-2032.0930906845399</v>
          </cell>
          <cell r="AV18">
            <v>-2163.2209563378601</v>
          </cell>
          <cell r="AW18">
            <v>-2970.1566348351398</v>
          </cell>
          <cell r="AX18">
            <v>-3335.7453338549199</v>
          </cell>
          <cell r="AY18">
            <v>-2929.43849194308</v>
          </cell>
          <cell r="AZ18">
            <v>-3183.3157520319101</v>
          </cell>
          <cell r="BA18">
            <v>-3775.3491728344302</v>
          </cell>
          <cell r="BB18">
            <v>-4529.3868451538101</v>
          </cell>
          <cell r="BC18">
            <v>-3552.02793696872</v>
          </cell>
          <cell r="BD18">
            <v>-3900.18798027808</v>
          </cell>
          <cell r="BE18">
            <v>-4878.88140389401</v>
          </cell>
          <cell r="BF18">
            <v>-6249.9965921012399</v>
          </cell>
          <cell r="BG18">
            <v>-4743.7556275564202</v>
          </cell>
          <cell r="BH18">
            <v>-5257.1700854436303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G19">
            <v>-102.247077</v>
          </cell>
          <cell r="H19">
            <v>-287.30864400000002</v>
          </cell>
          <cell r="I19">
            <v>-369.15358500000002</v>
          </cell>
          <cell r="J19">
            <v>-389.12820799999997</v>
          </cell>
          <cell r="K19">
            <v>-922.20309753000004</v>
          </cell>
          <cell r="L19">
            <v>-1540.13273101</v>
          </cell>
          <cell r="M19">
            <v>-2316.5525410999999</v>
          </cell>
          <cell r="N19">
            <v>-2782.8742990651899</v>
          </cell>
          <cell r="O19">
            <v>-3012.9709533833802</v>
          </cell>
          <cell r="P19">
            <v>-3915.7693475702299</v>
          </cell>
          <cell r="Q19">
            <v>-5865.3651995785103</v>
          </cell>
          <cell r="R19">
            <v>-8583.9721641942106</v>
          </cell>
          <cell r="S19">
            <v>-12273.124552061599</v>
          </cell>
          <cell r="T19">
            <v>-95.195100749999995</v>
          </cell>
          <cell r="U19">
            <v>-85.65175078</v>
          </cell>
          <cell r="V19">
            <v>-89.791348720000002</v>
          </cell>
          <cell r="W19">
            <v>-118.49000775</v>
          </cell>
          <cell r="X19">
            <v>-95.195100749999995</v>
          </cell>
          <cell r="Y19">
            <v>-117.0281155</v>
          </cell>
          <cell r="Z19">
            <v>-211.50927150000001</v>
          </cell>
          <cell r="AA19">
            <v>-270.753031185</v>
          </cell>
          <cell r="AB19">
            <v>-322.91267934500002</v>
          </cell>
          <cell r="AC19">
            <v>-270.78755823</v>
          </cell>
          <cell r="AD19">
            <v>-302.93058357000001</v>
          </cell>
          <cell r="AE19">
            <v>-541.03641324499995</v>
          </cell>
          <cell r="AF19">
            <v>-425.37817596500003</v>
          </cell>
          <cell r="AG19">
            <v>-566.99340374500002</v>
          </cell>
          <cell r="AH19">
            <v>-570.56536726499996</v>
          </cell>
          <cell r="AI19">
            <v>-547.23680123999998</v>
          </cell>
          <cell r="AJ19">
            <v>-631.75696885000002</v>
          </cell>
          <cell r="AK19">
            <v>-727.84061038000004</v>
          </cell>
          <cell r="AL19">
            <v>-539.02127558999996</v>
          </cell>
          <cell r="AM19">
            <v>-722.79318196853399</v>
          </cell>
          <cell r="AN19">
            <v>-793.219231126659</v>
          </cell>
          <cell r="AO19">
            <v>-1269.2970817949199</v>
          </cell>
          <cell r="AP19">
            <v>-1325.2888663598401</v>
          </cell>
          <cell r="AQ19">
            <v>-1140.49212062012</v>
          </cell>
          <cell r="AR19">
            <v>-1197.57631587021</v>
          </cell>
          <cell r="AS19">
            <v>-1894.8321934314899</v>
          </cell>
          <cell r="AT19">
            <v>-2021.7059777854199</v>
          </cell>
          <cell r="AU19">
            <v>-1785.8491151481301</v>
          </cell>
          <cell r="AV19">
            <v>-1916.97698080144</v>
          </cell>
          <cell r="AW19">
            <v>-2747.98422567018</v>
          </cell>
          <cell r="AX19">
            <v>-3113.57292468996</v>
          </cell>
          <cell r="AY19">
            <v>-2707.2660827781201</v>
          </cell>
          <cell r="AZ19">
            <v>-2961.1433428669502</v>
          </cell>
          <cell r="BA19">
            <v>-3580.0589886630601</v>
          </cell>
          <cell r="BB19">
            <v>-4334.09666098244</v>
          </cell>
          <cell r="BC19">
            <v>-3356.7377527973499</v>
          </cell>
          <cell r="BD19">
            <v>-3704.8977961067098</v>
          </cell>
          <cell r="BE19">
            <v>-4707.6189241816701</v>
          </cell>
          <cell r="BF19">
            <v>-6078.7341123889</v>
          </cell>
          <cell r="BG19">
            <v>-4572.4931478440803</v>
          </cell>
          <cell r="BH19">
            <v>-5085.9076057312996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G20">
            <v>8.685257</v>
          </cell>
          <cell r="H20">
            <v>97.900639999999996</v>
          </cell>
          <cell r="I20">
            <v>222.49378400000001</v>
          </cell>
          <cell r="J20">
            <v>171.061813</v>
          </cell>
          <cell r="K20">
            <v>590.19145658000002</v>
          </cell>
          <cell r="L20">
            <v>1252.0148044699999</v>
          </cell>
          <cell r="M20">
            <v>2317.0183246000001</v>
          </cell>
          <cell r="N20">
            <v>1901.7750563289601</v>
          </cell>
          <cell r="O20">
            <v>3290.5472674553298</v>
          </cell>
          <cell r="P20">
            <v>4485.3447258849401</v>
          </cell>
          <cell r="Q20">
            <v>5504.9129312658497</v>
          </cell>
          <cell r="R20">
            <v>6906.5854553340796</v>
          </cell>
          <cell r="S20">
            <v>8655.8893424375801</v>
          </cell>
          <cell r="T20">
            <v>24.918155250000002</v>
          </cell>
          <cell r="U20">
            <v>42.02960822</v>
          </cell>
          <cell r="V20">
            <v>41.329588280000003</v>
          </cell>
          <cell r="W20">
            <v>62.78446125</v>
          </cell>
          <cell r="X20">
            <v>24.918155250000002</v>
          </cell>
          <cell r="Y20">
            <v>64.242605499999996</v>
          </cell>
          <cell r="Z20">
            <v>122.4476525</v>
          </cell>
          <cell r="AA20">
            <v>198.89740881500001</v>
          </cell>
          <cell r="AB20">
            <v>204.60378976499999</v>
          </cell>
          <cell r="AC20">
            <v>180.11793286</v>
          </cell>
          <cell r="AD20">
            <v>243.85715575</v>
          </cell>
          <cell r="AE20">
            <v>433.73055783500001</v>
          </cell>
          <cell r="AF20">
            <v>394.30915802499999</v>
          </cell>
          <cell r="AG20">
            <v>616.05238658500002</v>
          </cell>
          <cell r="AH20">
            <v>605.74731859500002</v>
          </cell>
          <cell r="AI20">
            <v>576.97856811999998</v>
          </cell>
          <cell r="AJ20">
            <v>518.2400513</v>
          </cell>
          <cell r="AK20">
            <v>602.27243723000004</v>
          </cell>
          <cell r="AL20">
            <v>365.80072149</v>
          </cell>
          <cell r="AM20">
            <v>416.91476121806699</v>
          </cell>
          <cell r="AN20">
            <v>516.78713639089301</v>
          </cell>
          <cell r="AO20">
            <v>1505.1061922189599</v>
          </cell>
          <cell r="AP20">
            <v>1530.51575350144</v>
          </cell>
          <cell r="AQ20">
            <v>1348.3810631000799</v>
          </cell>
          <cell r="AR20">
            <v>1332.5778197104801</v>
          </cell>
          <cell r="AS20">
            <v>1899.4315696312401</v>
          </cell>
          <cell r="AT20">
            <v>1967.0352102218501</v>
          </cell>
          <cell r="AU20">
            <v>1745.1927918286201</v>
          </cell>
          <cell r="AV20">
            <v>1733.7566772114801</v>
          </cell>
          <cell r="AW20">
            <v>2348.68580962036</v>
          </cell>
          <cell r="AX20">
            <v>2487.0041102730302</v>
          </cell>
          <cell r="AY20">
            <v>2136.5002442991999</v>
          </cell>
          <cell r="AZ20">
            <v>2201.37070859596</v>
          </cell>
          <cell r="BA20">
            <v>3031.9807923502699</v>
          </cell>
          <cell r="BB20">
            <v>3316.8868057162499</v>
          </cell>
          <cell r="BC20">
            <v>2795.2754280649001</v>
          </cell>
          <cell r="BD20">
            <v>2938.1537940406602</v>
          </cell>
          <cell r="BE20">
            <v>3981.1578977878098</v>
          </cell>
          <cell r="BF20">
            <v>4547.9477984776804</v>
          </cell>
          <cell r="BG20">
            <v>3614.8533736700201</v>
          </cell>
          <cell r="BH20">
            <v>3889.5376517886998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H21">
            <v>-1.2398480000000001</v>
          </cell>
          <cell r="I21">
            <v>-2.7577150000000001</v>
          </cell>
          <cell r="J21">
            <v>-7.1380759999999999</v>
          </cell>
          <cell r="K21">
            <v>-18.614023410000001</v>
          </cell>
          <cell r="L21">
            <v>-28.185798089999999</v>
          </cell>
          <cell r="M21">
            <v>-44.434332830000002</v>
          </cell>
          <cell r="N21">
            <v>-73.879284201000004</v>
          </cell>
          <cell r="O21">
            <v>-917.93673966101198</v>
          </cell>
          <cell r="P21">
            <v>-1299.3015915677699</v>
          </cell>
          <cell r="Q21">
            <v>-1156.4209969180999</v>
          </cell>
          <cell r="R21">
            <v>-1043.1469992074001</v>
          </cell>
          <cell r="S21">
            <v>-957.43772435510402</v>
          </cell>
          <cell r="T21">
            <v>-1.784519</v>
          </cell>
          <cell r="U21">
            <v>-0.29531123999999997</v>
          </cell>
          <cell r="V21">
            <v>-3.2737267600000002</v>
          </cell>
          <cell r="W21">
            <v>-1.784519</v>
          </cell>
          <cell r="X21">
            <v>-1.784519</v>
          </cell>
          <cell r="Y21">
            <v>-3.535470895</v>
          </cell>
          <cell r="Z21">
            <v>-3.535470895</v>
          </cell>
          <cell r="AA21">
            <v>-5.7715408100000003</v>
          </cell>
          <cell r="AB21">
            <v>-5.7715408100000003</v>
          </cell>
          <cell r="AC21">
            <v>-6.8002305950000004</v>
          </cell>
          <cell r="AD21">
            <v>-6.8002305950000004</v>
          </cell>
          <cell r="AE21">
            <v>-7.2926684499999999</v>
          </cell>
          <cell r="AF21">
            <v>-7.2926684499999999</v>
          </cell>
          <cell r="AG21">
            <v>-10.2205257</v>
          </cell>
          <cell r="AH21">
            <v>-10.2205257</v>
          </cell>
          <cell r="AI21">
            <v>-11.996640715</v>
          </cell>
          <cell r="AJ21">
            <v>-11.996640715</v>
          </cell>
          <cell r="AK21">
            <v>-12.860179295</v>
          </cell>
          <cell r="AL21">
            <v>-12.860179295</v>
          </cell>
          <cell r="AM21">
            <v>-24.0794628055</v>
          </cell>
          <cell r="AN21">
            <v>-24.0794628055</v>
          </cell>
          <cell r="AO21">
            <v>-227.74750745687501</v>
          </cell>
          <cell r="AP21">
            <v>-227.74750745687501</v>
          </cell>
          <cell r="AQ21">
            <v>-227.74750745687501</v>
          </cell>
          <cell r="AR21">
            <v>-227.74750745687501</v>
          </cell>
          <cell r="AS21">
            <v>-237.11749906960699</v>
          </cell>
          <cell r="AT21">
            <v>-237.11749906960699</v>
          </cell>
          <cell r="AU21">
            <v>-237.11749906960699</v>
          </cell>
          <cell r="AV21">
            <v>-237.11749906960699</v>
          </cell>
          <cell r="AW21">
            <v>-211.88394742417901</v>
          </cell>
          <cell r="AX21">
            <v>-211.88394742417901</v>
          </cell>
          <cell r="AY21">
            <v>-211.88394742417901</v>
          </cell>
          <cell r="AZ21">
            <v>-211.88394742417901</v>
          </cell>
          <cell r="BA21">
            <v>-184.09062996265999</v>
          </cell>
          <cell r="BB21">
            <v>-184.09062996265999</v>
          </cell>
          <cell r="BC21">
            <v>-184.09062996265999</v>
          </cell>
          <cell r="BD21">
            <v>-184.09062996265999</v>
          </cell>
          <cell r="BE21">
            <v>-159.348553726548</v>
          </cell>
          <cell r="BF21">
            <v>-159.348553726548</v>
          </cell>
          <cell r="BG21">
            <v>-159.348553726548</v>
          </cell>
          <cell r="BH21">
            <v>-159.348553726548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H22">
            <v>-4.1706E-2</v>
          </cell>
          <cell r="I22">
            <v>-8.5359000000000004E-2</v>
          </cell>
          <cell r="J22">
            <v>-0.58203700000000003</v>
          </cell>
          <cell r="K22">
            <v>-0.61652521999999998</v>
          </cell>
          <cell r="L22">
            <v>-1.10562684</v>
          </cell>
          <cell r="M22">
            <v>-3.13417784</v>
          </cell>
          <cell r="N22">
            <v>-3.7880950723070002</v>
          </cell>
          <cell r="O22">
            <v>-4.4605067226299999</v>
          </cell>
          <cell r="P22">
            <v>-5.098898443995</v>
          </cell>
          <cell r="Q22">
            <v>-5.704991437346</v>
          </cell>
          <cell r="R22">
            <v>-6.2804198213519999</v>
          </cell>
          <cell r="S22">
            <v>-6.8267350382469996</v>
          </cell>
          <cell r="T22">
            <v>-0.14550925000000001</v>
          </cell>
          <cell r="U22">
            <v>-0.15157798</v>
          </cell>
          <cell r="V22">
            <v>-0.13944052000000001</v>
          </cell>
          <cell r="W22">
            <v>-0.14550925000000001</v>
          </cell>
          <cell r="X22">
            <v>-0.14550925000000001</v>
          </cell>
          <cell r="Y22">
            <v>-0.152216605</v>
          </cell>
          <cell r="Z22">
            <v>-0.152216605</v>
          </cell>
          <cell r="AA22">
            <v>-0.15604600499999999</v>
          </cell>
          <cell r="AB22">
            <v>-0.15604600499999999</v>
          </cell>
          <cell r="AC22">
            <v>-0.23222425499999999</v>
          </cell>
          <cell r="AD22">
            <v>-0.23222425499999999</v>
          </cell>
          <cell r="AE22">
            <v>-0.32058916500000001</v>
          </cell>
          <cell r="AF22">
            <v>-0.32058916500000001</v>
          </cell>
          <cell r="AG22">
            <v>-0.70907559499999995</v>
          </cell>
          <cell r="AH22">
            <v>-0.70907559499999995</v>
          </cell>
          <cell r="AI22">
            <v>-0.85801332500000005</v>
          </cell>
          <cell r="AJ22">
            <v>-0.85801332500000005</v>
          </cell>
          <cell r="AK22">
            <v>-1.037102295</v>
          </cell>
          <cell r="AL22">
            <v>-1.037102295</v>
          </cell>
          <cell r="AM22">
            <v>-1.037102295</v>
          </cell>
          <cell r="AN22">
            <v>-0.67678818730699997</v>
          </cell>
          <cell r="AO22">
            <v>-7.6445085826880002</v>
          </cell>
          <cell r="AP22">
            <v>-7.6445085826880002</v>
          </cell>
          <cell r="AQ22">
            <v>-7.6445085826880002</v>
          </cell>
          <cell r="AR22">
            <v>-7.6445085826880002</v>
          </cell>
          <cell r="AS22">
            <v>-9.1264764668110008</v>
          </cell>
          <cell r="AT22">
            <v>-9.1264764668110008</v>
          </cell>
          <cell r="AU22">
            <v>-9.1264764668110008</v>
          </cell>
          <cell r="AV22">
            <v>-9.1264764668110008</v>
          </cell>
          <cell r="AW22">
            <v>-10.288461740783999</v>
          </cell>
          <cell r="AX22">
            <v>-10.288461740783999</v>
          </cell>
          <cell r="AY22">
            <v>-10.288461740783999</v>
          </cell>
          <cell r="AZ22">
            <v>-10.288461740783999</v>
          </cell>
          <cell r="BA22">
            <v>-11.199554208707999</v>
          </cell>
          <cell r="BB22">
            <v>-11.199554208707999</v>
          </cell>
          <cell r="BC22">
            <v>-11.199554208707999</v>
          </cell>
          <cell r="BD22">
            <v>-11.199554208707999</v>
          </cell>
          <cell r="BE22">
            <v>-11.913925985788</v>
          </cell>
          <cell r="BF22">
            <v>-11.913925985788</v>
          </cell>
          <cell r="BG22">
            <v>-11.913925985788</v>
          </cell>
          <cell r="BH22">
            <v>-11.913925985788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G23">
            <v>8.685257</v>
          </cell>
          <cell r="H23">
            <v>96.619085999999996</v>
          </cell>
          <cell r="I23">
            <v>219.65071</v>
          </cell>
          <cell r="J23">
            <v>163.3417</v>
          </cell>
          <cell r="K23">
            <v>570.96090794999998</v>
          </cell>
          <cell r="L23">
            <v>1222.72337954</v>
          </cell>
          <cell r="M23">
            <v>2269.4498139299999</v>
          </cell>
          <cell r="N23">
            <v>1824.1076770556499</v>
          </cell>
          <cell r="O23">
            <v>2368.1500210716899</v>
          </cell>
          <cell r="P23">
            <v>3180.9442358731699</v>
          </cell>
          <cell r="Q23">
            <v>4342.7869429104103</v>
          </cell>
          <cell r="R23">
            <v>5857.1580363053299</v>
          </cell>
          <cell r="S23">
            <v>7691.62488304423</v>
          </cell>
          <cell r="T23">
            <v>22.988126999999999</v>
          </cell>
          <cell r="U23">
            <v>41.582718999999997</v>
          </cell>
          <cell r="V23">
            <v>37.916421</v>
          </cell>
          <cell r="W23">
            <v>60.854433</v>
          </cell>
          <cell r="X23">
            <v>22.988126999999999</v>
          </cell>
          <cell r="Y23">
            <v>60.554918000000001</v>
          </cell>
          <cell r="Z23">
            <v>118.75996499999999</v>
          </cell>
          <cell r="AA23">
            <v>192.96982199999999</v>
          </cell>
          <cell r="AB23">
            <v>198.67620295</v>
          </cell>
          <cell r="AC23">
            <v>173.08547801</v>
          </cell>
          <cell r="AD23">
            <v>236.82470090000001</v>
          </cell>
          <cell r="AE23">
            <v>426.11730022</v>
          </cell>
          <cell r="AF23">
            <v>386.69590040999998</v>
          </cell>
          <cell r="AG23">
            <v>605.12278529000002</v>
          </cell>
          <cell r="AH23">
            <v>594.81771730000003</v>
          </cell>
          <cell r="AI23">
            <v>564.12391407999996</v>
          </cell>
          <cell r="AJ23">
            <v>505.38539725999999</v>
          </cell>
          <cell r="AK23">
            <v>588.37515564</v>
          </cell>
          <cell r="AL23">
            <v>351.90343990000002</v>
          </cell>
          <cell r="AM23">
            <v>391.79819611756699</v>
          </cell>
          <cell r="AN23">
            <v>492.03088539808601</v>
          </cell>
          <cell r="AO23">
            <v>1269.7141761794001</v>
          </cell>
          <cell r="AP23">
            <v>1295.12373746188</v>
          </cell>
          <cell r="AQ23">
            <v>1112.9890470605201</v>
          </cell>
          <cell r="AR23">
            <v>1097.18580367091</v>
          </cell>
          <cell r="AS23">
            <v>1653.18759409483</v>
          </cell>
          <cell r="AT23">
            <v>1720.79123468543</v>
          </cell>
          <cell r="AU23">
            <v>1498.9488162922</v>
          </cell>
          <cell r="AV23">
            <v>1487.51270167506</v>
          </cell>
          <cell r="AW23">
            <v>2126.5134004553902</v>
          </cell>
          <cell r="AX23">
            <v>2264.8317011080699</v>
          </cell>
          <cell r="AY23">
            <v>1914.3278351342401</v>
          </cell>
          <cell r="AZ23">
            <v>1979.1982994309899</v>
          </cell>
          <cell r="BA23">
            <v>2836.6906081789002</v>
          </cell>
          <cell r="BB23">
            <v>3121.5966215448798</v>
          </cell>
          <cell r="BC23">
            <v>2599.98524389353</v>
          </cell>
          <cell r="BD23">
            <v>2742.86360986929</v>
          </cell>
          <cell r="BE23">
            <v>3809.8954180754699</v>
          </cell>
          <cell r="BF23">
            <v>4376.6853187653396</v>
          </cell>
          <cell r="BG23">
            <v>3443.5908939576798</v>
          </cell>
          <cell r="BH23">
            <v>3718.2751720763699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G24">
            <v>2.8799999999999999E-2</v>
          </cell>
          <cell r="H24">
            <v>2.7097E-2</v>
          </cell>
          <cell r="I24">
            <v>0.55093499999999995</v>
          </cell>
          <cell r="J24">
            <v>1.938812</v>
          </cell>
          <cell r="K24">
            <v>5.3680757999999997</v>
          </cell>
          <cell r="L24">
            <v>4.6350865299999997</v>
          </cell>
          <cell r="M24">
            <v>11.9935198</v>
          </cell>
          <cell r="N24">
            <v>13.30367385025</v>
          </cell>
          <cell r="O24">
            <v>12.206124281804</v>
          </cell>
          <cell r="P24">
            <v>15.529086417017</v>
          </cell>
          <cell r="Q24">
            <v>34.591268683698999</v>
          </cell>
          <cell r="R24">
            <v>29.851654161757999</v>
          </cell>
          <cell r="S24">
            <v>49.242670758858999</v>
          </cell>
          <cell r="T24">
            <v>0.67597700000000005</v>
          </cell>
          <cell r="U24">
            <v>0.26026300000000002</v>
          </cell>
          <cell r="V24">
            <v>0.38394800000000001</v>
          </cell>
          <cell r="W24">
            <v>0.61862399999999995</v>
          </cell>
          <cell r="X24">
            <v>0.67597700000000005</v>
          </cell>
          <cell r="Y24">
            <v>0.864676</v>
          </cell>
          <cell r="Z24">
            <v>1.150738</v>
          </cell>
          <cell r="AA24">
            <v>2.6968809999999999</v>
          </cell>
          <cell r="AB24">
            <v>0.65578080000000005</v>
          </cell>
          <cell r="AC24">
            <v>1.8708251199999999</v>
          </cell>
          <cell r="AD24">
            <v>0.58793896000000001</v>
          </cell>
          <cell r="AE24">
            <v>1.22458106</v>
          </cell>
          <cell r="AF24">
            <v>0.95174139000000002</v>
          </cell>
          <cell r="AG24">
            <v>4.5207144699999997</v>
          </cell>
          <cell r="AH24">
            <v>2.48398494</v>
          </cell>
          <cell r="AI24">
            <v>2.6449997000000001</v>
          </cell>
          <cell r="AJ24">
            <v>2.3438206899999998</v>
          </cell>
          <cell r="AK24">
            <v>1.7241829200000001</v>
          </cell>
          <cell r="AL24">
            <v>2.6226839700000002</v>
          </cell>
          <cell r="AM24">
            <v>4.4784034801250003</v>
          </cell>
          <cell r="AN24">
            <v>4.4784034801250003</v>
          </cell>
          <cell r="AO24">
            <v>3.8332222660320001</v>
          </cell>
          <cell r="AP24">
            <v>3.8332222660320001</v>
          </cell>
          <cell r="AQ24">
            <v>3.8332222660320001</v>
          </cell>
          <cell r="AR24">
            <v>3.8332222660320001</v>
          </cell>
          <cell r="AS24">
            <v>7.2247653037289998</v>
          </cell>
          <cell r="AT24">
            <v>7.2247653037289998</v>
          </cell>
          <cell r="AU24">
            <v>7.2247653037289998</v>
          </cell>
          <cell r="AV24">
            <v>7.2247653037289998</v>
          </cell>
          <cell r="AW24">
            <v>16.284745338233002</v>
          </cell>
          <cell r="AX24">
            <v>16.284745338233002</v>
          </cell>
          <cell r="AY24">
            <v>16.284745338233002</v>
          </cell>
          <cell r="AZ24">
            <v>16.284745338233002</v>
          </cell>
          <cell r="BA24">
            <v>10.611332408033</v>
          </cell>
          <cell r="BB24">
            <v>10.611332408033</v>
          </cell>
          <cell r="BC24">
            <v>10.611332408033</v>
          </cell>
          <cell r="BD24">
            <v>10.611332408033</v>
          </cell>
          <cell r="BE24">
            <v>10.455378632479</v>
          </cell>
          <cell r="BF24">
            <v>10.455378632479</v>
          </cell>
          <cell r="BG24">
            <v>10.455378632479</v>
          </cell>
          <cell r="BH24">
            <v>10.455378632479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G25">
            <v>-1.0592999999999999</v>
          </cell>
          <cell r="H25">
            <v>-0.76840200000000003</v>
          </cell>
          <cell r="I25">
            <v>-0.11150500000000001</v>
          </cell>
          <cell r="J25">
            <v>0</v>
          </cell>
          <cell r="K25">
            <v>0</v>
          </cell>
          <cell r="L25">
            <v>0</v>
          </cell>
          <cell r="M25">
            <v>-0.20562517</v>
          </cell>
          <cell r="N25">
            <v>-0.33913752865199998</v>
          </cell>
          <cell r="O25">
            <v>-0.56483015595300001</v>
          </cell>
          <cell r="P25">
            <v>-0.56483015595300001</v>
          </cell>
          <cell r="Q25">
            <v>-0.56483015595300001</v>
          </cell>
          <cell r="R25">
            <v>-0.56483015595300001</v>
          </cell>
          <cell r="S25">
            <v>-0.56483015595300001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-4.018745E-2</v>
          </cell>
          <cell r="AH25">
            <v>0</v>
          </cell>
          <cell r="AI25">
            <v>0</v>
          </cell>
          <cell r="AJ25">
            <v>-0.16543772000000001</v>
          </cell>
          <cell r="AK25">
            <v>-2.198344E-2</v>
          </cell>
          <cell r="AL25">
            <v>-1.5157439999999999E-2</v>
          </cell>
          <cell r="AM25">
            <v>-1.5157439999999999E-2</v>
          </cell>
          <cell r="AN25">
            <v>-0.28683920865200002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G26">
            <v>-1.0305</v>
          </cell>
          <cell r="H26">
            <v>-0.74130499999999999</v>
          </cell>
          <cell r="I26">
            <v>0.43942999999999999</v>
          </cell>
          <cell r="J26">
            <v>1.938812</v>
          </cell>
          <cell r="K26">
            <v>5.3680757999999997</v>
          </cell>
          <cell r="L26">
            <v>4.6350865299999997</v>
          </cell>
          <cell r="M26">
            <v>11.78789463</v>
          </cell>
          <cell r="N26">
            <v>12.964536321598001</v>
          </cell>
          <cell r="O26">
            <v>11.641294125850999</v>
          </cell>
          <cell r="P26">
            <v>14.964256261065</v>
          </cell>
          <cell r="Q26">
            <v>34.026438527746002</v>
          </cell>
          <cell r="R26">
            <v>29.286824005804998</v>
          </cell>
          <cell r="S26">
            <v>48.677840602906002</v>
          </cell>
          <cell r="T26">
            <v>0.67597700000000005</v>
          </cell>
          <cell r="U26">
            <v>0.26026300000000002</v>
          </cell>
          <cell r="V26">
            <v>0.38394800000000001</v>
          </cell>
          <cell r="W26">
            <v>0.61862399999999995</v>
          </cell>
          <cell r="X26">
            <v>0.67597700000000005</v>
          </cell>
          <cell r="Y26">
            <v>0.864676</v>
          </cell>
          <cell r="Z26">
            <v>1.150738</v>
          </cell>
          <cell r="AA26">
            <v>2.6968809999999999</v>
          </cell>
          <cell r="AB26">
            <v>0.65578080000000005</v>
          </cell>
          <cell r="AC26">
            <v>1.8708251199999999</v>
          </cell>
          <cell r="AD26">
            <v>0.58793896000000001</v>
          </cell>
          <cell r="AE26">
            <v>1.22458106</v>
          </cell>
          <cell r="AF26">
            <v>0.95174139000000002</v>
          </cell>
          <cell r="AG26">
            <v>4.4805270200000002</v>
          </cell>
          <cell r="AH26">
            <v>2.48398494</v>
          </cell>
          <cell r="AI26">
            <v>2.6449997000000001</v>
          </cell>
          <cell r="AJ26">
            <v>2.1783829699999999</v>
          </cell>
          <cell r="AK26">
            <v>1.70219948</v>
          </cell>
          <cell r="AL26">
            <v>2.6075265299999999</v>
          </cell>
          <cell r="AM26">
            <v>4.463246040125</v>
          </cell>
          <cell r="AN26">
            <v>4.1915642714730001</v>
          </cell>
          <cell r="AO26">
            <v>3.8332222660320001</v>
          </cell>
          <cell r="AP26">
            <v>3.8332222660320001</v>
          </cell>
          <cell r="AQ26">
            <v>3.8332222660320001</v>
          </cell>
          <cell r="AR26">
            <v>3.8332222660320001</v>
          </cell>
          <cell r="AS26">
            <v>7.2247653037289998</v>
          </cell>
          <cell r="AT26">
            <v>7.2247653037289998</v>
          </cell>
          <cell r="AU26">
            <v>7.2247653037289998</v>
          </cell>
          <cell r="AV26">
            <v>7.2247653037289998</v>
          </cell>
          <cell r="AW26">
            <v>16.284745338233002</v>
          </cell>
          <cell r="AX26">
            <v>16.284745338233002</v>
          </cell>
          <cell r="AY26">
            <v>16.284745338233002</v>
          </cell>
          <cell r="AZ26">
            <v>16.284745338233002</v>
          </cell>
          <cell r="BA26">
            <v>10.611332408033</v>
          </cell>
          <cell r="BB26">
            <v>10.611332408033</v>
          </cell>
          <cell r="BC26">
            <v>10.611332408033</v>
          </cell>
          <cell r="BD26">
            <v>10.611332408033</v>
          </cell>
          <cell r="BE26">
            <v>10.455378632479</v>
          </cell>
          <cell r="BF26">
            <v>10.455378632479</v>
          </cell>
          <cell r="BG26">
            <v>10.455378632479</v>
          </cell>
          <cell r="BH26">
            <v>10.455378632479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J27">
            <v>-0.28177999999999997</v>
          </cell>
          <cell r="K27">
            <v>0.77019532000000002</v>
          </cell>
          <cell r="L27">
            <v>4.9839810099999999</v>
          </cell>
          <cell r="M27">
            <v>22.763801430000001</v>
          </cell>
          <cell r="N27">
            <v>-1.6135419900000001</v>
          </cell>
          <cell r="O27">
            <v>0.57415704000000001</v>
          </cell>
          <cell r="P27">
            <v>0.28112156999999999</v>
          </cell>
          <cell r="Q27">
            <v>-7.7775999999999998E-2</v>
          </cell>
          <cell r="R27">
            <v>-4.7014E-2</v>
          </cell>
          <cell r="S27">
            <v>0.184503</v>
          </cell>
          <cell r="T27">
            <v>-0.34149299999999999</v>
          </cell>
          <cell r="U27">
            <v>-7.7775999999999998E-2</v>
          </cell>
          <cell r="V27">
            <v>-4.7014E-2</v>
          </cell>
          <cell r="W27">
            <v>0.184503</v>
          </cell>
          <cell r="X27">
            <v>-0.34149299999999999</v>
          </cell>
          <cell r="Y27">
            <v>0.26712599999999997</v>
          </cell>
          <cell r="Z27">
            <v>0.29297200000000001</v>
          </cell>
          <cell r="AA27">
            <v>0.359572</v>
          </cell>
          <cell r="AB27">
            <v>-0.14947468</v>
          </cell>
          <cell r="AC27">
            <v>0.90332201999999995</v>
          </cell>
          <cell r="AD27">
            <v>0.30953946999999998</v>
          </cell>
          <cell r="AE27">
            <v>1.5552606499999999</v>
          </cell>
          <cell r="AF27">
            <v>2.2158588699999999</v>
          </cell>
          <cell r="AG27">
            <v>1.4427403999999999</v>
          </cell>
          <cell r="AH27">
            <v>7.94200017</v>
          </cell>
          <cell r="AI27">
            <v>8.7199954099999992</v>
          </cell>
          <cell r="AJ27">
            <v>4.6590654499999999</v>
          </cell>
          <cell r="AK27">
            <v>-1.8390770000000001E-2</v>
          </cell>
          <cell r="AL27">
            <v>-1.59515122</v>
          </cell>
          <cell r="AM27">
            <v>3.6220527599999999</v>
          </cell>
          <cell r="AN27">
            <v>-1.1114035900000001</v>
          </cell>
          <cell r="AO27">
            <v>-0.55458362999999999</v>
          </cell>
          <cell r="AP27">
            <v>1.12874067</v>
          </cell>
          <cell r="AQ27">
            <v>1.3884651299999999</v>
          </cell>
          <cell r="AR27">
            <v>5.4459224700000002</v>
          </cell>
          <cell r="AS27">
            <v>0.28112156999999999</v>
          </cell>
          <cell r="AT27">
            <v>-0.6008424</v>
          </cell>
          <cell r="AU27">
            <v>0.92094810000000005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N28">
            <v>2.4899069999999999E-2</v>
          </cell>
          <cell r="O28">
            <v>1.09696295</v>
          </cell>
          <cell r="P28">
            <v>3.3838390600000001</v>
          </cell>
          <cell r="AM28">
            <v>2.4899069999999999E-2</v>
          </cell>
          <cell r="AO28">
            <v>-4.2452829999999997E-2</v>
          </cell>
          <cell r="AP28">
            <v>1.13941578</v>
          </cell>
          <cell r="AQ28">
            <v>-3.9960799999999999E-3</v>
          </cell>
          <cell r="AR28">
            <v>3.9960799999999999E-3</v>
          </cell>
          <cell r="AS28">
            <v>3.3838390600000001</v>
          </cell>
          <cell r="AT28">
            <v>-0.61760320000000002</v>
          </cell>
          <cell r="AU28">
            <v>-0.16373940000000001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G29">
            <v>2.6971530000000001</v>
          </cell>
          <cell r="H29">
            <v>-0.14354600000000001</v>
          </cell>
          <cell r="I29">
            <v>-27.105747000000001</v>
          </cell>
          <cell r="J29">
            <v>14.637979</v>
          </cell>
          <cell r="K29">
            <v>-14.44358564</v>
          </cell>
          <cell r="L29">
            <v>-15.191712689999999</v>
          </cell>
          <cell r="M29">
            <v>110.96762548</v>
          </cell>
          <cell r="N29">
            <v>-123.43301434</v>
          </cell>
          <cell r="O29">
            <v>-100</v>
          </cell>
          <cell r="P29">
            <v>-180.66949238354201</v>
          </cell>
          <cell r="Q29">
            <v>-13.412974</v>
          </cell>
          <cell r="R29">
            <v>14.862463</v>
          </cell>
          <cell r="S29">
            <v>12.892429</v>
          </cell>
          <cell r="T29">
            <v>0.29606100000000002</v>
          </cell>
          <cell r="U29">
            <v>-13.412974</v>
          </cell>
          <cell r="V29">
            <v>14.862463</v>
          </cell>
          <cell r="W29">
            <v>12.892429</v>
          </cell>
          <cell r="X29">
            <v>0.29606100000000002</v>
          </cell>
          <cell r="Y29">
            <v>-12.742703000000001</v>
          </cell>
          <cell r="Z29">
            <v>5.4648199999999996</v>
          </cell>
          <cell r="AA29">
            <v>3.2150150000000002</v>
          </cell>
          <cell r="AB29">
            <v>-10.38071764</v>
          </cell>
          <cell r="AC29">
            <v>-0.93768074999999995</v>
          </cell>
          <cell r="AD29">
            <v>-5.5150566999999997</v>
          </cell>
          <cell r="AE29">
            <v>-24.475638830000001</v>
          </cell>
          <cell r="AF29">
            <v>15.736663589999999</v>
          </cell>
          <cell r="AG29">
            <v>-38.592812500000001</v>
          </cell>
          <cell r="AH29">
            <v>1.7698818300000001</v>
          </cell>
          <cell r="AI29">
            <v>-14.327582509999999</v>
          </cell>
          <cell r="AJ29">
            <v>162.11813866</v>
          </cell>
          <cell r="AK29">
            <v>-57.06622686</v>
          </cell>
          <cell r="AL29">
            <v>-66.366787479999999</v>
          </cell>
          <cell r="AM29">
            <v>0</v>
          </cell>
          <cell r="AN29">
            <v>0</v>
          </cell>
          <cell r="AO29">
            <v>-100</v>
          </cell>
          <cell r="AP29">
            <v>-52.986761680000001</v>
          </cell>
          <cell r="AQ29">
            <v>-54.815430370000001</v>
          </cell>
          <cell r="AR29">
            <v>-50.438461511014999</v>
          </cell>
          <cell r="AS29">
            <v>-45.167373095884997</v>
          </cell>
          <cell r="AT29">
            <v>-45.167373095884997</v>
          </cell>
          <cell r="AU29">
            <v>-45.167373095884997</v>
          </cell>
          <cell r="AV29">
            <v>-45.167373095884997</v>
          </cell>
          <cell r="AW29">
            <v>-37.439593051357001</v>
          </cell>
          <cell r="AX29">
            <v>-37.439593051357001</v>
          </cell>
          <cell r="AY29">
            <v>-37.439593051357001</v>
          </cell>
          <cell r="AZ29">
            <v>-37.439593051357001</v>
          </cell>
          <cell r="BA29">
            <v>-34.769780417538001</v>
          </cell>
          <cell r="BB29">
            <v>-34.769780417538001</v>
          </cell>
          <cell r="BC29">
            <v>-34.769780417538001</v>
          </cell>
          <cell r="BD29">
            <v>-34.769780417538001</v>
          </cell>
          <cell r="BE29">
            <v>-28.460100592159002</v>
          </cell>
          <cell r="BF29">
            <v>-28.460100592159002</v>
          </cell>
          <cell r="BG29">
            <v>-28.460100592159002</v>
          </cell>
          <cell r="BH29">
            <v>-28.460100592159002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G30">
            <v>10.35191</v>
          </cell>
          <cell r="H30">
            <v>95.734234999999998</v>
          </cell>
          <cell r="I30">
            <v>192.98439300000001</v>
          </cell>
          <cell r="J30">
            <v>179.63671099999999</v>
          </cell>
          <cell r="K30">
            <v>562.65559342999995</v>
          </cell>
          <cell r="L30">
            <v>1217.15073439</v>
          </cell>
          <cell r="M30">
            <v>2414.9691354699999</v>
          </cell>
          <cell r="N30">
            <v>1712.02565704725</v>
          </cell>
          <cell r="O30">
            <v>2379.7913151975399</v>
          </cell>
          <cell r="P30">
            <v>3195.9084921342401</v>
          </cell>
          <cell r="Q30">
            <v>4376.8133814381599</v>
          </cell>
          <cell r="R30">
            <v>5886.4448603111296</v>
          </cell>
          <cell r="S30">
            <v>7740.3027236471398</v>
          </cell>
          <cell r="T30">
            <v>23.618672</v>
          </cell>
          <cell r="U30">
            <v>28.352232000000001</v>
          </cell>
          <cell r="V30">
            <v>53.115817999999997</v>
          </cell>
          <cell r="W30">
            <v>74.549988999999997</v>
          </cell>
          <cell r="X30">
            <v>23.618672</v>
          </cell>
          <cell r="Y30">
            <v>48.944017000000002</v>
          </cell>
          <cell r="Z30">
            <v>125.66849499999999</v>
          </cell>
          <cell r="AA30">
            <v>199.24128999999999</v>
          </cell>
          <cell r="AB30">
            <v>188.80179143000001</v>
          </cell>
          <cell r="AC30">
            <v>174.9219444</v>
          </cell>
          <cell r="AD30">
            <v>232.20712262999999</v>
          </cell>
          <cell r="AE30">
            <v>404.4215031</v>
          </cell>
          <cell r="AF30">
            <v>405.60016425999999</v>
          </cell>
          <cell r="AG30">
            <v>572.45324020999999</v>
          </cell>
          <cell r="AH30">
            <v>607.01358424</v>
          </cell>
          <cell r="AI30">
            <v>561.16132668</v>
          </cell>
          <cell r="AJ30">
            <v>674.34098433999998</v>
          </cell>
          <cell r="AK30">
            <v>532.99273748999997</v>
          </cell>
          <cell r="AL30">
            <v>286.54902772999998</v>
          </cell>
          <cell r="AM30">
            <v>396.26144215769199</v>
          </cell>
          <cell r="AN30">
            <v>496.22244966955901</v>
          </cell>
          <cell r="AO30">
            <v>1273.54739844543</v>
          </cell>
          <cell r="AP30">
            <v>1298.9569597279101</v>
          </cell>
          <cell r="AQ30">
            <v>1116.82226932655</v>
          </cell>
          <cell r="AR30">
            <v>1101.0190259369499</v>
          </cell>
          <cell r="AS30">
            <v>1660.4123593985501</v>
          </cell>
          <cell r="AT30">
            <v>1728.01599998916</v>
          </cell>
          <cell r="AU30">
            <v>1506.17358159593</v>
          </cell>
          <cell r="AV30">
            <v>1494.7374669787901</v>
          </cell>
          <cell r="AW30">
            <v>2142.7981457936298</v>
          </cell>
          <cell r="AX30">
            <v>2281.11644644631</v>
          </cell>
          <cell r="AY30">
            <v>1930.61258047247</v>
          </cell>
          <cell r="AZ30">
            <v>1995.48304476923</v>
          </cell>
          <cell r="BA30">
            <v>2847.30194058694</v>
          </cell>
          <cell r="BB30">
            <v>3132.20795395291</v>
          </cell>
          <cell r="BC30">
            <v>2610.5965763015702</v>
          </cell>
          <cell r="BD30">
            <v>2753.4749422773202</v>
          </cell>
          <cell r="BE30">
            <v>3820.3507967079499</v>
          </cell>
          <cell r="BF30">
            <v>4387.1406973978201</v>
          </cell>
          <cell r="BG30">
            <v>3454.0462725901598</v>
          </cell>
          <cell r="BH30">
            <v>3728.7305507088499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</row>
        <row r="33">
          <cell r="B33" t="str">
            <v>Operating lease cost</v>
          </cell>
          <cell r="C33" t="str">
            <v>LEASE_PAY</v>
          </cell>
          <cell r="D33" t="str">
            <v>CNY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</row>
        <row r="38">
          <cell r="B38" t="str">
            <v>Depreciation ROU assets   (applicable to IFRS cos.)</v>
          </cell>
          <cell r="C38" t="str">
            <v>DEPR_ROU_ASSETS</v>
          </cell>
          <cell r="D38" t="str">
            <v>CNY</v>
          </cell>
        </row>
        <row r="39">
          <cell r="B39" t="str">
            <v>Lease interest charge  (applicable to IFRS cos.)</v>
          </cell>
          <cell r="C39" t="str">
            <v>LEASE_INT_CHG</v>
          </cell>
          <cell r="D39" t="str">
            <v>CNY</v>
          </cell>
        </row>
        <row r="42">
          <cell r="B42" t="str">
            <v>Cash &amp; cash equivalents</v>
          </cell>
          <cell r="C42" t="str">
            <v>CASH_EQ</v>
          </cell>
          <cell r="D42" t="str">
            <v>CNY</v>
          </cell>
          <cell r="G42">
            <v>28.636258000000002</v>
          </cell>
          <cell r="H42">
            <v>93.566281000000004</v>
          </cell>
          <cell r="I42">
            <v>167.08363700000001</v>
          </cell>
          <cell r="J42">
            <v>265.43263999999999</v>
          </cell>
          <cell r="K42">
            <v>476.90815459999999</v>
          </cell>
          <cell r="L42">
            <v>1474.9294615399999</v>
          </cell>
          <cell r="M42">
            <v>2660.73477005</v>
          </cell>
          <cell r="N42">
            <v>1220.61242818039</v>
          </cell>
          <cell r="O42">
            <v>1552.90864170174</v>
          </cell>
          <cell r="P42">
            <v>4941.6098119569397</v>
          </cell>
          <cell r="Q42">
            <v>7462.9135404393701</v>
          </cell>
          <cell r="R42">
            <v>12310.667689714801</v>
          </cell>
          <cell r="S42">
            <v>17029.806545911899</v>
          </cell>
        </row>
        <row r="43">
          <cell r="B43" t="str">
            <v>Accounts receivable</v>
          </cell>
          <cell r="C43" t="str">
            <v>DEBTORS</v>
          </cell>
          <cell r="D43" t="str">
            <v>CNY</v>
          </cell>
          <cell r="G43">
            <v>11.967288</v>
          </cell>
          <cell r="H43">
            <v>31.770892</v>
          </cell>
          <cell r="I43">
            <v>52.144173000000002</v>
          </cell>
          <cell r="J43">
            <v>45.440365999999997</v>
          </cell>
          <cell r="K43">
            <v>378.30008386999998</v>
          </cell>
          <cell r="L43">
            <v>337.71232051999999</v>
          </cell>
          <cell r="M43">
            <v>572.43119167999998</v>
          </cell>
          <cell r="N43">
            <v>544.18386015367503</v>
          </cell>
          <cell r="O43">
            <v>664.71004521265399</v>
          </cell>
          <cell r="P43">
            <v>716.29500795805995</v>
          </cell>
          <cell r="Q43">
            <v>841.27733873294903</v>
          </cell>
          <cell r="R43">
            <v>1280.71685572298</v>
          </cell>
          <cell r="S43">
            <v>1586.27134900293</v>
          </cell>
        </row>
        <row r="44">
          <cell r="B44" t="str">
            <v>Inventory</v>
          </cell>
          <cell r="C44" t="str">
            <v>STOCKS</v>
          </cell>
          <cell r="D44" t="str">
            <v>CNY</v>
          </cell>
          <cell r="G44">
            <v>25.748393</v>
          </cell>
          <cell r="H44">
            <v>58.500483000000003</v>
          </cell>
          <cell r="I44">
            <v>89.753895</v>
          </cell>
          <cell r="J44">
            <v>134.60297299999999</v>
          </cell>
          <cell r="K44">
            <v>366.10859900000003</v>
          </cell>
          <cell r="L44">
            <v>632.16417243000001</v>
          </cell>
          <cell r="M44">
            <v>1475.76654113</v>
          </cell>
          <cell r="N44">
            <v>1767.34494895548</v>
          </cell>
          <cell r="O44">
            <v>1925.43647105847</v>
          </cell>
          <cell r="P44">
            <v>1896.93789076964</v>
          </cell>
          <cell r="Q44">
            <v>3226.6332707656202</v>
          </cell>
          <cell r="R44">
            <v>3461.1566879360098</v>
          </cell>
          <cell r="S44">
            <v>5239.42208908052</v>
          </cell>
        </row>
        <row r="45">
          <cell r="B45" t="str">
            <v>Other current assets</v>
          </cell>
          <cell r="C45" t="str">
            <v>OTH_CUR_ASS</v>
          </cell>
          <cell r="D45" t="str">
            <v>CNY</v>
          </cell>
          <cell r="G45">
            <v>2.628552</v>
          </cell>
          <cell r="H45">
            <v>15.213626</v>
          </cell>
          <cell r="I45">
            <v>10.365306</v>
          </cell>
          <cell r="J45">
            <v>30.797263999999998</v>
          </cell>
          <cell r="K45">
            <v>562.64242309999997</v>
          </cell>
          <cell r="L45">
            <v>206.84904001999999</v>
          </cell>
          <cell r="M45">
            <v>271.02508472999898</v>
          </cell>
          <cell r="N45">
            <v>271.02508472999898</v>
          </cell>
          <cell r="O45">
            <v>271.02508472999898</v>
          </cell>
          <cell r="P45">
            <v>271.02508472999898</v>
          </cell>
          <cell r="Q45">
            <v>271.02508472999898</v>
          </cell>
          <cell r="R45">
            <v>271.02508472999898</v>
          </cell>
          <cell r="S45">
            <v>271.02508472999898</v>
          </cell>
        </row>
        <row r="46">
          <cell r="B46" t="str">
            <v>Total current assets</v>
          </cell>
          <cell r="C46" t="str">
            <v>CUR_ASS</v>
          </cell>
          <cell r="D46" t="str">
            <v>CNY</v>
          </cell>
          <cell r="G46">
            <v>68.980491000000001</v>
          </cell>
          <cell r="H46">
            <v>199.05128199999999</v>
          </cell>
          <cell r="I46">
            <v>319.34701100000001</v>
          </cell>
          <cell r="J46">
            <v>476.27324299999998</v>
          </cell>
          <cell r="K46">
            <v>1783.95926057</v>
          </cell>
          <cell r="L46">
            <v>2651.6549945100001</v>
          </cell>
          <cell r="M46">
            <v>4979.95758759</v>
          </cell>
          <cell r="N46">
            <v>3803.1663220195401</v>
          </cell>
          <cell r="O46">
            <v>4414.0802427028602</v>
          </cell>
          <cell r="P46">
            <v>7825.8677954146397</v>
          </cell>
          <cell r="Q46">
            <v>11801.8492346679</v>
          </cell>
          <cell r="R46">
            <v>17323.5663181038</v>
          </cell>
          <cell r="S46">
            <v>24126.525068725299</v>
          </cell>
        </row>
        <row r="47">
          <cell r="B47" t="str">
            <v>Gross fixed assets, PP&amp;E</v>
          </cell>
          <cell r="C47" t="str">
            <v>GR_FIX_ASS</v>
          </cell>
          <cell r="D47" t="str">
            <v>CNY</v>
          </cell>
          <cell r="G47">
            <v>5.4240339999999998</v>
          </cell>
          <cell r="H47">
            <v>8.4578710000000008</v>
          </cell>
          <cell r="I47">
            <v>18.878102999999999</v>
          </cell>
          <cell r="J47">
            <v>42.933685160000003</v>
          </cell>
          <cell r="K47">
            <v>103.32144706</v>
          </cell>
          <cell r="L47">
            <v>161.97313826000001</v>
          </cell>
          <cell r="M47">
            <v>349.76415910999998</v>
          </cell>
          <cell r="N47">
            <v>3254.24675945437</v>
          </cell>
          <cell r="O47">
            <v>5460.47813674792</v>
          </cell>
          <cell r="P47">
            <v>6300.5895440934401</v>
          </cell>
          <cell r="Q47">
            <v>7096.5090132525502</v>
          </cell>
          <cell r="R47">
            <v>7871.0368942289597</v>
          </cell>
          <cell r="S47">
            <v>8498.9073110639401</v>
          </cell>
        </row>
        <row r="48">
          <cell r="B48" t="str">
            <v>Accumulated depreciation</v>
          </cell>
          <cell r="C48" t="str">
            <v>ACC_DDA</v>
          </cell>
          <cell r="D48" t="str">
            <v>CNY</v>
          </cell>
          <cell r="G48">
            <v>-3.3908</v>
          </cell>
          <cell r="H48">
            <v>-3.9310999999999998</v>
          </cell>
          <cell r="I48">
            <v>-5.6711</v>
          </cell>
          <cell r="J48">
            <v>-12.70908816</v>
          </cell>
          <cell r="K48">
            <v>-31.201607039999999</v>
          </cell>
          <cell r="L48">
            <v>-59.180180399999998</v>
          </cell>
          <cell r="M48">
            <v>-103.49987844</v>
          </cell>
          <cell r="N48">
            <v>-177.37916264099999</v>
          </cell>
          <cell r="O48">
            <v>-1095.31590230201</v>
          </cell>
          <cell r="P48">
            <v>-2394.61749386979</v>
          </cell>
          <cell r="Q48">
            <v>-3551.0384907878802</v>
          </cell>
          <cell r="R48">
            <v>-4594.1854899952796</v>
          </cell>
          <cell r="S48">
            <v>-5551.6232143503903</v>
          </cell>
        </row>
        <row r="49">
          <cell r="B49" t="str">
            <v>Net PP&amp;E</v>
          </cell>
          <cell r="C49" t="str">
            <v>NET_FIX_ASS</v>
          </cell>
          <cell r="D49" t="str">
            <v>CNY</v>
          </cell>
          <cell r="G49">
            <v>2.0332340000000002</v>
          </cell>
          <cell r="H49">
            <v>4.5267710000000001</v>
          </cell>
          <cell r="I49">
            <v>13.207003</v>
          </cell>
          <cell r="J49">
            <v>30.224596999999999</v>
          </cell>
          <cell r="K49">
            <v>72.119840019999998</v>
          </cell>
          <cell r="L49">
            <v>102.79295786</v>
          </cell>
          <cell r="M49">
            <v>246.26428067000001</v>
          </cell>
          <cell r="N49">
            <v>3076.8675968133698</v>
          </cell>
          <cell r="O49">
            <v>4365.1622344459101</v>
          </cell>
          <cell r="P49">
            <v>3905.9720502236601</v>
          </cell>
          <cell r="Q49">
            <v>3545.47052246467</v>
          </cell>
          <cell r="R49">
            <v>3276.8514042336801</v>
          </cell>
          <cell r="S49">
            <v>2947.2840967135498</v>
          </cell>
        </row>
        <row r="50">
          <cell r="B50" t="str">
            <v>Gross intangibles</v>
          </cell>
          <cell r="C50" t="str">
            <v>GR_INTANG</v>
          </cell>
          <cell r="D50" t="str">
            <v>CNY</v>
          </cell>
          <cell r="G50">
            <v>0.234907</v>
          </cell>
          <cell r="H50">
            <v>0.52722599999999997</v>
          </cell>
          <cell r="I50">
            <v>2.3536779999999999</v>
          </cell>
          <cell r="J50">
            <v>6.13005858</v>
          </cell>
          <cell r="K50">
            <v>6.5349034399999999</v>
          </cell>
          <cell r="L50">
            <v>64.546981349999996</v>
          </cell>
          <cell r="M50">
            <v>81.618731960000005</v>
          </cell>
          <cell r="N50">
            <v>98.697196570000003</v>
          </cell>
          <cell r="O50">
            <v>115.77566118</v>
          </cell>
          <cell r="P50">
            <v>132.85412579000001</v>
          </cell>
          <cell r="Q50">
            <v>149.93259040000001</v>
          </cell>
          <cell r="R50">
            <v>167.01105501000001</v>
          </cell>
          <cell r="S50">
            <v>184.08951962</v>
          </cell>
        </row>
        <row r="51">
          <cell r="B51" t="str">
            <v>Accumulated amortization</v>
          </cell>
          <cell r="C51" t="str">
            <v>ACC_AMORT</v>
          </cell>
          <cell r="D51" t="str">
            <v>CNY</v>
          </cell>
          <cell r="G51">
            <v>-8.9099999999999999E-2</v>
          </cell>
          <cell r="H51">
            <v>-0.1288</v>
          </cell>
          <cell r="I51">
            <v>-0.21379999999999999</v>
          </cell>
          <cell r="J51">
            <v>-0.79694558000000004</v>
          </cell>
          <cell r="K51">
            <v>-1.4143018300000001</v>
          </cell>
          <cell r="L51">
            <v>-2.5992419400000002</v>
          </cell>
          <cell r="M51">
            <v>-6.7461694000000003</v>
          </cell>
          <cell r="N51">
            <v>-10.534264472306999</v>
          </cell>
          <cell r="O51">
            <v>-14.994771194936</v>
          </cell>
          <cell r="P51">
            <v>-20.093669638931999</v>
          </cell>
          <cell r="Q51">
            <v>-25.798661076277</v>
          </cell>
          <cell r="R51">
            <v>-32.07908089763</v>
          </cell>
          <cell r="S51">
            <v>-38.905815935877001</v>
          </cell>
        </row>
        <row r="52">
          <cell r="B52" t="str">
            <v>Net intangible assets</v>
          </cell>
          <cell r="C52" t="str">
            <v>NET_INTANG</v>
          </cell>
          <cell r="D52" t="str">
            <v>CNY</v>
          </cell>
          <cell r="G52">
            <v>0.14580699999999999</v>
          </cell>
          <cell r="H52">
            <v>0.398426</v>
          </cell>
          <cell r="I52">
            <v>2.1398779999999999</v>
          </cell>
          <cell r="J52">
            <v>5.333113</v>
          </cell>
          <cell r="K52">
            <v>5.1206016099999996</v>
          </cell>
          <cell r="L52">
            <v>61.947739409999997</v>
          </cell>
          <cell r="M52">
            <v>74.872562560000006</v>
          </cell>
          <cell r="N52">
            <v>88.162932097693002</v>
          </cell>
          <cell r="O52">
            <v>100.78088998506399</v>
          </cell>
          <cell r="P52">
            <v>112.760456151068</v>
          </cell>
          <cell r="Q52">
            <v>124.133929323723</v>
          </cell>
          <cell r="R52">
            <v>134.93197411237</v>
          </cell>
          <cell r="S52">
            <v>145.183703684123</v>
          </cell>
        </row>
        <row r="53">
          <cell r="B53" t="str">
            <v>Equity method investments</v>
          </cell>
          <cell r="C53" t="str">
            <v>FIX_ASS_INV</v>
          </cell>
          <cell r="D53" t="str">
            <v>CNY</v>
          </cell>
          <cell r="I53">
            <v>24.375886000000001</v>
          </cell>
          <cell r="J53">
            <v>23.992486</v>
          </cell>
          <cell r="K53">
            <v>24.273922089999999</v>
          </cell>
          <cell r="L53">
            <v>25.764929219999999</v>
          </cell>
          <cell r="M53">
            <v>37.690173530000003</v>
          </cell>
          <cell r="N53">
            <v>37.690173530000003</v>
          </cell>
          <cell r="O53">
            <v>37.690173530000003</v>
          </cell>
          <cell r="P53">
            <v>37.690173530000003</v>
          </cell>
          <cell r="Q53">
            <v>37.690173530000003</v>
          </cell>
          <cell r="R53">
            <v>37.690173530000003</v>
          </cell>
          <cell r="S53">
            <v>37.690173530000003</v>
          </cell>
        </row>
        <row r="54">
          <cell r="B54" t="str">
            <v>Investments in securities</v>
          </cell>
          <cell r="C54" t="str">
            <v>INV_SECUR</v>
          </cell>
          <cell r="D54" t="str">
            <v>CNY</v>
          </cell>
        </row>
        <row r="55">
          <cell r="B55" t="str">
            <v>Other long-term assets</v>
          </cell>
          <cell r="C55" t="str">
            <v>OTH_LT_ASS</v>
          </cell>
          <cell r="D55" t="str">
            <v>CNY</v>
          </cell>
          <cell r="G55">
            <v>1.6795551200000001</v>
          </cell>
          <cell r="H55">
            <v>4.0912636500000001</v>
          </cell>
          <cell r="I55">
            <v>3.9337816800000001</v>
          </cell>
          <cell r="J55">
            <v>5.6669956700000004</v>
          </cell>
          <cell r="K55">
            <v>37.657349240000002</v>
          </cell>
          <cell r="L55">
            <v>248.13437791000001</v>
          </cell>
          <cell r="M55">
            <v>3109.0614635000002</v>
          </cell>
          <cell r="N55">
            <v>3109.0614635000002</v>
          </cell>
          <cell r="O55">
            <v>3109.0614635000002</v>
          </cell>
          <cell r="P55">
            <v>3109.0614635000002</v>
          </cell>
          <cell r="Q55">
            <v>3109.0614635000002</v>
          </cell>
          <cell r="R55">
            <v>3109.0614635000002</v>
          </cell>
          <cell r="S55">
            <v>3109.0614635000002</v>
          </cell>
        </row>
        <row r="56">
          <cell r="B56" t="str">
            <v>Total assets</v>
          </cell>
          <cell r="C56" t="str">
            <v>TOT_ASSET</v>
          </cell>
          <cell r="D56" t="str">
            <v>CNY</v>
          </cell>
          <cell r="G56">
            <v>72.839087120000002</v>
          </cell>
          <cell r="H56">
            <v>208.06774265000001</v>
          </cell>
          <cell r="I56">
            <v>363.00355968000002</v>
          </cell>
          <cell r="J56">
            <v>541.49043467000001</v>
          </cell>
          <cell r="K56">
            <v>1923.1309735299999</v>
          </cell>
          <cell r="L56">
            <v>3090.2949989099998</v>
          </cell>
          <cell r="M56">
            <v>8447.8460678499996</v>
          </cell>
          <cell r="N56">
            <v>10114.948487960601</v>
          </cell>
          <cell r="O56">
            <v>12026.775004163799</v>
          </cell>
          <cell r="P56">
            <v>14991.3519388194</v>
          </cell>
          <cell r="Q56">
            <v>18618.205323486301</v>
          </cell>
          <cell r="R56">
            <v>23882.101333479899</v>
          </cell>
          <cell r="S56">
            <v>30365.744506153002</v>
          </cell>
        </row>
        <row r="57">
          <cell r="B57" t="str">
            <v>Accounts payable</v>
          </cell>
          <cell r="C57" t="str">
            <v>ACC_PAY_GQ</v>
          </cell>
          <cell r="D57" t="str">
            <v>CNY</v>
          </cell>
          <cell r="G57">
            <v>11.997071</v>
          </cell>
          <cell r="H57">
            <v>22.281213000000001</v>
          </cell>
          <cell r="I57">
            <v>21.565494000000001</v>
          </cell>
          <cell r="J57">
            <v>32.607297000000003</v>
          </cell>
          <cell r="K57">
            <v>130.19026099999999</v>
          </cell>
          <cell r="L57">
            <v>223.54679779</v>
          </cell>
          <cell r="M57">
            <v>375.77449935999999</v>
          </cell>
          <cell r="N57">
            <v>709.51871582608499</v>
          </cell>
          <cell r="O57">
            <v>697.25515846494204</v>
          </cell>
          <cell r="P57">
            <v>1094.4828236419901</v>
          </cell>
          <cell r="Q57">
            <v>1219.3880235029701</v>
          </cell>
          <cell r="R57">
            <v>1778.5867855701699</v>
          </cell>
          <cell r="S57">
            <v>2088.33711532606</v>
          </cell>
        </row>
        <row r="58">
          <cell r="B58" t="str">
            <v>Short-term debt</v>
          </cell>
          <cell r="C58" t="str">
            <v>SHORT_T_DEBT</v>
          </cell>
          <cell r="D58" t="str">
            <v>CNY</v>
          </cell>
          <cell r="G58">
            <v>28.425303</v>
          </cell>
          <cell r="H58">
            <v>14.22418</v>
          </cell>
          <cell r="I58">
            <v>4.8715409999999997</v>
          </cell>
          <cell r="J58">
            <v>6.5934889999999999</v>
          </cell>
          <cell r="K58">
            <v>9.6440708700000002</v>
          </cell>
          <cell r="L58">
            <v>10.9214337</v>
          </cell>
          <cell r="M58">
            <v>18.01271719</v>
          </cell>
          <cell r="N58">
            <v>30</v>
          </cell>
          <cell r="O58">
            <v>30</v>
          </cell>
          <cell r="P58">
            <v>30</v>
          </cell>
          <cell r="Q58">
            <v>30</v>
          </cell>
          <cell r="R58">
            <v>30</v>
          </cell>
          <cell r="S58">
            <v>30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 t="str">
            <v>CNY</v>
          </cell>
        </row>
        <row r="60">
          <cell r="B60" t="str">
            <v>Other current liabilities</v>
          </cell>
          <cell r="C60" t="str">
            <v>OTH_CUR_LIABS</v>
          </cell>
          <cell r="D60" t="str">
            <v>CNY</v>
          </cell>
          <cell r="G60">
            <v>8.5131275100000003</v>
          </cell>
          <cell r="H60">
            <v>24.723735000000001</v>
          </cell>
          <cell r="I60">
            <v>22.404112000000001</v>
          </cell>
          <cell r="J60">
            <v>23.474274000000001</v>
          </cell>
          <cell r="K60">
            <v>69.086748159999999</v>
          </cell>
          <cell r="L60">
            <v>168.90374249000001</v>
          </cell>
          <cell r="M60">
            <v>358.13986831</v>
          </cell>
          <cell r="N60">
            <v>294.75256481946701</v>
          </cell>
          <cell r="O60">
            <v>353.696942148971</v>
          </cell>
          <cell r="P60">
            <v>430.50573805522401</v>
          </cell>
          <cell r="Q60">
            <v>541.13606155432001</v>
          </cell>
          <cell r="R60">
            <v>684.79680766581498</v>
          </cell>
          <cell r="S60">
            <v>861.21509753238604</v>
          </cell>
        </row>
        <row r="61">
          <cell r="B61" t="str">
            <v>Total current liabilities</v>
          </cell>
          <cell r="C61" t="str">
            <v>SHORT_TERM_LIABS</v>
          </cell>
          <cell r="D61" t="str">
            <v>CNY</v>
          </cell>
          <cell r="G61">
            <v>48.935501510000002</v>
          </cell>
          <cell r="H61">
            <v>61.229128000000003</v>
          </cell>
          <cell r="I61">
            <v>48.841146999999999</v>
          </cell>
          <cell r="J61">
            <v>62.675060000000002</v>
          </cell>
          <cell r="K61">
            <v>208.92108003000001</v>
          </cell>
          <cell r="L61">
            <v>403.37197398000001</v>
          </cell>
          <cell r="M61">
            <v>751.92708486000004</v>
          </cell>
          <cell r="N61">
            <v>1034.27128064555</v>
          </cell>
          <cell r="O61">
            <v>1080.95210061391</v>
          </cell>
          <cell r="P61">
            <v>1554.9885616972099</v>
          </cell>
          <cell r="Q61">
            <v>1790.52408505729</v>
          </cell>
          <cell r="R61">
            <v>2493.3835932359898</v>
          </cell>
          <cell r="S61">
            <v>2979.5522128584498</v>
          </cell>
        </row>
        <row r="62">
          <cell r="B62" t="str">
            <v>Long-term  debt</v>
          </cell>
          <cell r="C62" t="str">
            <v>LT_DEBT</v>
          </cell>
          <cell r="D62" t="str">
            <v>CNY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 t="str">
            <v>CNY</v>
          </cell>
        </row>
        <row r="64">
          <cell r="B64" t="str">
            <v>Other long-term liabilities</v>
          </cell>
          <cell r="C64" t="str">
            <v>OTH_LT_CRED_GQ</v>
          </cell>
          <cell r="D64" t="str">
            <v>CNY</v>
          </cell>
          <cell r="H64">
            <v>2.7942564499999998</v>
          </cell>
          <cell r="I64">
            <v>4.07836249</v>
          </cell>
          <cell r="J64">
            <v>6.3622997200000002</v>
          </cell>
          <cell r="K64">
            <v>16.706992570000001</v>
          </cell>
          <cell r="L64">
            <v>34.84641628</v>
          </cell>
          <cell r="M64">
            <v>61.509959469999998</v>
          </cell>
          <cell r="N64">
            <v>61.509959469999998</v>
          </cell>
          <cell r="O64">
            <v>61.509959469999998</v>
          </cell>
          <cell r="P64">
            <v>61.509959469999998</v>
          </cell>
          <cell r="Q64">
            <v>61.509959469999998</v>
          </cell>
          <cell r="R64">
            <v>61.509959469999998</v>
          </cell>
          <cell r="S64">
            <v>61.509959469999998</v>
          </cell>
        </row>
        <row r="65">
          <cell r="B65" t="str">
            <v>Total long-term liabilities</v>
          </cell>
          <cell r="C65" t="str">
            <v>TOT_LT_LIAB</v>
          </cell>
          <cell r="D65" t="str">
            <v>CNY</v>
          </cell>
          <cell r="G65">
            <v>0</v>
          </cell>
          <cell r="H65">
            <v>2.7942564499999998</v>
          </cell>
          <cell r="I65">
            <v>4.07836249</v>
          </cell>
          <cell r="J65">
            <v>6.3622997200000002</v>
          </cell>
          <cell r="K65">
            <v>16.706992570000001</v>
          </cell>
          <cell r="L65">
            <v>34.84641628</v>
          </cell>
          <cell r="M65">
            <v>61.509959469999998</v>
          </cell>
          <cell r="N65">
            <v>61.509959469999998</v>
          </cell>
          <cell r="O65">
            <v>61.509959469999998</v>
          </cell>
          <cell r="P65">
            <v>61.509959469999998</v>
          </cell>
          <cell r="Q65">
            <v>61.509959469999998</v>
          </cell>
          <cell r="R65">
            <v>61.509959469999998</v>
          </cell>
          <cell r="S65">
            <v>61.509959469999998</v>
          </cell>
        </row>
        <row r="66">
          <cell r="B66" t="str">
            <v>Total liabilities</v>
          </cell>
          <cell r="C66" t="str">
            <v>TOT_LIAB</v>
          </cell>
          <cell r="D66" t="str">
            <v>CNY</v>
          </cell>
          <cell r="G66">
            <v>48.935501510000002</v>
          </cell>
          <cell r="H66">
            <v>64.023384449999995</v>
          </cell>
          <cell r="I66">
            <v>52.919509490000003</v>
          </cell>
          <cell r="J66">
            <v>69.037359719999998</v>
          </cell>
          <cell r="K66">
            <v>225.6280726</v>
          </cell>
          <cell r="L66">
            <v>438.21839025999998</v>
          </cell>
          <cell r="M66">
            <v>813.43704433000005</v>
          </cell>
          <cell r="N66">
            <v>1095.78124011555</v>
          </cell>
          <cell r="O66">
            <v>1142.46206008391</v>
          </cell>
          <cell r="P66">
            <v>1616.4985211672099</v>
          </cell>
          <cell r="Q66">
            <v>1852.03404452729</v>
          </cell>
          <cell r="R66">
            <v>2554.8935527059898</v>
          </cell>
          <cell r="S66">
            <v>3041.0621723284498</v>
          </cell>
        </row>
        <row r="67">
          <cell r="B67" t="str">
            <v>Preferred shares</v>
          </cell>
          <cell r="C67" t="str">
            <v>PREF_SH</v>
          </cell>
          <cell r="D67" t="str">
            <v>CNY</v>
          </cell>
        </row>
        <row r="68">
          <cell r="B68" t="str">
            <v>Total common equity</v>
          </cell>
          <cell r="C68" t="str">
            <v>ORD_SH_FUND</v>
          </cell>
          <cell r="D68" t="str">
            <v>CNY</v>
          </cell>
          <cell r="G68">
            <v>23.90358561</v>
          </cell>
          <cell r="H68">
            <v>144.0443582</v>
          </cell>
          <cell r="I68">
            <v>310.51370918999999</v>
          </cell>
          <cell r="J68">
            <v>475.30488494999997</v>
          </cell>
          <cell r="K68">
            <v>1703.1070418300001</v>
          </cell>
          <cell r="L68">
            <v>2659.8600223200001</v>
          </cell>
          <cell r="M68">
            <v>7642.3202414500001</v>
          </cell>
          <cell r="N68">
            <v>9027.5273408050598</v>
          </cell>
          <cell r="O68">
            <v>10892.6730370399</v>
          </cell>
          <cell r="P68">
            <v>13383.2135106122</v>
          </cell>
          <cell r="Q68">
            <v>16774.531371919002</v>
          </cell>
          <cell r="R68">
            <v>21335.5678737339</v>
          </cell>
          <cell r="S68">
            <v>27333.042426784501</v>
          </cell>
        </row>
        <row r="69">
          <cell r="B69" t="str">
            <v>Minority interest</v>
          </cell>
          <cell r="C69" t="str">
            <v>MINORITIES</v>
          </cell>
          <cell r="D69" t="str">
            <v>CNY</v>
          </cell>
          <cell r="I69">
            <v>-0.42965900000000001</v>
          </cell>
          <cell r="J69">
            <v>-2.85181</v>
          </cell>
          <cell r="K69">
            <v>-5.6041409</v>
          </cell>
          <cell r="L69">
            <v>-7.7834136699999998</v>
          </cell>
          <cell r="M69">
            <v>-7.9112179300000003</v>
          </cell>
          <cell r="N69">
            <v>-8.3600929599999994</v>
          </cell>
          <cell r="O69">
            <v>-8.3600929599999994</v>
          </cell>
          <cell r="P69">
            <v>-8.3600929599999994</v>
          </cell>
          <cell r="Q69">
            <v>-8.3600929599999994</v>
          </cell>
          <cell r="R69">
            <v>-8.3600929599999994</v>
          </cell>
          <cell r="S69">
            <v>-8.3600929599999994</v>
          </cell>
        </row>
        <row r="70">
          <cell r="B70" t="str">
            <v>Total shareholders' equity</v>
          </cell>
          <cell r="C70" t="str">
            <v>EQ</v>
          </cell>
          <cell r="D70" t="str">
            <v>CNY</v>
          </cell>
          <cell r="G70">
            <v>23.90358561</v>
          </cell>
          <cell r="H70">
            <v>144.0443582</v>
          </cell>
          <cell r="I70">
            <v>310.08405019000003</v>
          </cell>
          <cell r="J70">
            <v>472.45307494999997</v>
          </cell>
          <cell r="K70">
            <v>1697.5029009299999</v>
          </cell>
          <cell r="L70">
            <v>2652.0766086499998</v>
          </cell>
          <cell r="M70">
            <v>7634.4090235200001</v>
          </cell>
          <cell r="N70">
            <v>9019.16724784506</v>
          </cell>
          <cell r="O70">
            <v>10884.3129440799</v>
          </cell>
          <cell r="P70">
            <v>13374.853417652201</v>
          </cell>
          <cell r="Q70">
            <v>16766.171278958998</v>
          </cell>
          <cell r="R70">
            <v>21327.207780773901</v>
          </cell>
          <cell r="S70">
            <v>27324.682333824501</v>
          </cell>
        </row>
        <row r="71">
          <cell r="B71" t="str">
            <v>Total liabilities and equity</v>
          </cell>
          <cell r="C71" t="str">
            <v>TOT_LIAB_EQ</v>
          </cell>
          <cell r="D71" t="str">
            <v>CNY</v>
          </cell>
          <cell r="G71">
            <v>72.839087120000002</v>
          </cell>
          <cell r="H71">
            <v>208.06774265000001</v>
          </cell>
          <cell r="I71">
            <v>363.00355968000002</v>
          </cell>
          <cell r="J71">
            <v>541.49043467000001</v>
          </cell>
          <cell r="K71">
            <v>1923.1309735299999</v>
          </cell>
          <cell r="L71">
            <v>3090.2949989099998</v>
          </cell>
          <cell r="M71">
            <v>8447.8460678499996</v>
          </cell>
          <cell r="N71">
            <v>10114.948487960601</v>
          </cell>
          <cell r="O71">
            <v>12026.775004163799</v>
          </cell>
          <cell r="P71">
            <v>14991.3519388194</v>
          </cell>
          <cell r="Q71">
            <v>18618.205323486301</v>
          </cell>
          <cell r="R71">
            <v>23882.101333479899</v>
          </cell>
          <cell r="S71">
            <v>30365.744506153002</v>
          </cell>
        </row>
        <row r="73">
          <cell r="B73" t="str">
            <v>Total US$ debt (in US$)</v>
          </cell>
          <cell r="C73" t="str">
            <v>TOT_USD_DEBT</v>
          </cell>
          <cell r="G73">
            <v>28.22208852</v>
          </cell>
          <cell r="H73">
            <v>50</v>
          </cell>
          <cell r="I73">
            <v>114.30167433</v>
          </cell>
          <cell r="J73">
            <v>235.34637627000001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B74" t="str">
            <v>% US$ debt hedged (principal)</v>
          </cell>
          <cell r="C74" t="str">
            <v>TOT_PCT_USD_DEBT_HEDGED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B75" t="str">
            <v>% Floating debt (local currency debt)</v>
          </cell>
          <cell r="C75" t="str">
            <v>FLOATING_PCT_LOCAL_DEBT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B76" t="str">
            <v>% floating debt hedged (rates)</v>
          </cell>
          <cell r="C76" t="str">
            <v>FLOATING_PCT_LOCAL_DEBT_HEDGED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B77" t="str">
            <v>Net debt</v>
          </cell>
          <cell r="C77" t="str">
            <v>NET_DEBT</v>
          </cell>
          <cell r="D77" t="str">
            <v>CNY</v>
          </cell>
          <cell r="G77">
            <v>-0.210955</v>
          </cell>
          <cell r="H77">
            <v>-79.342101</v>
          </cell>
          <cell r="I77">
            <v>-162.212096</v>
          </cell>
          <cell r="J77">
            <v>-258.83915100000002</v>
          </cell>
          <cell r="K77">
            <v>-467.26408372999998</v>
          </cell>
          <cell r="L77">
            <v>-1464.0080278400001</v>
          </cell>
          <cell r="M77">
            <v>-2642.7220528600001</v>
          </cell>
          <cell r="N77">
            <v>-1190.61242818039</v>
          </cell>
          <cell r="O77">
            <v>-1522.90864170174</v>
          </cell>
          <cell r="P77">
            <v>-4911.6098119569397</v>
          </cell>
          <cell r="Q77">
            <v>-7432.9135404393701</v>
          </cell>
          <cell r="R77">
            <v>-12280.667689714801</v>
          </cell>
          <cell r="S77">
            <v>-16999.806545911899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 t="str">
            <v>CNY</v>
          </cell>
        </row>
        <row r="79">
          <cell r="B79" t="str">
            <v>Deferred income taxes</v>
          </cell>
          <cell r="C79" t="str">
            <v>DEF_INC_TAX</v>
          </cell>
          <cell r="D79" t="str">
            <v>CNY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 t="str">
            <v>CNY</v>
          </cell>
        </row>
        <row r="81">
          <cell r="B81" t="str">
            <v>Net debt adjustment</v>
          </cell>
          <cell r="C81" t="str">
            <v>NET_DEBT_ADJ</v>
          </cell>
          <cell r="D81" t="str">
            <v>CNY</v>
          </cell>
        </row>
        <row r="82">
          <cell r="B82" t="str">
            <v>Company borrowing margin</v>
          </cell>
          <cell r="C82" t="str">
            <v>CO_BOR_MARGIN</v>
          </cell>
        </row>
        <row r="83">
          <cell r="B83" t="str">
            <v>Unfunded pensions &amp; other provisions</v>
          </cell>
          <cell r="C83" t="str">
            <v>UNF_PENS</v>
          </cell>
          <cell r="D83" t="str">
            <v>CNY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 t="str">
            <v>CNY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 t="str">
            <v>CNY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 t="str">
            <v>CNY</v>
          </cell>
        </row>
        <row r="87">
          <cell r="B87" t="str">
            <v>Other GCI adjustments</v>
          </cell>
          <cell r="C87" t="str">
            <v>OTH_GCI_ADJ</v>
          </cell>
          <cell r="D87" t="str">
            <v>CNY</v>
          </cell>
          <cell r="G87">
            <v>0.210955</v>
          </cell>
          <cell r="H87">
            <v>79.342101</v>
          </cell>
          <cell r="I87">
            <v>162.212096</v>
          </cell>
          <cell r="J87">
            <v>258.83915100000002</v>
          </cell>
          <cell r="K87">
            <v>467.26408372999998</v>
          </cell>
          <cell r="L87">
            <v>1464.0080278400001</v>
          </cell>
          <cell r="M87">
            <v>2642.7220528600001</v>
          </cell>
          <cell r="N87">
            <v>1190.61242818039</v>
          </cell>
          <cell r="O87">
            <v>1522.90864170174</v>
          </cell>
          <cell r="P87">
            <v>4911.6098119569397</v>
          </cell>
          <cell r="Q87">
            <v>7432.9135404393701</v>
          </cell>
          <cell r="R87">
            <v>12280.667689714801</v>
          </cell>
          <cell r="S87">
            <v>16999.806545911899</v>
          </cell>
        </row>
        <row r="88">
          <cell r="B88" t="str">
            <v>GCI inflator</v>
          </cell>
          <cell r="C88" t="str">
            <v>GCI_INFL</v>
          </cell>
        </row>
        <row r="89">
          <cell r="B89" t="str">
            <v>Minority interest</v>
          </cell>
          <cell r="C89" t="str">
            <v>BAL_MINO_INT</v>
          </cell>
          <cell r="D89" t="str">
            <v>CNY</v>
          </cell>
          <cell r="I89">
            <v>-0.42965900000000001</v>
          </cell>
          <cell r="J89">
            <v>-2.85181</v>
          </cell>
          <cell r="K89">
            <v>-5.6041409</v>
          </cell>
          <cell r="L89">
            <v>-7.7834136699999998</v>
          </cell>
          <cell r="M89">
            <v>-7.9112179300000003</v>
          </cell>
          <cell r="N89">
            <v>-8.3600929599999994</v>
          </cell>
          <cell r="O89">
            <v>-8.3600929599999994</v>
          </cell>
          <cell r="P89">
            <v>-8.3600929599999994</v>
          </cell>
          <cell r="Q89">
            <v>-8.3600929599999994</v>
          </cell>
          <cell r="R89">
            <v>-8.3600929599999994</v>
          </cell>
          <cell r="S89">
            <v>-8.3600929599999994</v>
          </cell>
        </row>
        <row r="90">
          <cell r="B90" t="str">
            <v>Right-of-use assets (op lease assets under US GAAP)</v>
          </cell>
          <cell r="C90" t="str">
            <v>ROU_ASSET</v>
          </cell>
          <cell r="D90" t="str">
            <v>CNY</v>
          </cell>
        </row>
        <row r="92">
          <cell r="B92" t="str">
            <v>Minority interest add-back</v>
          </cell>
          <cell r="C92" t="str">
            <v>CF_INC_MINORITY</v>
          </cell>
          <cell r="D92" t="str">
            <v>CNY</v>
          </cell>
          <cell r="I92">
            <v>-0.44230000000000003</v>
          </cell>
          <cell r="J92">
            <v>-1.9569799999999999</v>
          </cell>
          <cell r="K92">
            <v>-2.7132030199999999</v>
          </cell>
          <cell r="L92">
            <v>-2.2919651000000001</v>
          </cell>
          <cell r="M92">
            <v>-0.13052349999999999</v>
          </cell>
          <cell r="N92">
            <v>-0.44887503000000001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B93" t="str">
            <v>Depreciation &amp; amortization add-back</v>
          </cell>
          <cell r="C93" t="str">
            <v>DEPR_AMORT</v>
          </cell>
          <cell r="D93" t="str">
            <v>CNY</v>
          </cell>
          <cell r="H93">
            <v>1.2815540000000001</v>
          </cell>
          <cell r="I93">
            <v>2.8430740000000001</v>
          </cell>
          <cell r="J93">
            <v>7.7201129999999996</v>
          </cell>
          <cell r="K93">
            <v>19.230548630000001</v>
          </cell>
          <cell r="L93">
            <v>29.291424930000002</v>
          </cell>
          <cell r="M93">
            <v>47.568510670000002</v>
          </cell>
          <cell r="N93">
            <v>77.667379273307006</v>
          </cell>
          <cell r="O93">
            <v>922.39724638364203</v>
          </cell>
          <cell r="P93">
            <v>1304.40049001177</v>
          </cell>
          <cell r="Q93">
            <v>1162.1259883554401</v>
          </cell>
          <cell r="R93">
            <v>1049.4274190287499</v>
          </cell>
          <cell r="S93">
            <v>964.26445939335099</v>
          </cell>
        </row>
        <row r="94">
          <cell r="B94" t="str">
            <v>(Increase)/decrease in working capital</v>
          </cell>
          <cell r="C94" t="str">
            <v>WORK_CAP</v>
          </cell>
          <cell r="D94" t="str">
            <v>CNY</v>
          </cell>
          <cell r="G94">
            <v>-14.670595</v>
          </cell>
          <cell r="H94">
            <v>-42.271552</v>
          </cell>
          <cell r="I94">
            <v>-52.342412000000003</v>
          </cell>
          <cell r="J94">
            <v>-27.103467999999999</v>
          </cell>
          <cell r="K94">
            <v>-466.78237987</v>
          </cell>
          <cell r="L94">
            <v>-132.11127329000001</v>
          </cell>
          <cell r="M94">
            <v>-926.09353828999997</v>
          </cell>
          <cell r="N94">
            <v>70.413140166933999</v>
          </cell>
          <cell r="O94">
            <v>-290.881264523114</v>
          </cell>
          <cell r="P94">
            <v>374.14128272046298</v>
          </cell>
          <cell r="Q94">
            <v>-1329.7725109098801</v>
          </cell>
          <cell r="R94">
            <v>-114.764172093222</v>
          </cell>
          <cell r="S94">
            <v>-1774.0695646685599</v>
          </cell>
        </row>
        <row r="95">
          <cell r="B95" t="str">
            <v>Other operating cash flow items</v>
          </cell>
          <cell r="C95" t="str">
            <v>OTH_OP_CF</v>
          </cell>
          <cell r="D95" t="str">
            <v>CNY</v>
          </cell>
          <cell r="G95">
            <v>12.82582</v>
          </cell>
          <cell r="H95">
            <v>51.341299999999997</v>
          </cell>
          <cell r="I95">
            <v>8.6217760000000006</v>
          </cell>
          <cell r="J95">
            <v>-6.709937</v>
          </cell>
          <cell r="K95">
            <v>8.7148318699999994</v>
          </cell>
          <cell r="L95">
            <v>37.74950398</v>
          </cell>
          <cell r="M95">
            <v>-106.41458523999999</v>
          </cell>
          <cell r="N95">
            <v>-2.4899069999999999E-2</v>
          </cell>
          <cell r="O95">
            <v>248.90303704999999</v>
          </cell>
          <cell r="P95">
            <v>-3.3838390600000001</v>
          </cell>
        </row>
        <row r="96">
          <cell r="B96" t="str">
            <v>Cash flow from operating activities</v>
          </cell>
          <cell r="C96" t="str">
            <v>CF_OPS</v>
          </cell>
          <cell r="D96" t="str">
            <v>CNY</v>
          </cell>
          <cell r="G96">
            <v>9.4074150000000003</v>
          </cell>
          <cell r="H96">
            <v>94.510710000000003</v>
          </cell>
          <cell r="I96">
            <v>128.56852699999999</v>
          </cell>
          <cell r="J96">
            <v>134.28265200000001</v>
          </cell>
          <cell r="K96">
            <v>55.619758859999997</v>
          </cell>
          <cell r="L96">
            <v>1005.43023384</v>
          </cell>
          <cell r="M96">
            <v>1149.7644677799999</v>
          </cell>
          <cell r="N96">
            <v>1702.9650275747699</v>
          </cell>
          <cell r="O96">
            <v>2725.7323392343601</v>
          </cell>
          <cell r="P96">
            <v>4474.9617033496897</v>
          </cell>
          <cell r="Q96">
            <v>3640.1811192967598</v>
          </cell>
          <cell r="R96">
            <v>6055.8702754062097</v>
          </cell>
          <cell r="S96">
            <v>5924.2582642978005</v>
          </cell>
        </row>
        <row r="97">
          <cell r="B97" t="str">
            <v>Capital expenditures, Capex</v>
          </cell>
          <cell r="C97" t="str">
            <v>CAPEX</v>
          </cell>
          <cell r="D97" t="str">
            <v>CNY</v>
          </cell>
          <cell r="G97">
            <v>-1.212653</v>
          </cell>
          <cell r="H97">
            <v>-4.5329949999999997</v>
          </cell>
          <cell r="I97">
            <v>-15.741327999999999</v>
          </cell>
          <cell r="J97">
            <v>-28.765657000000001</v>
          </cell>
          <cell r="K97">
            <v>-96.248714660000005</v>
          </cell>
          <cell r="L97">
            <v>-153.42357039000001</v>
          </cell>
          <cell r="M97">
            <v>-2858.3557962999998</v>
          </cell>
          <cell r="N97">
            <v>-2904.48260034437</v>
          </cell>
          <cell r="O97">
            <v>-2206.2313772935499</v>
          </cell>
          <cell r="P97">
            <v>-840.11140734551805</v>
          </cell>
          <cell r="Q97">
            <v>-795.91946915910603</v>
          </cell>
          <cell r="R97">
            <v>-774.52788097641496</v>
          </cell>
          <cell r="S97">
            <v>-627.87041683497398</v>
          </cell>
        </row>
        <row r="98">
          <cell r="B98" t="str">
            <v>Acquisitions</v>
          </cell>
          <cell r="C98" t="str">
            <v>ACQ</v>
          </cell>
          <cell r="D98" t="str">
            <v>CNY</v>
          </cell>
          <cell r="G98">
            <v>2.5000000000000001E-4</v>
          </cell>
          <cell r="I98">
            <v>3.9100000000000003E-3</v>
          </cell>
          <cell r="J98">
            <v>2.15E-3</v>
          </cell>
        </row>
        <row r="99">
          <cell r="B99" t="str">
            <v>Divestitures</v>
          </cell>
          <cell r="C99" t="str">
            <v>DIVEST</v>
          </cell>
          <cell r="D99" t="str">
            <v>CNY</v>
          </cell>
        </row>
        <row r="100">
          <cell r="B100" t="str">
            <v>Other investing cash flow items</v>
          </cell>
          <cell r="C100" t="str">
            <v>OTH_INV_CF</v>
          </cell>
          <cell r="D100" t="str">
            <v>CNY</v>
          </cell>
          <cell r="G100">
            <v>-2.5000000000000001E-4</v>
          </cell>
          <cell r="H100">
            <v>-8.135211</v>
          </cell>
          <cell r="I100">
            <v>-25.877645999999999</v>
          </cell>
          <cell r="J100">
            <v>-13.616933</v>
          </cell>
          <cell r="K100">
            <v>-485.60991426999999</v>
          </cell>
          <cell r="L100">
            <v>283.65821127999999</v>
          </cell>
          <cell r="M100">
            <v>-497.36520531999901</v>
          </cell>
          <cell r="N100">
            <v>-17.078464610000001</v>
          </cell>
          <cell r="O100">
            <v>-17.078464610000001</v>
          </cell>
          <cell r="P100">
            <v>-17.078464610000001</v>
          </cell>
          <cell r="Q100">
            <v>-17.078464610000001</v>
          </cell>
          <cell r="R100">
            <v>-17.078464610000001</v>
          </cell>
          <cell r="S100">
            <v>-17.078464610000001</v>
          </cell>
        </row>
        <row r="101">
          <cell r="B101" t="str">
            <v>Cash flow from investing</v>
          </cell>
          <cell r="C101" t="str">
            <v>CF_INV</v>
          </cell>
          <cell r="D101" t="str">
            <v>CNY</v>
          </cell>
          <cell r="G101">
            <v>-1.212653</v>
          </cell>
          <cell r="H101">
            <v>-12.668206</v>
          </cell>
          <cell r="I101">
            <v>-41.615063999999997</v>
          </cell>
          <cell r="J101">
            <v>-42.38044</v>
          </cell>
          <cell r="K101">
            <v>-581.85862893000001</v>
          </cell>
          <cell r="L101">
            <v>130.23464089000001</v>
          </cell>
          <cell r="M101">
            <v>-3355.7210016200002</v>
          </cell>
          <cell r="N101">
            <v>-2921.5610649543701</v>
          </cell>
          <cell r="O101">
            <v>-2223.30984190355</v>
          </cell>
          <cell r="P101">
            <v>-857.18987195551802</v>
          </cell>
          <cell r="Q101">
            <v>-812.997933769106</v>
          </cell>
          <cell r="R101">
            <v>-791.60634558641402</v>
          </cell>
          <cell r="S101">
            <v>-644.94888144497395</v>
          </cell>
        </row>
        <row r="102">
          <cell r="B102" t="str">
            <v>Dividends paid</v>
          </cell>
          <cell r="C102" t="str">
            <v>DIV_PAID</v>
          </cell>
          <cell r="D102" t="str">
            <v>CNY</v>
          </cell>
          <cell r="G102">
            <v>-0.55483499999999997</v>
          </cell>
          <cell r="H102">
            <v>-5.4243439999999996</v>
          </cell>
          <cell r="I102">
            <v>-0.11150500000000001</v>
          </cell>
          <cell r="K102">
            <v>-100</v>
          </cell>
          <cell r="L102">
            <v>-100</v>
          </cell>
          <cell r="M102">
            <v>-185.311544</v>
          </cell>
          <cell r="N102">
            <v>-233.51358730000001</v>
          </cell>
          <cell r="O102">
            <v>-170.12628380946799</v>
          </cell>
          <cell r="P102">
            <v>-229.07066113897099</v>
          </cell>
          <cell r="Q102">
            <v>-305.879457045224</v>
          </cell>
          <cell r="R102">
            <v>-416.50978054431999</v>
          </cell>
          <cell r="S102">
            <v>-560.17052665581502</v>
          </cell>
        </row>
        <row r="103">
          <cell r="B103" t="str">
            <v>Common stock issuance/(repurchase)</v>
          </cell>
          <cell r="C103" t="str">
            <v>SH_REPUR</v>
          </cell>
          <cell r="D103" t="str">
            <v>CNY</v>
          </cell>
          <cell r="H103">
            <v>1.111</v>
          </cell>
          <cell r="I103">
            <v>62.779000000000003</v>
          </cell>
          <cell r="K103">
            <v>25</v>
          </cell>
          <cell r="L103">
            <v>80</v>
          </cell>
          <cell r="M103">
            <v>153.560779</v>
          </cell>
          <cell r="N103">
            <v>200.19717499999999</v>
          </cell>
          <cell r="O103">
            <v>5.7251999999999997E-2</v>
          </cell>
        </row>
        <row r="104">
          <cell r="B104" t="str">
            <v>Increase/(decrease) in total debt</v>
          </cell>
          <cell r="C104" t="str">
            <v>CHG_LT_DEBT</v>
          </cell>
          <cell r="D104" t="str">
            <v>CNY</v>
          </cell>
          <cell r="G104">
            <v>5.4918740000000001</v>
          </cell>
          <cell r="H104">
            <v>-14.201123000000001</v>
          </cell>
          <cell r="I104">
            <v>-9.3526389999999999</v>
          </cell>
          <cell r="J104">
            <v>1.721948</v>
          </cell>
          <cell r="K104">
            <v>3.0505818699999998</v>
          </cell>
          <cell r="L104">
            <v>1.2773628299999999</v>
          </cell>
          <cell r="M104">
            <v>7.0912834900000004</v>
          </cell>
          <cell r="N104">
            <v>11.98728281</v>
          </cell>
          <cell r="O104">
            <v>1.4717715499999999</v>
          </cell>
          <cell r="P104">
            <v>567.81287469999995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str">
            <v>CNY</v>
          </cell>
        </row>
        <row r="106">
          <cell r="B106" t="str">
            <v>Other financing cash flow items</v>
          </cell>
          <cell r="C106" t="str">
            <v>OTH_FIN_CF</v>
          </cell>
          <cell r="D106" t="str">
            <v>CNY</v>
          </cell>
          <cell r="G106">
            <v>0.93938999999999995</v>
          </cell>
          <cell r="H106">
            <v>1.6019859999999999</v>
          </cell>
          <cell r="I106">
            <v>-66.750962999999999</v>
          </cell>
          <cell r="J106">
            <v>4.724844</v>
          </cell>
          <cell r="K106">
            <v>809.66380279999998</v>
          </cell>
          <cell r="L106">
            <v>-118.92093061999999</v>
          </cell>
          <cell r="M106">
            <v>3416.42132386</v>
          </cell>
          <cell r="N106">
            <v>-673.24186396000005</v>
          </cell>
          <cell r="O106">
            <v>219.09661987999999</v>
          </cell>
        </row>
        <row r="107">
          <cell r="B107" t="str">
            <v>Cash flow from financing</v>
          </cell>
          <cell r="C107" t="str">
            <v>CF_FIN</v>
          </cell>
          <cell r="D107" t="str">
            <v>CNY</v>
          </cell>
          <cell r="G107">
            <v>5.8764289999999999</v>
          </cell>
          <cell r="H107">
            <v>-16.912481</v>
          </cell>
          <cell r="I107">
            <v>-13.436107</v>
          </cell>
          <cell r="J107">
            <v>6.4467920000000003</v>
          </cell>
          <cell r="K107">
            <v>737.71438466999996</v>
          </cell>
          <cell r="L107">
            <v>-137.64356778999999</v>
          </cell>
          <cell r="M107">
            <v>3391.7618423499998</v>
          </cell>
          <cell r="N107">
            <v>-221.52630449</v>
          </cell>
          <cell r="O107">
            <v>-170.12628380946799</v>
          </cell>
          <cell r="P107">
            <v>-229.07066113897099</v>
          </cell>
          <cell r="Q107">
            <v>-305.879457045224</v>
          </cell>
          <cell r="R107">
            <v>-416.50978054431999</v>
          </cell>
          <cell r="S107">
            <v>-560.17052665581502</v>
          </cell>
        </row>
        <row r="108">
          <cell r="B108" t="str">
            <v>Total cash flow</v>
          </cell>
          <cell r="C108" t="str">
            <v>TOT_CF</v>
          </cell>
          <cell r="D108" t="str">
            <v>CNY</v>
          </cell>
          <cell r="G108">
            <v>14.071191000000001</v>
          </cell>
          <cell r="H108">
            <v>64.930023000000006</v>
          </cell>
          <cell r="I108">
            <v>73.517356000000007</v>
          </cell>
          <cell r="J108">
            <v>98.349003999999994</v>
          </cell>
          <cell r="K108">
            <v>211.4755146</v>
          </cell>
          <cell r="L108">
            <v>998.02130694000004</v>
          </cell>
          <cell r="M108">
            <v>1185.80530851</v>
          </cell>
          <cell r="N108">
            <v>-1440.12234186961</v>
          </cell>
          <cell r="O108">
            <v>332.29621352134501</v>
          </cell>
          <cell r="P108">
            <v>3388.7011702551999</v>
          </cell>
          <cell r="Q108">
            <v>2521.30372848243</v>
          </cell>
          <cell r="R108">
            <v>4847.7541492754799</v>
          </cell>
          <cell r="S108">
            <v>4719.1388561970098</v>
          </cell>
        </row>
        <row r="110">
          <cell r="B110" t="str">
            <v>Associate and JV add-back</v>
          </cell>
          <cell r="C110" t="str">
            <v>ASSOC_JV_ADDBK</v>
          </cell>
          <cell r="D110" t="str">
            <v>CNY</v>
          </cell>
        </row>
        <row r="111">
          <cell r="B111" t="str">
            <v>Profit/(loss) on sale of assets</v>
          </cell>
          <cell r="C111" t="str">
            <v>PL_SALE_ASSETS</v>
          </cell>
          <cell r="D111" t="str">
            <v>CNY</v>
          </cell>
        </row>
        <row r="112">
          <cell r="B112" t="str">
            <v>Other non-cash adjustments</v>
          </cell>
          <cell r="C112" t="str">
            <v>OTH_NONCASH_ADJ</v>
          </cell>
          <cell r="D112" t="str">
            <v>CNY</v>
          </cell>
        </row>
        <row r="113">
          <cell r="B113" t="str">
            <v>Other DACF adjustments</v>
          </cell>
          <cell r="C113" t="str">
            <v>OTH_DACF_ADJ</v>
          </cell>
          <cell r="D113" t="str">
            <v>CNY</v>
          </cell>
        </row>
        <row r="114">
          <cell r="B114" t="str">
            <v>Cash interest expense</v>
          </cell>
          <cell r="C114" t="str">
            <v>CASH_INT_EXP</v>
          </cell>
          <cell r="D114" t="str">
            <v>CNY</v>
          </cell>
        </row>
        <row r="115">
          <cell r="B115" t="str">
            <v>Cash tax expense</v>
          </cell>
          <cell r="C115" t="str">
            <v>CASH_TAX_EXP</v>
          </cell>
          <cell r="D115" t="str">
            <v>CNY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 t="str">
            <v>CNY</v>
          </cell>
        </row>
        <row r="117">
          <cell r="B117" t="str">
            <v>Capex maintenance</v>
          </cell>
          <cell r="C117" t="str">
            <v>CAPEX_MAINTENANCE</v>
          </cell>
          <cell r="D117" t="str">
            <v>CNY</v>
          </cell>
        </row>
        <row r="118">
          <cell r="B118" t="str">
            <v>Capex expansion</v>
          </cell>
          <cell r="C118" t="str">
            <v>CAPEX_EXPANSION</v>
          </cell>
          <cell r="D118" t="str">
            <v>CNY</v>
          </cell>
        </row>
        <row r="119">
          <cell r="B119" t="str">
            <v>Non-PP&amp;E capex</v>
          </cell>
          <cell r="C119" t="str">
            <v>NONPPE_CAPEX</v>
          </cell>
          <cell r="D119" t="str">
            <v>CNY</v>
          </cell>
        </row>
        <row r="120">
          <cell r="B120" t="str">
            <v>Dividends paid to minorities</v>
          </cell>
          <cell r="C120" t="str">
            <v>DIVDS_PD_MINORITIES</v>
          </cell>
          <cell r="D120" t="str">
            <v>CNY</v>
          </cell>
        </row>
        <row r="122">
          <cell r="B122" t="str">
            <v>Number of employees</v>
          </cell>
          <cell r="C122" t="str">
            <v>EMPLOYEES</v>
          </cell>
          <cell r="G122">
            <v>6.6000000000000003E-2</v>
          </cell>
          <cell r="H122">
            <v>8.1000000000000003E-2</v>
          </cell>
          <cell r="I122">
            <v>0.10100000000000001</v>
          </cell>
          <cell r="J122">
            <v>0.13</v>
          </cell>
          <cell r="K122">
            <v>0.217</v>
          </cell>
          <cell r="L122">
            <v>0.27600000000000002</v>
          </cell>
          <cell r="M122">
            <v>0.66700000000000004</v>
          </cell>
        </row>
        <row r="124">
          <cell r="B124" t="str">
            <v>Sales - % Canada</v>
          </cell>
          <cell r="C124" t="str">
            <v>SALES_CANADA</v>
          </cell>
        </row>
        <row r="125">
          <cell r="B125" t="str">
            <v>Sales - % United States</v>
          </cell>
          <cell r="C125" t="str">
            <v>SALES_US</v>
          </cell>
        </row>
        <row r="126">
          <cell r="B126" t="str">
            <v>Sales - % Other North Americas</v>
          </cell>
          <cell r="C126" t="str">
            <v>SALES_OTH_NO_AMER</v>
          </cell>
        </row>
        <row r="127">
          <cell r="B127" t="str">
            <v>Sales - % Argentina</v>
          </cell>
          <cell r="C127" t="str">
            <v>SALES_ARGENTINA</v>
          </cell>
        </row>
        <row r="128">
          <cell r="B128" t="str">
            <v>Sales - % Brazil</v>
          </cell>
          <cell r="C128" t="str">
            <v>SALES_BRAZIL</v>
          </cell>
          <cell r="I128">
            <v>5.1268714419999998E-3</v>
          </cell>
          <cell r="J128">
            <v>5.3692138154000001E-2</v>
          </cell>
          <cell r="K128">
            <v>5.3692138154000001E-2</v>
          </cell>
          <cell r="L128">
            <v>5.3692138154000001E-2</v>
          </cell>
          <cell r="M128">
            <v>5.3692138154000001E-2</v>
          </cell>
          <cell r="N128">
            <v>5.3692138154000001E-2</v>
          </cell>
          <cell r="O128">
            <v>5.3692138154000001E-2</v>
          </cell>
          <cell r="P128">
            <v>5.3692138154000001E-2</v>
          </cell>
        </row>
        <row r="129">
          <cell r="B129" t="str">
            <v>Sales - % Chile</v>
          </cell>
          <cell r="C129" t="str">
            <v>SALES_CHILE</v>
          </cell>
        </row>
        <row r="130">
          <cell r="B130" t="str">
            <v>Sales - % Colombia</v>
          </cell>
          <cell r="C130" t="str">
            <v>SALES_COLOMBIA</v>
          </cell>
        </row>
        <row r="131">
          <cell r="B131" t="str">
            <v>Sales - % Mexico</v>
          </cell>
          <cell r="C131" t="str">
            <v>SALES_MEXICO</v>
          </cell>
        </row>
        <row r="132">
          <cell r="B132" t="str">
            <v>Sales - % Venezuela</v>
          </cell>
          <cell r="C132" t="str">
            <v>SALES_VENEZUELA</v>
          </cell>
        </row>
        <row r="133">
          <cell r="B133" t="str">
            <v>Sales - % Other Latin Americas</v>
          </cell>
          <cell r="C133" t="str">
            <v>SALES_OTH_LATAM</v>
          </cell>
        </row>
        <row r="134">
          <cell r="B134" t="str">
            <v>Sales - % Austria</v>
          </cell>
          <cell r="C134" t="str">
            <v>SALES_AUSTRIA</v>
          </cell>
        </row>
        <row r="135">
          <cell r="B135" t="str">
            <v>Sales - % Belgium</v>
          </cell>
          <cell r="C135" t="str">
            <v>SALES_BEL</v>
          </cell>
        </row>
        <row r="136">
          <cell r="B136" t="str">
            <v>Sales - % France</v>
          </cell>
          <cell r="C136" t="str">
            <v>SALES_FRA</v>
          </cell>
        </row>
        <row r="137">
          <cell r="B137" t="str">
            <v>Sales - % Germany</v>
          </cell>
          <cell r="C137" t="str">
            <v>SALES_GER</v>
          </cell>
        </row>
        <row r="138">
          <cell r="B138" t="str">
            <v>Sales - % Greece</v>
          </cell>
          <cell r="C138" t="str">
            <v>SALES_GRE</v>
          </cell>
        </row>
        <row r="139">
          <cell r="B139" t="str">
            <v>Sales - % Ireland</v>
          </cell>
          <cell r="C139" t="str">
            <v>SALES_IRE</v>
          </cell>
        </row>
        <row r="140">
          <cell r="B140" t="str">
            <v>Sales - % Italy</v>
          </cell>
          <cell r="C140" t="str">
            <v>SALES_ITA</v>
          </cell>
        </row>
        <row r="141">
          <cell r="B141" t="str">
            <v>Sales - % Netherlands</v>
          </cell>
          <cell r="C141" t="str">
            <v>SALES_NETH</v>
          </cell>
        </row>
        <row r="142">
          <cell r="B142" t="str">
            <v>Sales - % Norway</v>
          </cell>
          <cell r="C142" t="str">
            <v>SALES_NOR</v>
          </cell>
        </row>
        <row r="143">
          <cell r="B143" t="str">
            <v>Sales - % Portugal</v>
          </cell>
          <cell r="C143" t="str">
            <v>SALES_POR</v>
          </cell>
        </row>
        <row r="144">
          <cell r="B144" t="str">
            <v>Sales - % Spain</v>
          </cell>
          <cell r="C144" t="str">
            <v>SALES_SPA</v>
          </cell>
        </row>
        <row r="145">
          <cell r="B145" t="str">
            <v>Sales - % Sweden</v>
          </cell>
          <cell r="C145" t="str">
            <v>SALES_SWE</v>
          </cell>
        </row>
        <row r="146">
          <cell r="B146" t="str">
            <v>Sales - % Switzerland</v>
          </cell>
          <cell r="C146" t="str">
            <v>SALES_SWIT</v>
          </cell>
        </row>
        <row r="147">
          <cell r="B147" t="str">
            <v>Sales - % UK</v>
          </cell>
          <cell r="C147" t="str">
            <v>SALES_UK</v>
          </cell>
        </row>
        <row r="148">
          <cell r="B148" t="str">
            <v>Sales - % Other Western Europe</v>
          </cell>
          <cell r="C148" t="str">
            <v>SALES_OTH_WEST_EURO</v>
          </cell>
        </row>
        <row r="149">
          <cell r="B149" t="str">
            <v>Sales - % Poland</v>
          </cell>
          <cell r="C149" t="str">
            <v>SALES_POLAND</v>
          </cell>
        </row>
        <row r="150">
          <cell r="B150" t="str">
            <v>Sales - % Russia</v>
          </cell>
          <cell r="C150" t="str">
            <v>SALES_RUSSIA</v>
          </cell>
        </row>
        <row r="151">
          <cell r="B151" t="str">
            <v>Sales - % Turkey</v>
          </cell>
          <cell r="C151" t="str">
            <v>SALES_TURKEY</v>
          </cell>
        </row>
        <row r="152">
          <cell r="B152" t="str">
            <v>Sales - % Other CEE</v>
          </cell>
          <cell r="C152" t="str">
            <v>SALES_OTH_CEE</v>
          </cell>
        </row>
        <row r="153">
          <cell r="B153" t="str">
            <v>Sales - % Saudi Arabia</v>
          </cell>
          <cell r="C153" t="str">
            <v>SALES_SAUDI_ARABIA</v>
          </cell>
        </row>
        <row r="154">
          <cell r="B154" t="str">
            <v>Sales - % United Arab Emirates</v>
          </cell>
          <cell r="C154" t="str">
            <v>SALES_UAE</v>
          </cell>
        </row>
        <row r="155">
          <cell r="B155" t="str">
            <v>Sales - % Other Middle East</v>
          </cell>
          <cell r="C155" t="str">
            <v>SALES_OTH_ME</v>
          </cell>
        </row>
        <row r="156">
          <cell r="B156" t="str">
            <v>Sales - % Nigeria</v>
          </cell>
          <cell r="C156" t="str">
            <v>SALES_NIGERIA</v>
          </cell>
        </row>
        <row r="157">
          <cell r="B157" t="str">
            <v>Sales - % South Africa</v>
          </cell>
          <cell r="C157" t="str">
            <v>SALES_SO_AFRICA</v>
          </cell>
        </row>
        <row r="158">
          <cell r="B158" t="str">
            <v>Sales - % Other Africa</v>
          </cell>
          <cell r="C158" t="str">
            <v>SALES_OTH_AFRICA</v>
          </cell>
        </row>
        <row r="159">
          <cell r="B159" t="str">
            <v>Sales - % Hong Kong</v>
          </cell>
          <cell r="C159" t="str">
            <v>SALES_HONG_KONG</v>
          </cell>
          <cell r="G159">
            <v>0.45189078956899997</v>
          </cell>
          <cell r="H159">
            <v>0.176303383176</v>
          </cell>
          <cell r="I159">
            <v>0.14529279517499999</v>
          </cell>
          <cell r="J159">
            <v>0.30334938793900001</v>
          </cell>
          <cell r="K159">
            <v>0.30334938793900001</v>
          </cell>
          <cell r="L159">
            <v>0.33</v>
          </cell>
          <cell r="M159">
            <v>0.33</v>
          </cell>
          <cell r="N159">
            <v>0.33</v>
          </cell>
          <cell r="O159">
            <v>0.33</v>
          </cell>
          <cell r="P159">
            <v>0.33</v>
          </cell>
        </row>
        <row r="160">
          <cell r="B160" t="str">
            <v>Sales - % Japan</v>
          </cell>
          <cell r="C160" t="str">
            <v>SALES_JAPAN</v>
          </cell>
        </row>
        <row r="161">
          <cell r="B161" t="str">
            <v>Sales - % Singapore</v>
          </cell>
          <cell r="C161" t="str">
            <v>SALES_SINGAPORE</v>
          </cell>
        </row>
        <row r="162">
          <cell r="B162" t="str">
            <v>Sales - % South Korea</v>
          </cell>
          <cell r="C162" t="str">
            <v>SALES_SK</v>
          </cell>
          <cell r="G162">
            <v>0.10458627869500001</v>
          </cell>
          <cell r="H162">
            <v>9.5149316287000005E-2</v>
          </cell>
          <cell r="I162">
            <v>0.13002069143</v>
          </cell>
          <cell r="J162">
            <v>0.12036469318</v>
          </cell>
          <cell r="K162">
            <v>0.12036469318</v>
          </cell>
          <cell r="L162">
            <v>0.12036469318</v>
          </cell>
          <cell r="M162">
            <v>0.14000000000000001</v>
          </cell>
          <cell r="N162">
            <v>0.14000000000000001</v>
          </cell>
          <cell r="O162">
            <v>0.14000000000000001</v>
          </cell>
          <cell r="P162">
            <v>0.14000000000000001</v>
          </cell>
        </row>
        <row r="163">
          <cell r="B163" t="str">
            <v>Sales - % Taiwan</v>
          </cell>
          <cell r="C163" t="str">
            <v>SALES_TAIWAN</v>
          </cell>
        </row>
        <row r="164">
          <cell r="B164" t="str">
            <v>Sales - % Other Developed Asia</v>
          </cell>
          <cell r="C164" t="str">
            <v>SALES_OTH_DEV_ASIA</v>
          </cell>
        </row>
        <row r="165">
          <cell r="B165" t="str">
            <v>Sales - % China</v>
          </cell>
          <cell r="C165" t="str">
            <v>SALES_CHINA</v>
          </cell>
          <cell r="G165">
            <v>0.245991398685</v>
          </cell>
          <cell r="H165">
            <v>0.19744773337300001</v>
          </cell>
          <cell r="I165">
            <v>0.31578911660800002</v>
          </cell>
          <cell r="J165">
            <v>0.24495134660699999</v>
          </cell>
          <cell r="K165">
            <v>0.28299999999999997</v>
          </cell>
          <cell r="L165">
            <v>0.2437</v>
          </cell>
          <cell r="M165">
            <v>0.22900000000000001</v>
          </cell>
          <cell r="N165">
            <v>0.22900000000000001</v>
          </cell>
          <cell r="O165">
            <v>0.22900000000000001</v>
          </cell>
          <cell r="P165">
            <v>0.22900000000000001</v>
          </cell>
        </row>
        <row r="166">
          <cell r="B166" t="str">
            <v>Sales - % India</v>
          </cell>
          <cell r="C166" t="str">
            <v>SALES_INDIA</v>
          </cell>
          <cell r="G166">
            <v>7.7755508146000005E-2</v>
          </cell>
          <cell r="H166">
            <v>9.9012151534999995E-2</v>
          </cell>
          <cell r="I166">
            <v>5.5276507111000003E-2</v>
          </cell>
          <cell r="J166">
            <v>5.342008761E-2</v>
          </cell>
          <cell r="K166">
            <v>0.03</v>
          </cell>
          <cell r="L166">
            <v>0.03</v>
          </cell>
          <cell r="M166">
            <v>0.03</v>
          </cell>
          <cell r="N166">
            <v>0.03</v>
          </cell>
          <cell r="O166">
            <v>0.03</v>
          </cell>
          <cell r="P166">
            <v>0.03</v>
          </cell>
        </row>
        <row r="167">
          <cell r="B167" t="str">
            <v>Sales - % Indonesia</v>
          </cell>
          <cell r="C167" t="str">
            <v>SALES_INDONESIA</v>
          </cell>
          <cell r="I167">
            <v>1.9453986619999999E-2</v>
          </cell>
          <cell r="J167">
            <v>2.9987860137E-2</v>
          </cell>
          <cell r="K167">
            <v>0.01</v>
          </cell>
          <cell r="L167">
            <v>0.01</v>
          </cell>
          <cell r="M167">
            <v>0.01</v>
          </cell>
          <cell r="N167">
            <v>0.01</v>
          </cell>
          <cell r="O167">
            <v>0.01</v>
          </cell>
          <cell r="P167">
            <v>0.01</v>
          </cell>
        </row>
        <row r="168">
          <cell r="B168" t="str">
            <v>Sales - % Thailand</v>
          </cell>
          <cell r="C168" t="str">
            <v>SALES_THAILAND</v>
          </cell>
          <cell r="H168">
            <v>0.42729343979200002</v>
          </cell>
          <cell r="I168">
            <v>0.31984862929399999</v>
          </cell>
        </row>
        <row r="169">
          <cell r="B169" t="str">
            <v>Sales - % Other Emerging Asia</v>
          </cell>
          <cell r="C169" t="str">
            <v>SALES_OTH_EMERG_ASIA</v>
          </cell>
          <cell r="G169">
            <v>7.6287045398000006E-2</v>
          </cell>
          <cell r="H169">
            <v>0.42729343979200002</v>
          </cell>
          <cell r="I169">
            <v>0.31984862929399999</v>
          </cell>
          <cell r="J169">
            <v>0.18170548596800001</v>
          </cell>
          <cell r="K169">
            <v>0.18170548596800001</v>
          </cell>
          <cell r="L169">
            <v>0.18170548596800001</v>
          </cell>
          <cell r="M169">
            <v>0.18170548596800001</v>
          </cell>
          <cell r="N169">
            <v>0.18170548596800001</v>
          </cell>
          <cell r="O169">
            <v>0.18170548596800001</v>
          </cell>
          <cell r="P169">
            <v>0.18170548596800001</v>
          </cell>
        </row>
        <row r="170">
          <cell r="B170" t="str">
            <v>Sales - % Australia</v>
          </cell>
          <cell r="C170" t="str">
            <v>SALES_AUSTRA</v>
          </cell>
        </row>
        <row r="171">
          <cell r="B171" t="str">
            <v>Sales - % New Zealand</v>
          </cell>
          <cell r="C171" t="str">
            <v>SALES_NZ</v>
          </cell>
        </row>
        <row r="172">
          <cell r="B172" t="str">
            <v>Sales - % Others</v>
          </cell>
          <cell r="C172" t="str">
            <v>SALES_OTHER</v>
          </cell>
          <cell r="G172">
            <v>4.3488979507000002E-2</v>
          </cell>
          <cell r="H172">
            <v>4.7939758379999999E-3</v>
          </cell>
          <cell r="I172">
            <v>9.19140232E-3</v>
          </cell>
          <cell r="J172">
            <v>1.2529000405000001E-2</v>
          </cell>
          <cell r="K172">
            <v>1.7888294759999999E-2</v>
          </cell>
          <cell r="L172">
            <v>3.0537682699E-2</v>
          </cell>
          <cell r="M172">
            <v>2.5602375877999999E-2</v>
          </cell>
          <cell r="N172">
            <v>2.5602375877999999E-2</v>
          </cell>
          <cell r="O172">
            <v>2.5602375877999999E-2</v>
          </cell>
          <cell r="P172">
            <v>2.5602375877999999E-2</v>
          </cell>
        </row>
        <row r="173">
          <cell r="B173" t="str">
            <v>% of CoGS from U.S. (GS estimate)</v>
          </cell>
          <cell r="C173" t="str">
            <v>COGS_PCT_US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B174" t="str">
            <v>% of CoGS from non-U.S. (GS estimate)</v>
          </cell>
          <cell r="C174" t="str">
            <v>COGS_PCT_ROW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</row>
        <row r="175">
          <cell r="B175" t="str">
            <v>% of SG&amp;A from U.S. (GS estimate)</v>
          </cell>
          <cell r="C175" t="str">
            <v>SGA_PCT_US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B176" t="str">
            <v>% of SG&amp;A from non-U.S. (GS estimate)</v>
          </cell>
          <cell r="C176" t="str">
            <v>SGA_PCT_ROW</v>
          </cell>
          <cell r="G176">
            <v>1</v>
          </cell>
          <cell r="H176">
            <v>1</v>
          </cell>
          <cell r="I176">
            <v>1</v>
          </cell>
          <cell r="J176">
            <v>1</v>
          </cell>
          <cell r="K176">
            <v>1</v>
          </cell>
          <cell r="L176">
            <v>1</v>
          </cell>
          <cell r="M176">
            <v>1</v>
          </cell>
          <cell r="N176">
            <v>1</v>
          </cell>
          <cell r="O176">
            <v>1</v>
          </cell>
          <cell r="P176">
            <v>1</v>
          </cell>
        </row>
        <row r="177">
          <cell r="B177" t="str">
            <v>Sales -% Consumer (C)</v>
          </cell>
          <cell r="C177" t="str">
            <v>SALES_CONS</v>
          </cell>
        </row>
        <row r="178">
          <cell r="B178" t="str">
            <v>Sales -% Industry (I)</v>
          </cell>
          <cell r="C178" t="str">
            <v>SALES_IND</v>
          </cell>
          <cell r="G178">
            <v>1</v>
          </cell>
          <cell r="H178">
            <v>1</v>
          </cell>
          <cell r="I178">
            <v>1</v>
          </cell>
          <cell r="J178">
            <v>1</v>
          </cell>
          <cell r="K178">
            <v>1</v>
          </cell>
          <cell r="L178">
            <v>1</v>
          </cell>
          <cell r="M178">
            <v>1</v>
          </cell>
          <cell r="N178">
            <v>1</v>
          </cell>
          <cell r="O178">
            <v>1</v>
          </cell>
          <cell r="P178">
            <v>1</v>
          </cell>
        </row>
        <row r="179">
          <cell r="B179" t="str">
            <v>Sales -% Government (G)</v>
          </cell>
          <cell r="C179" t="str">
            <v>SALES_GOV</v>
          </cell>
        </row>
        <row r="180">
          <cell r="B180" t="str">
            <v>Sales - % Industry Sub-Segment: Financial Services</v>
          </cell>
          <cell r="C180" t="str">
            <v>SALES_FINAN</v>
          </cell>
        </row>
        <row r="181">
          <cell r="B181" t="str">
            <v>Sales - % Industry Sub-Segment: Oil &amp; Gas</v>
          </cell>
          <cell r="C181" t="str">
            <v>SALES_OIL_GAS</v>
          </cell>
        </row>
        <row r="183">
          <cell r="B183" t="str">
            <v>Expense - % Oil/Petrol/Fuel</v>
          </cell>
          <cell r="C183" t="str">
            <v>EXP_OIL_PETRO_FUEL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94">
          <cell r="F194"/>
          <cell r="G194"/>
          <cell r="H194"/>
          <cell r="I194"/>
          <cell r="J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</row>
        <row r="196">
          <cell r="B196" t="str">
            <v>Sales - % FX: British Pounds/Pence</v>
          </cell>
          <cell r="C196" t="str">
            <v>SALES_FX_GPB</v>
          </cell>
        </row>
        <row r="197">
          <cell r="B197" t="str">
            <v>Sales - % FX: Euro</v>
          </cell>
          <cell r="C197" t="str">
            <v>SALES_FX_EUR</v>
          </cell>
        </row>
        <row r="198">
          <cell r="B198" t="str">
            <v>Sales - % FX: New Russian Ruble</v>
          </cell>
          <cell r="C198" t="str">
            <v>SALES_FX_RUB</v>
          </cell>
        </row>
        <row r="199">
          <cell r="B199" t="str">
            <v>Sales - % FX: U.S. Dollar</v>
          </cell>
          <cell r="C199" t="str">
            <v>SALES_FX_USD</v>
          </cell>
        </row>
        <row r="200">
          <cell r="B200" t="str">
            <v>Sales - % FX: Brazilian Real</v>
          </cell>
          <cell r="C200" t="str">
            <v>SALES_FX_BRL</v>
          </cell>
          <cell r="G200">
            <v>0</v>
          </cell>
          <cell r="H200">
            <v>0</v>
          </cell>
          <cell r="I200">
            <v>5.1268714419999998E-3</v>
          </cell>
          <cell r="J200">
            <v>5.3692138154000001E-2</v>
          </cell>
          <cell r="K200">
            <v>5.3692138154000001E-2</v>
          </cell>
          <cell r="L200">
            <v>5.3692138154000001E-2</v>
          </cell>
          <cell r="M200">
            <v>5.3692138154000001E-2</v>
          </cell>
          <cell r="N200">
            <v>5.3692138154000001E-2</v>
          </cell>
        </row>
        <row r="201">
          <cell r="B201" t="str">
            <v>Sales - % FX: Japanese Yen</v>
          </cell>
          <cell r="C201" t="str">
            <v>SALES_FX_YEN</v>
          </cell>
        </row>
        <row r="202">
          <cell r="B202" t="str">
            <v>Sales - % FX: Chinese Renminbi</v>
          </cell>
          <cell r="C202" t="str">
            <v>SALES_FX_CNY</v>
          </cell>
          <cell r="G202">
            <v>0.245991398685</v>
          </cell>
          <cell r="H202">
            <v>0.19744773337300001</v>
          </cell>
          <cell r="I202">
            <v>0.31578911660800002</v>
          </cell>
          <cell r="J202">
            <v>0.24495134660699999</v>
          </cell>
          <cell r="K202">
            <v>0.28299999999999997</v>
          </cell>
          <cell r="L202">
            <v>0.2437</v>
          </cell>
          <cell r="M202">
            <v>0.22900000000000001</v>
          </cell>
          <cell r="N202">
            <v>0.22900000000000001</v>
          </cell>
        </row>
        <row r="203">
          <cell r="B203" t="str">
            <v>Sales - % FX: Indian Rupee</v>
          </cell>
          <cell r="C203" t="str">
            <v>SALES_FX_INR</v>
          </cell>
          <cell r="G203">
            <v>7.7755508146000005E-2</v>
          </cell>
          <cell r="H203">
            <v>9.9012151534999995E-2</v>
          </cell>
          <cell r="I203">
            <v>5.5276507111000003E-2</v>
          </cell>
          <cell r="J203">
            <v>5.342008761E-2</v>
          </cell>
          <cell r="K203">
            <v>0.03</v>
          </cell>
          <cell r="L203">
            <v>0.03</v>
          </cell>
          <cell r="M203">
            <v>0.03</v>
          </cell>
          <cell r="N203">
            <v>0.03</v>
          </cell>
        </row>
        <row r="204">
          <cell r="B204" t="str">
            <v>Sales - % FX: South Korean Won</v>
          </cell>
          <cell r="C204" t="str">
            <v>SALES_FX_KRW</v>
          </cell>
          <cell r="G204">
            <v>0.10458627869500001</v>
          </cell>
          <cell r="H204">
            <v>9.5149316287000005E-2</v>
          </cell>
          <cell r="I204">
            <v>0.13002069143</v>
          </cell>
          <cell r="J204">
            <v>0.12036469318</v>
          </cell>
          <cell r="K204">
            <v>0.12036469318</v>
          </cell>
          <cell r="L204">
            <v>0.12036469318</v>
          </cell>
          <cell r="M204">
            <v>0.14000000000000001</v>
          </cell>
          <cell r="N204">
            <v>0.14000000000000001</v>
          </cell>
        </row>
        <row r="205">
          <cell r="B205" t="str">
            <v>Sales - % FX: Taiwan Dollar</v>
          </cell>
          <cell r="C205" t="str">
            <v>SALES_FX_TWD</v>
          </cell>
        </row>
        <row r="206">
          <cell r="B206" t="str">
            <v>Sales - % FX: Other Currency</v>
          </cell>
          <cell r="C206" t="str">
            <v>SALES_FX_OTH</v>
          </cell>
          <cell r="G206">
            <v>0.57166681447400003</v>
          </cell>
          <cell r="H206">
            <v>0.60839079880500002</v>
          </cell>
          <cell r="I206">
            <v>0.49378681340800001</v>
          </cell>
          <cell r="J206">
            <v>0.52757173444899996</v>
          </cell>
          <cell r="K206">
            <v>0.51294316866599998</v>
          </cell>
          <cell r="L206">
            <v>0.55224316866599998</v>
          </cell>
          <cell r="M206">
            <v>0.547307861846</v>
          </cell>
          <cell r="N206">
            <v>0.547307861846</v>
          </cell>
        </row>
        <row r="208">
          <cell r="B208" t="str">
            <v>Sales - Total % Americas</v>
          </cell>
          <cell r="C208" t="str">
            <v>SALES_TOT_AM</v>
          </cell>
        </row>
        <row r="209">
          <cell r="B209" t="str">
            <v>Sales - % Other Americas</v>
          </cell>
          <cell r="C209" t="str">
            <v>SALES_OTH_AM</v>
          </cell>
        </row>
        <row r="210">
          <cell r="B210" t="str">
            <v>Sales - Total % EMEA</v>
          </cell>
          <cell r="C210" t="str">
            <v>SALES_TOT_EMEA</v>
          </cell>
        </row>
        <row r="211">
          <cell r="B211" t="str">
            <v>Sales - % Western Europe-Ex UK</v>
          </cell>
          <cell r="C211" t="str">
            <v>SALES_EU_EX_UK</v>
          </cell>
        </row>
        <row r="212">
          <cell r="B212" t="str">
            <v>Sales - % Central &amp; Eastern Europe</v>
          </cell>
          <cell r="C212" t="str">
            <v>SALES_CEE</v>
          </cell>
        </row>
        <row r="213">
          <cell r="B213" t="str">
            <v>Sales - % Middle East</v>
          </cell>
          <cell r="C213" t="str">
            <v>SALES_ME</v>
          </cell>
        </row>
        <row r="214">
          <cell r="B214" t="str">
            <v>Sales - % Total Africa</v>
          </cell>
          <cell r="C214" t="str">
            <v>SALES_TOT_AFRICA</v>
          </cell>
        </row>
        <row r="215">
          <cell r="B215" t="str">
            <v>Sales - % Other EMEA</v>
          </cell>
          <cell r="C215" t="str">
            <v>SALES_OTH_EMEA</v>
          </cell>
        </row>
        <row r="216">
          <cell r="B216" t="str">
            <v>Sales - Total % Asia (incl Australia &amp; New Zealand)</v>
          </cell>
          <cell r="C216" t="str">
            <v>SALES_TOT_ASIA</v>
          </cell>
        </row>
        <row r="217">
          <cell r="B217" t="str">
            <v>Sales - % Other Asia</v>
          </cell>
          <cell r="C217" t="str">
            <v>SALES_OTH_AEJ</v>
          </cell>
        </row>
      </sheetData>
      <sheetData sheetId="18">
        <row r="1">
          <cell r="A1" t="str">
            <v>a6bc38e6-3aec-4dfb-a8a9-36c573130280</v>
          </cell>
        </row>
        <row r="2">
          <cell r="A2" t="str">
            <v>\\firmwide.corp.gs.com\root\Projects\Research\hk\gc_tech_telco\GC Tech\Models\Maxscend\[Maxscend wip.xlsx]300782.SZ_Validation_Sheet</v>
          </cell>
        </row>
        <row r="3">
          <cell r="A3" t="str">
            <v>Enabled</v>
          </cell>
          <cell r="K3" t="str">
            <v>ERROR</v>
          </cell>
          <cell r="L3" t="str">
            <v>ERROR</v>
          </cell>
          <cell r="O3" t="str">
            <v>ERROR</v>
          </cell>
          <cell r="W3" t="str">
            <v>ERROR</v>
          </cell>
          <cell r="X3" t="str">
            <v>ERROR</v>
          </cell>
          <cell r="Y3" t="str">
            <v>ERROR</v>
          </cell>
          <cell r="AA3" t="str">
            <v>ERROR</v>
          </cell>
          <cell r="AE3" t="str">
            <v>ERROR</v>
          </cell>
          <cell r="AF3" t="str">
            <v>ERROR</v>
          </cell>
          <cell r="AG3" t="str">
            <v>ERROR</v>
          </cell>
          <cell r="AH3" t="str">
            <v>ERROR</v>
          </cell>
          <cell r="AI3" t="str">
            <v>ERROR</v>
          </cell>
          <cell r="AM3" t="str">
            <v>ERROR</v>
          </cell>
          <cell r="AQ3" t="str">
            <v>ERROR</v>
          </cell>
          <cell r="AR3" t="str">
            <v>ERROR</v>
          </cell>
          <cell r="AS3" t="str">
            <v>ERROR</v>
          </cell>
        </row>
        <row r="11">
          <cell r="A11" t="str">
            <v>Vector|||208019500|||ISSR|||SALES|||False|||</v>
          </cell>
          <cell r="C11" t="str">
            <v>V_KEYWORD_ISSR_208019500_SALES</v>
          </cell>
        </row>
        <row r="12">
          <cell r="A12" t="str">
            <v>Vector|||208019500|||ISSR|||PERSONNEL|||False|||</v>
          </cell>
          <cell r="C12" t="str">
            <v>V_KEYWORD_ISSR_208019500_PERSONNEL</v>
          </cell>
        </row>
        <row r="13">
          <cell r="A13" t="str">
            <v>Vector|||208019500|||ISSR|||COST_GD_SD|||False|||</v>
          </cell>
          <cell r="C13" t="str">
            <v>V_KEYWORD_ISSR_208019500_COST_GD_SD</v>
          </cell>
        </row>
        <row r="14">
          <cell r="A14" t="str">
            <v>Vector|||208019500|||ISSR|||SEL_GL_AD|||False|||</v>
          </cell>
          <cell r="C14" t="str">
            <v>V_KEYWORD_ISSR_208019500_SEL_GL_AD</v>
          </cell>
        </row>
        <row r="15">
          <cell r="A15" t="str">
            <v>Vector|||208019500|||ISSR|||OP_COST|||False|||</v>
          </cell>
          <cell r="C15" t="str">
            <v>V_KEYWORD_ISSR_208019500_OP_COST</v>
          </cell>
        </row>
        <row r="16">
          <cell r="A16" t="str">
            <v>Vector|||208019500|||ISSR|||RD_EXP|||False|||</v>
          </cell>
          <cell r="C16" t="str">
            <v>V_KEYWORD_ISSR_208019500_RD_EXP</v>
          </cell>
        </row>
        <row r="17">
          <cell r="A17" t="str">
            <v>Vector|||208019500|||ISSR|||OTH_OP_INC_EXP|||False|||</v>
          </cell>
          <cell r="C17" t="str">
            <v>V_KEYWORD_ISSR_208019500_OTH_OP_INC_EXP</v>
          </cell>
        </row>
        <row r="18">
          <cell r="A18" t="str">
            <v>Vector|||208019500|||ISSR|||TOT_OPS_EXP_DDA|||False|||</v>
          </cell>
          <cell r="C18" t="str">
            <v>V_KEYWORD_ISSR_208019500_TOT_OPS_EXP_DDA</v>
          </cell>
        </row>
        <row r="19">
          <cell r="A19" t="str">
            <v>Vector|||208019500|||ISSR|||TOT_OPS_EXP|||False|||</v>
          </cell>
          <cell r="C19" t="str">
            <v>V_KEYWORD_ISSR_208019500_TOT_OPS_EXP</v>
          </cell>
        </row>
        <row r="20">
          <cell r="A20" t="str">
            <v>Vector|||208019500|||ISSR|||EBITDA_CALC|||False|||</v>
          </cell>
          <cell r="C20" t="str">
            <v>V_KEYWORD_ISSR_208019500_EBITDA_CALC</v>
          </cell>
        </row>
        <row r="21">
          <cell r="A21" t="str">
            <v>Vector|||208019500|||ISSR|||DEPREC|||False|||</v>
          </cell>
          <cell r="C21" t="str">
            <v>V_KEYWORD_ISSR_208019500_DEPREC</v>
          </cell>
        </row>
        <row r="22">
          <cell r="A22" t="str">
            <v>Vector|||208019500|||ISSR|||GOODWILL_AMORT|||False|||</v>
          </cell>
          <cell r="C22" t="str">
            <v>V_KEYWORD_ISSR_208019500_GOODWILL_AMORT</v>
          </cell>
        </row>
        <row r="23">
          <cell r="A23" t="str">
            <v>Vector|||208019500|||ISSR|||EBIT|||False|||</v>
          </cell>
          <cell r="C23" t="str">
            <v>V_KEYWORD_ISSR_208019500_EBIT</v>
          </cell>
        </row>
        <row r="24">
          <cell r="A24" t="str">
            <v>Vector|||208019500|||ISSR|||INT_INC_IND|||False|||</v>
          </cell>
          <cell r="C24" t="str">
            <v>V_KEYWORD_ISSR_208019500_INT_INC_IND</v>
          </cell>
        </row>
        <row r="25">
          <cell r="A25" t="str">
            <v>Vector|||208019500|||ISSR|||INT_EXP_IND|||False|||</v>
          </cell>
          <cell r="C25" t="str">
            <v>V_KEYWORD_ISSR_208019500_INT_EXP_IND</v>
          </cell>
        </row>
        <row r="26">
          <cell r="A26" t="str">
            <v>Vector|||208019500|||ISSR|||NET_INT_EXP|||False|||</v>
          </cell>
          <cell r="C26" t="str">
            <v>V_KEYWORD_ISSR_208019500_NET_INT_EXP</v>
          </cell>
        </row>
        <row r="27">
          <cell r="A27" t="str">
            <v>Vector|||208019500|||ISSR|||ASSOCIATE|||False|||</v>
          </cell>
          <cell r="C27" t="str">
            <v>V_KEYWORD_ISSR_208019500_ASSOCIATE</v>
          </cell>
        </row>
        <row r="28">
          <cell r="A28" t="str">
            <v>Vector|||208019500|||ISSR|||PROFIT_ON_DISP|||False|||</v>
          </cell>
          <cell r="C28" t="str">
            <v>V_KEYWORD_ISSR_208019500_PROFIT_ON_DISP</v>
          </cell>
        </row>
        <row r="29">
          <cell r="A29" t="str">
            <v>Vector|||208019500|||ISSR|||OTH_COST_INC|||False|||</v>
          </cell>
          <cell r="C29" t="str">
            <v>V_KEYWORD_ISSR_208019500_OTH_COST_INC</v>
          </cell>
        </row>
        <row r="30">
          <cell r="A30" t="str">
            <v>Vector|||208019500|||ISSR|||PT_PROF|||False|||</v>
          </cell>
          <cell r="C30" t="str">
            <v>V_KEYWORD_ISSR_208019500_PT_PROF</v>
          </cell>
        </row>
        <row r="32">
          <cell r="A32" t="str">
            <v>Vector|||208019500|||ISSR|||CONTRIB_MARGIN_RATIO|||False|||</v>
          </cell>
          <cell r="C32" t="str">
            <v>V_KEYWORD_ISSR_208019500_CONTRIB_MARGIN_RATIO</v>
          </cell>
        </row>
        <row r="33">
          <cell r="A33" t="str">
            <v>Vector|||208019500|||ISSR|||LEASE_PAY|||False|||</v>
          </cell>
          <cell r="C33" t="str">
            <v>V_KEYWORD_ISSR_208019500_LEASE_PAY</v>
          </cell>
        </row>
        <row r="34">
          <cell r="A34" t="str">
            <v>Vector|||208019500|||ISSR|||LEASE_DEEM_INT|||False|||</v>
          </cell>
          <cell r="C34" t="str">
            <v>V_KEYWORD_ISSR_208019500_LEASE_DEEM_INT</v>
          </cell>
        </row>
        <row r="35">
          <cell r="A35" t="str">
            <v>Vector|||208019500|||ISSR|||LEASE_DEEM_DEPR|||False|||</v>
          </cell>
          <cell r="C35" t="str">
            <v>V_KEYWORD_ISSR_208019500_LEASE_DEEM_DEPR</v>
          </cell>
        </row>
        <row r="36">
          <cell r="A36" t="str">
            <v>Vector|||208019500|||ISSR|||NET_INT_CH|||False|||</v>
          </cell>
          <cell r="C36" t="str">
            <v>V_KEYWORD_ISSR_208019500_NET_INT_CH</v>
          </cell>
        </row>
        <row r="37">
          <cell r="A37" t="str">
            <v>Vector|||208019500|||ISSR|||ASSOCIATE_OP|||False|||</v>
          </cell>
          <cell r="C37" t="str">
            <v>V_KEYWORD_ISSR_208019500_ASSOCIATE_OP</v>
          </cell>
        </row>
        <row r="38">
          <cell r="A38" t="str">
            <v>Vector|||208019500|||ISSR|||DEPR_ROU_ASSETS|||False|||</v>
          </cell>
          <cell r="C38" t="str">
            <v>V_KEYWORD_ISSR_208019500_DEPR_ROU_ASSETS</v>
          </cell>
        </row>
        <row r="39">
          <cell r="A39" t="str">
            <v>Vector|||208019500|||ISSR|||LEASE_INT_CHG|||False|||</v>
          </cell>
          <cell r="C39" t="str">
            <v>V_KEYWORD_ISSR_208019500_LEASE_INT_CHG</v>
          </cell>
        </row>
        <row r="42">
          <cell r="A42" t="str">
            <v>Vector|||208019500|||ISSR|||CASH_EQ|||False|||</v>
          </cell>
          <cell r="C42" t="str">
            <v>V_KEYWORD_ISSR_208019500_CASH_EQ</v>
          </cell>
        </row>
        <row r="43">
          <cell r="A43" t="str">
            <v>Vector|||208019500|||ISSR|||DEBTORS|||False|||</v>
          </cell>
          <cell r="C43" t="str">
            <v>V_KEYWORD_ISSR_208019500_DEBTORS</v>
          </cell>
        </row>
        <row r="44">
          <cell r="A44" t="str">
            <v>Vector|||208019500|||ISSR|||STOCKS|||False|||</v>
          </cell>
          <cell r="C44" t="str">
            <v>V_KEYWORD_ISSR_208019500_STOCKS</v>
          </cell>
        </row>
        <row r="45">
          <cell r="A45" t="str">
            <v>Vector|||208019500|||ISSR|||OTH_CUR_ASS|||False|||</v>
          </cell>
          <cell r="C45" t="str">
            <v>V_KEYWORD_ISSR_208019500_OTH_CUR_ASS</v>
          </cell>
        </row>
        <row r="46">
          <cell r="A46" t="str">
            <v>Vector|||208019500|||ISSR|||CUR_ASS|||False|||</v>
          </cell>
          <cell r="C46" t="str">
            <v>V_KEYWORD_ISSR_208019500_CUR_ASS</v>
          </cell>
        </row>
        <row r="47">
          <cell r="A47" t="str">
            <v>Vector|||208019500|||ISSR|||GR_FIX_ASS|||False|||</v>
          </cell>
          <cell r="C47" t="str">
            <v>V_KEYWORD_ISSR_208019500_GR_FIX_ASS</v>
          </cell>
        </row>
        <row r="48">
          <cell r="A48" t="str">
            <v>Vector|||208019500|||ISSR|||ACC_DDA|||False|||</v>
          </cell>
          <cell r="C48" t="str">
            <v>V_KEYWORD_ISSR_208019500_ACC_DDA</v>
          </cell>
        </row>
        <row r="49">
          <cell r="A49" t="str">
            <v>Vector|||208019500|||ISSR|||NET_FIX_ASS|||False|||</v>
          </cell>
          <cell r="C49" t="str">
            <v>V_KEYWORD_ISSR_208019500_NET_FIX_ASS</v>
          </cell>
        </row>
        <row r="50">
          <cell r="A50" t="str">
            <v>Vector|||208019500|||ISSR|||GR_INTANG|||False|||</v>
          </cell>
          <cell r="C50" t="str">
            <v>V_KEYWORD_ISSR_208019500_GR_INTANG</v>
          </cell>
        </row>
        <row r="51">
          <cell r="A51" t="str">
            <v>Vector|||208019500|||ISSR|||ACC_AMORT|||False|||</v>
          </cell>
          <cell r="C51" t="str">
            <v>V_KEYWORD_ISSR_208019500_ACC_AMORT</v>
          </cell>
        </row>
        <row r="52">
          <cell r="A52" t="str">
            <v>Vector|||208019500|||ISSR|||NET_INTANG|||False|||</v>
          </cell>
          <cell r="C52" t="str">
            <v>V_KEYWORD_ISSR_208019500_NET_INTANG</v>
          </cell>
        </row>
        <row r="53">
          <cell r="A53" t="str">
            <v>Vector|||208019500|||ISSR|||FIX_ASS_INV|||False|||</v>
          </cell>
          <cell r="C53" t="str">
            <v>V_KEYWORD_ISSR_208019500_FIX_ASS_INV</v>
          </cell>
        </row>
        <row r="54">
          <cell r="A54" t="str">
            <v>Vector|||208019500|||ISSR|||INV_SECUR|||False|||</v>
          </cell>
          <cell r="C54" t="str">
            <v>V_KEYWORD_ISSR_208019500_INV_SECUR</v>
          </cell>
        </row>
        <row r="55">
          <cell r="A55" t="str">
            <v>Vector|||208019500|||ISSR|||OTH_LT_ASS|||False|||</v>
          </cell>
          <cell r="C55" t="str">
            <v>V_KEYWORD_ISSR_208019500_OTH_LT_ASS</v>
          </cell>
        </row>
        <row r="56">
          <cell r="A56" t="str">
            <v>Vector|||208019500|||ISSR|||TOT_ASSET|||False|||</v>
          </cell>
          <cell r="C56" t="str">
            <v>V_KEYWORD_ISSR_208019500_TOT_ASSET</v>
          </cell>
        </row>
        <row r="57">
          <cell r="A57" t="str">
            <v>Vector|||208019500|||ISSR|||ACC_PAY_GQ|||False|||</v>
          </cell>
          <cell r="C57" t="str">
            <v>V_KEYWORD_ISSR_208019500_ACC_PAY_GQ</v>
          </cell>
        </row>
        <row r="58">
          <cell r="A58" t="str">
            <v>Vector|||208019500|||ISSR|||SHORT_T_DEBT|||False|||</v>
          </cell>
          <cell r="C58" t="str">
            <v>V_KEYWORD_ISSR_208019500_SHORT_T_DEBT</v>
          </cell>
        </row>
        <row r="59">
          <cell r="A59" t="str">
            <v>Vector|||208019500|||ISSR|||ST_LEASE_LIAB|||False|||</v>
          </cell>
          <cell r="C59" t="str">
            <v>V_KEYWORD_ISSR_208019500_ST_LEASE_LIAB</v>
          </cell>
        </row>
        <row r="60">
          <cell r="A60" t="str">
            <v>Vector|||208019500|||ISSR|||OTH_CUR_LIABS|||False|||</v>
          </cell>
          <cell r="C60" t="str">
            <v>V_KEYWORD_ISSR_208019500_OTH_CUR_LIABS</v>
          </cell>
        </row>
        <row r="61">
          <cell r="A61" t="str">
            <v>Vector|||208019500|||ISSR|||SHORT_TERM_LIABS|||False|||</v>
          </cell>
          <cell r="C61" t="str">
            <v>V_KEYWORD_ISSR_208019500_SHORT_TERM_LIABS</v>
          </cell>
        </row>
        <row r="62">
          <cell r="A62" t="str">
            <v>Vector|||208019500|||ISSR|||LT_DEBT|||False|||</v>
          </cell>
          <cell r="C62" t="str">
            <v>V_KEYWORD_ISSR_208019500_LT_DEBT</v>
          </cell>
        </row>
        <row r="63">
          <cell r="A63" t="str">
            <v>Vector|||208019500|||ISSR|||LT_LEASE_LIAB|||False|||</v>
          </cell>
          <cell r="C63" t="str">
            <v>V_KEYWORD_ISSR_208019500_LT_LEASE_LIAB</v>
          </cell>
        </row>
        <row r="64">
          <cell r="A64" t="str">
            <v>Vector|||208019500|||ISSR|||OTH_LT_CRED_GQ|||False|||</v>
          </cell>
          <cell r="C64" t="str">
            <v>V_KEYWORD_ISSR_208019500_OTH_LT_CRED_GQ</v>
          </cell>
        </row>
        <row r="65">
          <cell r="A65" t="str">
            <v>Vector|||208019500|||ISSR|||TOT_LT_LIAB|||False|||</v>
          </cell>
          <cell r="C65" t="str">
            <v>V_KEYWORD_ISSR_208019500_TOT_LT_LIAB</v>
          </cell>
        </row>
        <row r="66">
          <cell r="A66" t="str">
            <v>Vector|||208019500|||ISSR|||TOT_LIAB|||False|||</v>
          </cell>
          <cell r="C66" t="str">
            <v>V_KEYWORD_ISSR_208019500_TOT_LIAB</v>
          </cell>
        </row>
        <row r="67">
          <cell r="A67" t="str">
            <v>Vector|||208019500|||ISSR|||PREF_SH|||False|||</v>
          </cell>
          <cell r="C67" t="str">
            <v>V_KEYWORD_ISSR_208019500_PREF_SH</v>
          </cell>
        </row>
        <row r="68">
          <cell r="A68" t="str">
            <v>Vector|||208019500|||ISSR|||ORD_SH_FUND|||False|||</v>
          </cell>
          <cell r="C68" t="str">
            <v>V_KEYWORD_ISSR_208019500_ORD_SH_FUND</v>
          </cell>
        </row>
        <row r="69">
          <cell r="A69" t="str">
            <v>Vector|||208019500|||ISSR|||MINORITIES|||False|||</v>
          </cell>
          <cell r="C69" t="str">
            <v>V_KEYWORD_ISSR_208019500_MINORITIES</v>
          </cell>
        </row>
        <row r="70">
          <cell r="A70" t="str">
            <v>Vector|||208019500|||ISSR|||EQ|||False|||</v>
          </cell>
          <cell r="C70" t="str">
            <v>V_KEYWORD_ISSR_208019500_EQ</v>
          </cell>
        </row>
        <row r="71">
          <cell r="A71" t="str">
            <v>Vector|||208019500|||ISSR|||TOT_LIAB_EQ|||False|||</v>
          </cell>
          <cell r="C71" t="str">
            <v>V_KEYWORD_ISSR_208019500_TOT_LIAB_EQ</v>
          </cell>
        </row>
        <row r="73">
          <cell r="A73" t="str">
            <v>Vector|||208019500|||ISSR|||TOT_USD_DEBT|||False|||</v>
          </cell>
          <cell r="C73" t="str">
            <v>V_KEYWORD_ISSR_208019500_TOT_USD_DEBT</v>
          </cell>
        </row>
        <row r="74">
          <cell r="A74" t="str">
            <v>Vector|||208019500|||ISSR|||TOT_PCT_USD_DEBT_HEDGED|||False|||</v>
          </cell>
          <cell r="C74" t="str">
            <v>V_KEYWORD_ISSR_208019500_TOT_PCT_USD_DEBT_HEDGED</v>
          </cell>
        </row>
        <row r="75">
          <cell r="A75" t="str">
            <v>Vector|||208019500|||ISSR|||FLOATING_PCT_LOCAL_DEBT|||False|||</v>
          </cell>
          <cell r="C75" t="str">
            <v>V_KEYWORD_ISSR_208019500_FLOATING_PCT_LOCAL_DEBT</v>
          </cell>
        </row>
        <row r="76">
          <cell r="A76" t="str">
            <v>Vector|||208019500|||ISSR|||FLOATING_PCT_LOCAL_DEBT_HEDGED|||False|||</v>
          </cell>
          <cell r="C76" t="str">
            <v>V_KEYWORD_ISSR_208019500_FLOATING_PCT_LOCAL_DEBT_HEDGED</v>
          </cell>
        </row>
        <row r="77">
          <cell r="A77" t="str">
            <v>Vector|||208019500|||ISSR|||NET_DEBT|||False|||</v>
          </cell>
          <cell r="C77" t="str">
            <v>V_KEYWORD_ISSR_208019500_NET_DEBT</v>
          </cell>
        </row>
        <row r="78">
          <cell r="A78" t="str">
            <v>Vector|||208019500|||ISSR|||CAP_LEASES|||False|||</v>
          </cell>
          <cell r="C78" t="str">
            <v>V_KEYWORD_ISSR_208019500_CAP_LEASES</v>
          </cell>
        </row>
        <row r="79">
          <cell r="A79" t="str">
            <v>Vector|||208019500|||ISSR|||DEF_INC_TAX|||False|||</v>
          </cell>
          <cell r="C79" t="str">
            <v>V_KEYWORD_ISSR_208019500_DEF_INC_TAX</v>
          </cell>
        </row>
        <row r="80">
          <cell r="A80" t="str">
            <v>Vector|||208019500|||ISSR|||MV_ASSOCIATES|||False|||</v>
          </cell>
          <cell r="C80" t="str">
            <v>V_KEYWORD_ISSR_208019500_MV_ASSOCIATES</v>
          </cell>
        </row>
        <row r="81">
          <cell r="A81" t="str">
            <v>Vector|||208019500|||ISSR|||NET_DEBT_ADJ|||False|||</v>
          </cell>
          <cell r="C81" t="str">
            <v>V_KEYWORD_ISSR_208019500_NET_DEBT_ADJ</v>
          </cell>
        </row>
        <row r="82">
          <cell r="A82" t="str">
            <v>Vector|||208019500|||ISSR|||CO_BOR_MARGIN|||False|||</v>
          </cell>
          <cell r="C82" t="str">
            <v>V_KEYWORD_ISSR_208019500_CO_BOR_MARGIN</v>
          </cell>
        </row>
        <row r="83">
          <cell r="A83" t="str">
            <v>Vector|||208019500|||ISSR|||UNF_PENS|||False|||</v>
          </cell>
          <cell r="C83" t="str">
            <v>V_KEYWORD_ISSR_208019500_UNF_PENS</v>
          </cell>
        </row>
        <row r="84">
          <cell r="A84" t="str">
            <v>Vector|||208019500|||ISSR|||UNF_PENS_OFF|||False|||</v>
          </cell>
          <cell r="C84" t="str">
            <v>V_KEYWORD_ISSR_208019500_UNF_PENS_OFF</v>
          </cell>
        </row>
        <row r="85">
          <cell r="A85" t="str">
            <v>Vector|||208019500|||ISSR|||UNF_PENS_LIAB_OTH|||False|||</v>
          </cell>
          <cell r="C85" t="str">
            <v>V_KEYWORD_ISSR_208019500_UNF_PENS_LIAB_OTH</v>
          </cell>
        </row>
        <row r="86">
          <cell r="A86" t="str">
            <v>Vector|||208019500|||ISSR|||ADJ_UNF_PENS_GOOD|||False|||</v>
          </cell>
          <cell r="C86" t="str">
            <v>V_KEYWORD_ISSR_208019500_ADJ_UNF_PENS_GOOD</v>
          </cell>
        </row>
        <row r="87">
          <cell r="A87" t="str">
            <v>Vector|||208019500|||ISSR|||OTH_GCI_ADJ|||False|||</v>
          </cell>
          <cell r="C87" t="str">
            <v>V_KEYWORD_ISSR_208019500_OTH_GCI_ADJ</v>
          </cell>
        </row>
        <row r="88">
          <cell r="A88" t="str">
            <v>Vector|||208019500|||ISSR|||GCI_INFL|||False|||</v>
          </cell>
          <cell r="C88" t="str">
            <v>V_KEYWORD_ISSR_208019500_GCI_INFL</v>
          </cell>
        </row>
        <row r="89">
          <cell r="A89" t="str">
            <v>Vector|||208019500|||ISSR|||BAL_MINO_INT|||False|||</v>
          </cell>
          <cell r="C89" t="str">
            <v>V_KEYWORD_ISSR_208019500_BAL_MINO_INT</v>
          </cell>
        </row>
        <row r="90">
          <cell r="A90" t="str">
            <v>Vector|||208019500|||ISSR|||ROU_ASSET|||False|||</v>
          </cell>
          <cell r="C90" t="str">
            <v>V_KEYWORD_ISSR_208019500_ROU_ASSET</v>
          </cell>
        </row>
        <row r="92">
          <cell r="A92" t="str">
            <v>Vector|||208019500|||ISSR|||CF_INC_MINORITY|||False|||</v>
          </cell>
          <cell r="C92" t="str">
            <v>V_KEYWORD_ISSR_208019500_CF_INC_MINORITY</v>
          </cell>
        </row>
        <row r="93">
          <cell r="A93" t="str">
            <v>Vector|||208019500|||ISSR|||DEPR_AMORT|||False|||</v>
          </cell>
          <cell r="C93" t="str">
            <v>V_KEYWORD_ISSR_208019500_DEPR_AMORT</v>
          </cell>
        </row>
        <row r="94">
          <cell r="A94" t="str">
            <v>Vector|||208019500|||ISSR|||WORK_CAP|||False|||</v>
          </cell>
          <cell r="C94" t="str">
            <v>V_KEYWORD_ISSR_208019500_WORK_CAP</v>
          </cell>
        </row>
        <row r="95">
          <cell r="A95" t="str">
            <v>Vector|||208019500|||ISSR|||OTH_OP_CF|||False|||</v>
          </cell>
          <cell r="C95" t="str">
            <v>V_KEYWORD_ISSR_208019500_OTH_OP_CF</v>
          </cell>
        </row>
        <row r="96">
          <cell r="A96" t="str">
            <v>Vector|||208019500|||ISSR|||CF_OPS|||False|||</v>
          </cell>
          <cell r="C96" t="str">
            <v>V_KEYWORD_ISSR_208019500_CF_OPS</v>
          </cell>
        </row>
        <row r="97">
          <cell r="A97" t="str">
            <v>Vector|||208019500|||ISSR|||CAPEX|||False|||</v>
          </cell>
          <cell r="C97" t="str">
            <v>V_KEYWORD_ISSR_208019500_CAPEX</v>
          </cell>
        </row>
        <row r="98">
          <cell r="A98" t="str">
            <v>Vector|||208019500|||ISSR|||ACQ|||False|||</v>
          </cell>
          <cell r="C98" t="str">
            <v>V_KEYWORD_ISSR_208019500_ACQ</v>
          </cell>
        </row>
        <row r="99">
          <cell r="A99" t="str">
            <v>Vector|||208019500|||ISSR|||DIVEST|||False|||</v>
          </cell>
          <cell r="C99" t="str">
            <v>V_KEYWORD_ISSR_208019500_DIVEST</v>
          </cell>
        </row>
        <row r="100">
          <cell r="A100" t="str">
            <v>Vector|||208019500|||ISSR|||OTH_INV_CF|||False|||</v>
          </cell>
          <cell r="C100" t="str">
            <v>V_KEYWORD_ISSR_208019500_OTH_INV_CF</v>
          </cell>
        </row>
        <row r="101">
          <cell r="A101" t="str">
            <v>Vector|||208019500|||ISSR|||CF_INV|||False|||</v>
          </cell>
          <cell r="C101" t="str">
            <v>V_KEYWORD_ISSR_208019500_CF_INV</v>
          </cell>
        </row>
        <row r="102">
          <cell r="A102" t="str">
            <v>Vector|||208019500|||ISSR|||DIV_PAID|||False|||</v>
          </cell>
          <cell r="C102" t="str">
            <v>V_KEYWORD_ISSR_208019500_DIV_PAID</v>
          </cell>
        </row>
        <row r="103">
          <cell r="A103" t="str">
            <v>Vector|||208019500|||ISSR|||SH_REPUR|||False|||</v>
          </cell>
          <cell r="C103" t="str">
            <v>V_KEYWORD_ISSR_208019500_SH_REPUR</v>
          </cell>
        </row>
        <row r="104">
          <cell r="A104" t="str">
            <v>Vector|||208019500|||ISSR|||CHG_LT_DEBT|||False|||</v>
          </cell>
          <cell r="C104" t="str">
            <v>V_KEYWORD_ISSR_208019500_CHG_LT_DEBT</v>
          </cell>
        </row>
        <row r="105">
          <cell r="A105" t="str">
            <v>Vector|||208019500|||ISSR|||LEASE_PRINCIPAL_CASH|||False|||</v>
          </cell>
          <cell r="C105" t="str">
            <v>V_KEYWORD_ISSR_208019500_LEASE_PRINCIPAL_CASH</v>
          </cell>
        </row>
        <row r="106">
          <cell r="A106" t="str">
            <v>Vector|||208019500|||ISSR|||OTH_FIN_CF|||False|||</v>
          </cell>
          <cell r="C106" t="str">
            <v>V_KEYWORD_ISSR_208019500_OTH_FIN_CF</v>
          </cell>
        </row>
        <row r="107">
          <cell r="A107" t="str">
            <v>Vector|||208019500|||ISSR|||CF_FIN|||False|||</v>
          </cell>
          <cell r="C107" t="str">
            <v>V_KEYWORD_ISSR_208019500_CF_FIN</v>
          </cell>
        </row>
        <row r="108">
          <cell r="A108" t="str">
            <v>Vector|||208019500|||ISSR|||TOT_CF|||False|||</v>
          </cell>
          <cell r="C108" t="str">
            <v>V_KEYWORD_ISSR_208019500_TOT_CF</v>
          </cell>
        </row>
        <row r="110">
          <cell r="A110" t="str">
            <v>Vector|||208019500|||ISSR|||ASSOC_JV_ADDBK|||False|||</v>
          </cell>
          <cell r="C110" t="str">
            <v>V_KEYWORD_ISSR_208019500_ASSOC_JV_ADDBK</v>
          </cell>
        </row>
        <row r="111">
          <cell r="A111" t="str">
            <v>Vector|||208019500|||ISSR|||PL_SALE_ASSETS|||False|||</v>
          </cell>
          <cell r="C111" t="str">
            <v>V_KEYWORD_ISSR_208019500_PL_SALE_ASSETS</v>
          </cell>
        </row>
        <row r="112">
          <cell r="A112" t="str">
            <v>Vector|||208019500|||ISSR|||OTH_NONCASH_ADJ|||False|||</v>
          </cell>
          <cell r="C112" t="str">
            <v>V_KEYWORD_ISSR_208019500_OTH_NONCASH_ADJ</v>
          </cell>
        </row>
        <row r="113">
          <cell r="A113" t="str">
            <v>Vector|||208019500|||ISSR|||OTH_DACF_ADJ|||False|||</v>
          </cell>
          <cell r="C113" t="str">
            <v>V_KEYWORD_ISSR_208019500_OTH_DACF_ADJ</v>
          </cell>
        </row>
        <row r="114">
          <cell r="A114" t="str">
            <v>Vector|||208019500|||ISSR|||CASH_INT_EXP|||False|||</v>
          </cell>
          <cell r="C114" t="str">
            <v>V_KEYWORD_ISSR_208019500_CASH_INT_EXP</v>
          </cell>
        </row>
        <row r="115">
          <cell r="A115" t="str">
            <v>Vector|||208019500|||ISSR|||CASH_TAX_EXP|||False|||</v>
          </cell>
          <cell r="C115" t="str">
            <v>V_KEYWORD_ISSR_208019500_CASH_TAX_EXP</v>
          </cell>
        </row>
        <row r="116">
          <cell r="A116" t="str">
            <v>Vector|||208019500|||ISSR|||DIVDS_ASSOC_JV|||False|||</v>
          </cell>
          <cell r="C116" t="str">
            <v>V_KEYWORD_ISSR_208019500_DIVDS_ASSOC_JV</v>
          </cell>
        </row>
        <row r="117">
          <cell r="A117" t="str">
            <v>Vector|||208019500|||ISSR|||CAPEX_MAINTENANCE|||False|||</v>
          </cell>
          <cell r="C117" t="str">
            <v>V_KEYWORD_ISSR_208019500_CAPEX_MAINTENANCE</v>
          </cell>
        </row>
        <row r="118">
          <cell r="A118" t="str">
            <v>Vector|||208019500|||ISSR|||CAPEX_EXPANSION|||False|||</v>
          </cell>
          <cell r="C118" t="str">
            <v>V_KEYWORD_ISSR_208019500_CAPEX_EXPANSION</v>
          </cell>
        </row>
        <row r="119">
          <cell r="A119" t="str">
            <v>Vector|||208019500|||ISSR|||NONPPE_CAPEX|||False|||</v>
          </cell>
          <cell r="C119" t="str">
            <v>V_KEYWORD_ISSR_208019500_NONPPE_CAPEX</v>
          </cell>
        </row>
        <row r="120">
          <cell r="A120" t="str">
            <v>Vector|||208019500|||ISSR|||DIVDS_PD_MINORITIES|||False|||</v>
          </cell>
          <cell r="C120" t="str">
            <v>V_KEYWORD_ISSR_208019500_DIVDS_PD_MINORITIES</v>
          </cell>
        </row>
        <row r="122">
          <cell r="A122" t="str">
            <v>Vector|||208019500|||ISSR|||EMPLOYEES|||False|||</v>
          </cell>
          <cell r="C122" t="str">
            <v>V_KEYWORD_ISSR_208019500_EMPLOYEES</v>
          </cell>
        </row>
        <row r="124">
          <cell r="A124" t="str">
            <v>Vector|||208019500|||ISSR|||SALES_CANADA|||False|||</v>
          </cell>
          <cell r="C124" t="str">
            <v>V_KEYWORD_ISSR_208019500_SALES_CANADA</v>
          </cell>
        </row>
        <row r="125">
          <cell r="A125" t="str">
            <v>Vector|||208019500|||ISSR|||SALES_US|||False|||</v>
          </cell>
          <cell r="C125" t="str">
            <v>V_KEYWORD_ISSR_208019500_SALES_US</v>
          </cell>
        </row>
        <row r="126">
          <cell r="A126" t="str">
            <v>Vector|||208019500|||ISSR|||SALES_OTH_NO_AMER|||False|||</v>
          </cell>
          <cell r="C126" t="str">
            <v>V_KEYWORD_ISSR_208019500_SALES_OTH_NO_AMER</v>
          </cell>
        </row>
        <row r="127">
          <cell r="A127" t="str">
            <v>Vector|||208019500|||ISSR|||SALES_ARGENTINA|||False|||</v>
          </cell>
          <cell r="C127" t="str">
            <v>V_KEYWORD_ISSR_208019500_SALES_ARGENTINA</v>
          </cell>
        </row>
        <row r="128">
          <cell r="A128" t="str">
            <v>Vector|||208019500|||ISSR|||SALES_BRAZIL|||False|||</v>
          </cell>
          <cell r="C128" t="str">
            <v>V_KEYWORD_ISSR_208019500_SALES_BRAZIL</v>
          </cell>
        </row>
        <row r="129">
          <cell r="A129" t="str">
            <v>Vector|||208019500|||ISSR|||SALES_CHILE|||False|||</v>
          </cell>
          <cell r="C129" t="str">
            <v>V_KEYWORD_ISSR_208019500_SALES_CHILE</v>
          </cell>
        </row>
        <row r="130">
          <cell r="A130" t="str">
            <v>Vector|||208019500|||ISSR|||SALES_COLOMBIA|||False|||</v>
          </cell>
          <cell r="C130" t="str">
            <v>V_KEYWORD_ISSR_208019500_SALES_COLOMBIA</v>
          </cell>
        </row>
        <row r="131">
          <cell r="A131" t="str">
            <v>Vector|||208019500|||ISSR|||SALES_MEXICO|||False|||</v>
          </cell>
          <cell r="C131" t="str">
            <v>V_KEYWORD_ISSR_208019500_SALES_MEXICO</v>
          </cell>
        </row>
        <row r="132">
          <cell r="A132" t="str">
            <v>Vector|||208019500|||ISSR|||SALES_VENEZUELA|||False|||</v>
          </cell>
          <cell r="C132" t="str">
            <v>V_KEYWORD_ISSR_208019500_SALES_VENEZUELA</v>
          </cell>
        </row>
        <row r="133">
          <cell r="A133" t="str">
            <v>Vector|||208019500|||ISSR|||SALES_OTH_LATAM|||False|||</v>
          </cell>
          <cell r="C133" t="str">
            <v>V_KEYWORD_ISSR_208019500_SALES_OTH_LATAM</v>
          </cell>
        </row>
        <row r="134">
          <cell r="A134" t="str">
            <v>Vector|||208019500|||ISSR|||SALES_AUSTRIA|||False|||</v>
          </cell>
          <cell r="C134" t="str">
            <v>V_KEYWORD_ISSR_208019500_SALES_AUSTRIA</v>
          </cell>
        </row>
        <row r="135">
          <cell r="A135" t="str">
            <v>Vector|||208019500|||ISSR|||SALES_BEL|||False|||</v>
          </cell>
          <cell r="C135" t="str">
            <v>V_KEYWORD_ISSR_208019500_SALES_BEL</v>
          </cell>
        </row>
        <row r="136">
          <cell r="A136" t="str">
            <v>Vector|||208019500|||ISSR|||SALES_FRA|||False|||</v>
          </cell>
          <cell r="C136" t="str">
            <v>V_KEYWORD_ISSR_208019500_SALES_FRA</v>
          </cell>
        </row>
        <row r="137">
          <cell r="A137" t="str">
            <v>Vector|||208019500|||ISSR|||SALES_GER|||False|||</v>
          </cell>
          <cell r="C137" t="str">
            <v>V_KEYWORD_ISSR_208019500_SALES_GER</v>
          </cell>
        </row>
        <row r="138">
          <cell r="A138" t="str">
            <v>Vector|||208019500|||ISSR|||SALES_GRE|||False|||</v>
          </cell>
          <cell r="C138" t="str">
            <v>V_KEYWORD_ISSR_208019500_SALES_GRE</v>
          </cell>
        </row>
        <row r="139">
          <cell r="A139" t="str">
            <v>Vector|||208019500|||ISSR|||SALES_IRE|||False|||</v>
          </cell>
          <cell r="C139" t="str">
            <v>V_KEYWORD_ISSR_208019500_SALES_IRE</v>
          </cell>
        </row>
        <row r="140">
          <cell r="A140" t="str">
            <v>Vector|||208019500|||ISSR|||SALES_ITA|||False|||</v>
          </cell>
          <cell r="C140" t="str">
            <v>V_KEYWORD_ISSR_208019500_SALES_ITA</v>
          </cell>
        </row>
        <row r="141">
          <cell r="A141" t="str">
            <v>Vector|||208019500|||ISSR|||SALES_NETH|||False|||</v>
          </cell>
          <cell r="C141" t="str">
            <v>V_KEYWORD_ISSR_208019500_SALES_NETH</v>
          </cell>
        </row>
        <row r="142">
          <cell r="A142" t="str">
            <v>Vector|||208019500|||ISSR|||SALES_NOR|||False|||</v>
          </cell>
          <cell r="C142" t="str">
            <v>V_KEYWORD_ISSR_208019500_SALES_NOR</v>
          </cell>
        </row>
        <row r="143">
          <cell r="A143" t="str">
            <v>Vector|||208019500|||ISSR|||SALES_POR|||False|||</v>
          </cell>
          <cell r="C143" t="str">
            <v>V_KEYWORD_ISSR_208019500_SALES_POR</v>
          </cell>
        </row>
        <row r="144">
          <cell r="A144" t="str">
            <v>Vector|||208019500|||ISSR|||SALES_SPA|||False|||</v>
          </cell>
          <cell r="C144" t="str">
            <v>V_KEYWORD_ISSR_208019500_SALES_SPA</v>
          </cell>
        </row>
        <row r="145">
          <cell r="A145" t="str">
            <v>Vector|||208019500|||ISSR|||SALES_SWE|||False|||</v>
          </cell>
          <cell r="C145" t="str">
            <v>V_KEYWORD_ISSR_208019500_SALES_SWE</v>
          </cell>
        </row>
        <row r="146">
          <cell r="A146" t="str">
            <v>Vector|||208019500|||ISSR|||SALES_SWIT|||False|||</v>
          </cell>
          <cell r="C146" t="str">
            <v>V_KEYWORD_ISSR_208019500_SALES_SWIT</v>
          </cell>
        </row>
        <row r="147">
          <cell r="A147" t="str">
            <v>Vector|||208019500|||ISSR|||SALES_UK|||False|||</v>
          </cell>
          <cell r="C147" t="str">
            <v>V_KEYWORD_ISSR_208019500_SALES_UK</v>
          </cell>
        </row>
        <row r="148">
          <cell r="A148" t="str">
            <v>Vector|||208019500|||ISSR|||SALES_OTH_WEST_EURO|||False|||</v>
          </cell>
          <cell r="C148" t="str">
            <v>V_KEYWORD_ISSR_208019500_SALES_OTH_WEST_EURO</v>
          </cell>
        </row>
        <row r="149">
          <cell r="A149" t="str">
            <v>Vector|||208019500|||ISSR|||SALES_POLAND|||False|||</v>
          </cell>
          <cell r="C149" t="str">
            <v>V_KEYWORD_ISSR_208019500_SALES_POLAND</v>
          </cell>
        </row>
        <row r="150">
          <cell r="A150" t="str">
            <v>Vector|||208019500|||ISSR|||SALES_RUSSIA|||False|||</v>
          </cell>
          <cell r="C150" t="str">
            <v>V_KEYWORD_ISSR_208019500_SALES_RUSSIA</v>
          </cell>
        </row>
        <row r="151">
          <cell r="A151" t="str">
            <v>Vector|||208019500|||ISSR|||SALES_TURKEY|||False|||</v>
          </cell>
          <cell r="C151" t="str">
            <v>V_KEYWORD_ISSR_208019500_SALES_TURKEY</v>
          </cell>
        </row>
        <row r="152">
          <cell r="A152" t="str">
            <v>Vector|||208019500|||ISSR|||SALES_OTH_CEE|||False|||</v>
          </cell>
          <cell r="C152" t="str">
            <v>V_KEYWORD_ISSR_208019500_SALES_OTH_CEE</v>
          </cell>
        </row>
        <row r="153">
          <cell r="A153" t="str">
            <v>Vector|||208019500|||ISSR|||SALES_SAUDI_ARABIA|||False|||</v>
          </cell>
          <cell r="C153" t="str">
            <v>V_KEYWORD_ISSR_208019500_SALES_SAUDI_ARABIA</v>
          </cell>
        </row>
        <row r="154">
          <cell r="A154" t="str">
            <v>Vector|||208019500|||ISSR|||SALES_UAE|||False|||</v>
          </cell>
          <cell r="C154" t="str">
            <v>V_KEYWORD_ISSR_208019500_SALES_UAE</v>
          </cell>
        </row>
        <row r="155">
          <cell r="A155" t="str">
            <v>Vector|||208019500|||ISSR|||SALES_OTH_ME|||False|||</v>
          </cell>
          <cell r="C155" t="str">
            <v>V_KEYWORD_ISSR_208019500_SALES_OTH_ME</v>
          </cell>
        </row>
        <row r="156">
          <cell r="A156" t="str">
            <v>Vector|||208019500|||ISSR|||SALES_NIGERIA|||False|||</v>
          </cell>
          <cell r="C156" t="str">
            <v>V_KEYWORD_ISSR_208019500_SALES_NIGERIA</v>
          </cell>
        </row>
        <row r="157">
          <cell r="A157" t="str">
            <v>Vector|||208019500|||ISSR|||SALES_SO_AFRICA|||False|||</v>
          </cell>
          <cell r="C157" t="str">
            <v>V_KEYWORD_ISSR_208019500_SALES_SO_AFRICA</v>
          </cell>
        </row>
        <row r="158">
          <cell r="A158" t="str">
            <v>Vector|||208019500|||ISSR|||SALES_OTH_AFRICA|||False|||</v>
          </cell>
          <cell r="C158" t="str">
            <v>V_KEYWORD_ISSR_208019500_SALES_OTH_AFRICA</v>
          </cell>
        </row>
        <row r="159">
          <cell r="A159" t="str">
            <v>Vector|||208019500|||ISSR|||SALES_HONG_KONG|||False|||</v>
          </cell>
          <cell r="C159" t="str">
            <v>V_KEYWORD_ISSR_208019500_SALES_HONG_KONG</v>
          </cell>
        </row>
        <row r="160">
          <cell r="A160" t="str">
            <v>Vector|||208019500|||ISSR|||SALES_JAPAN|||False|||</v>
          </cell>
          <cell r="C160" t="str">
            <v>V_KEYWORD_ISSR_208019500_SALES_JAPAN</v>
          </cell>
        </row>
        <row r="161">
          <cell r="A161" t="str">
            <v>Vector|||208019500|||ISSR|||SALES_SINGAPORE|||False|||</v>
          </cell>
          <cell r="C161" t="str">
            <v>V_KEYWORD_ISSR_208019500_SALES_SINGAPORE</v>
          </cell>
        </row>
        <row r="162">
          <cell r="A162" t="str">
            <v>Vector|||208019500|||ISSR|||SALES_SK|||False|||</v>
          </cell>
          <cell r="C162" t="str">
            <v>V_KEYWORD_ISSR_208019500_SALES_SK</v>
          </cell>
        </row>
        <row r="163">
          <cell r="A163" t="str">
            <v>Vector|||208019500|||ISSR|||SALES_TAIWAN|||False|||</v>
          </cell>
          <cell r="C163" t="str">
            <v>V_KEYWORD_ISSR_208019500_SALES_TAIWAN</v>
          </cell>
        </row>
        <row r="164">
          <cell r="A164" t="str">
            <v>Vector|||208019500|||ISSR|||SALES_OTH_DEV_ASIA|||False|||</v>
          </cell>
          <cell r="C164" t="str">
            <v>V_KEYWORD_ISSR_208019500_SALES_OTH_DEV_ASIA</v>
          </cell>
        </row>
        <row r="165">
          <cell r="A165" t="str">
            <v>Vector|||208019500|||ISSR|||SALES_CHINA|||False|||</v>
          </cell>
          <cell r="C165" t="str">
            <v>V_KEYWORD_ISSR_208019500_SALES_CHINA</v>
          </cell>
        </row>
        <row r="166">
          <cell r="A166" t="str">
            <v>Vector|||208019500|||ISSR|||SALES_INDIA|||False|||</v>
          </cell>
          <cell r="C166" t="str">
            <v>V_KEYWORD_ISSR_208019500_SALES_INDIA</v>
          </cell>
        </row>
        <row r="167">
          <cell r="A167" t="str">
            <v>Vector|||208019500|||ISSR|||SALES_INDONESIA|||False|||</v>
          </cell>
          <cell r="C167" t="str">
            <v>V_KEYWORD_ISSR_208019500_SALES_INDONESIA</v>
          </cell>
        </row>
        <row r="168">
          <cell r="A168" t="str">
            <v>Vector|||208019500|||ISSR|||SALES_THAILAND|||False|||</v>
          </cell>
          <cell r="C168" t="str">
            <v>V_KEYWORD_ISSR_208019500_SALES_THAILAND</v>
          </cell>
        </row>
        <row r="169">
          <cell r="A169" t="str">
            <v>Vector|||208019500|||ISSR|||SALES_OTH_EMERG_ASIA|||False|||</v>
          </cell>
          <cell r="C169" t="str">
            <v>V_KEYWORD_ISSR_208019500_SALES_OTH_EMERG_ASIA</v>
          </cell>
        </row>
        <row r="170">
          <cell r="A170" t="str">
            <v>Vector|||208019500|||ISSR|||SALES_AUSTRA|||False|||</v>
          </cell>
          <cell r="C170" t="str">
            <v>V_KEYWORD_ISSR_208019500_SALES_AUSTRA</v>
          </cell>
        </row>
        <row r="171">
          <cell r="A171" t="str">
            <v>Vector|||208019500|||ISSR|||SALES_NZ|||False|||</v>
          </cell>
          <cell r="C171" t="str">
            <v>V_KEYWORD_ISSR_208019500_SALES_NZ</v>
          </cell>
        </row>
        <row r="172">
          <cell r="A172" t="str">
            <v>Vector|||208019500|||ISSR|||SALES_OTHER|||False|||</v>
          </cell>
          <cell r="C172" t="str">
            <v>V_KEYWORD_ISSR_208019500_SALES_OTHER</v>
          </cell>
        </row>
        <row r="173">
          <cell r="A173" t="str">
            <v>Vector|||208019500|||ISSR|||COGS_PCT_US|||False|||</v>
          </cell>
          <cell r="C173" t="str">
            <v>V_KEYWORD_ISSR_208019500_COGS_PCT_US</v>
          </cell>
        </row>
        <row r="174">
          <cell r="A174" t="str">
            <v>Vector|||208019500|||ISSR|||COGS_PCT_ROW|||False|||</v>
          </cell>
          <cell r="C174" t="str">
            <v>V_KEYWORD_ISSR_208019500_COGS_PCT_ROW</v>
          </cell>
        </row>
        <row r="175">
          <cell r="A175" t="str">
            <v>Vector|||208019500|||ISSR|||SGA_PCT_US|||False|||</v>
          </cell>
          <cell r="C175" t="str">
            <v>V_KEYWORD_ISSR_208019500_SGA_PCT_US</v>
          </cell>
        </row>
        <row r="176">
          <cell r="A176" t="str">
            <v>Vector|||208019500|||ISSR|||SGA_PCT_ROW|||False|||</v>
          </cell>
          <cell r="C176" t="str">
            <v>V_KEYWORD_ISSR_208019500_SGA_PCT_ROW</v>
          </cell>
        </row>
        <row r="177">
          <cell r="A177" t="str">
            <v>Vector|||208019500|||ISSR|||SALES_CONS|||False|||</v>
          </cell>
          <cell r="C177" t="str">
            <v>V_KEYWORD_ISSR_208019500_SALES_CONS</v>
          </cell>
        </row>
        <row r="178">
          <cell r="A178" t="str">
            <v>Vector|||208019500|||ISSR|||SALES_IND|||False|||</v>
          </cell>
          <cell r="C178" t="str">
            <v>V_KEYWORD_ISSR_208019500_SALES_IND</v>
          </cell>
        </row>
        <row r="179">
          <cell r="A179" t="str">
            <v>Vector|||208019500|||ISSR|||SALES_GOV|||False|||</v>
          </cell>
          <cell r="C179" t="str">
            <v>V_KEYWORD_ISSR_208019500_SALES_GOV</v>
          </cell>
        </row>
        <row r="180">
          <cell r="A180" t="str">
            <v>Vector|||208019500|||ISSR|||SALES_FINAN|||False|||</v>
          </cell>
          <cell r="C180" t="str">
            <v>V_KEYWORD_ISSR_208019500_SALES_FINAN</v>
          </cell>
        </row>
        <row r="181">
          <cell r="A181" t="str">
            <v>Vector|||208019500|||ISSR|||SALES_OIL_GAS|||False|||</v>
          </cell>
          <cell r="C181" t="str">
            <v>V_KEYWORD_ISSR_208019500_SALES_OIL_GAS</v>
          </cell>
        </row>
        <row r="183">
          <cell r="A183" t="str">
            <v>Vector|||208019500|||ISSR|||EXP_OIL_PETRO_FUEL|||False|||</v>
          </cell>
          <cell r="C183" t="str">
            <v>V_KEYWORD_ISSR_208019500_EXP_OIL_PETRO_FUEL</v>
          </cell>
        </row>
        <row r="184">
          <cell r="A184" t="str">
            <v>Vector|||208019500|||ISSR|||EXP_OIL_DERIV_NGLS_PLASTICS|||False|||</v>
          </cell>
          <cell r="C184" t="str">
            <v>V_KEYWORD_ISSR_208019500_EXP_OIL_DERIV_NGLS_PLASTICS</v>
          </cell>
        </row>
        <row r="194">
          <cell r="A194" t="str">
            <v>Vector|||208019500|||ISSR|||EXP_OTH_COST|||False|||</v>
          </cell>
          <cell r="C194" t="str">
            <v>V_KEYWORD_ISSR_208019500_EXP_OTH_COST</v>
          </cell>
        </row>
        <row r="196">
          <cell r="A196" t="str">
            <v>Vector|||208019500|||ISSR|||SALES_FX_GPB|||False|||</v>
          </cell>
          <cell r="C196" t="str">
            <v>V_KEYWORD_ISSR_208019500_SALES_FX_GPB</v>
          </cell>
        </row>
        <row r="197">
          <cell r="A197" t="str">
            <v>Vector|||208019500|||ISSR|||SALES_FX_EUR|||False|||</v>
          </cell>
          <cell r="C197" t="str">
            <v>V_KEYWORD_ISSR_208019500_SALES_FX_EUR</v>
          </cell>
        </row>
        <row r="198">
          <cell r="A198" t="str">
            <v>Vector|||208019500|||ISSR|||SALES_FX_RUB|||False|||</v>
          </cell>
          <cell r="C198" t="str">
            <v>V_KEYWORD_ISSR_208019500_SALES_FX_RUB</v>
          </cell>
        </row>
        <row r="199">
          <cell r="A199" t="str">
            <v>Vector|||208019500|||ISSR|||SALES_FX_USD|||False|||</v>
          </cell>
          <cell r="C199" t="str">
            <v>V_KEYWORD_ISSR_208019500_SALES_FX_USD</v>
          </cell>
        </row>
        <row r="200">
          <cell r="A200" t="str">
            <v>Vector|||208019500|||ISSR|||SALES_FX_BRL|||False|||</v>
          </cell>
          <cell r="C200" t="str">
            <v>V_KEYWORD_ISSR_208019500_SALES_FX_BRL</v>
          </cell>
        </row>
        <row r="201">
          <cell r="A201" t="str">
            <v>Vector|||208019500|||ISSR|||SALES_FX_YEN|||False|||</v>
          </cell>
          <cell r="C201" t="str">
            <v>V_KEYWORD_ISSR_208019500_SALES_FX_YEN</v>
          </cell>
        </row>
        <row r="202">
          <cell r="A202" t="str">
            <v>Vector|||208019500|||ISSR|||SALES_FX_CNY|||False|||</v>
          </cell>
          <cell r="C202" t="str">
            <v>V_KEYWORD_ISSR_208019500_SALES_FX_CNY</v>
          </cell>
        </row>
        <row r="203">
          <cell r="A203" t="str">
            <v>Vector|||208019500|||ISSR|||SALES_FX_INR|||False|||</v>
          </cell>
          <cell r="C203" t="str">
            <v>V_KEYWORD_ISSR_208019500_SALES_FX_INR</v>
          </cell>
        </row>
        <row r="204">
          <cell r="A204" t="str">
            <v>Vector|||208019500|||ISSR|||SALES_FX_KRW|||False|||</v>
          </cell>
          <cell r="C204" t="str">
            <v>V_KEYWORD_ISSR_208019500_SALES_FX_KRW</v>
          </cell>
        </row>
        <row r="205">
          <cell r="A205" t="str">
            <v>Vector|||208019500|||ISSR|||SALES_FX_TWD|||False|||</v>
          </cell>
          <cell r="C205" t="str">
            <v>V_KEYWORD_ISSR_208019500_SALES_FX_TWD</v>
          </cell>
        </row>
        <row r="206">
          <cell r="A206" t="str">
            <v>Vector|||208019500|||ISSR|||SALES_FX_OTH|||False|||</v>
          </cell>
          <cell r="C206" t="str">
            <v>V_KEYWORD_ISSR_208019500_SALES_FX_OTH</v>
          </cell>
        </row>
        <row r="208">
          <cell r="A208" t="str">
            <v>Vector|||208019500|||ISSR|||SALES_TOT_AM|||False|||</v>
          </cell>
          <cell r="C208" t="str">
            <v>V_KEYWORD_ISSR_208019500_SALES_TOT_AM</v>
          </cell>
        </row>
        <row r="209">
          <cell r="A209" t="str">
            <v>Vector|||208019500|||ISSR|||SALES_OTH_AM|||False|||</v>
          </cell>
          <cell r="C209" t="str">
            <v>V_KEYWORD_ISSR_208019500_SALES_OTH_AM</v>
          </cell>
        </row>
        <row r="210">
          <cell r="A210" t="str">
            <v>Vector|||208019500|||ISSR|||SALES_TOT_EMEA|||False|||</v>
          </cell>
          <cell r="C210" t="str">
            <v>V_KEYWORD_ISSR_208019500_SALES_TOT_EMEA</v>
          </cell>
        </row>
        <row r="211">
          <cell r="A211" t="str">
            <v>Vector|||208019500|||ISSR|||SALES_EU_EX_UK|||False|||</v>
          </cell>
          <cell r="C211" t="str">
            <v>V_KEYWORD_ISSR_208019500_SALES_EU_EX_UK</v>
          </cell>
        </row>
        <row r="212">
          <cell r="A212" t="str">
            <v>Vector|||208019500|||ISSR|||SALES_CEE|||False|||</v>
          </cell>
          <cell r="C212" t="str">
            <v>V_KEYWORD_ISSR_208019500_SALES_CEE</v>
          </cell>
        </row>
        <row r="213">
          <cell r="A213" t="str">
            <v>Vector|||208019500|||ISSR|||SALES_ME|||False|||</v>
          </cell>
          <cell r="C213" t="str">
            <v>V_KEYWORD_ISSR_208019500_SALES_ME</v>
          </cell>
        </row>
        <row r="214">
          <cell r="A214" t="str">
            <v>Vector|||208019500|||ISSR|||SALES_TOT_AFRICA|||False|||</v>
          </cell>
          <cell r="C214" t="str">
            <v>V_KEYWORD_ISSR_208019500_SALES_TOT_AFRICA</v>
          </cell>
        </row>
        <row r="215">
          <cell r="A215" t="str">
            <v>Vector|||208019500|||ISSR|||SALES_OTH_EMEA|||False|||</v>
          </cell>
          <cell r="C215" t="str">
            <v>V_KEYWORD_ISSR_208019500_SALES_OTH_EMEA</v>
          </cell>
        </row>
        <row r="216">
          <cell r="A216" t="str">
            <v>Vector|||208019500|||ISSR|||SALES_TOT_ASIA|||False|||</v>
          </cell>
          <cell r="C216" t="str">
            <v>V_KEYWORD_ISSR_208019500_SALES_TOT_ASIA</v>
          </cell>
        </row>
        <row r="217">
          <cell r="A217" t="str">
            <v>Vector|||208019500|||ISSR|||SALES_OTH_AEJ|||False|||</v>
          </cell>
          <cell r="C217" t="str">
            <v>V_KEYWORD_ISSR_208019500_SALES_OTH_AEJ</v>
          </cell>
        </row>
      </sheetData>
      <sheetData sheetId="19">
        <row r="11">
          <cell r="B11" t="str">
            <v>Sales, net revenue</v>
          </cell>
          <cell r="C11" t="str">
            <v>SALES</v>
          </cell>
          <cell r="D11" t="e">
            <v>#NAME?</v>
          </cell>
        </row>
        <row r="12">
          <cell r="B12" t="str">
            <v>Compensation &amp; benfits expense</v>
          </cell>
          <cell r="C12" t="str">
            <v>PERSONNEL</v>
          </cell>
          <cell r="D12" t="e">
            <v>#NAME?</v>
          </cell>
        </row>
        <row r="13">
          <cell r="B13" t="str">
            <v>Cost of goods sold, COGS</v>
          </cell>
          <cell r="C13" t="str">
            <v>COST_GD_SD</v>
          </cell>
          <cell r="D13" t="e">
            <v>#NAME?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e">
            <v>#NAME?</v>
          </cell>
        </row>
        <row r="15">
          <cell r="B15" t="str">
            <v>Total operating expense</v>
          </cell>
          <cell r="C15" t="str">
            <v>OP_COST</v>
          </cell>
          <cell r="D15" t="e">
            <v>#NAME?</v>
          </cell>
        </row>
        <row r="16">
          <cell r="B16" t="str">
            <v>R&amp;D expense</v>
          </cell>
          <cell r="C16" t="str">
            <v>RD_EXP</v>
          </cell>
          <cell r="D16" t="e">
            <v>#NAME?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e">
            <v>#NAME?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e">
            <v>#NAME?</v>
          </cell>
        </row>
        <row r="19">
          <cell r="B19" t="str">
            <v>Total operating expense (excl. D&amp;A)</v>
          </cell>
          <cell r="C19" t="str">
            <v>TOT_OPS_EXP</v>
          </cell>
          <cell r="D19" t="e">
            <v>#NAME?</v>
          </cell>
        </row>
        <row r="20">
          <cell r="B20" t="str">
            <v>EBITDA</v>
          </cell>
          <cell r="C20" t="str">
            <v>EBITDA_CALC</v>
          </cell>
          <cell r="D20" t="e">
            <v>#NAME?</v>
          </cell>
        </row>
        <row r="21">
          <cell r="B21" t="str">
            <v>Depreciation</v>
          </cell>
          <cell r="C21" t="str">
            <v>DEPREC</v>
          </cell>
          <cell r="D21" t="e">
            <v>#NAME?</v>
          </cell>
        </row>
        <row r="22">
          <cell r="B22" t="str">
            <v>Amortization</v>
          </cell>
          <cell r="C22" t="str">
            <v>GOODWILL_AMORT</v>
          </cell>
          <cell r="D22" t="e">
            <v>#NAME?</v>
          </cell>
        </row>
        <row r="23">
          <cell r="B23" t="str">
            <v>EBIT, operating profit</v>
          </cell>
          <cell r="C23" t="str">
            <v>EBIT</v>
          </cell>
          <cell r="D23" t="e">
            <v>#NAME?</v>
          </cell>
        </row>
        <row r="24">
          <cell r="B24" t="str">
            <v>Interest income</v>
          </cell>
          <cell r="C24" t="str">
            <v>INT_INC_IND</v>
          </cell>
          <cell r="D24" t="e">
            <v>#NAME?</v>
          </cell>
        </row>
        <row r="25">
          <cell r="B25" t="str">
            <v>Interest expense</v>
          </cell>
          <cell r="C25" t="str">
            <v>INT_EXP_IND</v>
          </cell>
          <cell r="D25" t="e">
            <v>#NAME?</v>
          </cell>
        </row>
        <row r="26">
          <cell r="B26" t="str">
            <v>Net interest income/(expense)</v>
          </cell>
          <cell r="C26" t="str">
            <v>NET_INT_EXP</v>
          </cell>
          <cell r="D26" t="e">
            <v>#NAME?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e">
            <v>#NAME?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e">
            <v>#NAME?</v>
          </cell>
        </row>
        <row r="29">
          <cell r="B29" t="str">
            <v>Other non-ops income/(expense)</v>
          </cell>
          <cell r="C29" t="str">
            <v>OTH_COST_INC</v>
          </cell>
          <cell r="D29" t="e">
            <v>#NAME?</v>
          </cell>
        </row>
        <row r="30">
          <cell r="B30" t="str">
            <v>Pre-tax profit</v>
          </cell>
          <cell r="C30" t="str">
            <v>PT_PROF</v>
          </cell>
          <cell r="D30" t="e">
            <v>#NAME?</v>
          </cell>
        </row>
        <row r="32">
          <cell r="B32" t="str">
            <v>Contribution margin ratio</v>
          </cell>
          <cell r="C32" t="str">
            <v>CONTRIB_MARGIN_RATIO</v>
          </cell>
          <cell r="D32" t="e">
            <v>#NAME?</v>
          </cell>
        </row>
        <row r="33">
          <cell r="B33" t="str">
            <v>Operating lease cost</v>
          </cell>
          <cell r="C33" t="str">
            <v>LEASE_PAY</v>
          </cell>
          <cell r="D33" t="e">
            <v>#NAME?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e">
            <v>#NAME?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e">
            <v>#NAME?</v>
          </cell>
        </row>
        <row r="36">
          <cell r="B36" t="str">
            <v>Gross interest charge</v>
          </cell>
          <cell r="C36" t="str">
            <v>NET_INT_CH</v>
          </cell>
          <cell r="D36" t="e">
            <v>#NAME?</v>
          </cell>
        </row>
        <row r="37">
          <cell r="B37" t="str">
            <v>Income from associates (operating)</v>
          </cell>
          <cell r="C37" t="str">
            <v>ASSOCIATE_OP</v>
          </cell>
          <cell r="D37" t="e">
            <v>#NAME?</v>
          </cell>
        </row>
        <row r="38">
          <cell r="B38" t="str">
            <v>Depreciation ROU assets   (applicable to IFRS cos.)</v>
          </cell>
          <cell r="C38" t="str">
            <v>DEPR_ROU_ASSETS</v>
          </cell>
          <cell r="D38" t="e">
            <v>#NAME?</v>
          </cell>
        </row>
        <row r="39">
          <cell r="B39" t="str">
            <v>Lease interest charge  (applicable to IFRS cos.)</v>
          </cell>
          <cell r="C39" t="str">
            <v>LEASE_INT_CHG</v>
          </cell>
          <cell r="D39" t="e">
            <v>#NAME?</v>
          </cell>
        </row>
        <row r="42">
          <cell r="B42" t="str">
            <v>Cash &amp; cash equivalents</v>
          </cell>
          <cell r="C42" t="str">
            <v>CASH_EQ</v>
          </cell>
          <cell r="D42" t="e">
            <v>#NAME?</v>
          </cell>
        </row>
        <row r="43">
          <cell r="B43" t="str">
            <v>Accounts receivable</v>
          </cell>
          <cell r="C43" t="str">
            <v>DEBTORS</v>
          </cell>
          <cell r="D43" t="e">
            <v>#NAME?</v>
          </cell>
        </row>
        <row r="44">
          <cell r="B44" t="str">
            <v>Inventory</v>
          </cell>
          <cell r="C44" t="str">
            <v>STOCKS</v>
          </cell>
          <cell r="D44" t="e">
            <v>#NAME?</v>
          </cell>
        </row>
        <row r="45">
          <cell r="B45" t="str">
            <v>Other current assets</v>
          </cell>
          <cell r="C45" t="str">
            <v>OTH_CUR_ASS</v>
          </cell>
          <cell r="D45" t="e">
            <v>#NAME?</v>
          </cell>
        </row>
        <row r="46">
          <cell r="B46" t="str">
            <v>Total current assets</v>
          </cell>
          <cell r="C46" t="str">
            <v>CUR_ASS</v>
          </cell>
          <cell r="D46" t="e">
            <v>#NAME?</v>
          </cell>
        </row>
        <row r="47">
          <cell r="B47" t="str">
            <v>Gross fixed assets, PP&amp;E</v>
          </cell>
          <cell r="C47" t="str">
            <v>GR_FIX_ASS</v>
          </cell>
          <cell r="D47" t="e">
            <v>#NAME?</v>
          </cell>
        </row>
        <row r="48">
          <cell r="B48" t="str">
            <v>Accumulated depreciation</v>
          </cell>
          <cell r="C48" t="str">
            <v>ACC_DDA</v>
          </cell>
          <cell r="D48" t="e">
            <v>#NAME?</v>
          </cell>
        </row>
        <row r="49">
          <cell r="B49" t="str">
            <v>Net PP&amp;E</v>
          </cell>
          <cell r="C49" t="str">
            <v>NET_FIX_ASS</v>
          </cell>
          <cell r="D49" t="e">
            <v>#NAME?</v>
          </cell>
        </row>
        <row r="50">
          <cell r="B50" t="str">
            <v>Gross intangibles</v>
          </cell>
          <cell r="C50" t="str">
            <v>GR_INTANG</v>
          </cell>
          <cell r="D50" t="e">
            <v>#NAME?</v>
          </cell>
        </row>
        <row r="51">
          <cell r="B51" t="str">
            <v>Accumulated amortization</v>
          </cell>
          <cell r="C51" t="str">
            <v>ACC_AMORT</v>
          </cell>
          <cell r="D51" t="e">
            <v>#NAME?</v>
          </cell>
        </row>
        <row r="52">
          <cell r="B52" t="str">
            <v>Net intangible assets</v>
          </cell>
          <cell r="C52" t="str">
            <v>NET_INTANG</v>
          </cell>
          <cell r="D52" t="e">
            <v>#NAME?</v>
          </cell>
        </row>
        <row r="53">
          <cell r="B53" t="str">
            <v>Equity method investments</v>
          </cell>
          <cell r="C53" t="str">
            <v>FIX_ASS_INV</v>
          </cell>
          <cell r="D53" t="e">
            <v>#NAME?</v>
          </cell>
        </row>
        <row r="54">
          <cell r="B54" t="str">
            <v>Investments in securities</v>
          </cell>
          <cell r="C54" t="str">
            <v>INV_SECUR</v>
          </cell>
          <cell r="D54" t="e">
            <v>#NAME?</v>
          </cell>
        </row>
        <row r="55">
          <cell r="B55" t="str">
            <v>Other long-term assets</v>
          </cell>
          <cell r="C55" t="str">
            <v>OTH_LT_ASS</v>
          </cell>
          <cell r="D55" t="e">
            <v>#NAME?</v>
          </cell>
        </row>
        <row r="56">
          <cell r="B56" t="str">
            <v>Total assets</v>
          </cell>
          <cell r="C56" t="str">
            <v>TOT_ASSET</v>
          </cell>
          <cell r="D56" t="e">
            <v>#NAME?</v>
          </cell>
        </row>
        <row r="57">
          <cell r="B57" t="str">
            <v>Accounts payable</v>
          </cell>
          <cell r="C57" t="str">
            <v>ACC_PAY_GQ</v>
          </cell>
          <cell r="D57" t="e">
            <v>#NAME?</v>
          </cell>
        </row>
        <row r="58">
          <cell r="B58" t="str">
            <v>Short-term debt</v>
          </cell>
          <cell r="C58" t="str">
            <v>SHORT_T_DEBT</v>
          </cell>
          <cell r="D58" t="e">
            <v>#NAME?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 t="e">
            <v>#NAME?</v>
          </cell>
        </row>
        <row r="60">
          <cell r="B60" t="str">
            <v>Other current liabilities</v>
          </cell>
          <cell r="C60" t="str">
            <v>OTH_CUR_LIABS</v>
          </cell>
          <cell r="D60" t="e">
            <v>#NAME?</v>
          </cell>
        </row>
        <row r="61">
          <cell r="B61" t="str">
            <v>Total current liabilities</v>
          </cell>
          <cell r="C61" t="str">
            <v>SHORT_TERM_LIABS</v>
          </cell>
          <cell r="D61" t="e">
            <v>#NAME?</v>
          </cell>
        </row>
        <row r="62">
          <cell r="B62" t="str">
            <v>Long-term  debt</v>
          </cell>
          <cell r="C62" t="str">
            <v>LT_DEBT</v>
          </cell>
          <cell r="D62" t="e">
            <v>#NAME?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 t="e">
            <v>#NAME?</v>
          </cell>
        </row>
        <row r="64">
          <cell r="B64" t="str">
            <v>Other long-term liabilities</v>
          </cell>
          <cell r="C64" t="str">
            <v>OTH_LT_CRED_GQ</v>
          </cell>
          <cell r="D64" t="e">
            <v>#NAME?</v>
          </cell>
        </row>
        <row r="65">
          <cell r="B65" t="str">
            <v>Total long-term liabilities</v>
          </cell>
          <cell r="C65" t="str">
            <v>TOT_LT_LIAB</v>
          </cell>
          <cell r="D65" t="e">
            <v>#NAME?</v>
          </cell>
        </row>
        <row r="66">
          <cell r="B66" t="str">
            <v>Total liabilities</v>
          </cell>
          <cell r="C66" t="str">
            <v>TOT_LIAB</v>
          </cell>
          <cell r="D66" t="e">
            <v>#NAME?</v>
          </cell>
        </row>
        <row r="67">
          <cell r="B67" t="str">
            <v>Preferred shares</v>
          </cell>
          <cell r="C67" t="str">
            <v>PREF_SH</v>
          </cell>
          <cell r="D67" t="e">
            <v>#NAME?</v>
          </cell>
        </row>
        <row r="68">
          <cell r="B68" t="str">
            <v>Total common equity</v>
          </cell>
          <cell r="C68" t="str">
            <v>ORD_SH_FUND</v>
          </cell>
          <cell r="D68" t="e">
            <v>#NAME?</v>
          </cell>
        </row>
        <row r="69">
          <cell r="B69" t="str">
            <v>Minority interest</v>
          </cell>
          <cell r="C69" t="str">
            <v>MINORITIES</v>
          </cell>
          <cell r="D69" t="e">
            <v>#NAME?</v>
          </cell>
        </row>
        <row r="70">
          <cell r="B70" t="str">
            <v>Total shareholders' equity</v>
          </cell>
          <cell r="C70" t="str">
            <v>EQ</v>
          </cell>
          <cell r="D70" t="e">
            <v>#NAME?</v>
          </cell>
        </row>
        <row r="71">
          <cell r="B71" t="str">
            <v>Total liabilities and equity</v>
          </cell>
          <cell r="C71" t="str">
            <v>TOT_LIAB_EQ</v>
          </cell>
          <cell r="D71" t="e">
            <v>#NAME?</v>
          </cell>
        </row>
        <row r="73">
          <cell r="B73" t="str">
            <v>Total US$ debt (in US$)</v>
          </cell>
          <cell r="C73" t="str">
            <v>TOT_USD_DEBT</v>
          </cell>
        </row>
        <row r="74">
          <cell r="B74" t="str">
            <v>% US$ debt hedged (principal)</v>
          </cell>
          <cell r="C74" t="str">
            <v>TOT_PCT_USD_DEBT_HEDGED</v>
          </cell>
        </row>
        <row r="75">
          <cell r="B75" t="str">
            <v>% Floating debt (local currency debt)</v>
          </cell>
          <cell r="C75" t="str">
            <v>FLOATING_PCT_LOCAL_DEBT</v>
          </cell>
        </row>
        <row r="76">
          <cell r="B76" t="str">
            <v>% floating debt hedged (rates)</v>
          </cell>
          <cell r="C76" t="str">
            <v>FLOATING_PCT_LOCAL_DEBT_HEDGED</v>
          </cell>
        </row>
        <row r="77">
          <cell r="B77" t="str">
            <v>Net debt</v>
          </cell>
          <cell r="C77" t="str">
            <v>NET_DEBT</v>
          </cell>
          <cell r="D77" t="e">
            <v>#NAME?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 t="e">
            <v>#NAME?</v>
          </cell>
        </row>
        <row r="79">
          <cell r="B79" t="str">
            <v>Deferred income taxes</v>
          </cell>
          <cell r="C79" t="str">
            <v>DEF_INC_TAX</v>
          </cell>
          <cell r="D79" t="e">
            <v>#NAME?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 t="e">
            <v>#NAME?</v>
          </cell>
        </row>
        <row r="81">
          <cell r="B81" t="str">
            <v>Net debt adjustment</v>
          </cell>
          <cell r="C81" t="str">
            <v>NET_DEBT_ADJ</v>
          </cell>
          <cell r="D81" t="e">
            <v>#NAME?</v>
          </cell>
        </row>
        <row r="82">
          <cell r="B82" t="str">
            <v>Company borrowing margin</v>
          </cell>
          <cell r="C82" t="str">
            <v>CO_BOR_MARGIN</v>
          </cell>
        </row>
        <row r="83">
          <cell r="B83" t="str">
            <v>Unfunded pensions &amp; other provisions</v>
          </cell>
          <cell r="C83" t="str">
            <v>UNF_PENS</v>
          </cell>
          <cell r="D83" t="e">
            <v>#NAME?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 t="e">
            <v>#NAME?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 t="e">
            <v>#NAME?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 t="e">
            <v>#NAME?</v>
          </cell>
        </row>
        <row r="87">
          <cell r="B87" t="str">
            <v>Other GCI adjustments</v>
          </cell>
          <cell r="C87" t="str">
            <v>OTH_GCI_ADJ</v>
          </cell>
          <cell r="D87" t="e">
            <v>#NAME?</v>
          </cell>
        </row>
        <row r="88">
          <cell r="B88" t="str">
            <v>GCI inflator</v>
          </cell>
          <cell r="C88" t="str">
            <v>GCI_INFL</v>
          </cell>
        </row>
        <row r="89">
          <cell r="B89" t="str">
            <v>Minority interest</v>
          </cell>
          <cell r="C89" t="str">
            <v>BAL_MINO_INT</v>
          </cell>
          <cell r="D89" t="e">
            <v>#NAME?</v>
          </cell>
        </row>
        <row r="90">
          <cell r="B90" t="str">
            <v>Right-of-use assets (op lease assets under US GAAP)</v>
          </cell>
          <cell r="C90" t="str">
            <v>ROU_ASSET</v>
          </cell>
          <cell r="D90" t="e">
            <v>#NAME?</v>
          </cell>
        </row>
        <row r="92">
          <cell r="B92" t="str">
            <v>Minority interest add-back</v>
          </cell>
          <cell r="C92" t="str">
            <v>CF_INC_MINORITY</v>
          </cell>
          <cell r="D92" t="e">
            <v>#NAME?</v>
          </cell>
        </row>
        <row r="93">
          <cell r="B93" t="str">
            <v>Depreciation &amp; amortization add-back</v>
          </cell>
          <cell r="C93" t="str">
            <v>DEPR_AMORT</v>
          </cell>
          <cell r="D93" t="e">
            <v>#NAME?</v>
          </cell>
        </row>
        <row r="94">
          <cell r="B94" t="str">
            <v>(Increase)/decrease in working capital</v>
          </cell>
          <cell r="C94" t="str">
            <v>WORK_CAP</v>
          </cell>
          <cell r="D94" t="e">
            <v>#NAME?</v>
          </cell>
        </row>
        <row r="95">
          <cell r="B95" t="str">
            <v>Other operating cash flow items</v>
          </cell>
          <cell r="C95" t="str">
            <v>OTH_OP_CF</v>
          </cell>
          <cell r="D95" t="e">
            <v>#NAME?</v>
          </cell>
        </row>
        <row r="96">
          <cell r="B96" t="str">
            <v>Cash flow from operating activities</v>
          </cell>
          <cell r="C96" t="str">
            <v>CF_OPS</v>
          </cell>
          <cell r="D96" t="e">
            <v>#NAME?</v>
          </cell>
        </row>
        <row r="97">
          <cell r="B97" t="str">
            <v>Capital expenditures, Capex</v>
          </cell>
          <cell r="C97" t="str">
            <v>CAPEX</v>
          </cell>
          <cell r="D97" t="e">
            <v>#NAME?</v>
          </cell>
        </row>
        <row r="98">
          <cell r="B98" t="str">
            <v>Acquisitions</v>
          </cell>
          <cell r="C98" t="str">
            <v>ACQ</v>
          </cell>
          <cell r="D98" t="e">
            <v>#NAME?</v>
          </cell>
        </row>
        <row r="99">
          <cell r="B99" t="str">
            <v>Divestitures</v>
          </cell>
          <cell r="C99" t="str">
            <v>DIVEST</v>
          </cell>
          <cell r="D99" t="e">
            <v>#NAME?</v>
          </cell>
        </row>
        <row r="100">
          <cell r="B100" t="str">
            <v>Other investing cash flow items</v>
          </cell>
          <cell r="C100" t="str">
            <v>OTH_INV_CF</v>
          </cell>
          <cell r="D100" t="e">
            <v>#NAME?</v>
          </cell>
        </row>
        <row r="101">
          <cell r="B101" t="str">
            <v>Cash flow from investing</v>
          </cell>
          <cell r="C101" t="str">
            <v>CF_INV</v>
          </cell>
          <cell r="D101" t="e">
            <v>#NAME?</v>
          </cell>
        </row>
        <row r="102">
          <cell r="B102" t="str">
            <v>Dividends paid</v>
          </cell>
          <cell r="C102" t="str">
            <v>DIV_PAID</v>
          </cell>
          <cell r="D102" t="e">
            <v>#NAME?</v>
          </cell>
        </row>
        <row r="103">
          <cell r="B103" t="str">
            <v>Common stock issuance/(repurchase)</v>
          </cell>
          <cell r="C103" t="str">
            <v>SH_REPUR</v>
          </cell>
          <cell r="D103" t="e">
            <v>#NAME?</v>
          </cell>
        </row>
        <row r="104">
          <cell r="B104" t="str">
            <v>Increase/(decrease) in total debt</v>
          </cell>
          <cell r="C104" t="str">
            <v>CHG_LT_DEBT</v>
          </cell>
          <cell r="D104" t="e">
            <v>#NAME?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e">
            <v>#NAME?</v>
          </cell>
        </row>
        <row r="106">
          <cell r="B106" t="str">
            <v>Other financing cash flow items</v>
          </cell>
          <cell r="C106" t="str">
            <v>OTH_FIN_CF</v>
          </cell>
          <cell r="D106" t="e">
            <v>#NAME?</v>
          </cell>
        </row>
        <row r="107">
          <cell r="B107" t="str">
            <v>Cash flow from financing</v>
          </cell>
          <cell r="C107" t="str">
            <v>CF_FIN</v>
          </cell>
          <cell r="D107" t="e">
            <v>#NAME?</v>
          </cell>
        </row>
        <row r="108">
          <cell r="B108" t="str">
            <v>Total cash flow</v>
          </cell>
          <cell r="C108" t="str">
            <v>TOT_CF</v>
          </cell>
          <cell r="D108" t="e">
            <v>#NAME?</v>
          </cell>
        </row>
        <row r="110">
          <cell r="B110" t="str">
            <v>Associate and JV add-back</v>
          </cell>
          <cell r="C110" t="str">
            <v>ASSOC_JV_ADDBK</v>
          </cell>
          <cell r="D110" t="e">
            <v>#NAME?</v>
          </cell>
        </row>
        <row r="111">
          <cell r="B111" t="str">
            <v>Profit/(loss) on sale of assets</v>
          </cell>
          <cell r="C111" t="str">
            <v>PL_SALE_ASSETS</v>
          </cell>
          <cell r="D111" t="e">
            <v>#NAME?</v>
          </cell>
        </row>
        <row r="112">
          <cell r="B112" t="str">
            <v>Other non-cash adjustments</v>
          </cell>
          <cell r="C112" t="str">
            <v>OTH_NONCASH_ADJ</v>
          </cell>
          <cell r="D112" t="e">
            <v>#NAME?</v>
          </cell>
        </row>
        <row r="113">
          <cell r="B113" t="str">
            <v>Other DACF adjustments</v>
          </cell>
          <cell r="C113" t="str">
            <v>OTH_DACF_ADJ</v>
          </cell>
          <cell r="D113" t="e">
            <v>#NAME?</v>
          </cell>
        </row>
        <row r="114">
          <cell r="B114" t="str">
            <v>Cash interest expense</v>
          </cell>
          <cell r="C114" t="str">
            <v>CASH_INT_EXP</v>
          </cell>
          <cell r="D114" t="e">
            <v>#NAME?</v>
          </cell>
        </row>
        <row r="115">
          <cell r="B115" t="str">
            <v>Cash tax expense</v>
          </cell>
          <cell r="C115" t="str">
            <v>CASH_TAX_EXP</v>
          </cell>
          <cell r="D115" t="e">
            <v>#NAME?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 t="e">
            <v>#NAME?</v>
          </cell>
        </row>
        <row r="117">
          <cell r="B117" t="str">
            <v>Capex maintenance</v>
          </cell>
          <cell r="C117" t="str">
            <v>CAPEX_MAINTENANCE</v>
          </cell>
          <cell r="D117" t="e">
            <v>#NAME?</v>
          </cell>
        </row>
        <row r="118">
          <cell r="B118" t="str">
            <v>Capex expansion</v>
          </cell>
          <cell r="C118" t="str">
            <v>CAPEX_EXPANSION</v>
          </cell>
          <cell r="D118" t="e">
            <v>#NAME?</v>
          </cell>
        </row>
        <row r="119">
          <cell r="B119" t="str">
            <v>Non-PP&amp;E capex</v>
          </cell>
          <cell r="C119" t="str">
            <v>NONPPE_CAPEX</v>
          </cell>
          <cell r="D119" t="e">
            <v>#NAME?</v>
          </cell>
        </row>
        <row r="120">
          <cell r="B120" t="str">
            <v>Dividends paid to minorities</v>
          </cell>
          <cell r="C120" t="str">
            <v>DIVDS_PD_MINORITIES</v>
          </cell>
          <cell r="D120" t="e">
            <v>#NAME?</v>
          </cell>
        </row>
        <row r="122">
          <cell r="B122" t="str">
            <v>Number of employees</v>
          </cell>
          <cell r="C122" t="str">
            <v>EMPLOYEES</v>
          </cell>
        </row>
        <row r="124">
          <cell r="B124" t="str">
            <v>Sales - % Canada</v>
          </cell>
          <cell r="C124" t="str">
            <v>SALES_CANADA</v>
          </cell>
        </row>
        <row r="125">
          <cell r="B125" t="str">
            <v>Sales - % United States</v>
          </cell>
          <cell r="C125" t="str">
            <v>SALES_US</v>
          </cell>
        </row>
        <row r="126">
          <cell r="B126" t="str">
            <v>Sales - % Other North Americas</v>
          </cell>
          <cell r="C126" t="str">
            <v>SALES_OTH_NO_AMER</v>
          </cell>
        </row>
        <row r="127">
          <cell r="B127" t="str">
            <v>Sales - % Argentina</v>
          </cell>
          <cell r="C127" t="str">
            <v>SALES_ARGENTINA</v>
          </cell>
        </row>
        <row r="128">
          <cell r="B128" t="str">
            <v>Sales - % Brazil</v>
          </cell>
          <cell r="C128" t="str">
            <v>SALES_BRAZIL</v>
          </cell>
        </row>
        <row r="129">
          <cell r="B129" t="str">
            <v>Sales - % Chile</v>
          </cell>
          <cell r="C129" t="str">
            <v>SALES_CHILE</v>
          </cell>
        </row>
        <row r="130">
          <cell r="B130" t="str">
            <v>Sales - % Colombia</v>
          </cell>
          <cell r="C130" t="str">
            <v>SALES_COLOMBIA</v>
          </cell>
        </row>
        <row r="131">
          <cell r="B131" t="str">
            <v>Sales - % Mexico</v>
          </cell>
          <cell r="C131" t="str">
            <v>SALES_MEXICO</v>
          </cell>
        </row>
        <row r="132">
          <cell r="B132" t="str">
            <v>Sales - % Venezuela</v>
          </cell>
          <cell r="C132" t="str">
            <v>SALES_VENEZUELA</v>
          </cell>
        </row>
        <row r="133">
          <cell r="B133" t="str">
            <v>Sales - % Other Latin Americas</v>
          </cell>
          <cell r="C133" t="str">
            <v>SALES_OTH_LATAM</v>
          </cell>
        </row>
        <row r="134">
          <cell r="B134" t="str">
            <v>Sales - % Austria</v>
          </cell>
          <cell r="C134" t="str">
            <v>SALES_AUSTRIA</v>
          </cell>
        </row>
        <row r="135">
          <cell r="B135" t="str">
            <v>Sales - % Belgium</v>
          </cell>
          <cell r="C135" t="str">
            <v>SALES_BEL</v>
          </cell>
        </row>
        <row r="136">
          <cell r="B136" t="str">
            <v>Sales - % France</v>
          </cell>
          <cell r="C136" t="str">
            <v>SALES_FRA</v>
          </cell>
        </row>
        <row r="137">
          <cell r="B137" t="str">
            <v>Sales - % Germany</v>
          </cell>
          <cell r="C137" t="str">
            <v>SALES_GER</v>
          </cell>
        </row>
        <row r="138">
          <cell r="B138" t="str">
            <v>Sales - % Greece</v>
          </cell>
          <cell r="C138" t="str">
            <v>SALES_GRE</v>
          </cell>
        </row>
        <row r="139">
          <cell r="B139" t="str">
            <v>Sales - % Ireland</v>
          </cell>
          <cell r="C139" t="str">
            <v>SALES_IRE</v>
          </cell>
        </row>
        <row r="140">
          <cell r="B140" t="str">
            <v>Sales - % Italy</v>
          </cell>
          <cell r="C140" t="str">
            <v>SALES_ITA</v>
          </cell>
        </row>
        <row r="141">
          <cell r="B141" t="str">
            <v>Sales - % Netherlands</v>
          </cell>
          <cell r="C141" t="str">
            <v>SALES_NETH</v>
          </cell>
        </row>
        <row r="142">
          <cell r="B142" t="str">
            <v>Sales - % Norway</v>
          </cell>
          <cell r="C142" t="str">
            <v>SALES_NOR</v>
          </cell>
        </row>
        <row r="143">
          <cell r="B143" t="str">
            <v>Sales - % Portugal</v>
          </cell>
          <cell r="C143" t="str">
            <v>SALES_POR</v>
          </cell>
        </row>
        <row r="144">
          <cell r="B144" t="str">
            <v>Sales - % Spain</v>
          </cell>
          <cell r="C144" t="str">
            <v>SALES_SPA</v>
          </cell>
        </row>
        <row r="145">
          <cell r="B145" t="str">
            <v>Sales - % Sweden</v>
          </cell>
          <cell r="C145" t="str">
            <v>SALES_SWE</v>
          </cell>
        </row>
        <row r="146">
          <cell r="B146" t="str">
            <v>Sales - % Switzerland</v>
          </cell>
          <cell r="C146" t="str">
            <v>SALES_SWIT</v>
          </cell>
        </row>
        <row r="147">
          <cell r="B147" t="str">
            <v>Sales - % UK</v>
          </cell>
          <cell r="C147" t="str">
            <v>SALES_UK</v>
          </cell>
        </row>
        <row r="148">
          <cell r="B148" t="str">
            <v>Sales - % Other Western Europe</v>
          </cell>
          <cell r="C148" t="str">
            <v>SALES_OTH_WEST_EURO</v>
          </cell>
        </row>
        <row r="149">
          <cell r="B149" t="str">
            <v>Sales - % Poland</v>
          </cell>
          <cell r="C149" t="str">
            <v>SALES_POLAND</v>
          </cell>
        </row>
        <row r="150">
          <cell r="B150" t="str">
            <v>Sales - % Russia</v>
          </cell>
          <cell r="C150" t="str">
            <v>SALES_RUSSIA</v>
          </cell>
        </row>
        <row r="151">
          <cell r="B151" t="str">
            <v>Sales - % Turkey</v>
          </cell>
          <cell r="C151" t="str">
            <v>SALES_TURKEY</v>
          </cell>
        </row>
        <row r="152">
          <cell r="B152" t="str">
            <v>Sales - % Other CEE</v>
          </cell>
          <cell r="C152" t="str">
            <v>SALES_OTH_CEE</v>
          </cell>
        </row>
        <row r="153">
          <cell r="B153" t="str">
            <v>Sales - % Saudi Arabia</v>
          </cell>
          <cell r="C153" t="str">
            <v>SALES_SAUDI_ARABIA</v>
          </cell>
        </row>
        <row r="154">
          <cell r="B154" t="str">
            <v>Sales - % United Arab Emirates</v>
          </cell>
          <cell r="C154" t="str">
            <v>SALES_UAE</v>
          </cell>
        </row>
        <row r="155">
          <cell r="B155" t="str">
            <v>Sales - % Other Middle East</v>
          </cell>
          <cell r="C155" t="str">
            <v>SALES_OTH_ME</v>
          </cell>
        </row>
        <row r="156">
          <cell r="B156" t="str">
            <v>Sales - % Nigeria</v>
          </cell>
          <cell r="C156" t="str">
            <v>SALES_NIGERIA</v>
          </cell>
        </row>
        <row r="157">
          <cell r="B157" t="str">
            <v>Sales - % South Africa</v>
          </cell>
          <cell r="C157" t="str">
            <v>SALES_SO_AFRICA</v>
          </cell>
        </row>
        <row r="158">
          <cell r="B158" t="str">
            <v>Sales - % Other Africa</v>
          </cell>
          <cell r="C158" t="str">
            <v>SALES_OTH_AFRICA</v>
          </cell>
        </row>
        <row r="159">
          <cell r="B159" t="str">
            <v>Sales - % Hong Kong</v>
          </cell>
          <cell r="C159" t="str">
            <v>SALES_HONG_KONG</v>
          </cell>
        </row>
        <row r="160">
          <cell r="B160" t="str">
            <v>Sales - % Japan</v>
          </cell>
          <cell r="C160" t="str">
            <v>SALES_JAPAN</v>
          </cell>
        </row>
        <row r="161">
          <cell r="B161" t="str">
            <v>Sales - % Singapore</v>
          </cell>
          <cell r="C161" t="str">
            <v>SALES_SINGAPORE</v>
          </cell>
        </row>
        <row r="162">
          <cell r="B162" t="str">
            <v>Sales - % South Korea</v>
          </cell>
          <cell r="C162" t="str">
            <v>SALES_SK</v>
          </cell>
        </row>
        <row r="163">
          <cell r="B163" t="str">
            <v>Sales - % Taiwan</v>
          </cell>
          <cell r="C163" t="str">
            <v>SALES_TAIWAN</v>
          </cell>
        </row>
        <row r="164">
          <cell r="B164" t="str">
            <v>Sales - % Other Developed Asia</v>
          </cell>
          <cell r="C164" t="str">
            <v>SALES_OTH_DEV_ASIA</v>
          </cell>
        </row>
        <row r="165">
          <cell r="B165" t="str">
            <v>Sales - % China</v>
          </cell>
          <cell r="C165" t="str">
            <v>SALES_CHINA</v>
          </cell>
        </row>
        <row r="166">
          <cell r="B166" t="str">
            <v>Sales - % India</v>
          </cell>
          <cell r="C166" t="str">
            <v>SALES_INDIA</v>
          </cell>
        </row>
        <row r="167">
          <cell r="B167" t="str">
            <v>Sales - % Indonesia</v>
          </cell>
          <cell r="C167" t="str">
            <v>SALES_INDONESIA</v>
          </cell>
        </row>
        <row r="168">
          <cell r="B168" t="str">
            <v>Sales - % Thailand</v>
          </cell>
          <cell r="C168" t="str">
            <v>SALES_THAILAND</v>
          </cell>
        </row>
        <row r="169">
          <cell r="B169" t="str">
            <v>Sales - % Other Emerging Asia</v>
          </cell>
          <cell r="C169" t="str">
            <v>SALES_OTH_EMERG_ASIA</v>
          </cell>
        </row>
        <row r="170">
          <cell r="B170" t="str">
            <v>Sales - % Australia</v>
          </cell>
          <cell r="C170" t="str">
            <v>SALES_AUSTRA</v>
          </cell>
        </row>
        <row r="171">
          <cell r="B171" t="str">
            <v>Sales - % New Zealand</v>
          </cell>
          <cell r="C171" t="str">
            <v>SALES_NZ</v>
          </cell>
        </row>
        <row r="172">
          <cell r="B172" t="str">
            <v>Sales - % Others</v>
          </cell>
          <cell r="C172" t="str">
            <v>SALES_OTHER</v>
          </cell>
        </row>
        <row r="173">
          <cell r="B173" t="str">
            <v>% of CoGS from U.S. (GS estimate)</v>
          </cell>
          <cell r="C173" t="str">
            <v>COGS_PCT_US</v>
          </cell>
        </row>
        <row r="174">
          <cell r="B174" t="str">
            <v>% of CoGS from non-U.S. (GS estimate)</v>
          </cell>
          <cell r="C174" t="str">
            <v>COGS_PCT_ROW</v>
          </cell>
        </row>
        <row r="175">
          <cell r="B175" t="str">
            <v>% of SG&amp;A from U.S. (GS estimate)</v>
          </cell>
          <cell r="C175" t="str">
            <v>SGA_PCT_US</v>
          </cell>
        </row>
        <row r="176">
          <cell r="B176" t="str">
            <v>% of SG&amp;A from non-U.S. (GS estimate)</v>
          </cell>
          <cell r="C176" t="str">
            <v>SGA_PCT_ROW</v>
          </cell>
        </row>
        <row r="177">
          <cell r="B177" t="str">
            <v>Sales -% Consumer (C)</v>
          </cell>
          <cell r="C177" t="str">
            <v>SALES_CONS</v>
          </cell>
        </row>
        <row r="178">
          <cell r="B178" t="str">
            <v>Sales -% Industry (I)</v>
          </cell>
          <cell r="C178" t="str">
            <v>SALES_IND</v>
          </cell>
        </row>
        <row r="179">
          <cell r="B179" t="str">
            <v>Sales -% Government (G)</v>
          </cell>
          <cell r="C179" t="str">
            <v>SALES_GOV</v>
          </cell>
        </row>
        <row r="180">
          <cell r="B180" t="str">
            <v>Sales - % Industry Sub-Segment: Financial Services</v>
          </cell>
          <cell r="C180" t="str">
            <v>SALES_FINAN</v>
          </cell>
        </row>
        <row r="181">
          <cell r="B181" t="str">
            <v>Sales - % Industry Sub-Segment: Oil &amp; Gas</v>
          </cell>
          <cell r="C181" t="str">
            <v>SALES_OIL_GAS</v>
          </cell>
        </row>
        <row r="183">
          <cell r="B183" t="str">
            <v>Expense - % Oil/Petrol/Fuel</v>
          </cell>
          <cell r="C183" t="str">
            <v>EXP_OIL_PETRO_FUEL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</row>
        <row r="194">
          <cell r="F194"/>
          <cell r="G194"/>
          <cell r="H194"/>
          <cell r="I194"/>
          <cell r="J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</row>
        <row r="196">
          <cell r="B196" t="str">
            <v>Sales - % FX: British Pounds/Pence</v>
          </cell>
          <cell r="C196" t="str">
            <v>SALES_FX_GPB</v>
          </cell>
        </row>
        <row r="197">
          <cell r="B197" t="str">
            <v>Sales - % FX: Euro</v>
          </cell>
          <cell r="C197" t="str">
            <v>SALES_FX_EUR</v>
          </cell>
        </row>
        <row r="198">
          <cell r="B198" t="str">
            <v>Sales - % FX: New Russian Ruble</v>
          </cell>
          <cell r="C198" t="str">
            <v>SALES_FX_RUB</v>
          </cell>
        </row>
        <row r="199">
          <cell r="B199" t="str">
            <v>Sales - % FX: U.S. Dollar</v>
          </cell>
          <cell r="C199" t="str">
            <v>SALES_FX_USD</v>
          </cell>
        </row>
        <row r="200">
          <cell r="B200" t="str">
            <v>Sales - % FX: Brazilian Real</v>
          </cell>
          <cell r="C200" t="str">
            <v>SALES_FX_BRL</v>
          </cell>
        </row>
        <row r="201">
          <cell r="B201" t="str">
            <v>Sales - % FX: Japanese Yen</v>
          </cell>
          <cell r="C201" t="str">
            <v>SALES_FX_YEN</v>
          </cell>
        </row>
        <row r="202">
          <cell r="B202" t="str">
            <v>Sales - % FX: Chinese Renminbi</v>
          </cell>
          <cell r="C202" t="str">
            <v>SALES_FX_CNY</v>
          </cell>
        </row>
        <row r="203">
          <cell r="B203" t="str">
            <v>Sales - % FX: Indian Rupee</v>
          </cell>
          <cell r="C203" t="str">
            <v>SALES_FX_INR</v>
          </cell>
        </row>
        <row r="204">
          <cell r="B204" t="str">
            <v>Sales - % FX: South Korean Won</v>
          </cell>
          <cell r="C204" t="str">
            <v>SALES_FX_KRW</v>
          </cell>
        </row>
        <row r="205">
          <cell r="B205" t="str">
            <v>Sales - % FX: Taiwan Dollar</v>
          </cell>
          <cell r="C205" t="str">
            <v>SALES_FX_TWD</v>
          </cell>
        </row>
        <row r="206">
          <cell r="B206" t="str">
            <v>Sales - % FX: Other Currency</v>
          </cell>
          <cell r="C206" t="str">
            <v>SALES_FX_OTH</v>
          </cell>
        </row>
        <row r="208">
          <cell r="B208" t="str">
            <v>Sales - Total % Americas</v>
          </cell>
          <cell r="C208" t="str">
            <v>SALES_TOT_AM</v>
          </cell>
        </row>
        <row r="209">
          <cell r="B209" t="str">
            <v>Sales - % Other Americas</v>
          </cell>
          <cell r="C209" t="str">
            <v>SALES_OTH_AM</v>
          </cell>
        </row>
        <row r="210">
          <cell r="B210" t="str">
            <v>Sales - Total % EMEA</v>
          </cell>
          <cell r="C210" t="str">
            <v>SALES_TOT_EMEA</v>
          </cell>
        </row>
        <row r="211">
          <cell r="B211" t="str">
            <v>Sales - % Western Europe-Ex UK</v>
          </cell>
          <cell r="C211" t="str">
            <v>SALES_EU_EX_UK</v>
          </cell>
        </row>
        <row r="212">
          <cell r="B212" t="str">
            <v>Sales - % Central &amp; Eastern Europe</v>
          </cell>
          <cell r="C212" t="str">
            <v>SALES_CEE</v>
          </cell>
        </row>
        <row r="213">
          <cell r="B213" t="str">
            <v>Sales - % Middle East</v>
          </cell>
          <cell r="C213" t="str">
            <v>SALES_ME</v>
          </cell>
        </row>
        <row r="214">
          <cell r="B214" t="str">
            <v>Sales - % Total Africa</v>
          </cell>
          <cell r="C214" t="str">
            <v>SALES_TOT_AFRICA</v>
          </cell>
        </row>
        <row r="215">
          <cell r="B215" t="str">
            <v>Sales - % Other EMEA</v>
          </cell>
          <cell r="C215" t="str">
            <v>SALES_OTH_EMEA</v>
          </cell>
        </row>
        <row r="216">
          <cell r="B216" t="str">
            <v>Sales - Total % Asia (incl Australia &amp; New Zealand)</v>
          </cell>
          <cell r="C216" t="str">
            <v>SALES_TOT_ASIA</v>
          </cell>
        </row>
        <row r="217">
          <cell r="B217" t="str">
            <v>Sales - % Other Asia</v>
          </cell>
          <cell r="C217" t="str">
            <v>SALES_OTH_AEJ</v>
          </cell>
        </row>
      </sheetData>
      <sheetData sheetId="20">
        <row r="1">
          <cell r="A1" t="str">
            <v>Issuer: Maxscend</v>
          </cell>
        </row>
      </sheetData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Valuation"/>
      <sheetName val="AFOSHEET"/>
      <sheetName val="Act Vs Est "/>
      <sheetName val="%Change"/>
      <sheetName val="Company Data"/>
      <sheetName val="Industry Data"/>
      <sheetName val="Model"/>
      <sheetName val="Model (post deal)"/>
      <sheetName val="Ratios"/>
      <sheetName val="Driver"/>
      <sheetName val="Display"/>
      <sheetName val="Raw Data"/>
      <sheetName val="Market Data"/>
      <sheetName val="000050.SZ_Live_Sheet"/>
      <sheetName val="000050.SZ_Validation_Sheet"/>
      <sheetName val="000050.SZ_Annotation_Sheet"/>
      <sheetName val="Basic Data_Wind"/>
      <sheetName val="产线及项目"/>
      <sheetName val="000050.SZ_Exchange_Sheet"/>
      <sheetName val="Raw Data (post deal)"/>
      <sheetName val="EPS Walk"/>
      <sheetName val="Driver_old"/>
      <sheetName val="Reg AC"/>
      <sheetName val="Disclaimer"/>
      <sheetName val="First take"/>
      <sheetName val="Commentary"/>
      <sheetName val="Exhibit"/>
      <sheetName val="公司介绍"/>
      <sheetName val="主营构成"/>
      <sheetName val="财务摘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Issuer: Tianma Microelectronics Co.</v>
          </cell>
          <cell r="C1">
            <v>2669085601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>
            <v>2015</v>
          </cell>
          <cell r="AJ1" t="str">
            <v>2016 Q1</v>
          </cell>
          <cell r="AK1" t="str">
            <v>2016 Q2</v>
          </cell>
          <cell r="AL1" t="str">
            <v>2016 Q3</v>
          </cell>
          <cell r="AM1" t="str">
            <v>2016 Q4</v>
          </cell>
          <cell r="AN1">
            <v>2016</v>
          </cell>
          <cell r="AO1" t="str">
            <v>2017 Q1</v>
          </cell>
          <cell r="AP1" t="str">
            <v>2017 Q2</v>
          </cell>
          <cell r="AQ1" t="str">
            <v>2017 Q3</v>
          </cell>
          <cell r="AR1" t="str">
            <v>2017 Q4</v>
          </cell>
          <cell r="AS1">
            <v>2017</v>
          </cell>
          <cell r="AT1" t="str">
            <v>2018 Q1</v>
          </cell>
          <cell r="AU1" t="str">
            <v>2018 Q2</v>
          </cell>
          <cell r="AV1" t="str">
            <v>2018 Q3</v>
          </cell>
          <cell r="AW1" t="str">
            <v>2018 Q4</v>
          </cell>
          <cell r="AX1">
            <v>2018</v>
          </cell>
          <cell r="AY1" t="str">
            <v>2019 Q1</v>
          </cell>
          <cell r="AZ1" t="str">
            <v>2019 Q2</v>
          </cell>
          <cell r="BA1" t="str">
            <v>2019 Q3</v>
          </cell>
          <cell r="BB1" t="str">
            <v>2019 Q4</v>
          </cell>
          <cell r="BC1">
            <v>2019</v>
          </cell>
          <cell r="BD1">
            <v>2020</v>
          </cell>
          <cell r="BE1">
            <v>2021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42094</v>
          </cell>
          <cell r="AF3">
            <v>42185</v>
          </cell>
          <cell r="AG3">
            <v>42277</v>
          </cell>
          <cell r="AH3">
            <v>42369</v>
          </cell>
          <cell r="AI3">
            <v>42369</v>
          </cell>
          <cell r="AJ3">
            <v>42460</v>
          </cell>
          <cell r="AK3">
            <v>42551</v>
          </cell>
          <cell r="AL3">
            <v>42643</v>
          </cell>
          <cell r="AM3">
            <v>42735</v>
          </cell>
          <cell r="AN3">
            <v>42735</v>
          </cell>
          <cell r="AO3">
            <v>42825</v>
          </cell>
          <cell r="AP3">
            <v>42916</v>
          </cell>
          <cell r="AQ3">
            <v>43008</v>
          </cell>
          <cell r="AR3">
            <v>43100</v>
          </cell>
          <cell r="AS3">
            <v>43100</v>
          </cell>
          <cell r="AT3">
            <v>43190</v>
          </cell>
          <cell r="AU3">
            <v>43281</v>
          </cell>
          <cell r="AV3">
            <v>43373</v>
          </cell>
          <cell r="AW3">
            <v>43465</v>
          </cell>
          <cell r="AY3">
            <v>43555</v>
          </cell>
          <cell r="AZ3">
            <v>43646</v>
          </cell>
          <cell r="BA3">
            <v>43738</v>
          </cell>
          <cell r="BB3">
            <v>43830</v>
          </cell>
          <cell r="BC3">
            <v>43830</v>
          </cell>
          <cell r="BD3">
            <v>44196</v>
          </cell>
          <cell r="BE3">
            <v>44561</v>
          </cell>
        </row>
        <row r="4">
          <cell r="A4" t="str">
            <v>Issuer: Tianma Microelectronics Co.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Tianma Microelectronics Co.</v>
          </cell>
        </row>
        <row r="7">
          <cell r="B7" t="str">
            <v>Reporting Currency</v>
          </cell>
          <cell r="C7" t="str">
            <v>CURRENCY_ISO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>
            <v>0</v>
          </cell>
        </row>
        <row r="12">
          <cell r="B12" t="str">
            <v>Compensation &amp; benfits expense</v>
          </cell>
          <cell r="C12" t="str">
            <v>PERSONNEL</v>
          </cell>
          <cell r="D12">
            <v>0</v>
          </cell>
        </row>
        <row r="13">
          <cell r="B13" t="str">
            <v>Cost of goods sold, COGS</v>
          </cell>
          <cell r="C13" t="str">
            <v>COST_GD_SD</v>
          </cell>
          <cell r="D13">
            <v>0</v>
          </cell>
        </row>
        <row r="14">
          <cell r="B14" t="str">
            <v>SG&amp;A, selling, general and admin. expense</v>
          </cell>
          <cell r="C14" t="str">
            <v>SEL_GL_AD</v>
          </cell>
          <cell r="D14">
            <v>0</v>
          </cell>
        </row>
        <row r="15">
          <cell r="B15" t="str">
            <v>Total operating expense</v>
          </cell>
          <cell r="C15" t="str">
            <v>OP_COST</v>
          </cell>
          <cell r="D15">
            <v>0</v>
          </cell>
        </row>
        <row r="16">
          <cell r="B16" t="str">
            <v>R&amp;D expense</v>
          </cell>
          <cell r="C16" t="str">
            <v>RD_EXP</v>
          </cell>
          <cell r="D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>
            <v>0</v>
          </cell>
        </row>
        <row r="19">
          <cell r="B19" t="str">
            <v>Total operating expense (excl. D&amp;A)</v>
          </cell>
          <cell r="C19" t="str">
            <v>TOT_OPS_EXP</v>
          </cell>
          <cell r="D19">
            <v>0</v>
          </cell>
        </row>
        <row r="20">
          <cell r="B20" t="str">
            <v>EBITDA</v>
          </cell>
          <cell r="C20" t="str">
            <v>EBITDA_CALC</v>
          </cell>
          <cell r="D20">
            <v>0</v>
          </cell>
        </row>
        <row r="21">
          <cell r="B21" t="str">
            <v>Depreciation</v>
          </cell>
          <cell r="C21" t="str">
            <v>DEPREC</v>
          </cell>
          <cell r="D21">
            <v>0</v>
          </cell>
        </row>
        <row r="22">
          <cell r="B22" t="str">
            <v>Amortization</v>
          </cell>
          <cell r="C22" t="str">
            <v>GOODWILL_AMORT</v>
          </cell>
          <cell r="D22">
            <v>0</v>
          </cell>
        </row>
        <row r="23">
          <cell r="B23" t="str">
            <v>EBIT, operating profit</v>
          </cell>
          <cell r="C23" t="str">
            <v>EBIT</v>
          </cell>
          <cell r="D23">
            <v>0</v>
          </cell>
        </row>
        <row r="24">
          <cell r="B24" t="str">
            <v>Interest income</v>
          </cell>
          <cell r="C24" t="str">
            <v>INT_INC_IND</v>
          </cell>
          <cell r="D24">
            <v>0</v>
          </cell>
        </row>
        <row r="25">
          <cell r="B25" t="str">
            <v>Interest expense</v>
          </cell>
          <cell r="C25" t="str">
            <v>INT_EXP_IND</v>
          </cell>
          <cell r="D25">
            <v>0</v>
          </cell>
        </row>
        <row r="26">
          <cell r="B26" t="str">
            <v>Net interest income/(expense)</v>
          </cell>
          <cell r="C26" t="str">
            <v>NET_INT_EXP</v>
          </cell>
          <cell r="D26">
            <v>0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>
            <v>0</v>
          </cell>
        </row>
        <row r="30">
          <cell r="B30" t="str">
            <v>Pre-tax profit</v>
          </cell>
          <cell r="C30" t="str">
            <v>PT_PROF</v>
          </cell>
          <cell r="D30">
            <v>0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>
            <v>0</v>
          </cell>
        </row>
        <row r="33">
          <cell r="B33" t="str">
            <v>Lease payments</v>
          </cell>
          <cell r="C33" t="str">
            <v>LEASE_PAY</v>
          </cell>
          <cell r="D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>
            <v>0</v>
          </cell>
        </row>
        <row r="36">
          <cell r="B36" t="str">
            <v>Gross interest charge</v>
          </cell>
          <cell r="C36" t="str">
            <v>NET_INT_CH</v>
          </cell>
          <cell r="D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>
            <v>0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>
            <v>0</v>
          </cell>
        </row>
        <row r="40">
          <cell r="B40" t="str">
            <v>Accounts receivable</v>
          </cell>
          <cell r="C40" t="str">
            <v>DEBTORS</v>
          </cell>
          <cell r="D40">
            <v>0</v>
          </cell>
        </row>
        <row r="41">
          <cell r="B41" t="str">
            <v>Inventory</v>
          </cell>
          <cell r="C41" t="str">
            <v>STOCKS</v>
          </cell>
          <cell r="D41">
            <v>0</v>
          </cell>
        </row>
        <row r="42">
          <cell r="B42" t="str">
            <v>Other current assets</v>
          </cell>
          <cell r="C42" t="str">
            <v>OTH_CUR_ASS</v>
          </cell>
          <cell r="D42">
            <v>0</v>
          </cell>
        </row>
        <row r="43">
          <cell r="B43" t="str">
            <v>Total current assets</v>
          </cell>
          <cell r="C43" t="str">
            <v>CUR_ASS</v>
          </cell>
          <cell r="D43">
            <v>0</v>
          </cell>
        </row>
        <row r="44">
          <cell r="B44" t="str">
            <v>Gross fixed assets, PP&amp;E</v>
          </cell>
          <cell r="C44" t="str">
            <v>GR_FIX_ASS</v>
          </cell>
          <cell r="D44">
            <v>0</v>
          </cell>
        </row>
        <row r="45">
          <cell r="B45" t="str">
            <v>Accumulated depreciation</v>
          </cell>
          <cell r="C45" t="str">
            <v>ACC_DDA</v>
          </cell>
          <cell r="D45">
            <v>0</v>
          </cell>
        </row>
        <row r="46">
          <cell r="B46" t="str">
            <v>Net PP&amp;E</v>
          </cell>
          <cell r="C46" t="str">
            <v>NET_FIX_ASS</v>
          </cell>
          <cell r="D46">
            <v>0</v>
          </cell>
        </row>
        <row r="47">
          <cell r="B47" t="str">
            <v>Gross intangibles</v>
          </cell>
          <cell r="C47" t="str">
            <v>GR_INTANG</v>
          </cell>
          <cell r="D47">
            <v>0</v>
          </cell>
        </row>
        <row r="48">
          <cell r="B48" t="str">
            <v>Accumulated amortization</v>
          </cell>
          <cell r="C48" t="str">
            <v>ACC_AMORT</v>
          </cell>
          <cell r="D48">
            <v>0</v>
          </cell>
        </row>
        <row r="49">
          <cell r="B49" t="str">
            <v>Net intangible assets</v>
          </cell>
          <cell r="C49" t="str">
            <v>NET_INTANG</v>
          </cell>
          <cell r="D49">
            <v>0</v>
          </cell>
        </row>
        <row r="50">
          <cell r="B50" t="str">
            <v>Equity method investments</v>
          </cell>
          <cell r="C50" t="str">
            <v>FIX_ASS_INV</v>
          </cell>
          <cell r="D50">
            <v>0</v>
          </cell>
        </row>
        <row r="51">
          <cell r="B51" t="str">
            <v>Investments in securities</v>
          </cell>
          <cell r="C51" t="str">
            <v>INV_SECUR</v>
          </cell>
          <cell r="D51">
            <v>0</v>
          </cell>
        </row>
        <row r="52">
          <cell r="B52" t="str">
            <v>Other long-term assets</v>
          </cell>
          <cell r="C52" t="str">
            <v>OTH_LT_ASS</v>
          </cell>
          <cell r="D52">
            <v>0</v>
          </cell>
        </row>
        <row r="53">
          <cell r="B53" t="str">
            <v>Total assets</v>
          </cell>
          <cell r="C53" t="str">
            <v>TOT_ASSET</v>
          </cell>
          <cell r="D53">
            <v>0</v>
          </cell>
        </row>
        <row r="54">
          <cell r="B54" t="str">
            <v>Accounts payable</v>
          </cell>
          <cell r="C54" t="str">
            <v>ACC_PAY_GQ</v>
          </cell>
          <cell r="D54">
            <v>0</v>
          </cell>
        </row>
        <row r="55">
          <cell r="B55" t="str">
            <v>Short-term debt</v>
          </cell>
          <cell r="C55" t="str">
            <v>SHORT_T_DEBT</v>
          </cell>
          <cell r="D55">
            <v>0</v>
          </cell>
        </row>
        <row r="56">
          <cell r="B56" t="str">
            <v>Other current liabilities</v>
          </cell>
          <cell r="C56" t="str">
            <v>OTH_CUR_LIABS</v>
          </cell>
          <cell r="D56">
            <v>0</v>
          </cell>
        </row>
        <row r="57">
          <cell r="B57" t="str">
            <v>Total current liabilities</v>
          </cell>
          <cell r="C57" t="str">
            <v>SHORT_TERM_LIABS</v>
          </cell>
          <cell r="D57">
            <v>0</v>
          </cell>
        </row>
        <row r="58">
          <cell r="B58" t="str">
            <v>Long-term  debt</v>
          </cell>
          <cell r="C58" t="str">
            <v>LT_DEBT</v>
          </cell>
          <cell r="D58">
            <v>0</v>
          </cell>
        </row>
        <row r="59">
          <cell r="B59" t="str">
            <v>Other long-term liabilities</v>
          </cell>
          <cell r="C59" t="str">
            <v>OTH_LT_CRED_GQ</v>
          </cell>
          <cell r="D59">
            <v>0</v>
          </cell>
        </row>
        <row r="60">
          <cell r="B60" t="str">
            <v>Total long-term liabilities</v>
          </cell>
          <cell r="C60" t="str">
            <v>TOT_LT_LIAB</v>
          </cell>
          <cell r="D60">
            <v>0</v>
          </cell>
        </row>
        <row r="61">
          <cell r="B61" t="str">
            <v>Total liabilities</v>
          </cell>
          <cell r="C61" t="str">
            <v>TOT_LIAB</v>
          </cell>
          <cell r="D61">
            <v>0</v>
          </cell>
        </row>
        <row r="62">
          <cell r="B62" t="str">
            <v>Preferred shares</v>
          </cell>
          <cell r="C62" t="str">
            <v>PREF_SH</v>
          </cell>
          <cell r="D62">
            <v>0</v>
          </cell>
        </row>
        <row r="63">
          <cell r="B63" t="str">
            <v>Total common equity</v>
          </cell>
          <cell r="C63" t="str">
            <v>ORD_SH_FUND</v>
          </cell>
          <cell r="D63">
            <v>0</v>
          </cell>
        </row>
        <row r="64">
          <cell r="B64" t="str">
            <v>Minority interest</v>
          </cell>
          <cell r="C64" t="str">
            <v>MINORITIES</v>
          </cell>
          <cell r="D64">
            <v>0</v>
          </cell>
        </row>
        <row r="65">
          <cell r="B65" t="str">
            <v>Total shareholders' equity</v>
          </cell>
          <cell r="C65" t="str">
            <v>EQ</v>
          </cell>
          <cell r="D65">
            <v>0</v>
          </cell>
        </row>
        <row r="66">
          <cell r="B66" t="str">
            <v>Total liabilities and equity</v>
          </cell>
          <cell r="C66" t="str">
            <v>TOT_LIAB_EQ</v>
          </cell>
          <cell r="D66">
            <v>0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</row>
        <row r="69">
          <cell r="B69" t="str">
            <v>% US$ debt hedged (principal)</v>
          </cell>
          <cell r="C69" t="str">
            <v>TOT_PCT_USD_DEBT_HEDGED</v>
          </cell>
        </row>
        <row r="70">
          <cell r="B70" t="str">
            <v>% Floating debt (local currency debt)</v>
          </cell>
          <cell r="C70" t="str">
            <v>FLOATING_PCT_LOCAL_DEBT</v>
          </cell>
        </row>
        <row r="71">
          <cell r="B71" t="str">
            <v>% floating debt hedged (rates)</v>
          </cell>
          <cell r="C71" t="str">
            <v>FLOATING_PCT_LOCAL_DEBT_HEDGED</v>
          </cell>
        </row>
        <row r="72">
          <cell r="B72" t="str">
            <v>Net debt</v>
          </cell>
          <cell r="C72" t="str">
            <v>NET_DEBT</v>
          </cell>
          <cell r="D72">
            <v>0</v>
          </cell>
        </row>
        <row r="73">
          <cell r="B73" t="str">
            <v>Capitalized leases</v>
          </cell>
          <cell r="C73" t="str">
            <v>CAP_LEASES</v>
          </cell>
          <cell r="D73">
            <v>0</v>
          </cell>
        </row>
        <row r="74">
          <cell r="B74" t="str">
            <v>Deferred income taxes</v>
          </cell>
          <cell r="C74" t="str">
            <v>DEF_INC_TAX</v>
          </cell>
          <cell r="D74">
            <v>0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>
            <v>0</v>
          </cell>
        </row>
        <row r="76">
          <cell r="B76" t="str">
            <v>Net debt adjustment</v>
          </cell>
          <cell r="C76" t="str">
            <v>NET_DEBT_ADJ</v>
          </cell>
          <cell r="D76">
            <v>0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>
            <v>0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>
            <v>0</v>
          </cell>
        </row>
        <row r="82">
          <cell r="B82" t="str">
            <v>Other GCI adjustments</v>
          </cell>
          <cell r="C82" t="str">
            <v>OTH_GCI_ADJ</v>
          </cell>
          <cell r="D82">
            <v>0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>
            <v>0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>
            <v>0</v>
          </cell>
        </row>
        <row r="88">
          <cell r="B88" t="str">
            <v>(Increase)/decrease in working capital</v>
          </cell>
          <cell r="C88" t="str">
            <v>WORK_CAP</v>
          </cell>
          <cell r="D88">
            <v>0</v>
          </cell>
        </row>
        <row r="89">
          <cell r="B89" t="str">
            <v>Other operating cash flow items</v>
          </cell>
          <cell r="C89" t="str">
            <v>OTH_OP_CF</v>
          </cell>
          <cell r="D89">
            <v>0</v>
          </cell>
        </row>
        <row r="90">
          <cell r="B90" t="str">
            <v>Cash flow from operating activities</v>
          </cell>
          <cell r="C90" t="str">
            <v>CF_OPS</v>
          </cell>
          <cell r="D90">
            <v>0</v>
          </cell>
        </row>
        <row r="91">
          <cell r="B91" t="str">
            <v>Capital expenditures, Capex</v>
          </cell>
          <cell r="C91" t="str">
            <v>CAPEX</v>
          </cell>
          <cell r="D91">
            <v>0</v>
          </cell>
        </row>
        <row r="92">
          <cell r="B92" t="str">
            <v>Acquisitions</v>
          </cell>
          <cell r="C92" t="str">
            <v>ACQ</v>
          </cell>
          <cell r="D92">
            <v>0</v>
          </cell>
        </row>
        <row r="93">
          <cell r="B93" t="str">
            <v>Divestitures</v>
          </cell>
          <cell r="C93" t="str">
            <v>DIVEST</v>
          </cell>
          <cell r="D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>
            <v>0</v>
          </cell>
        </row>
        <row r="95">
          <cell r="B95" t="str">
            <v>Cash flow from investing</v>
          </cell>
          <cell r="C95" t="str">
            <v>CF_INV</v>
          </cell>
          <cell r="D95">
            <v>0</v>
          </cell>
        </row>
        <row r="96">
          <cell r="B96" t="str">
            <v>Dividends paid</v>
          </cell>
          <cell r="C96" t="str">
            <v>DIV_PAID</v>
          </cell>
          <cell r="D96">
            <v>0</v>
          </cell>
        </row>
        <row r="97">
          <cell r="B97" t="str">
            <v>Common stock issuance/(repurchase)</v>
          </cell>
          <cell r="C97" t="str">
            <v>SH_REPUR</v>
          </cell>
          <cell r="D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>
            <v>0</v>
          </cell>
        </row>
        <row r="99">
          <cell r="B99" t="str">
            <v>Other financing cash flow items</v>
          </cell>
          <cell r="C99" t="str">
            <v>OTH_FIN_CF</v>
          </cell>
          <cell r="D99">
            <v>0</v>
          </cell>
        </row>
        <row r="100">
          <cell r="B100" t="str">
            <v>Cash flow from financing</v>
          </cell>
          <cell r="C100" t="str">
            <v>CF_FIN</v>
          </cell>
          <cell r="D100">
            <v>0</v>
          </cell>
        </row>
        <row r="101">
          <cell r="B101" t="str">
            <v>Total cash flow</v>
          </cell>
          <cell r="C101" t="str">
            <v>TOT_CF</v>
          </cell>
          <cell r="D101">
            <v>0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>
            <v>0</v>
          </cell>
        </row>
        <row r="104">
          <cell r="B104" t="str">
            <v>Profit/(loss) on sale of assets</v>
          </cell>
          <cell r="C104" t="str">
            <v>PL_SALE_ASSETS</v>
          </cell>
          <cell r="D104">
            <v>0</v>
          </cell>
        </row>
        <row r="105">
          <cell r="B105" t="str">
            <v>Other non-cash adjustments</v>
          </cell>
          <cell r="C105" t="str">
            <v>OTH_NONCASH_ADJ</v>
          </cell>
          <cell r="D105">
            <v>0</v>
          </cell>
        </row>
        <row r="106">
          <cell r="B106" t="str">
            <v>Other DACF adjustments</v>
          </cell>
          <cell r="C106" t="str">
            <v>OTH_DACF_ADJ</v>
          </cell>
          <cell r="D106">
            <v>0</v>
          </cell>
        </row>
        <row r="107">
          <cell r="B107" t="str">
            <v>Cash interest expense</v>
          </cell>
          <cell r="C107" t="str">
            <v>CASH_INT_EXP</v>
          </cell>
          <cell r="D107">
            <v>0</v>
          </cell>
        </row>
        <row r="108">
          <cell r="B108" t="str">
            <v>Cash tax expense</v>
          </cell>
          <cell r="C108" t="str">
            <v>CASH_TAX_EXP</v>
          </cell>
          <cell r="D108">
            <v>0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>
            <v>0</v>
          </cell>
        </row>
        <row r="110">
          <cell r="B110" t="str">
            <v>Capex maintenance</v>
          </cell>
          <cell r="C110" t="str">
            <v>CAPEX_MAINTENANCE</v>
          </cell>
          <cell r="D110">
            <v>0</v>
          </cell>
        </row>
        <row r="111">
          <cell r="B111" t="str">
            <v>Capex expansion</v>
          </cell>
          <cell r="C111" t="str">
            <v>CAPEX_EXPANSION</v>
          </cell>
          <cell r="D111">
            <v>0</v>
          </cell>
        </row>
        <row r="112">
          <cell r="B112" t="str">
            <v>Non-PP&amp;E capex</v>
          </cell>
          <cell r="C112" t="str">
            <v>NONPPE_CAPEX</v>
          </cell>
          <cell r="D112">
            <v>0</v>
          </cell>
        </row>
        <row r="113">
          <cell r="B113" t="str">
            <v>Dividends paid to minorities</v>
          </cell>
          <cell r="C113" t="str">
            <v>DIVDS_PD_MINORITIES</v>
          </cell>
          <cell r="D113">
            <v>0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4">
          <cell r="B174" t="str">
            <v>Sales - % Industry Sub-Segment: Oil &amp; Gas</v>
          </cell>
          <cell r="C174" t="str">
            <v>SALES_OIL_GAS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3">
          <cell r="A183" t="str">
            <v>FX Exposure - Sales</v>
          </cell>
        </row>
        <row r="184">
          <cell r="B184" t="str">
            <v>Sales - % FX: British Pounds/Pence</v>
          </cell>
          <cell r="C184" t="str">
            <v>SALES_FX_GPB</v>
          </cell>
        </row>
        <row r="185">
          <cell r="B185" t="str">
            <v>Sales - % FX: Euro</v>
          </cell>
          <cell r="C185" t="str">
            <v>SALES_FX_EUR</v>
          </cell>
        </row>
        <row r="186">
          <cell r="B186" t="str">
            <v>Sales - % FX: New Russian Ruble</v>
          </cell>
          <cell r="C186" t="str">
            <v>SALES_FX_RUB</v>
          </cell>
        </row>
        <row r="187">
          <cell r="B187" t="str">
            <v>Sales - % FX: U.S. Dollar</v>
          </cell>
          <cell r="C187" t="str">
            <v>SALES_FX_USD</v>
          </cell>
        </row>
        <row r="188">
          <cell r="B188" t="str">
            <v>Sales - % FX: Brazilian Real</v>
          </cell>
          <cell r="C188" t="str">
            <v>SALES_FX_BRL</v>
          </cell>
        </row>
        <row r="189">
          <cell r="B189" t="str">
            <v>Sales - % FX: Japanese Yen</v>
          </cell>
          <cell r="C189" t="str">
            <v>SALES_FX_YEN</v>
          </cell>
        </row>
        <row r="190">
          <cell r="B190" t="str">
            <v>Sales - % FX: Chinese Renminbi</v>
          </cell>
          <cell r="C190" t="str">
            <v>SALES_FX_CNY</v>
          </cell>
        </row>
        <row r="191">
          <cell r="B191" t="str">
            <v>Sales - % FX: Indian Rupee</v>
          </cell>
          <cell r="C191" t="str">
            <v>SALES_FX_INR</v>
          </cell>
        </row>
        <row r="192">
          <cell r="B192" t="str">
            <v>Sales - % FX: South Korean Won</v>
          </cell>
          <cell r="C192" t="str">
            <v>SALES_FX_KRW</v>
          </cell>
        </row>
        <row r="193">
          <cell r="B193" t="str">
            <v>Sales - % FX: Taiwan Dollar</v>
          </cell>
          <cell r="C193" t="str">
            <v>SALES_FX_TWD</v>
          </cell>
        </row>
        <row r="194">
          <cell r="B194" t="str">
            <v>Sales - % FX: Other Currency</v>
          </cell>
          <cell r="C194" t="str">
            <v>SALES_FX_OTH</v>
          </cell>
        </row>
        <row r="195">
          <cell r="A195" t="str">
            <v>Items to be removed</v>
          </cell>
        </row>
        <row r="196">
          <cell r="B196" t="str">
            <v>Sales - Total % Americas</v>
          </cell>
          <cell r="C196" t="str">
            <v>SALES_TOT_AM</v>
          </cell>
        </row>
        <row r="197">
          <cell r="B197" t="str">
            <v>Sales - % Other Americas</v>
          </cell>
          <cell r="C197" t="str">
            <v>SALES_OTH_AM</v>
          </cell>
        </row>
        <row r="198">
          <cell r="B198" t="str">
            <v>Sales - Total % EMEA</v>
          </cell>
          <cell r="C198" t="str">
            <v>SALES_TOT_EMEA</v>
          </cell>
        </row>
        <row r="199">
          <cell r="B199" t="str">
            <v>Sales - % Western Europe-Ex UK</v>
          </cell>
          <cell r="C199" t="str">
            <v>SALES_EU_EX_UK</v>
          </cell>
        </row>
        <row r="200">
          <cell r="B200" t="str">
            <v>Sales - % Central &amp; Eastern Europe</v>
          </cell>
          <cell r="C200" t="str">
            <v>SALES_CEE</v>
          </cell>
        </row>
        <row r="201">
          <cell r="B201" t="str">
            <v>Sales - % Middle East</v>
          </cell>
          <cell r="C201" t="str">
            <v>SALES_ME</v>
          </cell>
        </row>
        <row r="202">
          <cell r="B202" t="str">
            <v>Sales - % Total Africa</v>
          </cell>
          <cell r="C202" t="str">
            <v>SALES_TOT_AFRICA</v>
          </cell>
        </row>
        <row r="203">
          <cell r="B203" t="str">
            <v>Sales - % Other EMEA</v>
          </cell>
          <cell r="C203" t="str">
            <v>SALES_OTH_EMEA</v>
          </cell>
        </row>
        <row r="204">
          <cell r="B204" t="str">
            <v>Sales - Total % Asia (incl Australia &amp; New Zealand)</v>
          </cell>
          <cell r="C204" t="str">
            <v>SALES_TOT_ASIA</v>
          </cell>
        </row>
        <row r="205">
          <cell r="B205" t="str">
            <v>Sales - % Other Asia</v>
          </cell>
          <cell r="C205" t="str">
            <v>SALES_OTH_AEJ</v>
          </cell>
        </row>
        <row r="206">
          <cell r="A206" t="str">
            <v>Security: Tianma Microelectronics Co.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000050.SZ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Tianma Microelectronics Co.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</row>
        <row r="212">
          <cell r="B212" t="str">
            <v>Pricing Currency</v>
          </cell>
          <cell r="C212" t="str">
            <v>PRICE_CURRENCY_ISO</v>
          </cell>
        </row>
        <row r="213">
          <cell r="B213" t="str">
            <v>Reporting Currency</v>
          </cell>
          <cell r="C213" t="str">
            <v>CURRENCY_ISO</v>
          </cell>
        </row>
        <row r="214">
          <cell r="A214" t="str">
            <v>General Information</v>
          </cell>
        </row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>
            <v>0</v>
          </cell>
        </row>
        <row r="219">
          <cell r="B219" t="str">
            <v>Target price period</v>
          </cell>
          <cell r="C219" t="str">
            <v>TP_PERIOD</v>
          </cell>
        </row>
        <row r="220">
          <cell r="B220" t="str">
            <v>Current shares outstanding (mn)</v>
          </cell>
          <cell r="C220" t="str">
            <v>NUM_SH</v>
          </cell>
        </row>
        <row r="221">
          <cell r="B221" t="str">
            <v>Free float</v>
          </cell>
          <cell r="C221" t="str">
            <v>FREE_FLOAT</v>
          </cell>
        </row>
        <row r="222">
          <cell r="B222" t="str">
            <v>Foreign ownership</v>
          </cell>
          <cell r="C222" t="str">
            <v>FOREIGN_HOLDNG</v>
          </cell>
        </row>
        <row r="223">
          <cell r="B223" t="str">
            <v>Catalyst 1 date</v>
          </cell>
          <cell r="C223" t="str">
            <v>CATALYST1_DATE</v>
          </cell>
        </row>
        <row r="224">
          <cell r="B224" t="str">
            <v>Catalyst 1 description</v>
          </cell>
          <cell r="C224" t="str">
            <v>CATALYST1_EVENT</v>
          </cell>
        </row>
        <row r="225">
          <cell r="B225" t="str">
            <v>Catalyst 2 date</v>
          </cell>
          <cell r="C225" t="str">
            <v>CATALYST2_DATE</v>
          </cell>
        </row>
        <row r="226">
          <cell r="B226" t="str">
            <v>Catalyst 2 description</v>
          </cell>
          <cell r="C226" t="str">
            <v>CATALYST2_EVENT</v>
          </cell>
        </row>
        <row r="227">
          <cell r="B227" t="str">
            <v>Catalyst 3 date</v>
          </cell>
          <cell r="C227" t="str">
            <v>CATALYST3_DATE</v>
          </cell>
        </row>
        <row r="228">
          <cell r="B228" t="str">
            <v>Catalyst 3 description</v>
          </cell>
          <cell r="C228" t="str">
            <v>CATALYST3_EVENT</v>
          </cell>
        </row>
        <row r="229">
          <cell r="B229" t="str">
            <v>Catalyst 4 date</v>
          </cell>
          <cell r="C229" t="str">
            <v>CATALYST4_DATE</v>
          </cell>
        </row>
        <row r="230">
          <cell r="B230" t="str">
            <v>Catalyst 4 description</v>
          </cell>
          <cell r="C230" t="str">
            <v>CATALYST4_EVENT</v>
          </cell>
        </row>
        <row r="231">
          <cell r="B231" t="str">
            <v>Catalyst 5 date</v>
          </cell>
          <cell r="C231" t="str">
            <v>CATALYST5_DATE</v>
          </cell>
        </row>
        <row r="232">
          <cell r="B232" t="str">
            <v>Catalyst 5 description</v>
          </cell>
          <cell r="C232" t="str">
            <v>CATALYST5_EVENT</v>
          </cell>
        </row>
        <row r="233">
          <cell r="B233" t="str">
            <v>Target price multiple</v>
          </cell>
          <cell r="C233" t="str">
            <v>PRI_TARG_MULT</v>
          </cell>
        </row>
        <row r="234">
          <cell r="B234" t="str">
            <v>Target price methodology</v>
          </cell>
          <cell r="C234" t="str">
            <v>PRI_TARG_METH</v>
          </cell>
        </row>
        <row r="235">
          <cell r="A235" t="str">
            <v>Publishing Items</v>
          </cell>
        </row>
        <row r="236">
          <cell r="B236" t="str">
            <v>Book value per share, BVPS (Pub)</v>
          </cell>
          <cell r="C236" t="str">
            <v>BVPS_PUB</v>
          </cell>
          <cell r="D236">
            <v>0</v>
          </cell>
        </row>
        <row r="237">
          <cell r="B237" t="str">
            <v>DPS, dividend per share (Pub)</v>
          </cell>
          <cell r="C237" t="str">
            <v>DPS_PUB</v>
          </cell>
          <cell r="D237">
            <v>0</v>
          </cell>
        </row>
        <row r="238">
          <cell r="B238" t="str">
            <v>Special dividend per share</v>
          </cell>
          <cell r="C238" t="str">
            <v>DPS_SPECIAL_PUB</v>
          </cell>
          <cell r="D238">
            <v>0</v>
          </cell>
        </row>
        <row r="239">
          <cell r="B239" t="str">
            <v>EBITDA (Pub)</v>
          </cell>
          <cell r="C239" t="str">
            <v>EBITDA_PUB</v>
          </cell>
          <cell r="D239">
            <v>0</v>
          </cell>
        </row>
        <row r="240">
          <cell r="B240" t="str">
            <v>EPS (Pub)</v>
          </cell>
          <cell r="C240" t="str">
            <v>EPS_PUB</v>
          </cell>
          <cell r="D240">
            <v>0</v>
          </cell>
        </row>
        <row r="241">
          <cell r="B241" t="str">
            <v>EV adjustment (Pub)</v>
          </cell>
          <cell r="C241" t="str">
            <v>EV_ADJ_PUB</v>
          </cell>
          <cell r="D241">
            <v>0</v>
          </cell>
        </row>
        <row r="242">
          <cell r="B242" t="str">
            <v>Net debt (Pub)</v>
          </cell>
          <cell r="C242" t="str">
            <v>NET_DEBT_PUB</v>
          </cell>
          <cell r="D242">
            <v>0</v>
          </cell>
        </row>
        <row r="243">
          <cell r="B243" t="str">
            <v>Net income (Pub)</v>
          </cell>
          <cell r="C243" t="str">
            <v>NI_PUB</v>
          </cell>
          <cell r="D243">
            <v>0</v>
          </cell>
        </row>
        <row r="244">
          <cell r="B244" t="str">
            <v>EBIT, operating profit (Pub)</v>
          </cell>
          <cell r="C244" t="str">
            <v>EBIT_PUB</v>
          </cell>
          <cell r="D244">
            <v>0</v>
          </cell>
        </row>
        <row r="245">
          <cell r="B245" t="str">
            <v>Pre-tax profit (Pub)</v>
          </cell>
          <cell r="C245" t="str">
            <v>PTP_PUB</v>
          </cell>
          <cell r="D245">
            <v>0</v>
          </cell>
        </row>
        <row r="246">
          <cell r="B246" t="str">
            <v>Sales, revenue (Pub)</v>
          </cell>
          <cell r="C246" t="str">
            <v>REVS_PUB</v>
          </cell>
          <cell r="D246">
            <v>0</v>
          </cell>
        </row>
        <row r="247">
          <cell r="B247" t="str">
            <v>Total shareholders' equity (Pub)</v>
          </cell>
          <cell r="C247" t="str">
            <v>EQ_PUB</v>
          </cell>
          <cell r="D247">
            <v>0</v>
          </cell>
        </row>
        <row r="248">
          <cell r="B248" t="str">
            <v>EPS (consensus)</v>
          </cell>
          <cell r="C248" t="str">
            <v>EPS_CONS_PUB</v>
          </cell>
          <cell r="D248">
            <v>0</v>
          </cell>
        </row>
        <row r="249">
          <cell r="A249" t="str">
            <v>Income Statement</v>
          </cell>
        </row>
        <row r="250">
          <cell r="B250" t="str">
            <v>Provision for income tax</v>
          </cell>
          <cell r="C250" t="str">
            <v>PROV_INC_TAX</v>
          </cell>
          <cell r="D250">
            <v>0</v>
          </cell>
        </row>
        <row r="251">
          <cell r="B251" t="str">
            <v>Minority interest</v>
          </cell>
          <cell r="C251" t="str">
            <v>INC_MINORITY</v>
          </cell>
          <cell r="D251">
            <v>0</v>
          </cell>
        </row>
        <row r="252">
          <cell r="B252" t="str">
            <v>Net income (pre-preferred dividends)</v>
          </cell>
          <cell r="C252" t="str">
            <v>NI_PRE_PREF</v>
          </cell>
          <cell r="D252">
            <v>0</v>
          </cell>
        </row>
        <row r="253">
          <cell r="B253" t="str">
            <v>Preferred dividends</v>
          </cell>
          <cell r="C253" t="str">
            <v>PREF_DIV</v>
          </cell>
          <cell r="D253">
            <v>0</v>
          </cell>
        </row>
        <row r="254">
          <cell r="B254" t="str">
            <v>Net income (pre-exceptionals)</v>
          </cell>
          <cell r="C254" t="str">
            <v>NET_EARNING</v>
          </cell>
          <cell r="D254">
            <v>0</v>
          </cell>
        </row>
        <row r="255">
          <cell r="B255" t="str">
            <v>Post-tax exceptionals</v>
          </cell>
          <cell r="C255" t="str">
            <v>TAX_EXC</v>
          </cell>
          <cell r="D255">
            <v>0</v>
          </cell>
        </row>
        <row r="256">
          <cell r="B256" t="str">
            <v>Net income (post-exceptionals)</v>
          </cell>
          <cell r="C256" t="str">
            <v>NET_INC</v>
          </cell>
          <cell r="D256">
            <v>0</v>
          </cell>
        </row>
        <row r="257">
          <cell r="B257" t="str">
            <v>EPS (pre-exceptionals, basic)</v>
          </cell>
          <cell r="C257" t="str">
            <v>EPS</v>
          </cell>
          <cell r="D257">
            <v>0</v>
          </cell>
        </row>
        <row r="258">
          <cell r="B258" t="str">
            <v>EPS (pre-exceptionals, diluted)</v>
          </cell>
          <cell r="C258" t="str">
            <v>EPS_FUL_DIL</v>
          </cell>
          <cell r="D258">
            <v>0</v>
          </cell>
        </row>
        <row r="259">
          <cell r="B259" t="str">
            <v>EPS (post-exceptionals, basic)</v>
          </cell>
          <cell r="C259" t="str">
            <v>EPS_POST_BASIC</v>
          </cell>
          <cell r="D259">
            <v>0</v>
          </cell>
        </row>
        <row r="260">
          <cell r="B260" t="str">
            <v>EPS (post-exceptionals, diluted)</v>
          </cell>
          <cell r="C260" t="str">
            <v>FULLY_DIL_EPS</v>
          </cell>
          <cell r="D260">
            <v>0</v>
          </cell>
        </row>
        <row r="261">
          <cell r="B261" t="str">
            <v>Common dividends paid</v>
          </cell>
          <cell r="C261" t="str">
            <v>COMMON_DIV_PAID</v>
          </cell>
          <cell r="D261">
            <v>0</v>
          </cell>
        </row>
        <row r="262">
          <cell r="B262" t="str">
            <v>DPS, dividend per share</v>
          </cell>
          <cell r="C262" t="str">
            <v>DPS</v>
          </cell>
          <cell r="D262">
            <v>0</v>
          </cell>
        </row>
        <row r="263">
          <cell r="B263" t="str">
            <v>Weighted average shares outstanding, basic</v>
          </cell>
          <cell r="C263" t="str">
            <v>SH</v>
          </cell>
        </row>
        <row r="264">
          <cell r="B264" t="str">
            <v>Diluted average shares outstanding (mn)</v>
          </cell>
          <cell r="C264" t="str">
            <v>DILUTE_SHARES</v>
          </cell>
        </row>
        <row r="265">
          <cell r="B265" t="str">
            <v>Period-end shares outstanding</v>
          </cell>
          <cell r="C265" t="str">
            <v>NON_OP_ADD</v>
          </cell>
        </row>
        <row r="266">
          <cell r="A266" t="str">
            <v>Additional Income Statement Items</v>
          </cell>
        </row>
        <row r="267">
          <cell r="B267" t="str">
            <v>Marginal tax rate</v>
          </cell>
          <cell r="C267" t="str">
            <v>MARGIN_TAX_RATE</v>
          </cell>
        </row>
        <row r="268">
          <cell r="B268" t="str">
            <v>Net income (consensus) (Pub)</v>
          </cell>
          <cell r="C268" t="str">
            <v>NI_CONS</v>
          </cell>
          <cell r="D268">
            <v>0</v>
          </cell>
        </row>
        <row r="269">
          <cell r="A269" t="str">
            <v>Balance Sheet</v>
          </cell>
        </row>
        <row r="270">
          <cell r="B270" t="str">
            <v>BVPS, book value per share</v>
          </cell>
          <cell r="C270" t="str">
            <v>BVPS</v>
          </cell>
          <cell r="D270">
            <v>0</v>
          </cell>
        </row>
        <row r="271">
          <cell r="A271" t="str">
            <v>Cash Flow Statement</v>
          </cell>
        </row>
        <row r="272">
          <cell r="B272" t="str">
            <v>Net income (pre-preferred dividends)</v>
          </cell>
          <cell r="C272" t="str">
            <v>CF_NI_PRE_PREF</v>
          </cell>
          <cell r="D272">
            <v>0</v>
          </cell>
        </row>
        <row r="273">
          <cell r="A273" t="str">
            <v>Other Items</v>
          </cell>
        </row>
        <row r="274">
          <cell r="B274" t="str">
            <v>Beta</v>
          </cell>
          <cell r="C274" t="str">
            <v>BETA_ANALYST</v>
          </cell>
        </row>
        <row r="275">
          <cell r="B275" t="str">
            <v>Market equity risk premium</v>
          </cell>
          <cell r="C275" t="str">
            <v>MKT_EQ_RISK_PREM</v>
          </cell>
        </row>
        <row r="276">
          <cell r="B276" t="str">
            <v>Risk-free rate</v>
          </cell>
          <cell r="C276" t="str">
            <v>RISK_FR_RATE</v>
          </cell>
        </row>
      </sheetData>
      <sheetData sheetId="18" refreshError="1">
        <row r="1">
          <cell r="A1" t="str">
            <v>0186bcc8-fa31-4be0-a358-d06daf919c6f</v>
          </cell>
        </row>
        <row r="2">
          <cell r="A2" t="str">
            <v>M:\china_innovation\Display panel sector\temp\[GS_Tianma (000050.SZ) model backup.xlsx]000050.SZ_Validation_Sheet</v>
          </cell>
        </row>
        <row r="7">
          <cell r="A7" t="str">
            <v>Scalar|||208018057|||ISSR|||CURRENCY_ISO|||False|||</v>
          </cell>
          <cell r="C7" t="str">
            <v>V_KEYWORD_ISSR_208018057_CURRENCY_ISO</v>
          </cell>
          <cell r="E7" t="str">
            <v>ERROR</v>
          </cell>
        </row>
        <row r="9">
          <cell r="A9" t="str">
            <v>Scalar|||208018057|||ISSR|||MA_PROB|||False|||</v>
          </cell>
          <cell r="C9" t="str">
            <v>V_KEYWORD_ISSR_208018057_MA_PROB</v>
          </cell>
          <cell r="E9" t="str">
            <v>ERROR</v>
          </cell>
        </row>
        <row r="11">
          <cell r="A11" t="str">
            <v>Vector|||208018057|||ISSR|||SALES|||False|||</v>
          </cell>
          <cell r="C11" t="str">
            <v>V_KEYWORD_ISSR_208018057_SALES</v>
          </cell>
        </row>
        <row r="12">
          <cell r="A12" t="str">
            <v>Vector|||208018057|||ISSR|||PERSONNEL|||False|||</v>
          </cell>
          <cell r="C12" t="str">
            <v>V_KEYWORD_ISSR_208018057_PERSONNEL</v>
          </cell>
        </row>
        <row r="13">
          <cell r="A13" t="str">
            <v>Vector|||208018057|||ISSR|||COST_GD_SD|||False|||</v>
          </cell>
          <cell r="C13" t="str">
            <v>V_KEYWORD_ISSR_208018057_COST_GD_SD</v>
          </cell>
        </row>
        <row r="14">
          <cell r="A14" t="str">
            <v>Vector|||208018057|||ISSR|||SEL_GL_AD|||False|||</v>
          </cell>
          <cell r="C14" t="str">
            <v>V_KEYWORD_ISSR_208018057_SEL_GL_AD</v>
          </cell>
        </row>
        <row r="15">
          <cell r="A15" t="str">
            <v>Vector|||208018057|||ISSR|||OP_COST|||False|||</v>
          </cell>
          <cell r="C15" t="str">
            <v>V_KEYWORD_ISSR_208018057_OP_COST</v>
          </cell>
        </row>
        <row r="16">
          <cell r="A16" t="str">
            <v>Vector|||208018057|||ISSR|||RD_EXP|||False|||</v>
          </cell>
          <cell r="C16" t="str">
            <v>V_KEYWORD_ISSR_208018057_RD_EXP</v>
          </cell>
        </row>
        <row r="17">
          <cell r="A17" t="str">
            <v>Vector|||208018057|||ISSR|||OTH_OP_INC_EXP|||False|||</v>
          </cell>
          <cell r="C17" t="str">
            <v>V_KEYWORD_ISSR_208018057_OTH_OP_INC_EXP</v>
          </cell>
        </row>
        <row r="18">
          <cell r="A18" t="str">
            <v>Vector|||208018057|||ISSR|||TOT_OPS_EXP_DDA|||False|||</v>
          </cell>
          <cell r="C18" t="str">
            <v>V_KEYWORD_ISSR_208018057_TOT_OPS_EXP_DDA</v>
          </cell>
        </row>
        <row r="19">
          <cell r="A19" t="str">
            <v>Vector|||208018057|||ISSR|||TOT_OPS_EXP|||False|||</v>
          </cell>
          <cell r="C19" t="str">
            <v>V_KEYWORD_ISSR_208018057_TOT_OPS_EXP</v>
          </cell>
        </row>
        <row r="20">
          <cell r="A20" t="str">
            <v>Vector|||208018057|||ISSR|||EBITDA_CALC|||False|||</v>
          </cell>
          <cell r="C20" t="str">
            <v>V_KEYWORD_ISSR_208018057_EBITDA_CALC</v>
          </cell>
        </row>
        <row r="21">
          <cell r="A21" t="str">
            <v>Vector|||208018057|||ISSR|||DEPREC|||False|||</v>
          </cell>
          <cell r="C21" t="str">
            <v>V_KEYWORD_ISSR_208018057_DEPREC</v>
          </cell>
        </row>
        <row r="22">
          <cell r="A22" t="str">
            <v>Vector|||208018057|||ISSR|||GOODWILL_AMORT|||False|||</v>
          </cell>
          <cell r="C22" t="str">
            <v>V_KEYWORD_ISSR_208018057_GOODWILL_AMORT</v>
          </cell>
        </row>
        <row r="23">
          <cell r="A23" t="str">
            <v>Vector|||208018057|||ISSR|||EBIT|||False|||</v>
          </cell>
          <cell r="C23" t="str">
            <v>V_KEYWORD_ISSR_208018057_EBIT</v>
          </cell>
        </row>
        <row r="24">
          <cell r="A24" t="str">
            <v>Vector|||208018057|||ISSR|||INT_INC_IND|||False|||</v>
          </cell>
          <cell r="C24" t="str">
            <v>V_KEYWORD_ISSR_208018057_INT_INC_IND</v>
          </cell>
        </row>
        <row r="25">
          <cell r="A25" t="str">
            <v>Vector|||208018057|||ISSR|||INT_EXP_IND|||False|||</v>
          </cell>
          <cell r="C25" t="str">
            <v>V_KEYWORD_ISSR_208018057_INT_EXP_IND</v>
          </cell>
        </row>
        <row r="26">
          <cell r="A26" t="str">
            <v>Vector|||208018057|||ISSR|||NET_INT_EXP|||False|||</v>
          </cell>
          <cell r="C26" t="str">
            <v>V_KEYWORD_ISSR_208018057_NET_INT_EXP</v>
          </cell>
        </row>
        <row r="27">
          <cell r="A27" t="str">
            <v>Vector|||208018057|||ISSR|||ASSOCIATE|||False|||</v>
          </cell>
          <cell r="C27" t="str">
            <v>V_KEYWORD_ISSR_208018057_ASSOCIATE</v>
          </cell>
        </row>
        <row r="28">
          <cell r="A28" t="str">
            <v>Vector|||208018057|||ISSR|||PROFIT_ON_DISP|||False|||</v>
          </cell>
          <cell r="C28" t="str">
            <v>V_KEYWORD_ISSR_208018057_PROFIT_ON_DISP</v>
          </cell>
        </row>
        <row r="29">
          <cell r="A29" t="str">
            <v>Vector|||208018057|||ISSR|||OTH_COST_INC|||False|||</v>
          </cell>
          <cell r="C29" t="str">
            <v>V_KEYWORD_ISSR_208018057_OTH_COST_INC</v>
          </cell>
        </row>
        <row r="30">
          <cell r="A30" t="str">
            <v>Vector|||208018057|||ISSR|||PT_PROF|||False|||</v>
          </cell>
          <cell r="C30" t="str">
            <v>V_KEYWORD_ISSR_208018057_PT_PROF</v>
          </cell>
        </row>
        <row r="32">
          <cell r="A32" t="str">
            <v>Vector|||208018057|||ISSR|||CONTRIB_MARGIN_RATIO|||False|||</v>
          </cell>
          <cell r="C32" t="str">
            <v>V_KEYWORD_ISSR_208018057_CONTRIB_MARGIN_RATIO</v>
          </cell>
        </row>
        <row r="33">
          <cell r="A33" t="str">
            <v>Vector|||208018057|||ISSR|||LEASE_PAY|||False|||</v>
          </cell>
          <cell r="C33" t="str">
            <v>V_KEYWORD_ISSR_208018057_LEASE_PAY</v>
          </cell>
        </row>
        <row r="34">
          <cell r="A34" t="str">
            <v>Vector|||208018057|||ISSR|||LEASE_DEEM_INT|||False|||</v>
          </cell>
          <cell r="C34" t="str">
            <v>V_KEYWORD_ISSR_208018057_LEASE_DEEM_INT</v>
          </cell>
        </row>
        <row r="35">
          <cell r="A35" t="str">
            <v>Vector|||208018057|||ISSR|||LEASE_DEEM_DEPR|||False|||</v>
          </cell>
          <cell r="C35" t="str">
            <v>V_KEYWORD_ISSR_208018057_LEASE_DEEM_DEPR</v>
          </cell>
        </row>
        <row r="36">
          <cell r="A36" t="str">
            <v>Vector|||208018057|||ISSR|||NET_INT_CH|||False|||</v>
          </cell>
          <cell r="C36" t="str">
            <v>V_KEYWORD_ISSR_208018057_NET_INT_CH</v>
          </cell>
        </row>
        <row r="37">
          <cell r="A37" t="str">
            <v>Vector|||208018057|||ISSR|||ASSOCIATE_OP|||False|||</v>
          </cell>
          <cell r="C37" t="str">
            <v>V_KEYWORD_ISSR_208018057_ASSOCIATE_OP</v>
          </cell>
        </row>
        <row r="39">
          <cell r="A39" t="str">
            <v>Vector|||208018057|||ISSR|||CASH_EQ|||False|||</v>
          </cell>
          <cell r="C39" t="str">
            <v>V_KEYWORD_ISSR_208018057_CASH_EQ</v>
          </cell>
        </row>
        <row r="40">
          <cell r="A40" t="str">
            <v>Vector|||208018057|||ISSR|||DEBTORS|||False|||</v>
          </cell>
          <cell r="C40" t="str">
            <v>V_KEYWORD_ISSR_208018057_DEBTORS</v>
          </cell>
        </row>
        <row r="41">
          <cell r="A41" t="str">
            <v>Vector|||208018057|||ISSR|||STOCKS|||False|||</v>
          </cell>
          <cell r="C41" t="str">
            <v>V_KEYWORD_ISSR_208018057_STOCKS</v>
          </cell>
        </row>
        <row r="42">
          <cell r="A42" t="str">
            <v>Vector|||208018057|||ISSR|||OTH_CUR_ASS|||False|||</v>
          </cell>
          <cell r="C42" t="str">
            <v>V_KEYWORD_ISSR_208018057_OTH_CUR_ASS</v>
          </cell>
        </row>
        <row r="43">
          <cell r="A43" t="str">
            <v>Vector|||208018057|||ISSR|||CUR_ASS|||False|||</v>
          </cell>
          <cell r="C43" t="str">
            <v>V_KEYWORD_ISSR_208018057_CUR_ASS</v>
          </cell>
        </row>
        <row r="44">
          <cell r="A44" t="str">
            <v>Vector|||208018057|||ISSR|||GR_FIX_ASS|||False|||</v>
          </cell>
          <cell r="C44" t="str">
            <v>V_KEYWORD_ISSR_208018057_GR_FIX_ASS</v>
          </cell>
        </row>
        <row r="45">
          <cell r="A45" t="str">
            <v>Vector|||208018057|||ISSR|||ACC_DDA|||False|||</v>
          </cell>
          <cell r="C45" t="str">
            <v>V_KEYWORD_ISSR_208018057_ACC_DDA</v>
          </cell>
        </row>
        <row r="46">
          <cell r="A46" t="str">
            <v>Vector|||208018057|||ISSR|||NET_FIX_ASS|||False|||</v>
          </cell>
          <cell r="C46" t="str">
            <v>V_KEYWORD_ISSR_208018057_NET_FIX_ASS</v>
          </cell>
        </row>
        <row r="47">
          <cell r="A47" t="str">
            <v>Vector|||208018057|||ISSR|||GR_INTANG|||False|||</v>
          </cell>
          <cell r="C47" t="str">
            <v>V_KEYWORD_ISSR_208018057_GR_INTANG</v>
          </cell>
        </row>
        <row r="48">
          <cell r="A48" t="str">
            <v>Vector|||208018057|||ISSR|||ACC_AMORT|||False|||</v>
          </cell>
          <cell r="C48" t="str">
            <v>V_KEYWORD_ISSR_208018057_ACC_AMORT</v>
          </cell>
        </row>
        <row r="49">
          <cell r="A49" t="str">
            <v>Vector|||208018057|||ISSR|||NET_INTANG|||False|||</v>
          </cell>
          <cell r="C49" t="str">
            <v>V_KEYWORD_ISSR_208018057_NET_INTANG</v>
          </cell>
        </row>
        <row r="50">
          <cell r="A50" t="str">
            <v>Vector|||208018057|||ISSR|||FIX_ASS_INV|||False|||</v>
          </cell>
          <cell r="C50" t="str">
            <v>V_KEYWORD_ISSR_208018057_FIX_ASS_INV</v>
          </cell>
        </row>
        <row r="51">
          <cell r="A51" t="str">
            <v>Vector|||208018057|||ISSR|||INV_SECUR|||False|||</v>
          </cell>
          <cell r="C51" t="str">
            <v>V_KEYWORD_ISSR_208018057_INV_SECUR</v>
          </cell>
        </row>
        <row r="52">
          <cell r="A52" t="str">
            <v>Vector|||208018057|||ISSR|||OTH_LT_ASS|||False|||</v>
          </cell>
          <cell r="C52" t="str">
            <v>V_KEYWORD_ISSR_208018057_OTH_LT_ASS</v>
          </cell>
        </row>
        <row r="53">
          <cell r="A53" t="str">
            <v>Vector|||208018057|||ISSR|||TOT_ASSET|||False|||</v>
          </cell>
          <cell r="C53" t="str">
            <v>V_KEYWORD_ISSR_208018057_TOT_ASSET</v>
          </cell>
        </row>
        <row r="54">
          <cell r="A54" t="str">
            <v>Vector|||208018057|||ISSR|||ACC_PAY_GQ|||False|||</v>
          </cell>
          <cell r="C54" t="str">
            <v>V_KEYWORD_ISSR_208018057_ACC_PAY_GQ</v>
          </cell>
        </row>
        <row r="55">
          <cell r="A55" t="str">
            <v>Vector|||208018057|||ISSR|||SHORT_T_DEBT|||False|||</v>
          </cell>
          <cell r="C55" t="str">
            <v>V_KEYWORD_ISSR_208018057_SHORT_T_DEBT</v>
          </cell>
        </row>
        <row r="56">
          <cell r="A56" t="str">
            <v>Vector|||208018057|||ISSR|||OTH_CUR_LIABS|||False|||</v>
          </cell>
          <cell r="C56" t="str">
            <v>V_KEYWORD_ISSR_208018057_OTH_CUR_LIABS</v>
          </cell>
        </row>
        <row r="57">
          <cell r="A57" t="str">
            <v>Vector|||208018057|||ISSR|||SHORT_TERM_LIABS|||False|||</v>
          </cell>
          <cell r="C57" t="str">
            <v>V_KEYWORD_ISSR_208018057_SHORT_TERM_LIABS</v>
          </cell>
        </row>
        <row r="58">
          <cell r="A58" t="str">
            <v>Vector|||208018057|||ISSR|||LT_DEBT|||False|||</v>
          </cell>
          <cell r="C58" t="str">
            <v>V_KEYWORD_ISSR_208018057_LT_DEBT</v>
          </cell>
        </row>
        <row r="59">
          <cell r="A59" t="str">
            <v>Vector|||208018057|||ISSR|||OTH_LT_CRED_GQ|||False|||</v>
          </cell>
          <cell r="C59" t="str">
            <v>V_KEYWORD_ISSR_208018057_OTH_LT_CRED_GQ</v>
          </cell>
        </row>
        <row r="60">
          <cell r="A60" t="str">
            <v>Vector|||208018057|||ISSR|||TOT_LT_LIAB|||False|||</v>
          </cell>
          <cell r="C60" t="str">
            <v>V_KEYWORD_ISSR_208018057_TOT_LT_LIAB</v>
          </cell>
        </row>
        <row r="61">
          <cell r="A61" t="str">
            <v>Vector|||208018057|||ISSR|||TOT_LIAB|||False|||</v>
          </cell>
          <cell r="C61" t="str">
            <v>V_KEYWORD_ISSR_208018057_TOT_LIAB</v>
          </cell>
        </row>
        <row r="62">
          <cell r="A62" t="str">
            <v>Vector|||208018057|||ISSR|||PREF_SH|||False|||</v>
          </cell>
          <cell r="C62" t="str">
            <v>V_KEYWORD_ISSR_208018057_PREF_SH</v>
          </cell>
        </row>
        <row r="63">
          <cell r="A63" t="str">
            <v>Vector|||208018057|||ISSR|||ORD_SH_FUND|||False|||</v>
          </cell>
          <cell r="C63" t="str">
            <v>V_KEYWORD_ISSR_208018057_ORD_SH_FUND</v>
          </cell>
        </row>
        <row r="64">
          <cell r="A64" t="str">
            <v>Vector|||208018057|||ISSR|||MINORITIES|||False|||</v>
          </cell>
          <cell r="C64" t="str">
            <v>V_KEYWORD_ISSR_208018057_MINORITIES</v>
          </cell>
        </row>
        <row r="65">
          <cell r="A65" t="str">
            <v>Vector|||208018057|||ISSR|||EQ|||False|||</v>
          </cell>
          <cell r="C65" t="str">
            <v>V_KEYWORD_ISSR_208018057_EQ</v>
          </cell>
        </row>
        <row r="66">
          <cell r="A66" t="str">
            <v>Vector|||208018057|||ISSR|||TOT_LIAB_EQ|||False|||</v>
          </cell>
          <cell r="C66" t="str">
            <v>V_KEYWORD_ISSR_208018057_TOT_LIAB_EQ</v>
          </cell>
        </row>
        <row r="68">
          <cell r="A68" t="str">
            <v>Vector|||208018057|||ISSR|||TOT_USD_DEBT|||False|||</v>
          </cell>
          <cell r="C68" t="str">
            <v>V_KEYWORD_ISSR_208018057_TOT_USD_DEBT</v>
          </cell>
        </row>
        <row r="69">
          <cell r="A69" t="str">
            <v>Vector|||208018057|||ISSR|||TOT_PCT_USD_DEBT_HEDGED|||False|||</v>
          </cell>
          <cell r="C69" t="str">
            <v>V_KEYWORD_ISSR_208018057_TOT_PCT_USD_DEBT_HEDGED</v>
          </cell>
        </row>
        <row r="70">
          <cell r="A70" t="str">
            <v>Vector|||208018057|||ISSR|||FLOATING_PCT_LOCAL_DEBT|||False|||</v>
          </cell>
          <cell r="C70" t="str">
            <v>V_KEYWORD_ISSR_208018057_FLOATING_PCT_LOCAL_DEBT</v>
          </cell>
        </row>
        <row r="71">
          <cell r="A71" t="str">
            <v>Vector|||208018057|||ISSR|||FLOATING_PCT_LOCAL_DEBT_HEDGED|||False|||</v>
          </cell>
          <cell r="C71" t="str">
            <v>V_KEYWORD_ISSR_208018057_FLOATING_PCT_LOCAL_DEBT_HEDGED</v>
          </cell>
        </row>
        <row r="72">
          <cell r="A72" t="str">
            <v>Vector|||208018057|||ISSR|||NET_DEBT|||False|||</v>
          </cell>
          <cell r="C72" t="str">
            <v>V_KEYWORD_ISSR_208018057_NET_DEBT</v>
          </cell>
        </row>
        <row r="73">
          <cell r="A73" t="str">
            <v>Vector|||208018057|||ISSR|||CAP_LEASES|||False|||</v>
          </cell>
          <cell r="C73" t="str">
            <v>V_KEYWORD_ISSR_208018057_CAP_LEASES</v>
          </cell>
        </row>
        <row r="74">
          <cell r="A74" t="str">
            <v>Vector|||208018057|||ISSR|||DEF_INC_TAX|||False|||</v>
          </cell>
          <cell r="C74" t="str">
            <v>V_KEYWORD_ISSR_208018057_DEF_INC_TAX</v>
          </cell>
        </row>
        <row r="75">
          <cell r="A75" t="str">
            <v>Vector|||208018057|||ISSR|||MV_ASSOCIATES|||False|||</v>
          </cell>
          <cell r="C75" t="str">
            <v>V_KEYWORD_ISSR_208018057_MV_ASSOCIATES</v>
          </cell>
        </row>
        <row r="76">
          <cell r="A76" t="str">
            <v>Vector|||208018057|||ISSR|||NET_DEBT_ADJ|||False|||</v>
          </cell>
          <cell r="C76" t="str">
            <v>V_KEYWORD_ISSR_208018057_NET_DEBT_ADJ</v>
          </cell>
        </row>
        <row r="77">
          <cell r="A77" t="str">
            <v>Vector|||208018057|||ISSR|||CO_BOR_MARGIN|||False|||</v>
          </cell>
          <cell r="C77" t="str">
            <v>V_KEYWORD_ISSR_208018057_CO_BOR_MARGIN</v>
          </cell>
        </row>
        <row r="78">
          <cell r="A78" t="str">
            <v>Vector|||208018057|||ISSR|||UNF_PENS|||False|||</v>
          </cell>
          <cell r="C78" t="str">
            <v>V_KEYWORD_ISSR_208018057_UNF_PENS</v>
          </cell>
        </row>
        <row r="79">
          <cell r="A79" t="str">
            <v>Vector|||208018057|||ISSR|||UNF_PENS_OFF|||False|||</v>
          </cell>
          <cell r="C79" t="str">
            <v>V_KEYWORD_ISSR_208018057_UNF_PENS_OFF</v>
          </cell>
        </row>
        <row r="80">
          <cell r="A80" t="str">
            <v>Vector|||208018057|||ISSR|||UNF_PENS_LIAB_OTH|||False|||</v>
          </cell>
          <cell r="C80" t="str">
            <v>V_KEYWORD_ISSR_208018057_UNF_PENS_LIAB_OTH</v>
          </cell>
        </row>
        <row r="81">
          <cell r="A81" t="str">
            <v>Vector|||208018057|||ISSR|||ADJ_UNF_PENS_GOOD|||False|||</v>
          </cell>
          <cell r="C81" t="str">
            <v>V_KEYWORD_ISSR_208018057_ADJ_UNF_PENS_GOOD</v>
          </cell>
        </row>
        <row r="82">
          <cell r="A82" t="str">
            <v>Vector|||208018057|||ISSR|||OTH_GCI_ADJ|||False|||</v>
          </cell>
          <cell r="C82" t="str">
            <v>V_KEYWORD_ISSR_208018057_OTH_GCI_ADJ</v>
          </cell>
        </row>
        <row r="83">
          <cell r="A83" t="str">
            <v>Vector|||208018057|||ISSR|||GCI_INFL|||False|||</v>
          </cell>
          <cell r="C83" t="str">
            <v>V_KEYWORD_ISSR_208018057_GCI_INFL</v>
          </cell>
        </row>
        <row r="84">
          <cell r="A84" t="str">
            <v>Vector|||208018057|||ISSR|||BAL_MINO_INT|||False|||</v>
          </cell>
          <cell r="C84" t="str">
            <v>V_KEYWORD_ISSR_208018057_BAL_MINO_INT</v>
          </cell>
        </row>
        <row r="86">
          <cell r="A86" t="str">
            <v>Vector|||208018057|||ISSR|||CF_INC_MINORITY|||False|||</v>
          </cell>
          <cell r="C86" t="str">
            <v>V_KEYWORD_ISSR_208018057_CF_INC_MINORITY</v>
          </cell>
        </row>
        <row r="87">
          <cell r="A87" t="str">
            <v>Vector|||208018057|||ISSR|||DEPR_AMORT|||False|||</v>
          </cell>
          <cell r="C87" t="str">
            <v>V_KEYWORD_ISSR_208018057_DEPR_AMORT</v>
          </cell>
        </row>
        <row r="88">
          <cell r="A88" t="str">
            <v>Vector|||208018057|||ISSR|||WORK_CAP|||False|||</v>
          </cell>
          <cell r="C88" t="str">
            <v>V_KEYWORD_ISSR_208018057_WORK_CAP</v>
          </cell>
        </row>
        <row r="89">
          <cell r="A89" t="str">
            <v>Vector|||208018057|||ISSR|||OTH_OP_CF|||False|||</v>
          </cell>
          <cell r="C89" t="str">
            <v>V_KEYWORD_ISSR_208018057_OTH_OP_CF</v>
          </cell>
        </row>
        <row r="90">
          <cell r="A90" t="str">
            <v>Vector|||208018057|||ISSR|||CF_OPS|||False|||</v>
          </cell>
          <cell r="C90" t="str">
            <v>V_KEYWORD_ISSR_208018057_CF_OPS</v>
          </cell>
        </row>
        <row r="91">
          <cell r="A91" t="str">
            <v>Vector|||208018057|||ISSR|||CAPEX|||False|||</v>
          </cell>
          <cell r="C91" t="str">
            <v>V_KEYWORD_ISSR_208018057_CAPEX</v>
          </cell>
        </row>
        <row r="92">
          <cell r="A92" t="str">
            <v>Vector|||208018057|||ISSR|||ACQ|||False|||</v>
          </cell>
          <cell r="C92" t="str">
            <v>V_KEYWORD_ISSR_208018057_ACQ</v>
          </cell>
        </row>
        <row r="93">
          <cell r="A93" t="str">
            <v>Vector|||208018057|||ISSR|||DIVEST|||False|||</v>
          </cell>
          <cell r="C93" t="str">
            <v>V_KEYWORD_ISSR_208018057_DIVEST</v>
          </cell>
        </row>
        <row r="94">
          <cell r="A94" t="str">
            <v>Vector|||208018057|||ISSR|||OTH_INV_CF|||False|||</v>
          </cell>
          <cell r="C94" t="str">
            <v>V_KEYWORD_ISSR_208018057_OTH_INV_CF</v>
          </cell>
        </row>
        <row r="95">
          <cell r="A95" t="str">
            <v>Vector|||208018057|||ISSR|||CF_INV|||False|||</v>
          </cell>
          <cell r="C95" t="str">
            <v>V_KEYWORD_ISSR_208018057_CF_INV</v>
          </cell>
        </row>
        <row r="96">
          <cell r="A96" t="str">
            <v>Vector|||208018057|||ISSR|||DIV_PAID|||False|||</v>
          </cell>
          <cell r="C96" t="str">
            <v>V_KEYWORD_ISSR_208018057_DIV_PAID</v>
          </cell>
        </row>
        <row r="97">
          <cell r="A97" t="str">
            <v>Vector|||208018057|||ISSR|||SH_REPUR|||False|||</v>
          </cell>
          <cell r="C97" t="str">
            <v>V_KEYWORD_ISSR_208018057_SH_REPUR</v>
          </cell>
        </row>
        <row r="98">
          <cell r="A98" t="str">
            <v>Vector|||208018057|||ISSR|||CHG_LT_DEBT|||False|||</v>
          </cell>
          <cell r="C98" t="str">
            <v>V_KEYWORD_ISSR_208018057_CHG_LT_DEBT</v>
          </cell>
        </row>
        <row r="99">
          <cell r="A99" t="str">
            <v>Vector|||208018057|||ISSR|||OTH_FIN_CF|||False|||</v>
          </cell>
          <cell r="C99" t="str">
            <v>V_KEYWORD_ISSR_208018057_OTH_FIN_CF</v>
          </cell>
        </row>
        <row r="100">
          <cell r="A100" t="str">
            <v>Vector|||208018057|||ISSR|||CF_FIN|||False|||</v>
          </cell>
          <cell r="C100" t="str">
            <v>V_KEYWORD_ISSR_208018057_CF_FIN</v>
          </cell>
        </row>
        <row r="101">
          <cell r="A101" t="str">
            <v>Vector|||208018057|||ISSR|||TOT_CF|||False|||</v>
          </cell>
          <cell r="C101" t="str">
            <v>V_KEYWORD_ISSR_208018057_TOT_CF</v>
          </cell>
        </row>
        <row r="103">
          <cell r="A103" t="str">
            <v>Vector|||208018057|||ISSR|||ASSOC_JV_ADDBK|||False|||</v>
          </cell>
          <cell r="C103" t="str">
            <v>V_KEYWORD_ISSR_208018057_ASSOC_JV_ADDBK</v>
          </cell>
        </row>
        <row r="104">
          <cell r="A104" t="str">
            <v>Vector|||208018057|||ISSR|||PL_SALE_ASSETS|||False|||</v>
          </cell>
          <cell r="C104" t="str">
            <v>V_KEYWORD_ISSR_208018057_PL_SALE_ASSETS</v>
          </cell>
        </row>
        <row r="105">
          <cell r="A105" t="str">
            <v>Vector|||208018057|||ISSR|||OTH_NONCASH_ADJ|||False|||</v>
          </cell>
          <cell r="C105" t="str">
            <v>V_KEYWORD_ISSR_208018057_OTH_NONCASH_ADJ</v>
          </cell>
        </row>
        <row r="106">
          <cell r="A106" t="str">
            <v>Vector|||208018057|||ISSR|||OTH_DACF_ADJ|||False|||</v>
          </cell>
          <cell r="C106" t="str">
            <v>V_KEYWORD_ISSR_208018057_OTH_DACF_ADJ</v>
          </cell>
        </row>
        <row r="107">
          <cell r="A107" t="str">
            <v>Vector|||208018057|||ISSR|||CASH_INT_EXP|||False|||</v>
          </cell>
          <cell r="C107" t="str">
            <v>V_KEYWORD_ISSR_208018057_CASH_INT_EXP</v>
          </cell>
        </row>
        <row r="108">
          <cell r="A108" t="str">
            <v>Vector|||208018057|||ISSR|||CASH_TAX_EXP|||False|||</v>
          </cell>
          <cell r="C108" t="str">
            <v>V_KEYWORD_ISSR_208018057_CASH_TAX_EXP</v>
          </cell>
        </row>
        <row r="109">
          <cell r="A109" t="str">
            <v>Vector|||208018057|||ISSR|||DIVDS_ASSOC_JV|||False|||</v>
          </cell>
          <cell r="C109" t="str">
            <v>V_KEYWORD_ISSR_208018057_DIVDS_ASSOC_JV</v>
          </cell>
        </row>
        <row r="110">
          <cell r="A110" t="str">
            <v>Vector|||208018057|||ISSR|||CAPEX_MAINTENANCE|||False|||</v>
          </cell>
          <cell r="C110" t="str">
            <v>V_KEYWORD_ISSR_208018057_CAPEX_MAINTENANCE</v>
          </cell>
        </row>
        <row r="111">
          <cell r="A111" t="str">
            <v>Vector|||208018057|||ISSR|||CAPEX_EXPANSION|||False|||</v>
          </cell>
          <cell r="C111" t="str">
            <v>V_KEYWORD_ISSR_208018057_CAPEX_EXPANSION</v>
          </cell>
        </row>
        <row r="112">
          <cell r="A112" t="str">
            <v>Vector|||208018057|||ISSR|||NONPPE_CAPEX|||False|||</v>
          </cell>
          <cell r="C112" t="str">
            <v>V_KEYWORD_ISSR_208018057_NONPPE_CAPEX</v>
          </cell>
        </row>
        <row r="113">
          <cell r="A113" t="str">
            <v>Vector|||208018057|||ISSR|||DIVDS_PD_MINORITIES|||False|||</v>
          </cell>
          <cell r="C113" t="str">
            <v>V_KEYWORD_ISSR_208018057_DIVDS_PD_MINORITIES</v>
          </cell>
        </row>
        <row r="115">
          <cell r="A115" t="str">
            <v>Vector|||208018057|||ISSR|||EMPLOYEES|||False|||</v>
          </cell>
          <cell r="C115" t="str">
            <v>V_KEYWORD_ISSR_208018057_EMPLOYEES</v>
          </cell>
        </row>
        <row r="117">
          <cell r="A117" t="str">
            <v>Vector|||208018057|||ISSR|||SALES_CANADA|||False|||</v>
          </cell>
          <cell r="C117" t="str">
            <v>V_KEYWORD_ISSR_208018057_SALES_CANADA</v>
          </cell>
        </row>
        <row r="118">
          <cell r="A118" t="str">
            <v>Vector|||208018057|||ISSR|||SALES_US|||False|||</v>
          </cell>
          <cell r="C118" t="str">
            <v>V_KEYWORD_ISSR_208018057_SALES_US</v>
          </cell>
        </row>
        <row r="119">
          <cell r="A119" t="str">
            <v>Vector|||208018057|||ISSR|||SALES_OTH_NO_AMER|||False|||</v>
          </cell>
          <cell r="C119" t="str">
            <v>V_KEYWORD_ISSR_208018057_SALES_OTH_NO_AMER</v>
          </cell>
        </row>
        <row r="120">
          <cell r="A120" t="str">
            <v>Vector|||208018057|||ISSR|||SALES_ARGENTINA|||False|||</v>
          </cell>
          <cell r="C120" t="str">
            <v>V_KEYWORD_ISSR_208018057_SALES_ARGENTINA</v>
          </cell>
        </row>
        <row r="121">
          <cell r="A121" t="str">
            <v>Vector|||208018057|||ISSR|||SALES_BRAZIL|||False|||</v>
          </cell>
          <cell r="C121" t="str">
            <v>V_KEYWORD_ISSR_208018057_SALES_BRAZIL</v>
          </cell>
        </row>
        <row r="122">
          <cell r="A122" t="str">
            <v>Vector|||208018057|||ISSR|||SALES_CHILE|||False|||</v>
          </cell>
          <cell r="C122" t="str">
            <v>V_KEYWORD_ISSR_208018057_SALES_CHILE</v>
          </cell>
        </row>
        <row r="123">
          <cell r="A123" t="str">
            <v>Vector|||208018057|||ISSR|||SALES_COLOMBIA|||False|||</v>
          </cell>
          <cell r="C123" t="str">
            <v>V_KEYWORD_ISSR_208018057_SALES_COLOMBIA</v>
          </cell>
        </row>
        <row r="124">
          <cell r="A124" t="str">
            <v>Vector|||208018057|||ISSR|||SALES_MEXICO|||False|||</v>
          </cell>
          <cell r="C124" t="str">
            <v>V_KEYWORD_ISSR_208018057_SALES_MEXICO</v>
          </cell>
        </row>
        <row r="125">
          <cell r="A125" t="str">
            <v>Vector|||208018057|||ISSR|||SALES_VENEZUELA|||False|||</v>
          </cell>
          <cell r="C125" t="str">
            <v>V_KEYWORD_ISSR_208018057_SALES_VENEZUELA</v>
          </cell>
        </row>
        <row r="126">
          <cell r="A126" t="str">
            <v>Vector|||208018057|||ISSR|||SALES_OTH_LATAM|||False|||</v>
          </cell>
          <cell r="C126" t="str">
            <v>V_KEYWORD_ISSR_208018057_SALES_OTH_LATAM</v>
          </cell>
        </row>
        <row r="127">
          <cell r="A127" t="str">
            <v>Vector|||208018057|||ISSR|||SALES_AUSTRIA|||False|||</v>
          </cell>
          <cell r="C127" t="str">
            <v>V_KEYWORD_ISSR_208018057_SALES_AUSTRIA</v>
          </cell>
        </row>
        <row r="128">
          <cell r="A128" t="str">
            <v>Vector|||208018057|||ISSR|||SALES_BEL|||False|||</v>
          </cell>
          <cell r="C128" t="str">
            <v>V_KEYWORD_ISSR_208018057_SALES_BEL</v>
          </cell>
        </row>
        <row r="129">
          <cell r="A129" t="str">
            <v>Vector|||208018057|||ISSR|||SALES_FRA|||False|||</v>
          </cell>
          <cell r="C129" t="str">
            <v>V_KEYWORD_ISSR_208018057_SALES_FRA</v>
          </cell>
        </row>
        <row r="130">
          <cell r="A130" t="str">
            <v>Vector|||208018057|||ISSR|||SALES_GER|||False|||</v>
          </cell>
          <cell r="C130" t="str">
            <v>V_KEYWORD_ISSR_208018057_SALES_GER</v>
          </cell>
        </row>
        <row r="131">
          <cell r="A131" t="str">
            <v>Vector|||208018057|||ISSR|||SALES_GRE|||False|||</v>
          </cell>
          <cell r="C131" t="str">
            <v>V_KEYWORD_ISSR_208018057_SALES_GRE</v>
          </cell>
        </row>
        <row r="132">
          <cell r="A132" t="str">
            <v>Vector|||208018057|||ISSR|||SALES_IRE|||False|||</v>
          </cell>
          <cell r="C132" t="str">
            <v>V_KEYWORD_ISSR_208018057_SALES_IRE</v>
          </cell>
        </row>
        <row r="133">
          <cell r="A133" t="str">
            <v>Vector|||208018057|||ISSR|||SALES_ITA|||False|||</v>
          </cell>
          <cell r="C133" t="str">
            <v>V_KEYWORD_ISSR_208018057_SALES_ITA</v>
          </cell>
        </row>
        <row r="134">
          <cell r="A134" t="str">
            <v>Vector|||208018057|||ISSR|||SALES_NETH|||False|||</v>
          </cell>
          <cell r="C134" t="str">
            <v>V_KEYWORD_ISSR_208018057_SALES_NETH</v>
          </cell>
        </row>
        <row r="135">
          <cell r="A135" t="str">
            <v>Vector|||208018057|||ISSR|||SALES_NOR|||False|||</v>
          </cell>
          <cell r="C135" t="str">
            <v>V_KEYWORD_ISSR_208018057_SALES_NOR</v>
          </cell>
        </row>
        <row r="136">
          <cell r="A136" t="str">
            <v>Vector|||208018057|||ISSR|||SALES_POR|||False|||</v>
          </cell>
          <cell r="C136" t="str">
            <v>V_KEYWORD_ISSR_208018057_SALES_POR</v>
          </cell>
        </row>
        <row r="137">
          <cell r="A137" t="str">
            <v>Vector|||208018057|||ISSR|||SALES_SPA|||False|||</v>
          </cell>
          <cell r="C137" t="str">
            <v>V_KEYWORD_ISSR_208018057_SALES_SPA</v>
          </cell>
        </row>
        <row r="138">
          <cell r="A138" t="str">
            <v>Vector|||208018057|||ISSR|||SALES_SWE|||False|||</v>
          </cell>
          <cell r="C138" t="str">
            <v>V_KEYWORD_ISSR_208018057_SALES_SWE</v>
          </cell>
        </row>
        <row r="139">
          <cell r="A139" t="str">
            <v>Vector|||208018057|||ISSR|||SALES_SWIT|||False|||</v>
          </cell>
          <cell r="C139" t="str">
            <v>V_KEYWORD_ISSR_208018057_SALES_SWIT</v>
          </cell>
        </row>
        <row r="140">
          <cell r="A140" t="str">
            <v>Vector|||208018057|||ISSR|||SALES_UK|||False|||</v>
          </cell>
          <cell r="C140" t="str">
            <v>V_KEYWORD_ISSR_208018057_SALES_UK</v>
          </cell>
        </row>
        <row r="141">
          <cell r="A141" t="str">
            <v>Vector|||208018057|||ISSR|||SALES_OTH_WEST_EURO|||False|||</v>
          </cell>
          <cell r="C141" t="str">
            <v>V_KEYWORD_ISSR_208018057_SALES_OTH_WEST_EURO</v>
          </cell>
        </row>
        <row r="142">
          <cell r="A142" t="str">
            <v>Vector|||208018057|||ISSR|||SALES_POLAND|||False|||</v>
          </cell>
          <cell r="C142" t="str">
            <v>V_KEYWORD_ISSR_208018057_SALES_POLAND</v>
          </cell>
        </row>
        <row r="143">
          <cell r="A143" t="str">
            <v>Vector|||208018057|||ISSR|||SALES_RUSSIA|||False|||</v>
          </cell>
          <cell r="C143" t="str">
            <v>V_KEYWORD_ISSR_208018057_SALES_RUSSIA</v>
          </cell>
        </row>
        <row r="144">
          <cell r="A144" t="str">
            <v>Vector|||208018057|||ISSR|||SALES_TURKEY|||False|||</v>
          </cell>
          <cell r="C144" t="str">
            <v>V_KEYWORD_ISSR_208018057_SALES_TURKEY</v>
          </cell>
        </row>
        <row r="145">
          <cell r="A145" t="str">
            <v>Vector|||208018057|||ISSR|||SALES_OTH_CEE|||False|||</v>
          </cell>
          <cell r="C145" t="str">
            <v>V_KEYWORD_ISSR_208018057_SALES_OTH_CEE</v>
          </cell>
        </row>
        <row r="146">
          <cell r="A146" t="str">
            <v>Vector|||208018057|||ISSR|||SALES_SAUDI_ARABIA|||False|||</v>
          </cell>
          <cell r="C146" t="str">
            <v>V_KEYWORD_ISSR_208018057_SALES_SAUDI_ARABIA</v>
          </cell>
        </row>
        <row r="147">
          <cell r="A147" t="str">
            <v>Vector|||208018057|||ISSR|||SALES_UAE|||False|||</v>
          </cell>
          <cell r="C147" t="str">
            <v>V_KEYWORD_ISSR_208018057_SALES_UAE</v>
          </cell>
        </row>
        <row r="148">
          <cell r="A148" t="str">
            <v>Vector|||208018057|||ISSR|||SALES_OTH_ME|||False|||</v>
          </cell>
          <cell r="C148" t="str">
            <v>V_KEYWORD_ISSR_208018057_SALES_OTH_ME</v>
          </cell>
        </row>
        <row r="149">
          <cell r="A149" t="str">
            <v>Vector|||208018057|||ISSR|||SALES_NIGERIA|||False|||</v>
          </cell>
          <cell r="C149" t="str">
            <v>V_KEYWORD_ISSR_208018057_SALES_NIGERIA</v>
          </cell>
        </row>
        <row r="150">
          <cell r="A150" t="str">
            <v>Vector|||208018057|||ISSR|||SALES_SO_AFRICA|||False|||</v>
          </cell>
          <cell r="C150" t="str">
            <v>V_KEYWORD_ISSR_208018057_SALES_SO_AFRICA</v>
          </cell>
        </row>
        <row r="151">
          <cell r="A151" t="str">
            <v>Vector|||208018057|||ISSR|||SALES_OTH_AFRICA|||False|||</v>
          </cell>
          <cell r="C151" t="str">
            <v>V_KEYWORD_ISSR_208018057_SALES_OTH_AFRICA</v>
          </cell>
        </row>
        <row r="152">
          <cell r="A152" t="str">
            <v>Vector|||208018057|||ISSR|||SALES_HONG_KONG|||False|||</v>
          </cell>
          <cell r="C152" t="str">
            <v>V_KEYWORD_ISSR_208018057_SALES_HONG_KONG</v>
          </cell>
        </row>
        <row r="153">
          <cell r="A153" t="str">
            <v>Vector|||208018057|||ISSR|||SALES_JAPAN|||False|||</v>
          </cell>
          <cell r="C153" t="str">
            <v>V_KEYWORD_ISSR_208018057_SALES_JAPAN</v>
          </cell>
        </row>
        <row r="154">
          <cell r="A154" t="str">
            <v>Vector|||208018057|||ISSR|||SALES_SINGAPORE|||False|||</v>
          </cell>
          <cell r="C154" t="str">
            <v>V_KEYWORD_ISSR_208018057_SALES_SINGAPORE</v>
          </cell>
        </row>
        <row r="155">
          <cell r="A155" t="str">
            <v>Vector|||208018057|||ISSR|||SALES_SK|||False|||</v>
          </cell>
          <cell r="C155" t="str">
            <v>V_KEYWORD_ISSR_208018057_SALES_SK</v>
          </cell>
        </row>
        <row r="156">
          <cell r="A156" t="str">
            <v>Vector|||208018057|||ISSR|||SALES_TAIWAN|||False|||</v>
          </cell>
          <cell r="C156" t="str">
            <v>V_KEYWORD_ISSR_208018057_SALES_TAIWAN</v>
          </cell>
        </row>
        <row r="157">
          <cell r="A157" t="str">
            <v>Vector|||208018057|||ISSR|||SALES_OTH_DEV_ASIA|||False|||</v>
          </cell>
          <cell r="C157" t="str">
            <v>V_KEYWORD_ISSR_208018057_SALES_OTH_DEV_ASIA</v>
          </cell>
        </row>
        <row r="158">
          <cell r="A158" t="str">
            <v>Vector|||208018057|||ISSR|||SALES_CHINA|||False|||</v>
          </cell>
          <cell r="C158" t="str">
            <v>V_KEYWORD_ISSR_208018057_SALES_CHINA</v>
          </cell>
        </row>
        <row r="159">
          <cell r="A159" t="str">
            <v>Vector|||208018057|||ISSR|||SALES_INDIA|||False|||</v>
          </cell>
          <cell r="C159" t="str">
            <v>V_KEYWORD_ISSR_208018057_SALES_INDIA</v>
          </cell>
        </row>
        <row r="160">
          <cell r="A160" t="str">
            <v>Vector|||208018057|||ISSR|||SALES_INDONESIA|||False|||</v>
          </cell>
          <cell r="C160" t="str">
            <v>V_KEYWORD_ISSR_208018057_SALES_INDONESIA</v>
          </cell>
        </row>
        <row r="161">
          <cell r="A161" t="str">
            <v>Vector|||208018057|||ISSR|||SALES_THAILAND|||False|||</v>
          </cell>
          <cell r="C161" t="str">
            <v>V_KEYWORD_ISSR_208018057_SALES_THAILAND</v>
          </cell>
        </row>
        <row r="162">
          <cell r="A162" t="str">
            <v>Vector|||208018057|||ISSR|||SALES_OTH_EMERG_ASIA|||False|||</v>
          </cell>
          <cell r="C162" t="str">
            <v>V_KEYWORD_ISSR_208018057_SALES_OTH_EMERG_ASIA</v>
          </cell>
        </row>
        <row r="163">
          <cell r="A163" t="str">
            <v>Vector|||208018057|||ISSR|||SALES_AUSTRA|||False|||</v>
          </cell>
          <cell r="C163" t="str">
            <v>V_KEYWORD_ISSR_208018057_SALES_AUSTRA</v>
          </cell>
        </row>
        <row r="164">
          <cell r="A164" t="str">
            <v>Vector|||208018057|||ISSR|||SALES_NZ|||False|||</v>
          </cell>
          <cell r="C164" t="str">
            <v>V_KEYWORD_ISSR_208018057_SALES_NZ</v>
          </cell>
        </row>
        <row r="165">
          <cell r="A165" t="str">
            <v>Vector|||208018057|||ISSR|||SALES_OTHER|||False|||</v>
          </cell>
          <cell r="C165" t="str">
            <v>V_KEYWORD_ISSR_208018057_SALES_OTHER</v>
          </cell>
        </row>
        <row r="166">
          <cell r="A166" t="str">
            <v>Vector|||208018057|||ISSR|||COGS_PCT_US|||False|||</v>
          </cell>
          <cell r="C166" t="str">
            <v>V_KEYWORD_ISSR_208018057_COGS_PCT_US</v>
          </cell>
        </row>
        <row r="167">
          <cell r="A167" t="str">
            <v>Vector|||208018057|||ISSR|||COGS_PCT_ROW|||False|||</v>
          </cell>
          <cell r="C167" t="str">
            <v>V_KEYWORD_ISSR_208018057_COGS_PCT_ROW</v>
          </cell>
        </row>
        <row r="168">
          <cell r="A168" t="str">
            <v>Vector|||208018057|||ISSR|||SGA_PCT_US|||False|||</v>
          </cell>
          <cell r="C168" t="str">
            <v>V_KEYWORD_ISSR_208018057_SGA_PCT_US</v>
          </cell>
        </row>
        <row r="169">
          <cell r="A169" t="str">
            <v>Vector|||208018057|||ISSR|||SGA_PCT_ROW|||False|||</v>
          </cell>
          <cell r="C169" t="str">
            <v>V_KEYWORD_ISSR_208018057_SGA_PCT_ROW</v>
          </cell>
        </row>
        <row r="170">
          <cell r="A170" t="str">
            <v>Vector|||208018057|||ISSR|||SALES_CONS|||False|||</v>
          </cell>
          <cell r="C170" t="str">
            <v>V_KEYWORD_ISSR_208018057_SALES_CONS</v>
          </cell>
        </row>
        <row r="171">
          <cell r="A171" t="str">
            <v>Vector|||208018057|||ISSR|||SALES_IND|||False|||</v>
          </cell>
          <cell r="C171" t="str">
            <v>V_KEYWORD_ISSR_208018057_SALES_IND</v>
          </cell>
        </row>
        <row r="172">
          <cell r="A172" t="str">
            <v>Vector|||208018057|||ISSR|||SALES_GOV|||False|||</v>
          </cell>
          <cell r="C172" t="str">
            <v>V_KEYWORD_ISSR_208018057_SALES_GOV</v>
          </cell>
        </row>
        <row r="173">
          <cell r="A173" t="str">
            <v>Vector|||208018057|||ISSR|||SALES_FINAN|||False|||</v>
          </cell>
          <cell r="C173" t="str">
            <v>V_KEYWORD_ISSR_208018057_SALES_FINAN</v>
          </cell>
        </row>
        <row r="174">
          <cell r="A174" t="str">
            <v>Vector|||208018057|||ISSR|||SALES_OIL_GAS|||False|||</v>
          </cell>
          <cell r="C174" t="str">
            <v>V_KEYWORD_ISSR_208018057_SALES_OIL_GAS</v>
          </cell>
        </row>
        <row r="176">
          <cell r="A176" t="str">
            <v>Vector|||208018057|||ISSR|||EXP_OIL_PETRO_FUEL|||False|||</v>
          </cell>
          <cell r="C176" t="str">
            <v>V_KEYWORD_ISSR_208018057_EXP_OIL_PETRO_FUEL</v>
          </cell>
        </row>
        <row r="177">
          <cell r="A177" t="str">
            <v>Vector|||208018057|||ISSR|||EXP_OIL_DERIV_NGLS_PLASTICS|||False|||</v>
          </cell>
          <cell r="C177" t="str">
            <v>V_KEYWORD_ISSR_208018057_EXP_OIL_DERIV_NGLS_PLASTICS</v>
          </cell>
        </row>
        <row r="178">
          <cell r="A178" t="str">
            <v>Vector|||208018057|||ISSR|||EXP_PAPER_PULP|||False|||</v>
          </cell>
          <cell r="C178" t="str">
            <v>V_KEYWORD_ISSR_208018057_EXP_PAPER_PULP</v>
          </cell>
        </row>
        <row r="179">
          <cell r="A179" t="str">
            <v>Vector|||208018057|||ISSR|||EXP_GLASS|||False|||</v>
          </cell>
          <cell r="C179" t="str">
            <v>V_KEYWORD_ISSR_208018057_EXP_GLASS</v>
          </cell>
        </row>
        <row r="180">
          <cell r="A180" t="str">
            <v>Vector|||208018057|||ISSR|||EXP_WATER|||False|||</v>
          </cell>
          <cell r="C180" t="str">
            <v>V_KEYWORD_ISSR_208018057_EXP_WATER</v>
          </cell>
        </row>
        <row r="181">
          <cell r="A181" t="str">
            <v>Vector|||208018057|||ISSR|||EXP_OTH_COMMODITY|||False|||</v>
          </cell>
          <cell r="C181" t="str">
            <v>V_KEYWORD_ISSR_208018057_EXP_OTH_COMMODITY</v>
          </cell>
        </row>
        <row r="182">
          <cell r="A182" t="str">
            <v>Vector|||208018057|||ISSR|||EXP_OTH_COST|||False|||</v>
          </cell>
          <cell r="C182" t="str">
            <v>V_KEYWORD_ISSR_208018057_EXP_OTH_COST</v>
          </cell>
        </row>
        <row r="184">
          <cell r="A184" t="str">
            <v>Vector|||208018057|||ISSR|||SALES_FX_GPB|||False|||</v>
          </cell>
          <cell r="C184" t="str">
            <v>V_KEYWORD_ISSR_208018057_SALES_FX_GPB</v>
          </cell>
        </row>
        <row r="185">
          <cell r="A185" t="str">
            <v>Vector|||208018057|||ISSR|||SALES_FX_EUR|||False|||</v>
          </cell>
          <cell r="C185" t="str">
            <v>V_KEYWORD_ISSR_208018057_SALES_FX_EUR</v>
          </cell>
        </row>
        <row r="186">
          <cell r="A186" t="str">
            <v>Vector|||208018057|||ISSR|||SALES_FX_RUB|||False|||</v>
          </cell>
          <cell r="C186" t="str">
            <v>V_KEYWORD_ISSR_208018057_SALES_FX_RUB</v>
          </cell>
        </row>
        <row r="187">
          <cell r="A187" t="str">
            <v>Vector|||208018057|||ISSR|||SALES_FX_USD|||False|||</v>
          </cell>
          <cell r="C187" t="str">
            <v>V_KEYWORD_ISSR_208018057_SALES_FX_USD</v>
          </cell>
        </row>
        <row r="188">
          <cell r="A188" t="str">
            <v>Vector|||208018057|||ISSR|||SALES_FX_BRL|||False|||</v>
          </cell>
          <cell r="C188" t="str">
            <v>V_KEYWORD_ISSR_208018057_SALES_FX_BRL</v>
          </cell>
        </row>
        <row r="189">
          <cell r="A189" t="str">
            <v>Vector|||208018057|||ISSR|||SALES_FX_YEN|||False|||</v>
          </cell>
          <cell r="C189" t="str">
            <v>V_KEYWORD_ISSR_208018057_SALES_FX_YEN</v>
          </cell>
        </row>
        <row r="190">
          <cell r="A190" t="str">
            <v>Vector|||208018057|||ISSR|||SALES_FX_CNY|||False|||</v>
          </cell>
          <cell r="C190" t="str">
            <v>V_KEYWORD_ISSR_208018057_SALES_FX_CNY</v>
          </cell>
        </row>
        <row r="191">
          <cell r="A191" t="str">
            <v>Vector|||208018057|||ISSR|||SALES_FX_INR|||False|||</v>
          </cell>
          <cell r="C191" t="str">
            <v>V_KEYWORD_ISSR_208018057_SALES_FX_INR</v>
          </cell>
        </row>
        <row r="192">
          <cell r="A192" t="str">
            <v>Vector|||208018057|||ISSR|||SALES_FX_KRW|||False|||</v>
          </cell>
          <cell r="C192" t="str">
            <v>V_KEYWORD_ISSR_208018057_SALES_FX_KRW</v>
          </cell>
        </row>
        <row r="193">
          <cell r="A193" t="str">
            <v>Vector|||208018057|||ISSR|||SALES_FX_TWD|||False|||</v>
          </cell>
          <cell r="C193" t="str">
            <v>V_KEYWORD_ISSR_208018057_SALES_FX_TWD</v>
          </cell>
        </row>
        <row r="194">
          <cell r="A194" t="str">
            <v>Vector|||208018057|||ISSR|||SALES_FX_OTH|||False|||</v>
          </cell>
          <cell r="C194" t="str">
            <v>V_KEYWORD_ISSR_208018057_SALES_FX_OTH</v>
          </cell>
        </row>
        <row r="196">
          <cell r="A196" t="str">
            <v>Vector|||208018057|||ISSR|||SALES_TOT_AM|||False|||</v>
          </cell>
          <cell r="C196" t="str">
            <v>V_KEYWORD_ISSR_208018057_SALES_TOT_AM</v>
          </cell>
        </row>
        <row r="197">
          <cell r="A197" t="str">
            <v>Vector|||208018057|||ISSR|||SALES_OTH_AM|||False|||</v>
          </cell>
          <cell r="C197" t="str">
            <v>V_KEYWORD_ISSR_208018057_SALES_OTH_AM</v>
          </cell>
        </row>
        <row r="198">
          <cell r="A198" t="str">
            <v>Vector|||208018057|||ISSR|||SALES_TOT_EMEA|||False|||</v>
          </cell>
          <cell r="C198" t="str">
            <v>V_KEYWORD_ISSR_208018057_SALES_TOT_EMEA</v>
          </cell>
        </row>
        <row r="199">
          <cell r="A199" t="str">
            <v>Vector|||208018057|||ISSR|||SALES_EU_EX_UK|||False|||</v>
          </cell>
          <cell r="C199" t="str">
            <v>V_KEYWORD_ISSR_208018057_SALES_EU_EX_UK</v>
          </cell>
        </row>
        <row r="200">
          <cell r="A200" t="str">
            <v>Vector|||208018057|||ISSR|||SALES_CEE|||False|||</v>
          </cell>
          <cell r="C200" t="str">
            <v>V_KEYWORD_ISSR_208018057_SALES_CEE</v>
          </cell>
        </row>
        <row r="201">
          <cell r="A201" t="str">
            <v>Vector|||208018057|||ISSR|||SALES_ME|||False|||</v>
          </cell>
          <cell r="C201" t="str">
            <v>V_KEYWORD_ISSR_208018057_SALES_ME</v>
          </cell>
        </row>
        <row r="202">
          <cell r="A202" t="str">
            <v>Vector|||208018057|||ISSR|||SALES_TOT_AFRICA|||False|||</v>
          </cell>
          <cell r="C202" t="str">
            <v>V_KEYWORD_ISSR_208018057_SALES_TOT_AFRICA</v>
          </cell>
        </row>
        <row r="203">
          <cell r="A203" t="str">
            <v>Vector|||208018057|||ISSR|||SALES_OTH_EMEA|||False|||</v>
          </cell>
          <cell r="C203" t="str">
            <v>V_KEYWORD_ISSR_208018057_SALES_OTH_EMEA</v>
          </cell>
        </row>
        <row r="204">
          <cell r="A204" t="str">
            <v>Vector|||208018057|||ISSR|||SALES_TOT_ASIA|||False|||</v>
          </cell>
          <cell r="C204" t="str">
            <v>V_KEYWORD_ISSR_208018057_SALES_TOT_ASIA</v>
          </cell>
        </row>
        <row r="205">
          <cell r="A205" t="str">
            <v>Vector|||208018057|||ISSR|||SALES_OTH_AEJ|||False|||</v>
          </cell>
          <cell r="C205" t="str">
            <v>V_KEYWORD_ISSR_208018057_SALES_OTH_AEJ</v>
          </cell>
        </row>
        <row r="211">
          <cell r="A211" t="str">
            <v>Scalar|||200019558|||EQTY|||PUB_CURRENCY_ISO|||False|||</v>
          </cell>
          <cell r="C211" t="str">
            <v>V_KEYWORD_EQTY_200019558_PUB_CURRENCY_ISO</v>
          </cell>
          <cell r="E211" t="str">
            <v>ERROR</v>
          </cell>
        </row>
        <row r="212">
          <cell r="A212" t="str">
            <v>Scalar|||200019558|||EQTY|||PRICE_CURRENCY_ISO|||False|||</v>
          </cell>
          <cell r="C212" t="str">
            <v>V_KEYWORD_EQTY_200019558_PRICE_CURRENCY_ISO</v>
          </cell>
          <cell r="E212" t="str">
            <v>ERROR</v>
          </cell>
        </row>
        <row r="213">
          <cell r="A213" t="str">
            <v>Scalar|||200019558|||EQTY|||CURRENCY_ISO|||False|||</v>
          </cell>
          <cell r="C213" t="str">
            <v>V_KEYWORD_EQTY_200019558_CURRENCY_ISO</v>
          </cell>
        </row>
        <row r="215">
          <cell r="A215" t="str">
            <v>Scalar|||200019558|||EQTY|||AEJ_LIST|||False|||</v>
          </cell>
          <cell r="C215" t="str">
            <v>V_KEYWORD_EQTY_200019558_AEJ_LIST</v>
          </cell>
        </row>
        <row r="216">
          <cell r="A216" t="str">
            <v>Scalar|||200019558|||EQTY|||AEJ_CONVICTION|||False|||</v>
          </cell>
          <cell r="C216" t="str">
            <v>V_KEYWORD_EQTY_200019558_AEJ_CONVICTION</v>
          </cell>
        </row>
        <row r="217">
          <cell r="A217" t="str">
            <v>Scalar|||200019558|||EQTY|||LEGAL_RATING|||False|||</v>
          </cell>
          <cell r="C217" t="str">
            <v>V_KEYWORD_EQTY_200019558_LEGAL_RATING</v>
          </cell>
        </row>
        <row r="218">
          <cell r="A218" t="str">
            <v>Scalar|||200019558|||EQTY|||TARGET_PRICE|||False|||</v>
          </cell>
          <cell r="C218" t="str">
            <v>V_KEYWORD_EQTY_200019558_TARGET_PRICE</v>
          </cell>
          <cell r="E218" t="str">
            <v>ERROR</v>
          </cell>
        </row>
        <row r="219">
          <cell r="A219" t="str">
            <v>Scalar|||200019558|||EQTY|||TP_PERIOD|||False|||</v>
          </cell>
          <cell r="C219" t="str">
            <v>V_KEYWORD_EQTY_200019558_TP_PERIOD</v>
          </cell>
          <cell r="E219" t="str">
            <v>ERROR</v>
          </cell>
        </row>
        <row r="220">
          <cell r="A220" t="str">
            <v>Scalar|||200019558|||EQTY|||NUM_SH|||False|||</v>
          </cell>
          <cell r="C220" t="str">
            <v>V_KEYWORD_EQTY_200019558_NUM_SH</v>
          </cell>
        </row>
        <row r="221">
          <cell r="A221" t="str">
            <v>Scalar|||200019558|||EQTY|||FREE_FLOAT|||False|||</v>
          </cell>
          <cell r="C221" t="str">
            <v>V_KEYWORD_EQTY_200019558_FREE_FLOAT</v>
          </cell>
        </row>
        <row r="222">
          <cell r="A222" t="str">
            <v>Scalar|||200019558|||EQTY|||FOREIGN_HOLDNG|||False|||</v>
          </cell>
          <cell r="C222" t="str">
            <v>V_KEYWORD_EQTY_200019558_FOREIGN_HOLDNG</v>
          </cell>
        </row>
        <row r="223">
          <cell r="A223" t="str">
            <v>Scalar|||200019558|||EQTY|||CATALYST1_DATE|||True|||</v>
          </cell>
          <cell r="C223" t="str">
            <v>V_KEYWORD_EQTY_200019558_CATALYST1_DATE</v>
          </cell>
        </row>
        <row r="224">
          <cell r="A224" t="str">
            <v>Scalar|||200019558|||EQTY|||CATALYST1_EVENT|||False|||</v>
          </cell>
          <cell r="C224" t="str">
            <v>V_KEYWORD_EQTY_200019558_CATALYST1_EVENT</v>
          </cell>
        </row>
        <row r="225">
          <cell r="A225" t="str">
            <v>Scalar|||200019558|||EQTY|||CATALYST2_DATE|||True|||</v>
          </cell>
          <cell r="C225" t="str">
            <v>V_KEYWORD_EQTY_200019558_CATALYST2_DATE</v>
          </cell>
        </row>
        <row r="226">
          <cell r="A226" t="str">
            <v>Scalar|||200019558|||EQTY|||CATALYST2_EVENT|||False|||</v>
          </cell>
          <cell r="C226" t="str">
            <v>V_KEYWORD_EQTY_200019558_CATALYST2_EVENT</v>
          </cell>
        </row>
        <row r="227">
          <cell r="A227" t="str">
            <v>Scalar|||200019558|||EQTY|||CATALYST3_DATE|||True|||</v>
          </cell>
          <cell r="C227" t="str">
            <v>V_KEYWORD_EQTY_200019558_CATALYST3_DATE</v>
          </cell>
        </row>
        <row r="228">
          <cell r="A228" t="str">
            <v>Scalar|||200019558|||EQTY|||CATALYST3_EVENT|||False|||</v>
          </cell>
          <cell r="C228" t="str">
            <v>V_KEYWORD_EQTY_200019558_CATALYST3_EVENT</v>
          </cell>
        </row>
        <row r="229">
          <cell r="A229" t="str">
            <v>Scalar|||200019558|||EQTY|||CATALYST4_DATE|||True|||</v>
          </cell>
          <cell r="C229" t="str">
            <v>V_KEYWORD_EQTY_200019558_CATALYST4_DATE</v>
          </cell>
        </row>
        <row r="230">
          <cell r="A230" t="str">
            <v>Scalar|||200019558|||EQTY|||CATALYST4_EVENT|||False|||</v>
          </cell>
          <cell r="C230" t="str">
            <v>V_KEYWORD_EQTY_200019558_CATALYST4_EVENT</v>
          </cell>
        </row>
        <row r="231">
          <cell r="A231" t="str">
            <v>Scalar|||200019558|||EQTY|||CATALYST5_DATE|||True|||</v>
          </cell>
          <cell r="C231" t="str">
            <v>V_KEYWORD_EQTY_200019558_CATALYST5_DATE</v>
          </cell>
        </row>
        <row r="232">
          <cell r="A232" t="str">
            <v>Scalar|||200019558|||EQTY|||CATALYST5_EVENT|||False|||</v>
          </cell>
          <cell r="C232" t="str">
            <v>V_KEYWORD_EQTY_200019558_CATALYST5_EVENT</v>
          </cell>
        </row>
        <row r="233">
          <cell r="A233" t="str">
            <v>Scalar|||200019558|||EQTY|||PRI_TARG_MULT|||False|||</v>
          </cell>
          <cell r="C233" t="str">
            <v>V_KEYWORD_EQTY_200019558_PRI_TARG_MULT</v>
          </cell>
        </row>
        <row r="234">
          <cell r="A234" t="str">
            <v>Scalar|||200019558|||EQTY|||PRI_TARG_METH|||False|||</v>
          </cell>
          <cell r="C234" t="str">
            <v>V_KEYWORD_EQTY_200019558_PRI_TARG_METH</v>
          </cell>
        </row>
        <row r="236">
          <cell r="A236" t="str">
            <v>Vector|||200019558|||EQTY|||BVPS_PUB|||False|||</v>
          </cell>
          <cell r="C236" t="str">
            <v>V_KEYWORD_EQTY_200019558_BVPS_PUB</v>
          </cell>
        </row>
        <row r="237">
          <cell r="A237" t="str">
            <v>Vector|||200019558|||EQTY|||DPS_PUB|||False|||</v>
          </cell>
          <cell r="C237" t="str">
            <v>V_KEYWORD_EQTY_200019558_DPS_PUB</v>
          </cell>
        </row>
        <row r="238">
          <cell r="A238" t="str">
            <v>Vector|||200019558|||EQTY|||DPS_SPECIAL_PUB|||False|||</v>
          </cell>
          <cell r="C238" t="str">
            <v>V_KEYWORD_EQTY_200019558_DPS_SPECIAL_PUB</v>
          </cell>
        </row>
        <row r="239">
          <cell r="A239" t="str">
            <v>Vector|||200019558|||EQTY|||EBITDA_PUB|||False|||</v>
          </cell>
          <cell r="C239" t="str">
            <v>V_KEYWORD_EQTY_200019558_EBITDA_PUB</v>
          </cell>
        </row>
        <row r="240">
          <cell r="A240" t="str">
            <v>Vector|||200019558|||EQTY|||EPS_PUB|||False|||</v>
          </cell>
          <cell r="C240" t="str">
            <v>V_KEYWORD_EQTY_200019558_EPS_PUB</v>
          </cell>
          <cell r="F240" t="str">
            <v>ERROR</v>
          </cell>
          <cell r="G240" t="str">
            <v>ERROR</v>
          </cell>
          <cell r="H240" t="str">
            <v>ERROR</v>
          </cell>
          <cell r="I240" t="str">
            <v>ERROR</v>
          </cell>
          <cell r="J240" t="str">
            <v>ERROR</v>
          </cell>
          <cell r="K240" t="str">
            <v>ERROR</v>
          </cell>
          <cell r="L240" t="str">
            <v>ERROR</v>
          </cell>
          <cell r="M240" t="str">
            <v>ERROR</v>
          </cell>
          <cell r="N240" t="str">
            <v>ERROR</v>
          </cell>
          <cell r="O240" t="str">
            <v>ERROR</v>
          </cell>
          <cell r="P240" t="str">
            <v>ERROR</v>
          </cell>
          <cell r="Q240" t="str">
            <v>ERROR</v>
          </cell>
          <cell r="R240" t="str">
            <v>ERROR</v>
          </cell>
          <cell r="S240" t="str">
            <v>ERROR</v>
          </cell>
          <cell r="T240" t="str">
            <v>ERROR</v>
          </cell>
          <cell r="U240" t="str">
            <v>ERROR</v>
          </cell>
          <cell r="V240" t="str">
            <v>ERROR</v>
          </cell>
          <cell r="W240" t="str">
            <v>ERROR</v>
          </cell>
          <cell r="X240" t="str">
            <v>ERROR</v>
          </cell>
          <cell r="Y240" t="str">
            <v>ERROR</v>
          </cell>
          <cell r="Z240" t="str">
            <v>ERROR</v>
          </cell>
          <cell r="AA240" t="str">
            <v>ERROR</v>
          </cell>
          <cell r="AB240" t="str">
            <v>ERROR</v>
          </cell>
          <cell r="AC240" t="str">
            <v>ERROR</v>
          </cell>
          <cell r="AD240" t="str">
            <v>ERROR</v>
          </cell>
          <cell r="AE240" t="str">
            <v>ERROR</v>
          </cell>
          <cell r="AF240" t="str">
            <v>ERROR</v>
          </cell>
          <cell r="AG240" t="str">
            <v>ERROR</v>
          </cell>
          <cell r="AH240" t="str">
            <v>ERROR</v>
          </cell>
          <cell r="AI240" t="str">
            <v>ERROR</v>
          </cell>
          <cell r="AJ240" t="str">
            <v>ERROR</v>
          </cell>
          <cell r="AK240" t="str">
            <v>ERROR</v>
          </cell>
          <cell r="AL240" t="str">
            <v>ERROR</v>
          </cell>
          <cell r="AM240" t="str">
            <v>ERROR</v>
          </cell>
          <cell r="AN240" t="str">
            <v>ERROR</v>
          </cell>
          <cell r="AO240" t="str">
            <v>ERROR</v>
          </cell>
          <cell r="AP240" t="str">
            <v>ERROR</v>
          </cell>
          <cell r="AQ240" t="str">
            <v>ERROR</v>
          </cell>
          <cell r="AR240" t="str">
            <v>ERROR</v>
          </cell>
          <cell r="AS240" t="str">
            <v>ERROR</v>
          </cell>
          <cell r="AT240" t="str">
            <v>ERROR</v>
          </cell>
          <cell r="AU240" t="str">
            <v>ERROR</v>
          </cell>
          <cell r="AV240" t="str">
            <v>ERROR</v>
          </cell>
          <cell r="AW240" t="str">
            <v>ERROR</v>
          </cell>
          <cell r="AX240" t="str">
            <v>ERROR</v>
          </cell>
          <cell r="AY240" t="str">
            <v>ERROR</v>
          </cell>
          <cell r="AZ240" t="str">
            <v>ERROR</v>
          </cell>
          <cell r="BA240" t="str">
            <v>ERROR</v>
          </cell>
          <cell r="BB240" t="str">
            <v>ERROR</v>
          </cell>
          <cell r="BC240" t="str">
            <v>ERROR</v>
          </cell>
          <cell r="BD240" t="str">
            <v>ERROR</v>
          </cell>
          <cell r="BE240" t="str">
            <v>ERROR</v>
          </cell>
        </row>
        <row r="241">
          <cell r="A241" t="str">
            <v>Vector|||200019558|||EQTY|||EV_ADJ_PUB|||False|||</v>
          </cell>
          <cell r="C241" t="str">
            <v>V_KEYWORD_EQTY_200019558_EV_ADJ_PUB</v>
          </cell>
        </row>
        <row r="242">
          <cell r="A242" t="str">
            <v>Vector|||200019558|||EQTY|||NET_DEBT_PUB|||False|||</v>
          </cell>
          <cell r="C242" t="str">
            <v>V_KEYWORD_EQTY_200019558_NET_DEBT_PUB</v>
          </cell>
        </row>
        <row r="243">
          <cell r="A243" t="str">
            <v>Vector|||200019558|||EQTY|||NI_PUB|||False|||</v>
          </cell>
          <cell r="C243" t="str">
            <v>V_KEYWORD_EQTY_200019558_NI_PUB</v>
          </cell>
        </row>
        <row r="244">
          <cell r="A244" t="str">
            <v>Vector|||200019558|||EQTY|||EBIT_PUB|||False|||</v>
          </cell>
          <cell r="C244" t="str">
            <v>V_KEYWORD_EQTY_200019558_EBIT_PUB</v>
          </cell>
        </row>
        <row r="245">
          <cell r="A245" t="str">
            <v>Vector|||200019558|||EQTY|||PTP_PUB|||False|||</v>
          </cell>
          <cell r="C245" t="str">
            <v>V_KEYWORD_EQTY_200019558_PTP_PUB</v>
          </cell>
        </row>
        <row r="246">
          <cell r="A246" t="str">
            <v>Vector|||200019558|||EQTY|||REVS_PUB|||False|||</v>
          </cell>
          <cell r="C246" t="str">
            <v>V_KEYWORD_EQTY_200019558_REVS_PUB</v>
          </cell>
        </row>
        <row r="247">
          <cell r="A247" t="str">
            <v>Vector|||200019558|||EQTY|||EQ_PUB|||False|||</v>
          </cell>
          <cell r="C247" t="str">
            <v>V_KEYWORD_EQTY_200019558_EQ_PUB</v>
          </cell>
        </row>
        <row r="248">
          <cell r="A248" t="str">
            <v>Vector|||200019558|||EQTY|||EPS_CONS_PUB|||False|||</v>
          </cell>
          <cell r="C248" t="str">
            <v>V_KEYWORD_EQTY_200019558_EPS_CONS_PUB</v>
          </cell>
        </row>
        <row r="250">
          <cell r="A250" t="str">
            <v>Vector|||200019558|||EQTY|||PROV_INC_TAX|||False|||</v>
          </cell>
          <cell r="C250" t="str">
            <v>V_KEYWORD_EQTY_200019558_PROV_INC_TAX</v>
          </cell>
        </row>
        <row r="251">
          <cell r="A251" t="str">
            <v>Vector|||200019558|||EQTY|||INC_MINORITY|||False|||</v>
          </cell>
          <cell r="C251" t="str">
            <v>V_KEYWORD_EQTY_200019558_INC_MINORITY</v>
          </cell>
        </row>
        <row r="252">
          <cell r="A252" t="str">
            <v>Vector|||200019558|||EQTY|||NI_PRE_PREF|||False|||</v>
          </cell>
          <cell r="C252" t="str">
            <v>V_KEYWORD_EQTY_200019558_NI_PRE_PREF</v>
          </cell>
        </row>
        <row r="253">
          <cell r="A253" t="str">
            <v>Vector|||200019558|||EQTY|||PREF_DIV|||False|||</v>
          </cell>
          <cell r="C253" t="str">
            <v>V_KEYWORD_EQTY_200019558_PREF_DIV</v>
          </cell>
        </row>
        <row r="254">
          <cell r="A254" t="str">
            <v>Vector|||200019558|||EQTY|||NET_EARNING|||False|||</v>
          </cell>
          <cell r="C254" t="str">
            <v>V_KEYWORD_EQTY_200019558_NET_EARNING</v>
          </cell>
        </row>
        <row r="255">
          <cell r="A255" t="str">
            <v>Vector|||200019558|||EQTY|||TAX_EXC|||False|||</v>
          </cell>
          <cell r="C255" t="str">
            <v>V_KEYWORD_EQTY_200019558_TAX_EXC</v>
          </cell>
        </row>
        <row r="256">
          <cell r="A256" t="str">
            <v>Vector|||200019558|||EQTY|||NET_INC|||False|||</v>
          </cell>
          <cell r="C256" t="str">
            <v>V_KEYWORD_EQTY_200019558_NET_INC</v>
          </cell>
        </row>
        <row r="257">
          <cell r="A257" t="str">
            <v>Vector|||200019558|||EQTY|||EPS|||False|||</v>
          </cell>
          <cell r="C257" t="str">
            <v>V_KEYWORD_EQTY_200019558_EPS</v>
          </cell>
        </row>
        <row r="258">
          <cell r="A258" t="str">
            <v>Vector|||200019558|||EQTY|||EPS_FUL_DIL|||False|||</v>
          </cell>
          <cell r="C258" t="str">
            <v>V_KEYWORD_EQTY_200019558_EPS_FUL_DIL</v>
          </cell>
        </row>
        <row r="259">
          <cell r="A259" t="str">
            <v>Vector|||200019558|||EQTY|||EPS_POST_BASIC|||False|||</v>
          </cell>
          <cell r="C259" t="str">
            <v>V_KEYWORD_EQTY_200019558_EPS_POST_BASIC</v>
          </cell>
        </row>
        <row r="260">
          <cell r="A260" t="str">
            <v>Vector|||200019558|||EQTY|||FULLY_DIL_EPS|||False|||</v>
          </cell>
          <cell r="C260" t="str">
            <v>V_KEYWORD_EQTY_200019558_FULLY_DIL_EPS</v>
          </cell>
        </row>
        <row r="261">
          <cell r="A261" t="str">
            <v>Vector|||200019558|||EQTY|||COMMON_DIV_PAID|||False|||</v>
          </cell>
          <cell r="C261" t="str">
            <v>V_KEYWORD_EQTY_200019558_COMMON_DIV_PAID</v>
          </cell>
        </row>
        <row r="262">
          <cell r="A262" t="str">
            <v>Vector|||200019558|||EQTY|||DPS|||False|||</v>
          </cell>
          <cell r="C262" t="str">
            <v>V_KEYWORD_EQTY_200019558_DPS</v>
          </cell>
        </row>
        <row r="263">
          <cell r="A263" t="str">
            <v>Vector|||200019558|||EQTY|||SH|||False|||</v>
          </cell>
          <cell r="C263" t="str">
            <v>V_KEYWORD_EQTY_200019558_SH</v>
          </cell>
        </row>
        <row r="264">
          <cell r="A264" t="str">
            <v>Vector|||200019558|||EQTY|||DILUTE_SHARES|||False|||</v>
          </cell>
          <cell r="C264" t="str">
            <v>V_KEYWORD_EQTY_200019558_DILUTE_SHARES</v>
          </cell>
        </row>
        <row r="265">
          <cell r="A265" t="str">
            <v>Vector|||200019558|||EQTY|||NON_OP_ADD|||False|||</v>
          </cell>
          <cell r="C265" t="str">
            <v>V_KEYWORD_EQTY_200019558_NON_OP_ADD</v>
          </cell>
        </row>
        <row r="267">
          <cell r="A267" t="str">
            <v>Vector|||200019558|||EQTY|||MARGIN_TAX_RATE|||False|||</v>
          </cell>
          <cell r="C267" t="str">
            <v>V_KEYWORD_EQTY_200019558_MARGIN_TAX_RATE</v>
          </cell>
        </row>
        <row r="268">
          <cell r="A268" t="str">
            <v>Vector|||200019558|||EQTY|||NI_CONS|||False|||</v>
          </cell>
          <cell r="C268" t="str">
            <v>V_KEYWORD_EQTY_200019558_NI_CONS</v>
          </cell>
        </row>
        <row r="270">
          <cell r="A270" t="str">
            <v>Vector|||200019558|||EQTY|||BVPS|||False|||</v>
          </cell>
          <cell r="C270" t="str">
            <v>V_KEYWORD_EQTY_200019558_BVPS</v>
          </cell>
        </row>
        <row r="272">
          <cell r="A272" t="str">
            <v>Vector|||200019558|||EQTY|||CF_NI_PRE_PREF|||False|||</v>
          </cell>
          <cell r="C272" t="str">
            <v>V_KEYWORD_EQTY_200019558_CF_NI_PRE_PREF</v>
          </cell>
        </row>
        <row r="274">
          <cell r="A274" t="str">
            <v>Scalar|||200019558|||EQTY|||BETA_ANALYST|||False|||</v>
          </cell>
          <cell r="C274" t="str">
            <v>V_KEYWORD_EQTY_200019558_BETA_ANALYST</v>
          </cell>
        </row>
        <row r="275">
          <cell r="A275" t="str">
            <v>Scalar|||200019558|||EQTY|||MKT_EQ_RISK_PREM|||False|||</v>
          </cell>
          <cell r="C275" t="str">
            <v>V_KEYWORD_EQTY_200019558_MKT_EQ_RISK_PREM</v>
          </cell>
        </row>
        <row r="276">
          <cell r="A276" t="str">
            <v>Scalar|||200019558|||EQTY|||RISK_FR_RATE|||False|||</v>
          </cell>
          <cell r="C276" t="str">
            <v>V_KEYWORD_EQTY_200019558_RISK_FR_RATE</v>
          </cell>
        </row>
      </sheetData>
      <sheetData sheetId="19" refreshError="1"/>
      <sheetData sheetId="20" refreshError="1"/>
      <sheetData sheetId="21" refreshError="1"/>
      <sheetData sheetId="22" refreshError="1">
        <row r="1">
          <cell r="A1" t="str">
            <v>Issuer: Tianma Microelectronics Co.</v>
          </cell>
          <cell r="F1" t="str">
            <v>2006</v>
          </cell>
          <cell r="G1" t="str">
            <v>2007</v>
          </cell>
          <cell r="H1" t="str">
            <v>2008</v>
          </cell>
          <cell r="I1" t="str">
            <v>2009</v>
          </cell>
          <cell r="J1" t="str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 t="str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 t="str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 t="str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 t="str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 t="str">
            <v>2015</v>
          </cell>
          <cell r="AJ1" t="str">
            <v>2016 Q1</v>
          </cell>
          <cell r="AK1" t="str">
            <v>2016 Q2</v>
          </cell>
          <cell r="AL1" t="str">
            <v>2016 Q3</v>
          </cell>
          <cell r="AM1" t="str">
            <v>2016 Q4</v>
          </cell>
          <cell r="AN1" t="str">
            <v>2016</v>
          </cell>
          <cell r="AO1" t="str">
            <v>2017 Q1</v>
          </cell>
          <cell r="AP1" t="str">
            <v>2017 Q2</v>
          </cell>
          <cell r="AQ1" t="str">
            <v>2017 Q3</v>
          </cell>
          <cell r="AR1" t="str">
            <v>2017 Q4</v>
          </cell>
          <cell r="AS1" t="str">
            <v>2017</v>
          </cell>
          <cell r="AT1" t="str">
            <v>2018 Q1</v>
          </cell>
          <cell r="AU1" t="str">
            <v>2018 Q2</v>
          </cell>
          <cell r="AV1" t="str">
            <v>2018 Q3</v>
          </cell>
          <cell r="AW1" t="str">
            <v>2018 Q4</v>
          </cell>
          <cell r="AX1">
            <v>2018</v>
          </cell>
          <cell r="AY1" t="str">
            <v>2019 Q1</v>
          </cell>
          <cell r="AZ1" t="str">
            <v>2019 Q2</v>
          </cell>
          <cell r="BA1" t="str">
            <v>2019 Q3</v>
          </cell>
          <cell r="BB1" t="str">
            <v>2019 Q4</v>
          </cell>
          <cell r="BC1" t="str">
            <v>2019</v>
          </cell>
          <cell r="BD1" t="str">
            <v>2020</v>
          </cell>
          <cell r="BE1" t="str">
            <v>2021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42094</v>
          </cell>
          <cell r="AF3">
            <v>42185</v>
          </cell>
          <cell r="AG3">
            <v>42277</v>
          </cell>
          <cell r="AH3">
            <v>42369</v>
          </cell>
          <cell r="AI3">
            <v>42369</v>
          </cell>
          <cell r="AJ3">
            <v>42460</v>
          </cell>
          <cell r="AK3">
            <v>42551</v>
          </cell>
          <cell r="AL3">
            <v>42643</v>
          </cell>
          <cell r="AM3">
            <v>42735</v>
          </cell>
          <cell r="AN3">
            <v>42735</v>
          </cell>
          <cell r="AO3">
            <v>42825</v>
          </cell>
          <cell r="AP3">
            <v>42916</v>
          </cell>
          <cell r="AQ3">
            <v>43008</v>
          </cell>
          <cell r="AR3">
            <v>43100</v>
          </cell>
          <cell r="AS3">
            <v>43100</v>
          </cell>
          <cell r="AT3">
            <v>43190</v>
          </cell>
          <cell r="AU3">
            <v>43281</v>
          </cell>
          <cell r="AV3">
            <v>43373</v>
          </cell>
          <cell r="AW3">
            <v>43465</v>
          </cell>
          <cell r="AX3">
            <v>43465</v>
          </cell>
          <cell r="AY3">
            <v>43555</v>
          </cell>
          <cell r="AZ3">
            <v>43646</v>
          </cell>
          <cell r="BA3">
            <v>43738</v>
          </cell>
          <cell r="BB3">
            <v>43830</v>
          </cell>
          <cell r="BC3">
            <v>43830</v>
          </cell>
          <cell r="BD3">
            <v>44196</v>
          </cell>
          <cell r="BE3">
            <v>44561</v>
          </cell>
        </row>
        <row r="4">
          <cell r="A4" t="str">
            <v>Issuer: Tianma Microelectronics Co.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6">
          <cell r="B6" t="str">
            <v>Issuer Name</v>
          </cell>
          <cell r="C6" t="str">
            <v>Issuer Name</v>
          </cell>
          <cell r="E6" t="str">
            <v>Tianma Microelectronics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  <cell r="B10">
            <v>0</v>
          </cell>
          <cell r="C10">
            <v>0</v>
          </cell>
          <cell r="D10">
            <v>0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F11">
            <v>1513.8794653699999</v>
          </cell>
          <cell r="G11">
            <v>1723.9678907100001</v>
          </cell>
          <cell r="H11">
            <v>1376.2524553199999</v>
          </cell>
          <cell r="I11">
            <v>2190.4476040900004</v>
          </cell>
          <cell r="J11">
            <v>3454.2115079999999</v>
          </cell>
          <cell r="K11">
            <v>1016.77397508</v>
          </cell>
          <cell r="L11">
            <v>1092.44087992</v>
          </cell>
          <cell r="M11">
            <v>1242.7289263899997</v>
          </cell>
          <cell r="N11">
            <v>1263.0234376100002</v>
          </cell>
          <cell r="O11">
            <v>4614.9672190000001</v>
          </cell>
          <cell r="P11">
            <v>983.31109032000006</v>
          </cell>
          <cell r="Q11">
            <v>1254.00768668</v>
          </cell>
          <cell r="R11">
            <v>1071.903456</v>
          </cell>
          <cell r="S11">
            <v>1024.3221340000005</v>
          </cell>
          <cell r="T11">
            <v>4333.5443670000004</v>
          </cell>
          <cell r="U11">
            <v>1040.3844203799999</v>
          </cell>
          <cell r="V11">
            <v>1210.72232962</v>
          </cell>
          <cell r="W11">
            <v>4130.7786460699999</v>
          </cell>
          <cell r="X11">
            <v>1970.2614649299994</v>
          </cell>
          <cell r="Y11">
            <v>8352.1468609999993</v>
          </cell>
          <cell r="Z11">
            <v>2114.8931830000001</v>
          </cell>
          <cell r="AA11">
            <v>2705.9022960000002</v>
          </cell>
          <cell r="AB11">
            <v>1713.5344143699995</v>
          </cell>
          <cell r="AC11">
            <v>2788.0334456299997</v>
          </cell>
          <cell r="AD11">
            <v>9322.3633389999995</v>
          </cell>
          <cell r="AE11">
            <v>2440.21734702</v>
          </cell>
          <cell r="AF11">
            <v>2697.5879499799998</v>
          </cell>
          <cell r="AG11">
            <v>2660.8964359399997</v>
          </cell>
          <cell r="AH11">
            <v>2731.3009910600003</v>
          </cell>
          <cell r="AI11">
            <v>10530.002724</v>
          </cell>
          <cell r="AJ11">
            <v>2451.5401771699999</v>
          </cell>
          <cell r="AK11">
            <v>2518.9130398300003</v>
          </cell>
          <cell r="AL11">
            <v>2782.9592494899998</v>
          </cell>
          <cell r="AM11">
            <v>2983.3439640400002</v>
          </cell>
          <cell r="AN11">
            <v>10736.75643053</v>
          </cell>
          <cell r="AO11">
            <v>2902.6722642700001</v>
          </cell>
          <cell r="AP11">
            <v>3301.6971029000001</v>
          </cell>
          <cell r="AQ11">
            <v>3896.8942403799992</v>
          </cell>
          <cell r="AR11">
            <v>3911.2368820500014</v>
          </cell>
          <cell r="AS11">
            <v>14012.500489600001</v>
          </cell>
          <cell r="AT11">
            <v>6600.5013284219922</v>
          </cell>
          <cell r="AU11">
            <v>6721.8938368014833</v>
          </cell>
          <cell r="AV11">
            <v>6944.0633690982759</v>
          </cell>
          <cell r="AW11">
            <v>7185.9197266107003</v>
          </cell>
          <cell r="AX11">
            <v>27452.378260932448</v>
          </cell>
          <cell r="AY11">
            <v>7803.5501375173872</v>
          </cell>
          <cell r="AZ11">
            <v>7784.1062116116782</v>
          </cell>
          <cell r="BA11">
            <v>8118.2206340842349</v>
          </cell>
          <cell r="BB11">
            <v>8488.6285939064437</v>
          </cell>
          <cell r="BC11">
            <v>32194.50557711974</v>
          </cell>
          <cell r="BD11">
            <v>37723.829443733252</v>
          </cell>
          <cell r="BE11">
            <v>40001.938408664479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F13">
            <v>-1232.68113911</v>
          </cell>
          <cell r="G13">
            <v>-1447.6658214399999</v>
          </cell>
          <cell r="H13">
            <v>-1212.67064551</v>
          </cell>
          <cell r="I13">
            <v>-2103.46350424</v>
          </cell>
          <cell r="J13">
            <v>-2903.7582419999999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-4067.2668119999998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-3710.9653069999999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-6765.698496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-7583.4695119999997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-8809.7235010000004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-8569.7386757500008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-11090.99890558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-21885.353546709426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-25189.711208542634</v>
          </cell>
          <cell r="BD13">
            <v>-29006.571083831222</v>
          </cell>
          <cell r="BE13">
            <v>-29829.062622916976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F14">
            <v>-126.28081467</v>
          </cell>
          <cell r="G14">
            <v>-155.90244627999999</v>
          </cell>
          <cell r="H14">
            <v>-219.81231074999999</v>
          </cell>
          <cell r="I14">
            <v>-248.78131668</v>
          </cell>
          <cell r="J14">
            <v>-349.720933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-448.95593199999996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-474.37085199999996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-1151.908218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-1302.1822520000001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-1611.68895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-1848.7971424699999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-2026.05632885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-3637.7412791963825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-4266.7466186826859</v>
          </cell>
          <cell r="BD14">
            <v>-4999.5494211658952</v>
          </cell>
          <cell r="BE14">
            <v>-5301.467824597411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F15">
            <v>-1358.9619537799999</v>
          </cell>
          <cell r="G15">
            <v>-1603.56826772</v>
          </cell>
          <cell r="H15">
            <v>-1432.48295626</v>
          </cell>
          <cell r="I15">
            <v>-2352.2448209200002</v>
          </cell>
          <cell r="J15">
            <v>-3253.4791749999999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-4516.2227439999997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-4185.3361589999995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-7917.6067139999996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-8885.6517640000002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-10421.412451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-10418.53581822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-13117.055234429999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-25523.09482590581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-29456.45782722532</v>
          </cell>
          <cell r="BD15">
            <v>-34006.120504997118</v>
          </cell>
          <cell r="BE15">
            <v>-35130.530447514386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F18">
            <v>-1358.9619537799999</v>
          </cell>
          <cell r="G18">
            <v>-1603.56826772</v>
          </cell>
          <cell r="H18">
            <v>-1432.4829562600003</v>
          </cell>
          <cell r="I18">
            <v>-2352.2448209200002</v>
          </cell>
          <cell r="J18">
            <v>-3253.4791749999999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-4516.2227440000006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-4185.3361589999995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-7917.6067139999996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-8885.6517640000002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-10421.412451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-10418.535818219998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-13117.055234429999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-25523.09482590581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-29456.45782722532</v>
          </cell>
          <cell r="BD18">
            <v>-34006.120504997118</v>
          </cell>
          <cell r="BE18">
            <v>-35130.530447514386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F19">
            <v>-1304.16395698</v>
          </cell>
          <cell r="G19">
            <v>-1538.2621391099999</v>
          </cell>
          <cell r="H19">
            <v>-1301.4996523300001</v>
          </cell>
          <cell r="I19">
            <v>-2037.4849167300001</v>
          </cell>
          <cell r="J19">
            <v>-2934.1891129999999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-4041.5169519999999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-3679.6558529999993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-6868.0017629999993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-7725.6116730000003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-9051.1254939999999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-9273.8853295499994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-12053.31226875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-23073.230711224573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-26381.293767984869</v>
          </cell>
          <cell r="BD19">
            <v>-30807.001669382935</v>
          </cell>
          <cell r="BE19">
            <v>-32373.917696838413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F20">
            <v>209.71550838999997</v>
          </cell>
          <cell r="G20">
            <v>185.70575160000021</v>
          </cell>
          <cell r="H20">
            <v>74.752802989999736</v>
          </cell>
          <cell r="I20">
            <v>152.96268736000025</v>
          </cell>
          <cell r="J20">
            <v>520.02239499999996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573.45026700000017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653.88851400000112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1484.145098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1596.7516659999992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1478.8772300000001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1462.8711009800008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1959.188220850001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4379.1475497078754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5813.2118091348711</v>
          </cell>
          <cell r="BD20">
            <v>6916.8277743503168</v>
          </cell>
          <cell r="BE20">
            <v>7628.020711826066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F21">
            <v>-54.466880259999996</v>
          </cell>
          <cell r="G21">
            <v>-56.859615329999997</v>
          </cell>
          <cell r="H21">
            <v>-126.01196345999999</v>
          </cell>
          <cell r="I21">
            <v>-306.68578107000002</v>
          </cell>
          <cell r="J21">
            <v>-309.57088599999997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-455.63848999999999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-474.17046499999998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-933.31024200000002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-1029.822987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-1238.6950320000001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-1031.66201927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-973.20808971000008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-2306.4394079553977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-2931.7393525146103</v>
          </cell>
          <cell r="BD21">
            <v>-3055.6941288883422</v>
          </cell>
          <cell r="BE21">
            <v>-2613.1880439501338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F22">
            <v>-0.33111654000000001</v>
          </cell>
          <cell r="G22">
            <v>-8.4465132800000013</v>
          </cell>
          <cell r="H22">
            <v>-4.9713404700000003</v>
          </cell>
          <cell r="I22">
            <v>-8.0741231199999994</v>
          </cell>
          <cell r="J22">
            <v>-9.7191760000000009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-19.067301999999998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-31.509841000000002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-116.294709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-130.21710400000001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-131.591925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-112.9884694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-90.534875970000002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-143.42470672583985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-143.42470672583985</v>
          </cell>
          <cell r="BD22">
            <v>-143.42470672583985</v>
          </cell>
          <cell r="BE22">
            <v>-143.42470672583985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F23">
            <v>154.91751159</v>
          </cell>
          <cell r="G23">
            <v>120.39962299000013</v>
          </cell>
          <cell r="H23">
            <v>-56.230500940000411</v>
          </cell>
          <cell r="I23">
            <v>-161.7972168299998</v>
          </cell>
          <cell r="J23">
            <v>200.73233299999993</v>
          </cell>
          <cell r="K23">
            <v>31.045380699999995</v>
          </cell>
          <cell r="L23">
            <v>67.593407300000166</v>
          </cell>
          <cell r="M23">
            <v>34.683483879999727</v>
          </cell>
          <cell r="N23">
            <v>-34.57779687999971</v>
          </cell>
          <cell r="O23">
            <v>98.744474999999511</v>
          </cell>
          <cell r="P23">
            <v>-5.0373232199999904</v>
          </cell>
          <cell r="Q23">
            <v>83.946729220000037</v>
          </cell>
          <cell r="R23">
            <v>64.052826999999851</v>
          </cell>
          <cell r="S23">
            <v>5.2459750000007261</v>
          </cell>
          <cell r="T23">
            <v>148.20820800000092</v>
          </cell>
          <cell r="U23">
            <v>20.172654239999986</v>
          </cell>
          <cell r="V23">
            <v>86.41970075999987</v>
          </cell>
          <cell r="W23">
            <v>206.65801538000017</v>
          </cell>
          <cell r="X23">
            <v>121.28977661999954</v>
          </cell>
          <cell r="Y23">
            <v>434.54014699999971</v>
          </cell>
          <cell r="Z23">
            <v>229.13935500000014</v>
          </cell>
          <cell r="AA23">
            <v>192.03450500000054</v>
          </cell>
          <cell r="AB23">
            <v>37.196570619999648</v>
          </cell>
          <cell r="AC23">
            <v>-21.658855620000281</v>
          </cell>
          <cell r="AD23">
            <v>436.71157499999936</v>
          </cell>
          <cell r="AE23">
            <v>76.297883729999967</v>
          </cell>
          <cell r="AF23">
            <v>15.157719269999802</v>
          </cell>
          <cell r="AG23">
            <v>35.352781910000544</v>
          </cell>
          <cell r="AH23">
            <v>-18.21811191000063</v>
          </cell>
          <cell r="AI23">
            <v>108.5902729999998</v>
          </cell>
          <cell r="AJ23">
            <v>46.994132619999789</v>
          </cell>
          <cell r="AK23">
            <v>72.130091380000351</v>
          </cell>
          <cell r="AL23">
            <v>92.569211979999977</v>
          </cell>
          <cell r="AM23">
            <v>106.52717632999918</v>
          </cell>
          <cell r="AN23">
            <v>318.22061231000225</v>
          </cell>
          <cell r="AO23">
            <v>230.21835270999986</v>
          </cell>
          <cell r="AP23">
            <v>225.34499996000113</v>
          </cell>
          <cell r="AQ23">
            <v>301.0607167999986</v>
          </cell>
          <cell r="AR23">
            <v>138.82118570000159</v>
          </cell>
          <cell r="AS23">
            <v>895.44525517000147</v>
          </cell>
          <cell r="AT23">
            <v>267.04763339836006</v>
          </cell>
          <cell r="AU23">
            <v>404.64054134161688</v>
          </cell>
          <cell r="AV23">
            <v>552.94794288079333</v>
          </cell>
          <cell r="AW23">
            <v>704.64731740587183</v>
          </cell>
          <cell r="AX23">
            <v>1929.2834350266385</v>
          </cell>
          <cell r="AY23">
            <v>629.67507705628918</v>
          </cell>
          <cell r="AZ23">
            <v>655.2894688362469</v>
          </cell>
          <cell r="BA23">
            <v>713.43398481257282</v>
          </cell>
          <cell r="BB23">
            <v>739.64921918931282</v>
          </cell>
          <cell r="BC23">
            <v>2738.0477498944201</v>
          </cell>
          <cell r="BD23">
            <v>3717.7089387361339</v>
          </cell>
          <cell r="BE23">
            <v>4871.4079611500929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F24">
            <v>1.83024169</v>
          </cell>
          <cell r="G24">
            <v>2.0098835199999998</v>
          </cell>
          <cell r="H24">
            <v>3.1164366100000001</v>
          </cell>
          <cell r="I24">
            <v>0</v>
          </cell>
          <cell r="J24">
            <v>6.2012530000000003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12.89927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11.939609000000001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8.5037369999999992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19.698440000000002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45.938460999999997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37.900112909999997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30.04853061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25.816299797170537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52.879606421498778</v>
          </cell>
          <cell r="BD24">
            <v>53.267889420867419</v>
          </cell>
          <cell r="BE24">
            <v>97.904912303623519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F25">
            <v>-20.562776840000001</v>
          </cell>
          <cell r="G25">
            <v>-17.751374569999999</v>
          </cell>
          <cell r="H25">
            <v>-57.788847320000002</v>
          </cell>
          <cell r="I25">
            <v>0</v>
          </cell>
          <cell r="J25">
            <v>-120.50209099999999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-187.81988999999999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-180.13286600000001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-241.83482899999998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-201.35516699999999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-91.655783439999993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-63.720527390000001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-145.82247605000001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-615.8127558243209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-619.79913379965853</v>
          </cell>
          <cell r="BD25">
            <v>-620.56195049974315</v>
          </cell>
          <cell r="BE25">
            <v>-621.91057744787895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F26">
            <v>-18.73253515</v>
          </cell>
          <cell r="G26">
            <v>-15.74149105</v>
          </cell>
          <cell r="H26">
            <v>-54.672410710000001</v>
          </cell>
          <cell r="I26">
            <v>0</v>
          </cell>
          <cell r="J26">
            <v>-114.300838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-174.92061999999999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-168.19325700000002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-233.33109199999998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-181.65672699999999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-45.717322439999997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-25.820414480000004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-115.77394544000001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-589.99645602715032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-566.91952737815973</v>
          </cell>
          <cell r="BD26">
            <v>-567.29406107887576</v>
          </cell>
          <cell r="BE26">
            <v>-524.00566514425543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F27">
            <v>-1.03706612</v>
          </cell>
          <cell r="G27">
            <v>-0.88454953000000003</v>
          </cell>
          <cell r="H27">
            <v>-0.41698971000000001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-15.589316999999999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-9.1148249999999997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6.5025089999999999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-92.478262000000001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-3.2394479999999999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-4.9380978400000002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-37.943077000000002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F29">
            <v>-27.807306480000076</v>
          </cell>
          <cell r="G29">
            <v>-10.943425209999953</v>
          </cell>
          <cell r="H29">
            <v>17.411608250000267</v>
          </cell>
          <cell r="I29">
            <v>-200.96701161999988</v>
          </cell>
          <cell r="J29">
            <v>90.918547000000046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370.27506000000079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178.82289599999956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614.56579199999953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612.28105500000072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548.31492343999969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405.61008865999725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150.75889405999959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452.91063275064425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433.06430308524614</v>
          </cell>
          <cell r="BD29">
            <v>289.00195756145354</v>
          </cell>
          <cell r="BE29">
            <v>215.80887080404307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F30">
            <v>107.34060383999993</v>
          </cell>
          <cell r="G30">
            <v>92.830157200000173</v>
          </cell>
          <cell r="H30">
            <v>-93.908293110000145</v>
          </cell>
          <cell r="I30">
            <v>-362.76422844999968</v>
          </cell>
          <cell r="J30">
            <v>177.35004199999997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278.50959800000032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149.72302200000047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822.27735599999926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774.85764100000006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607.94842599999947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693.07218864999948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892.48712679000107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1792.1976117501324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2604.1925256015065</v>
          </cell>
          <cell r="BD30">
            <v>3439.4168352187116</v>
          </cell>
          <cell r="BE30">
            <v>4563.2111668098805</v>
          </cell>
        </row>
        <row r="31">
          <cell r="A31" t="str">
            <v>Additional Income Statement Items</v>
          </cell>
          <cell r="B31">
            <v>0</v>
          </cell>
          <cell r="C31">
            <v>0</v>
          </cell>
          <cell r="D31">
            <v>0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</row>
        <row r="33">
          <cell r="B33" t="str">
            <v>Lease payments</v>
          </cell>
          <cell r="C33" t="str">
            <v>LEASE_PAY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  <cell r="F36">
            <v>-20.562776840000001</v>
          </cell>
          <cell r="G36">
            <v>-17.751374569999999</v>
          </cell>
          <cell r="H36">
            <v>-57.788847320000002</v>
          </cell>
          <cell r="I36">
            <v>0</v>
          </cell>
          <cell r="J36">
            <v>-120.50209099999999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-187.81988999999999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-180.13286600000001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-241.83482899999998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-201.35516699999999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-91.655783439999993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-63.720527390000001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-145.82247605000001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-615.8127558243209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-619.79913379965853</v>
          </cell>
          <cell r="BD36">
            <v>-620.56195049974315</v>
          </cell>
          <cell r="BE36">
            <v>-621.91057744787895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</row>
        <row r="38">
          <cell r="A38" t="str">
            <v>Balance Sheet</v>
          </cell>
          <cell r="B38">
            <v>0</v>
          </cell>
          <cell r="C38">
            <v>0</v>
          </cell>
          <cell r="D38">
            <v>0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CNY</v>
          </cell>
          <cell r="F39">
            <v>356.69770364999999</v>
          </cell>
          <cell r="G39">
            <v>615.81622569000001</v>
          </cell>
          <cell r="H39">
            <v>246.44574356999999</v>
          </cell>
          <cell r="I39">
            <v>1144.16922174</v>
          </cell>
          <cell r="J39">
            <v>737.14256599999999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601.19509200000005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459.63487400000002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1228.7935050000001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810.13112799999999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7333.9139729999997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4459.2784248999997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4157.5068906500001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7847.468187150499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7905.0903725515982</v>
          </cell>
          <cell r="BD39">
            <v>14529.338182745665</v>
          </cell>
          <cell r="BE39">
            <v>17029.871650525412</v>
          </cell>
        </row>
        <row r="40">
          <cell r="B40" t="str">
            <v>Accounts receivable</v>
          </cell>
          <cell r="C40" t="str">
            <v>DEBTORS</v>
          </cell>
          <cell r="D40" t="str">
            <v>CNY</v>
          </cell>
          <cell r="F40">
            <v>499.96896271000008</v>
          </cell>
          <cell r="G40">
            <v>571.51899803999993</v>
          </cell>
          <cell r="H40">
            <v>355.80233772000003</v>
          </cell>
          <cell r="I40">
            <v>267.70858343999998</v>
          </cell>
          <cell r="J40">
            <v>849.15915500000006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1176.935086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1131.966138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1709.833938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2586.6228980000001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2268.337579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3444.5279349100001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4356.6130769699994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6366.1502752850265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9578.1089997569688</v>
          </cell>
          <cell r="BD40">
            <v>9104.5359645381177</v>
          </cell>
          <cell r="BE40">
            <v>10706.33753883648</v>
          </cell>
        </row>
        <row r="41">
          <cell r="B41" t="str">
            <v>Inventory</v>
          </cell>
          <cell r="C41" t="str">
            <v>STOCKS</v>
          </cell>
          <cell r="D41" t="str">
            <v>CNY</v>
          </cell>
          <cell r="F41">
            <v>202.25861191999999</v>
          </cell>
          <cell r="G41">
            <v>317.01292708</v>
          </cell>
          <cell r="H41">
            <v>334.79842224000004</v>
          </cell>
          <cell r="I41">
            <v>277.68754402999997</v>
          </cell>
          <cell r="J41">
            <v>497.12462699999998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441.72632299999998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512.00752199999999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1110.248977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1507.6318739999999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1386.95236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1082.0769444300001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1602.8811873699999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2693.6425939935239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3243.455813628063</v>
          </cell>
          <cell r="BD41">
            <v>3627.0762460659603</v>
          </cell>
          <cell r="BE41">
            <v>3432.2299874815503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CNY</v>
          </cell>
          <cell r="F42">
            <v>13.177541090000062</v>
          </cell>
          <cell r="G42">
            <v>188.16549382000011</v>
          </cell>
          <cell r="H42">
            <v>109.28616137</v>
          </cell>
          <cell r="I42">
            <v>353.59041587999997</v>
          </cell>
          <cell r="J42">
            <v>484.03332700000004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391.17400899999973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87.671697999999992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152.81169700000055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238.34286300000008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230.00070799999889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401.38107692000108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1143.2326228700001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1281.1611000000044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1281.1611000000012</v>
          </cell>
          <cell r="BD42">
            <v>1281.1611000000016</v>
          </cell>
          <cell r="BE42">
            <v>1281.1611000000016</v>
          </cell>
        </row>
        <row r="43">
          <cell r="B43" t="str">
            <v>Total current assets</v>
          </cell>
          <cell r="C43" t="str">
            <v>CUR_ASS</v>
          </cell>
          <cell r="D43" t="str">
            <v>CNY</v>
          </cell>
          <cell r="F43">
            <v>1072.1028193700001</v>
          </cell>
          <cell r="G43">
            <v>1692.51364463</v>
          </cell>
          <cell r="H43">
            <v>1046.3326649000001</v>
          </cell>
          <cell r="I43">
            <v>2043.1557650899999</v>
          </cell>
          <cell r="J43">
            <v>2567.4596750000001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2611.0305099999996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2191.2802320000001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4201.6881170000006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5142.7287630000001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11219.204619999999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9387.264381160001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11260.233777859999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18188.422156429053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22007.816285936631</v>
          </cell>
          <cell r="BD43">
            <v>28542.111493349745</v>
          </cell>
          <cell r="BE43">
            <v>32449.600276843445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CNY</v>
          </cell>
          <cell r="F44">
            <v>982.47611318999998</v>
          </cell>
          <cell r="G44">
            <v>2924.97075928</v>
          </cell>
          <cell r="H44">
            <v>4207.5418404299999</v>
          </cell>
          <cell r="I44">
            <v>4964.5000092600003</v>
          </cell>
          <cell r="J44">
            <v>6163.2699469999998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6641.6407280000003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6694.0359989999997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10151.626293000001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13302.219072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14385.194880000001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16921.932585660001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24323.707074339996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39971.20560827497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42634.972816628782</v>
          </cell>
          <cell r="BD44">
            <v>44047.254043957691</v>
          </cell>
          <cell r="BE44">
            <v>45121.964257291685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CNY</v>
          </cell>
          <cell r="F45">
            <v>-284.08576873999999</v>
          </cell>
          <cell r="G45">
            <v>-329.99133845999995</v>
          </cell>
          <cell r="H45">
            <v>-422.18294210000005</v>
          </cell>
          <cell r="I45">
            <v>-715.62420846000009</v>
          </cell>
          <cell r="J45">
            <v>-1015.129629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-1466.0313900000001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-1841.155483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-3762.2324250000001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-4766.8727980000003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-5996.118708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-6965.0184399899999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-7916.3385779399996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-2306.4394079553977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-5238.1787604700075</v>
          </cell>
          <cell r="BD45">
            <v>-8293.8728893583502</v>
          </cell>
          <cell r="BE45">
            <v>-10907.060933308483</v>
          </cell>
        </row>
        <row r="46">
          <cell r="B46" t="str">
            <v>Net PP&amp;E</v>
          </cell>
          <cell r="C46" t="str">
            <v>NET_FIX_ASS</v>
          </cell>
          <cell r="D46" t="str">
            <v>CNY</v>
          </cell>
          <cell r="F46">
            <v>698.39034444999993</v>
          </cell>
          <cell r="G46">
            <v>2594.9794208200001</v>
          </cell>
          <cell r="H46">
            <v>3785.3588983299996</v>
          </cell>
          <cell r="I46">
            <v>4248.8758008000004</v>
          </cell>
          <cell r="J46">
            <v>5148.1403179999998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5175.6093380000002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4852.8805159999993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6389.393868000001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8535.3462739999995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8389.076172000001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9956.9141456700017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16407.368496399999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37664.766200319573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37396.794056158775</v>
          </cell>
          <cell r="BD46">
            <v>35753.381154599338</v>
          </cell>
          <cell r="BE46">
            <v>34214.903323983206</v>
          </cell>
        </row>
        <row r="47">
          <cell r="B47" t="str">
            <v>Gross intangibles</v>
          </cell>
          <cell r="C47" t="str">
            <v>GR_INTANG</v>
          </cell>
          <cell r="D47" t="str">
            <v>CNY</v>
          </cell>
          <cell r="F47">
            <v>133.40357478000001</v>
          </cell>
          <cell r="G47">
            <v>164.23415216000001</v>
          </cell>
          <cell r="H47">
            <v>176.49964863</v>
          </cell>
          <cell r="I47">
            <v>211.09089225000002</v>
          </cell>
          <cell r="J47">
            <v>249.805915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274.76982600000002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305.57301699999999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693.18846599999995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1185.4468870000001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1552.365579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1661.0796841000001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1677.09082646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2474.2142000000003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2474.2142000000003</v>
          </cell>
          <cell r="BD47">
            <v>2474.2142000000003</v>
          </cell>
          <cell r="BE47">
            <v>2474.2142000000003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CNY</v>
          </cell>
          <cell r="F48">
            <v>0</v>
          </cell>
          <cell r="G48">
            <v>-7.7117896300000002</v>
          </cell>
          <cell r="H48">
            <v>-12.505711570000001</v>
          </cell>
          <cell r="I48">
            <v>-18.347470229999999</v>
          </cell>
          <cell r="J48">
            <v>-23.878323000000002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-32.405354000000003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-42.006929999999997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-152.99113600000001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-191.109905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-241.90349900000001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-302.74602806999997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-358.142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-143.42470672583985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-286.84941345167971</v>
          </cell>
          <cell r="BD48">
            <v>-430.27412017751953</v>
          </cell>
          <cell r="BE48">
            <v>-573.69882690335942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CNY</v>
          </cell>
          <cell r="F49">
            <v>133.40357478000001</v>
          </cell>
          <cell r="G49">
            <v>156.52236253000001</v>
          </cell>
          <cell r="H49">
            <v>163.99393706000001</v>
          </cell>
          <cell r="I49">
            <v>192.74342202000003</v>
          </cell>
          <cell r="J49">
            <v>225.927592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242.36447200000003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263.56608699999998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540.19732999999997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994.33698200000003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1310.46208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1358.3336560300002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1318.94882646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2330.7894932741606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2187.3647865483208</v>
          </cell>
          <cell r="BD49">
            <v>2043.9400798224808</v>
          </cell>
          <cell r="BE49">
            <v>1900.5153730966408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CNY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CNY</v>
          </cell>
          <cell r="F51">
            <v>104.47739816999999</v>
          </cell>
          <cell r="G51">
            <v>222.66972347000001</v>
          </cell>
          <cell r="H51">
            <v>14.54475862</v>
          </cell>
          <cell r="I51">
            <v>43.924696229999995</v>
          </cell>
          <cell r="J51">
            <v>198.42298199999999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186.65212500000001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201.48466599999998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264.70351499999998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387.05966000000001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378.00019499999996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393.04349463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374.24099178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94.802899999999994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94.802899999999994</v>
          </cell>
          <cell r="BD51">
            <v>94.802899999999994</v>
          </cell>
          <cell r="BE51">
            <v>94.802899999999994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CNY</v>
          </cell>
          <cell r="F52">
            <v>15.590492600000175</v>
          </cell>
          <cell r="G52">
            <v>16.731757530001232</v>
          </cell>
          <cell r="H52">
            <v>47.046272449999648</v>
          </cell>
          <cell r="I52">
            <v>101.58829144999947</v>
          </cell>
          <cell r="J52">
            <v>66.617109000000767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72.417926000000762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293.97694000000092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403.3206469999979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633.02690400000176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331.9491510000006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583.78062272000216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291.46846768999609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622.05019999999433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622.05019999999388</v>
          </cell>
          <cell r="BD52">
            <v>622.05019999999365</v>
          </cell>
          <cell r="BE52">
            <v>622.05019999999342</v>
          </cell>
        </row>
        <row r="53">
          <cell r="B53" t="str">
            <v>Total assets</v>
          </cell>
          <cell r="C53" t="str">
            <v>TOT_ASSET</v>
          </cell>
          <cell r="D53" t="str">
            <v>CNY</v>
          </cell>
          <cell r="F53">
            <v>2023.9646293700002</v>
          </cell>
          <cell r="G53">
            <v>4683.4169089800016</v>
          </cell>
          <cell r="H53">
            <v>5057.2765313599994</v>
          </cell>
          <cell r="I53">
            <v>6630.2879755900003</v>
          </cell>
          <cell r="J53">
            <v>8206.5676760000006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8288.0743710000006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7803.1884410000002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11799.303476999999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15692.498583000001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21628.692218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21679.336300210005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29652.260560189996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58900.830950022784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62308.828228643724</v>
          </cell>
          <cell r="BD53">
            <v>67056.285827771557</v>
          </cell>
          <cell r="BE53">
            <v>69281.872073923281</v>
          </cell>
        </row>
        <row r="54">
          <cell r="B54" t="str">
            <v>Accounts payable</v>
          </cell>
          <cell r="C54" t="str">
            <v>ACC_PAY_GQ</v>
          </cell>
          <cell r="D54" t="str">
            <v>CNY</v>
          </cell>
          <cell r="F54">
            <v>290.92921824000001</v>
          </cell>
          <cell r="G54">
            <v>465.84844493000003</v>
          </cell>
          <cell r="H54">
            <v>719.89921612000001</v>
          </cell>
          <cell r="I54">
            <v>849.89002906000007</v>
          </cell>
          <cell r="J54">
            <v>1577.175493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1350.523326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1131.9459059999999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2572.0256370000002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3121.1662299999998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4576.2331220000005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4766.4267473399996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5998.2094954599997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10606.547613017659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11957.254723037449</v>
          </cell>
          <cell r="BD54">
            <v>14025.517805150097</v>
          </cell>
          <cell r="BE54">
            <v>12694.005389107608</v>
          </cell>
        </row>
        <row r="55">
          <cell r="B55" t="str">
            <v>Short-term debt</v>
          </cell>
          <cell r="C55" t="str">
            <v>SHORT_T_DEBT</v>
          </cell>
          <cell r="D55" t="str">
            <v>CNY</v>
          </cell>
          <cell r="F55">
            <v>362.59850004999998</v>
          </cell>
          <cell r="G55">
            <v>165.49145010000001</v>
          </cell>
          <cell r="H55">
            <v>176.89536108999999</v>
          </cell>
          <cell r="I55">
            <v>917.59343621000005</v>
          </cell>
          <cell r="J55">
            <v>777.60860000000002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991.07003000000009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1310.4312300000001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1613.7985490000001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1345.0190459999999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1225.9112070000001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268.59211399999998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3220.0368398199998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8796.1555000000008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8796.1555000000008</v>
          </cell>
          <cell r="BD55">
            <v>8796.1555000000008</v>
          </cell>
          <cell r="BE55">
            <v>8796.1555000000008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CNY</v>
          </cell>
          <cell r="F56">
            <v>26.934944429999916</v>
          </cell>
          <cell r="G56">
            <v>36.541611169999953</v>
          </cell>
          <cell r="H56">
            <v>40.876868149999893</v>
          </cell>
          <cell r="I56">
            <v>60.029315680000082</v>
          </cell>
          <cell r="J56">
            <v>58.748562000000447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82.217287000000169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94.256866000000173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256.79759599999988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308.85397700000021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322.92864199999985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368.67210428999994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980.78713976000017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835.99649087020043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965.79402111164563</v>
          </cell>
          <cell r="BD56">
            <v>1099.3047743646875</v>
          </cell>
          <cell r="BE56">
            <v>1278.9434965433993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CNY</v>
          </cell>
          <cell r="F57">
            <v>680.46266271999991</v>
          </cell>
          <cell r="G57">
            <v>667.88150619999999</v>
          </cell>
          <cell r="H57">
            <v>937.67144535999989</v>
          </cell>
          <cell r="I57">
            <v>1827.5127809500002</v>
          </cell>
          <cell r="J57">
            <v>2413.5326550000004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2423.8106430000003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2536.6340020000002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4442.6217820000002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4775.0392529999999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6125.0729710000005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5403.6909656299995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10199.03347504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20238.699603887861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21719.204244149096</v>
          </cell>
          <cell r="BD57">
            <v>23920.978079514785</v>
          </cell>
          <cell r="BE57">
            <v>22769.104385651008</v>
          </cell>
        </row>
        <row r="58">
          <cell r="B58" t="str">
            <v>Long-term  debt</v>
          </cell>
          <cell r="C58" t="str">
            <v>LT_DEBT</v>
          </cell>
          <cell r="D58" t="str">
            <v>CNY</v>
          </cell>
          <cell r="F58">
            <v>10</v>
          </cell>
          <cell r="G58">
            <v>1694.5771999999999</v>
          </cell>
          <cell r="H58">
            <v>2063.46</v>
          </cell>
          <cell r="I58">
            <v>2483.4760000000001</v>
          </cell>
          <cell r="J58">
            <v>2859.7320199999999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2469.3602000000001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1798.5150000000001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1444.7396000000001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1105.5930000000001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900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1290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3730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8370.5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8370.5</v>
          </cell>
          <cell r="BD58">
            <v>8370.5</v>
          </cell>
          <cell r="BE58">
            <v>8370.5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CNY</v>
          </cell>
          <cell r="F59">
            <v>19.32303581</v>
          </cell>
          <cell r="G59">
            <v>44.378458970000111</v>
          </cell>
          <cell r="H59">
            <v>59.530450100000053</v>
          </cell>
          <cell r="I59">
            <v>220.6149349100001</v>
          </cell>
          <cell r="J59">
            <v>442.62327099999993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475.99363499999981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411.92744800000014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1571.9006640000005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1250.7506929999997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1355.2850719999997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1226.68581847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1248.4299381500005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3845.4982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3845.4982</v>
          </cell>
          <cell r="BD59">
            <v>3845.4982</v>
          </cell>
          <cell r="BE59">
            <v>3845.4982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CNY</v>
          </cell>
          <cell r="F60">
            <v>29.32303581</v>
          </cell>
          <cell r="G60">
            <v>1738.9556589700001</v>
          </cell>
          <cell r="H60">
            <v>2122.9904501000001</v>
          </cell>
          <cell r="I60">
            <v>2704.0909349100002</v>
          </cell>
          <cell r="J60">
            <v>3302.3552909999999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2945.3538349999999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2210.4424480000002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3016.6402640000006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2356.3436929999998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2255.2850719999997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2516.68581847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4978.4299381500005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12215.9982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12215.9982</v>
          </cell>
          <cell r="BD60">
            <v>12215.9982</v>
          </cell>
          <cell r="BE60">
            <v>12215.9982</v>
          </cell>
        </row>
        <row r="61">
          <cell r="B61" t="str">
            <v>Total liabilities</v>
          </cell>
          <cell r="C61" t="str">
            <v>TOT_LIAB</v>
          </cell>
          <cell r="D61" t="str">
            <v>CNY</v>
          </cell>
          <cell r="F61">
            <v>709.78569852999988</v>
          </cell>
          <cell r="G61">
            <v>2406.8371651699999</v>
          </cell>
          <cell r="H61">
            <v>3060.6618954599999</v>
          </cell>
          <cell r="I61">
            <v>4531.6037158600002</v>
          </cell>
          <cell r="J61">
            <v>5715.8879460000007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5369.1644780000006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4747.0764500000005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7459.2620460000007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7131.3829459999997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8380.3580430000002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7920.376784099999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15177.46341319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32454.697803887859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33935.202444149094</v>
          </cell>
          <cell r="BD61">
            <v>36136.976279514784</v>
          </cell>
          <cell r="BE61">
            <v>34985.10258565101</v>
          </cell>
        </row>
        <row r="62">
          <cell r="B62" t="str">
            <v>Preferred shares</v>
          </cell>
          <cell r="C62" t="str">
            <v>PREF_SH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</row>
        <row r="63">
          <cell r="B63" t="str">
            <v>Total common equity</v>
          </cell>
          <cell r="C63" t="str">
            <v>ORD_SH_FUND</v>
          </cell>
          <cell r="D63" t="str">
            <v>CNY</v>
          </cell>
          <cell r="F63">
            <v>945.87643412000011</v>
          </cell>
          <cell r="G63">
            <v>1557.9660777700001</v>
          </cell>
          <cell r="H63">
            <v>1351.0349587199998</v>
          </cell>
          <cell r="I63">
            <v>1145.2533645599999</v>
          </cell>
          <cell r="J63">
            <v>1215.0251940000001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1318.9535679999997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1373.011622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2540.3507640000003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8147.2703330000004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13248.334175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13758.959516579998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14474.797146659997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26446.133146134918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28373.625784494627</v>
          </cell>
          <cell r="BD63">
            <v>30919.309548256784</v>
          </cell>
          <cell r="BE63">
            <v>34296.769488272279</v>
          </cell>
        </row>
        <row r="64">
          <cell r="B64" t="str">
            <v>Minority interest</v>
          </cell>
          <cell r="C64" t="str">
            <v>MINORITIES</v>
          </cell>
          <cell r="D64" t="str">
            <v>CNY</v>
          </cell>
          <cell r="F64">
            <v>368.30249672000002</v>
          </cell>
          <cell r="G64">
            <v>718.61366604</v>
          </cell>
          <cell r="H64">
            <v>645.57967717999998</v>
          </cell>
          <cell r="I64">
            <v>953.43089516999999</v>
          </cell>
          <cell r="J64">
            <v>1275.654536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1599.9563250000001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1683.100369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1799.6906670000001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413.845304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</row>
        <row r="65">
          <cell r="B65" t="str">
            <v>Total shareholders' equity</v>
          </cell>
          <cell r="C65" t="str">
            <v>EQ</v>
          </cell>
          <cell r="D65" t="str">
            <v>CNY</v>
          </cell>
          <cell r="F65">
            <v>1314.1789308400002</v>
          </cell>
          <cell r="G65">
            <v>2276.5797438099999</v>
          </cell>
          <cell r="H65">
            <v>1996.6146358999999</v>
          </cell>
          <cell r="I65">
            <v>2098.6842597300001</v>
          </cell>
          <cell r="J65">
            <v>2490.6797299999998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2918.909893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3056.1119909999998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4340.0414310000006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8561.1156370000008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13248.334175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13758.959516579998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14474.797146659997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26446.133146134918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28373.625784494627</v>
          </cell>
          <cell r="BD65">
            <v>30919.309548256784</v>
          </cell>
          <cell r="BE65">
            <v>34296.769488272279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CNY</v>
          </cell>
          <cell r="F66">
            <v>2023.9646293700002</v>
          </cell>
          <cell r="G66">
            <v>4683.4169089799998</v>
          </cell>
          <cell r="H66">
            <v>5057.2765313599994</v>
          </cell>
          <cell r="I66">
            <v>6630.2879755900003</v>
          </cell>
          <cell r="J66">
            <v>8206.5676760000006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8288.0743710000006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7803.1884410000002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11799.303477000001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15692.498583000001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21628.692218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21679.336300679999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29652.260559849998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58900.830950022777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62308.828228643717</v>
          </cell>
          <cell r="BD66">
            <v>67056.285827771571</v>
          </cell>
          <cell r="BE66">
            <v>69281.872073923296</v>
          </cell>
        </row>
        <row r="67">
          <cell r="A67" t="str">
            <v>Additional Balance Sheet Items</v>
          </cell>
          <cell r="B67">
            <v>0</v>
          </cell>
          <cell r="C67">
            <v>0</v>
          </cell>
          <cell r="D67">
            <v>0</v>
          </cell>
        </row>
        <row r="68">
          <cell r="B68" t="str">
            <v>Total US$ debt (in US$)</v>
          </cell>
          <cell r="C68" t="str">
            <v>TOT_USD_DEBT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1E-3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1E-3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1E-3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1E-3</v>
          </cell>
          <cell r="BD68">
            <v>1E-3</v>
          </cell>
          <cell r="BE68">
            <v>1E-3</v>
          </cell>
        </row>
        <row r="69">
          <cell r="B69" t="str">
            <v>% US$ debt hedged (principal)</v>
          </cell>
          <cell r="C69" t="str">
            <v>TOT_PCT_USD_DEBT_HEDGED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1E-3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1E-3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1E-3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1E-3</v>
          </cell>
          <cell r="BD69">
            <v>1E-3</v>
          </cell>
          <cell r="BE69">
            <v>1E-3</v>
          </cell>
        </row>
        <row r="70">
          <cell r="B70" t="str">
            <v>% Floating debt (local currency debt)</v>
          </cell>
          <cell r="C70" t="str">
            <v>FLOATING_PCT_LOCAL_DEBT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0.05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0.05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0.05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0.05</v>
          </cell>
          <cell r="BD70">
            <v>0.05</v>
          </cell>
          <cell r="BE70">
            <v>0.05</v>
          </cell>
        </row>
        <row r="71">
          <cell r="B71" t="str">
            <v>% floating debt hedged (rates)</v>
          </cell>
          <cell r="C71" t="str">
            <v>FLOATING_PCT_LOCAL_DEBT_HEDGED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0.2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0.2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0.2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0.2</v>
          </cell>
          <cell r="BD71">
            <v>0.2</v>
          </cell>
          <cell r="BE71">
            <v>0.2</v>
          </cell>
        </row>
        <row r="72">
          <cell r="B72" t="str">
            <v>Net debt</v>
          </cell>
          <cell r="C72" t="str">
            <v>NET_DEBT</v>
          </cell>
          <cell r="D72" t="str">
            <v>CNY</v>
          </cell>
          <cell r="F72">
            <v>15.90079639999999</v>
          </cell>
          <cell r="G72">
            <v>1244.25242441</v>
          </cell>
          <cell r="H72">
            <v>1993.9096175199998</v>
          </cell>
          <cell r="I72">
            <v>2256.9002144700003</v>
          </cell>
          <cell r="J72">
            <v>2900.198054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2859.235138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2649.3113560000006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1829.7446439999999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1640.4809180000002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-5208.0027659999996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-2900.6863108999996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2792.5299491699998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9319.1873128495026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9261.5651274484026</v>
          </cell>
          <cell r="BD72">
            <v>2637.3173172543356</v>
          </cell>
          <cell r="BE72">
            <v>136.78384947458835</v>
          </cell>
        </row>
        <row r="73">
          <cell r="B73" t="str">
            <v>Capitalized leases</v>
          </cell>
          <cell r="C73" t="str">
            <v>CAP_LEASES</v>
          </cell>
          <cell r="D73" t="str">
            <v>CNY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</row>
        <row r="74">
          <cell r="B74" t="str">
            <v>Deferred income taxes</v>
          </cell>
          <cell r="C74" t="str">
            <v>DEF_INC_TAX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</row>
        <row r="76">
          <cell r="B76" t="str">
            <v>Net debt adjustment</v>
          </cell>
          <cell r="C76" t="str">
            <v>NET_DEBT_ADJ</v>
          </cell>
          <cell r="D76" t="str">
            <v>CNY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</row>
        <row r="77">
          <cell r="B77" t="str">
            <v>Company borrowing margin</v>
          </cell>
          <cell r="C77" t="str">
            <v>CO_BOR_MARGIN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7.9068763317230076E-2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8.2165256360614489E-2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4.3113646110055991E-2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4.0883388808163827E-2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2.0981540013502532E-2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3.5872611052532678E-2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3.6104827396324139E-2</v>
          </cell>
          <cell r="BD77">
            <v>3.6149263349505856E-2</v>
          </cell>
          <cell r="BE77">
            <v>3.622782419370383E-2</v>
          </cell>
        </row>
        <row r="78">
          <cell r="B78" t="str">
            <v>Unfunded pensions &amp; other provisions</v>
          </cell>
          <cell r="C78" t="str">
            <v>UNF_PENS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str">
            <v>CNY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str">
            <v>CNY</v>
          </cell>
          <cell r="F81">
            <v>-133.40357478000001</v>
          </cell>
          <cell r="G81">
            <v>-156.52236253000001</v>
          </cell>
          <cell r="H81">
            <v>-163.99393706000001</v>
          </cell>
          <cell r="I81">
            <v>-192.74342202000003</v>
          </cell>
          <cell r="J81">
            <v>-225.927592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-242.36447200000003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-263.56608699999998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-540.19732999999997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-994.33698200000003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-1310.46208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-1358.3336560300002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-1318.94882646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-2330.7894932741606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-2187.3647865483208</v>
          </cell>
          <cell r="BD81">
            <v>-2043.9400798224808</v>
          </cell>
          <cell r="BE81">
            <v>-1900.5153730966408</v>
          </cell>
        </row>
        <row r="82">
          <cell r="B82" t="str">
            <v>Other GCI adjustments</v>
          </cell>
          <cell r="C82" t="str">
            <v>OTH_GCI_ADJ</v>
          </cell>
          <cell r="D82" t="str">
            <v>CNY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</row>
        <row r="83">
          <cell r="B83" t="str">
            <v>GCI inflator</v>
          </cell>
          <cell r="C83" t="str">
            <v>GCI_INFL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1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1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1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1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1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1</v>
          </cell>
          <cell r="BD83">
            <v>1</v>
          </cell>
          <cell r="BE83">
            <v>1</v>
          </cell>
        </row>
        <row r="84">
          <cell r="B84" t="str">
            <v>Minority interest</v>
          </cell>
          <cell r="C84" t="str">
            <v>BAL_MINO_INT</v>
          </cell>
          <cell r="D84" t="str">
            <v>CNY</v>
          </cell>
          <cell r="F84">
            <v>368.30249672000002</v>
          </cell>
          <cell r="G84">
            <v>718.61366604</v>
          </cell>
          <cell r="H84">
            <v>645.57967717999998</v>
          </cell>
          <cell r="I84">
            <v>953.43089516999999</v>
          </cell>
          <cell r="J84">
            <v>1275.654536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1599.9563250000001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1683.100369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1799.6906670000001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413.845304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</row>
        <row r="85">
          <cell r="A85" t="str">
            <v>Cash Flow Statement</v>
          </cell>
          <cell r="B85">
            <v>0</v>
          </cell>
          <cell r="C85">
            <v>0</v>
          </cell>
          <cell r="D85">
            <v>0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CNY</v>
          </cell>
          <cell r="F86">
            <v>1.08684428</v>
          </cell>
          <cell r="G86">
            <v>-5.0418211600000005</v>
          </cell>
          <cell r="H86">
            <v>-80.423935439999994</v>
          </cell>
          <cell r="I86">
            <v>-104.26341506999999</v>
          </cell>
          <cell r="J86">
            <v>70.223641000000001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156.30178900000001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83.144043999999994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141.993167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74.274641000000003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0.89768300000000001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CNY</v>
          </cell>
          <cell r="F87">
            <v>54.797996799999993</v>
          </cell>
          <cell r="G87">
            <v>65.306128610000002</v>
          </cell>
          <cell r="H87">
            <v>130.98330392999998</v>
          </cell>
          <cell r="I87">
            <v>314.75990419000004</v>
          </cell>
          <cell r="J87">
            <v>319.29006199999998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474.70579199999997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505.68030599999997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1049.604951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1160.0400910000001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1370.286957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1144.65048867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1063.74296568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2449.8641146812374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3075.1640592404501</v>
          </cell>
          <cell r="BD87">
            <v>3199.118835614182</v>
          </cell>
          <cell r="BE87">
            <v>2756.6127506759735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CNY</v>
          </cell>
          <cell r="F88">
            <v>49.816183989999956</v>
          </cell>
          <cell r="G88">
            <v>-11.385123799999832</v>
          </cell>
          <cell r="H88">
            <v>451.98193634999984</v>
          </cell>
          <cell r="I88">
            <v>275.19544543000018</v>
          </cell>
          <cell r="J88">
            <v>-73.602190590000191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-499.02979399999987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-243.88967100000013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263.97047600000042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-725.03126400000042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1894.0317250000007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-681.12131500000123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-201.10663687999886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2411.4362437391092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-2411.0648340866915</v>
          </cell>
          <cell r="BD88">
            <v>2158.2156848936015</v>
          </cell>
          <cell r="BE88">
            <v>-2738.4677317564419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CNY</v>
          </cell>
          <cell r="F89">
            <v>18.965025560000143</v>
          </cell>
          <cell r="G89">
            <v>-21.232830450000336</v>
          </cell>
          <cell r="H89">
            <v>-288.40469749999966</v>
          </cell>
          <cell r="I89">
            <v>156.02362329999937</v>
          </cell>
          <cell r="J89">
            <v>-30.846980409999787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299.84611499999954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417.59461199999976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151.11231800000019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263.74432800000022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639.18617399999948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-52.099578429998132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251.36273792999782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CNY</v>
          </cell>
          <cell r="F90">
            <v>218.46632046000002</v>
          </cell>
          <cell r="G90">
            <v>118.04225003000001</v>
          </cell>
          <cell r="H90">
            <v>223.49667947</v>
          </cell>
          <cell r="I90">
            <v>436.07799311000002</v>
          </cell>
          <cell r="J90">
            <v>355.44635299999999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532.95724499999994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816.94607900000005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2264.3865970000002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1385.683779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4459.0780299999997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980.60698861000003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1921.2033819999999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6474.2782089954653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3007.872498195115</v>
          </cell>
          <cell r="BD90">
            <v>8452.809672204623</v>
          </cell>
          <cell r="BE90">
            <v>4125.0350690484229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CNY</v>
          </cell>
          <cell r="F91">
            <v>-314.03191487999999</v>
          </cell>
          <cell r="G91">
            <v>-1945.79964058</v>
          </cell>
          <cell r="H91">
            <v>-895.4495403200001</v>
          </cell>
          <cell r="I91">
            <v>-980.73874460000002</v>
          </cell>
          <cell r="J91">
            <v>-1157.4291229999999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-548.89792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-429.39686499999999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-326.69049999999999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-522.13471000000004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-1657.20126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-3033.7500276199999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-7350.3658983800005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-2306.4394079553977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-2659.5469860095873</v>
          </cell>
          <cell r="BD91">
            <v>-1408.8238216847633</v>
          </cell>
          <cell r="BE91">
            <v>-1072.60143463798</v>
          </cell>
        </row>
        <row r="92">
          <cell r="B92" t="str">
            <v>Acquisitions</v>
          </cell>
          <cell r="C92" t="str">
            <v>ACQ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</row>
        <row r="93">
          <cell r="B93" t="str">
            <v>Divestitures</v>
          </cell>
          <cell r="C93" t="str">
            <v>DIVEST</v>
          </cell>
          <cell r="D93" t="str">
            <v>CNY</v>
          </cell>
          <cell r="F93">
            <v>2.5999999999999999E-3</v>
          </cell>
          <cell r="G93">
            <v>0</v>
          </cell>
          <cell r="H93">
            <v>0.29899999999999999</v>
          </cell>
          <cell r="I93">
            <v>1.0664499999999999</v>
          </cell>
          <cell r="J93">
            <v>2.1643659999999998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0.16792499999999999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3.0379649999999998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5.157794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78.753694999999993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1.596749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2.6863475000000001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0.75654696999999993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CNY</v>
          </cell>
          <cell r="F94">
            <v>3.1875912999999807</v>
          </cell>
          <cell r="G94">
            <v>-96.803416080000034</v>
          </cell>
          <cell r="H94">
            <v>88.45112524999999</v>
          </cell>
          <cell r="I94">
            <v>-79.943993950000021</v>
          </cell>
          <cell r="J94">
            <v>-224.43230199999996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42.719127999999984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-6.7425580000000451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-100.84835000000001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652.77489799999989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24.271197000000075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-11.354132089999883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17.803015140000117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-8.206600319568679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-4.220222344231388</v>
          </cell>
          <cell r="BD94">
            <v>-3.4574056441465473</v>
          </cell>
          <cell r="BE94">
            <v>-2.1087786960108588</v>
          </cell>
        </row>
        <row r="95">
          <cell r="B95" t="str">
            <v>Cash flow from investing</v>
          </cell>
          <cell r="C95" t="str">
            <v>CF_INV</v>
          </cell>
          <cell r="D95" t="str">
            <v>CNY</v>
          </cell>
          <cell r="F95">
            <v>-310.84172358000001</v>
          </cell>
          <cell r="G95">
            <v>-2042.60305666</v>
          </cell>
          <cell r="H95">
            <v>-806.6994150700001</v>
          </cell>
          <cell r="I95">
            <v>-1059.61628855</v>
          </cell>
          <cell r="J95">
            <v>-1379.6970589999999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-506.01086700000002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-433.10145800000004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-422.381056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209.39388299999987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-1631.333314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-3042.4178122099997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-7331.8063362700004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-2314.6460082749663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-2663.7672083538187</v>
          </cell>
          <cell r="BD95">
            <v>-1412.2812273289098</v>
          </cell>
          <cell r="BE95">
            <v>-1074.7102133339909</v>
          </cell>
        </row>
        <row r="96">
          <cell r="B96" t="str">
            <v>Dividends paid</v>
          </cell>
          <cell r="C96" t="str">
            <v>DIV_PAID</v>
          </cell>
          <cell r="D96" t="str">
            <v>CNY</v>
          </cell>
          <cell r="F96">
            <v>-13.276999999999999</v>
          </cell>
          <cell r="G96">
            <v>-66.385000000000005</v>
          </cell>
          <cell r="H96">
            <v>-38.282499999999999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-34.454250000000002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-57.423749999999998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-113.17384800000001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-84.065924629999998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-84.065924640000006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-143.36861357000001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-286.48310444019705</v>
          </cell>
          <cell r="BD96">
            <v>-416.28063468164697</v>
          </cell>
          <cell r="BE96">
            <v>-549.79138793468564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CNY</v>
          </cell>
          <cell r="F97">
            <v>360.5</v>
          </cell>
          <cell r="G97">
            <v>844.37577499999998</v>
          </cell>
          <cell r="H97">
            <v>8.4</v>
          </cell>
          <cell r="I97">
            <v>411.6</v>
          </cell>
          <cell r="J97">
            <v>443.6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168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1731.8281770000001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4718.4024589999999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CNY</v>
          </cell>
          <cell r="F98">
            <v>41.441500049999945</v>
          </cell>
          <cell r="G98">
            <v>1487.4701500499998</v>
          </cell>
          <cell r="H98">
            <v>380.28671098999996</v>
          </cell>
          <cell r="I98">
            <v>1161.4833550600001</v>
          </cell>
          <cell r="J98">
            <v>279.68073499999991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-99.709306999999853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-343.56318199999998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-1277.9743659999999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-3288.9753930000002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-377.91339999999991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-782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5386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CNY</v>
          </cell>
          <cell r="F99">
            <v>-26.394638420000035</v>
          </cell>
          <cell r="G99">
            <v>-81.781596379999655</v>
          </cell>
          <cell r="H99">
            <v>-136.57195751000003</v>
          </cell>
          <cell r="I99">
            <v>-51.82158144999994</v>
          </cell>
          <cell r="J99">
            <v>-106.05668500000002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-231.18454500000001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-181.84165699999994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239.58170599999971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-399.16907300000048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-531.27708200000052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53.24120189000007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-193.10265534000064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CNY</v>
          </cell>
          <cell r="F100">
            <v>362.26986162999992</v>
          </cell>
          <cell r="G100">
            <v>2183.6793286699999</v>
          </cell>
          <cell r="H100">
            <v>213.83225347999993</v>
          </cell>
          <cell r="I100">
            <v>1521.2617736100001</v>
          </cell>
          <cell r="J100">
            <v>617.22404999999992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-162.89385199999987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-525.40483899999992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-1072.8469100000002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-2013.7400390000003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3696.0381289999996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-812.82472273999997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5108.8314200199993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-143.36861357000001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-286.48310444019705</v>
          </cell>
          <cell r="BD100">
            <v>-416.28063468164697</v>
          </cell>
          <cell r="BE100">
            <v>-549.79138793468564</v>
          </cell>
        </row>
        <row r="101">
          <cell r="B101" t="str">
            <v>Total cash flow</v>
          </cell>
          <cell r="C101" t="str">
            <v>TOT_CF</v>
          </cell>
          <cell r="D101" t="str">
            <v>CNY</v>
          </cell>
          <cell r="F101">
            <v>269.89445850999994</v>
          </cell>
          <cell r="G101">
            <v>259.11852204000002</v>
          </cell>
          <cell r="H101">
            <v>-369.37048212000013</v>
          </cell>
          <cell r="I101">
            <v>897.72347817000013</v>
          </cell>
          <cell r="J101">
            <v>-407.02665599999989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-135.94747399999994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-141.56021799999991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769.15863100000001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-418.66237700000033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6523.7828449999997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-2874.6355463399996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-301.77153425000142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4016.263587150499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57.622185401099273</v>
          </cell>
          <cell r="BD101">
            <v>6624.247810194066</v>
          </cell>
          <cell r="BE101">
            <v>2500.5334677797464</v>
          </cell>
        </row>
        <row r="102">
          <cell r="A102" t="str">
            <v>Additional Cash Flow Items</v>
          </cell>
          <cell r="B102">
            <v>0</v>
          </cell>
          <cell r="C102">
            <v>0</v>
          </cell>
          <cell r="D102">
            <v>0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CNY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CNY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CNY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CNY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</row>
        <row r="107">
          <cell r="B107" t="str">
            <v>Cash interest expense</v>
          </cell>
          <cell r="C107" t="str">
            <v>CASH_INT_EXP</v>
          </cell>
          <cell r="D107" t="str">
            <v>CNY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</row>
        <row r="108">
          <cell r="B108" t="str">
            <v>Cash tax expense</v>
          </cell>
          <cell r="C108" t="str">
            <v>CASH_TAX_EXP</v>
          </cell>
          <cell r="D108" t="str">
            <v>CNY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str">
            <v>CNY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</row>
        <row r="110">
          <cell r="B110" t="str">
            <v>Capex maintenance</v>
          </cell>
          <cell r="C110" t="str">
            <v>CAPEX_MAINTENANCE</v>
          </cell>
          <cell r="D110" t="str">
            <v>CNY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</row>
        <row r="111">
          <cell r="B111" t="str">
            <v>Capex expansion</v>
          </cell>
          <cell r="C111" t="str">
            <v>CAPEX_EXPANSION</v>
          </cell>
          <cell r="D111" t="str">
            <v>CNY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</row>
        <row r="112">
          <cell r="B112" t="str">
            <v>Non-PP&amp;E capex</v>
          </cell>
          <cell r="C112" t="str">
            <v>NONPPE_CAPEX</v>
          </cell>
          <cell r="D112" t="str">
            <v>CNY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</row>
        <row r="113">
          <cell r="B113" t="str">
            <v>Dividends paid to minorities</v>
          </cell>
          <cell r="C113" t="str">
            <v>DIVDS_PD_MINORITIES</v>
          </cell>
          <cell r="D113" t="str">
            <v>CNY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 t="str">
            <v>Other Items</v>
          </cell>
          <cell r="B114">
            <v>0</v>
          </cell>
          <cell r="C114">
            <v>0</v>
          </cell>
          <cell r="D114">
            <v>0</v>
          </cell>
        </row>
        <row r="115">
          <cell r="B115" t="str">
            <v>Number of employees</v>
          </cell>
          <cell r="C115" t="str">
            <v>EMPLOYEES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7.4740000000000002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8.1950000000000003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7.1840000000000002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7.4790000000000001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13.3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13.263999999999999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13.398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13.532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13.666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13.8</v>
          </cell>
          <cell r="BD115">
            <v>13.934000000000001</v>
          </cell>
          <cell r="BE115">
            <v>14.068000000000001</v>
          </cell>
        </row>
        <row r="116">
          <cell r="A116" t="str">
            <v>Geographical Breakdown</v>
          </cell>
          <cell r="B116">
            <v>0</v>
          </cell>
          <cell r="C116">
            <v>0</v>
          </cell>
          <cell r="D116">
            <v>0</v>
          </cell>
        </row>
        <row r="117">
          <cell r="B117" t="str">
            <v>Sales - % Canada</v>
          </cell>
          <cell r="C117" t="str">
            <v>SALES_CANADA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</row>
        <row r="118">
          <cell r="B118" t="str">
            <v>Sales - % United States</v>
          </cell>
          <cell r="C118" t="str">
            <v>SALES_US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</row>
        <row r="119">
          <cell r="B119" t="str">
            <v>Sales - % Other North Americas</v>
          </cell>
          <cell r="C119" t="str">
            <v>SALES_OTH_NO_AMER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</row>
        <row r="120">
          <cell r="B120" t="str">
            <v>Sales - % Argentina</v>
          </cell>
          <cell r="C120" t="str">
            <v>SALES_ARGENTINA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</row>
        <row r="121">
          <cell r="B121" t="str">
            <v>Sales - % Brazil</v>
          </cell>
          <cell r="C121" t="str">
            <v>SALES_BRAZIL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</row>
        <row r="122">
          <cell r="B122" t="str">
            <v>Sales - % Chile</v>
          </cell>
          <cell r="C122" t="str">
            <v>SALES_CHILE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</row>
        <row r="123">
          <cell r="B123" t="str">
            <v>Sales - % Colombia</v>
          </cell>
          <cell r="C123" t="str">
            <v>SALES_COLOMBIA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</row>
        <row r="124">
          <cell r="B124" t="str">
            <v>Sales - % Mexico</v>
          </cell>
          <cell r="C124" t="str">
            <v>SALES_MEXICO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</row>
        <row r="125">
          <cell r="B125" t="str">
            <v>Sales - % Venezuela</v>
          </cell>
          <cell r="C125" t="str">
            <v>SALES_VENEZUELA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</row>
        <row r="126">
          <cell r="B126" t="str">
            <v>Sales - % Other Latin Americas</v>
          </cell>
          <cell r="C126" t="str">
            <v>SALES_OTH_LATAM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</row>
        <row r="127">
          <cell r="B127" t="str">
            <v>Sales - % Austria</v>
          </cell>
          <cell r="C127" t="str">
            <v>SALES_AUSTRIA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</row>
        <row r="128">
          <cell r="B128" t="str">
            <v>Sales - % Belgium</v>
          </cell>
          <cell r="C128" t="str">
            <v>SALES_BEL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</row>
        <row r="129">
          <cell r="B129" t="str">
            <v>Sales - % France</v>
          </cell>
          <cell r="C129" t="str">
            <v>SALES_FRA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</row>
        <row r="130">
          <cell r="B130" t="str">
            <v>Sales - % Germany</v>
          </cell>
          <cell r="C130" t="str">
            <v>SALES_GER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</row>
        <row r="131">
          <cell r="B131" t="str">
            <v>Sales - % Greece</v>
          </cell>
          <cell r="C131" t="str">
            <v>SALES_GRE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</row>
        <row r="132">
          <cell r="B132" t="str">
            <v>Sales - % Ireland</v>
          </cell>
          <cell r="C132" t="str">
            <v>SALES_IRE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</row>
        <row r="133">
          <cell r="B133" t="str">
            <v>Sales - % Italy</v>
          </cell>
          <cell r="C133" t="str">
            <v>SALES_ITA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</row>
        <row r="134">
          <cell r="B134" t="str">
            <v>Sales - % Netherlands</v>
          </cell>
          <cell r="C134" t="str">
            <v>SALES_NETH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</row>
        <row r="135">
          <cell r="B135" t="str">
            <v>Sales - % Norway</v>
          </cell>
          <cell r="C135" t="str">
            <v>SALES_NOR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</row>
        <row r="136">
          <cell r="B136" t="str">
            <v>Sales - % Portugal</v>
          </cell>
          <cell r="C136" t="str">
            <v>SALES_POR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</row>
        <row r="137">
          <cell r="B137" t="str">
            <v>Sales - % Spain</v>
          </cell>
          <cell r="C137" t="str">
            <v>SALES_SPA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</row>
        <row r="138">
          <cell r="B138" t="str">
            <v>Sales - % Sweden</v>
          </cell>
          <cell r="C138" t="str">
            <v>SALES_SWE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</row>
        <row r="139">
          <cell r="B139" t="str">
            <v>Sales - % Switzerland</v>
          </cell>
          <cell r="C139" t="str">
            <v>SALES_SWIT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</row>
        <row r="140">
          <cell r="B140" t="str">
            <v>Sales - % UK</v>
          </cell>
          <cell r="C140" t="str">
            <v>SALES_UK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</row>
        <row r="141">
          <cell r="B141" t="str">
            <v>Sales - % Other Western Europe</v>
          </cell>
          <cell r="C141" t="str">
            <v>SALES_OTH_WEST_EURO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</row>
        <row r="142">
          <cell r="B142" t="str">
            <v>Sales - % Poland</v>
          </cell>
          <cell r="C142" t="str">
            <v>SALES_POLAND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</row>
        <row r="143">
          <cell r="B143" t="str">
            <v>Sales - % Russia</v>
          </cell>
          <cell r="C143" t="str">
            <v>SALES_RUSSIA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</row>
        <row r="144">
          <cell r="B144" t="str">
            <v>Sales - % Turkey</v>
          </cell>
          <cell r="C144" t="str">
            <v>SALES_TURKEY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</row>
        <row r="145">
          <cell r="B145" t="str">
            <v>Sales - % Other CEE</v>
          </cell>
          <cell r="C145" t="str">
            <v>SALES_OTH_CEE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</row>
        <row r="146">
          <cell r="B146" t="str">
            <v>Sales - % Saudi Arabia</v>
          </cell>
          <cell r="C146" t="str">
            <v>SALES_SAUDI_ARABIA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</row>
        <row r="147">
          <cell r="B147" t="str">
            <v>Sales - % United Arab Emirates</v>
          </cell>
          <cell r="C147" t="str">
            <v>SALES_UAE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</row>
        <row r="148">
          <cell r="B148" t="str">
            <v>Sales - % Other Middle East</v>
          </cell>
          <cell r="C148" t="str">
            <v>SALES_OTH_ME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</row>
        <row r="149">
          <cell r="B149" t="str">
            <v>Sales - % Nigeria</v>
          </cell>
          <cell r="C149" t="str">
            <v>SALES_NIGERIA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</row>
        <row r="150">
          <cell r="B150" t="str">
            <v>Sales - % South Africa</v>
          </cell>
          <cell r="C150" t="str">
            <v>SALES_SO_AFRICA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</row>
        <row r="151">
          <cell r="B151" t="str">
            <v>Sales - % Other Africa</v>
          </cell>
          <cell r="C151" t="str">
            <v>SALES_OTH_AFRICA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</row>
        <row r="152">
          <cell r="B152" t="str">
            <v>Sales - % Hong Kong</v>
          </cell>
          <cell r="C152" t="str">
            <v>SALES_HONG_KONG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</row>
        <row r="153">
          <cell r="B153" t="str">
            <v>Sales - % Japan</v>
          </cell>
          <cell r="C153" t="str">
            <v>SALES_JAPAN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0.2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0.2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0.2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0.2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0.1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0.1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0.1</v>
          </cell>
          <cell r="BD153">
            <v>0.1</v>
          </cell>
          <cell r="BE153">
            <v>0.1</v>
          </cell>
        </row>
        <row r="154">
          <cell r="B154" t="str">
            <v>Sales - % Singapore</v>
          </cell>
          <cell r="C154" t="str">
            <v>SALES_SINGAPORE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</row>
        <row r="155">
          <cell r="B155" t="str">
            <v>Sales - % South Korea</v>
          </cell>
          <cell r="C155" t="str">
            <v>SALES_SK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0.2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0.2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0.2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0.2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0.2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0.2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0.1</v>
          </cell>
          <cell r="BD155">
            <v>0.1</v>
          </cell>
          <cell r="BE155">
            <v>0.1</v>
          </cell>
        </row>
        <row r="156">
          <cell r="B156" t="str">
            <v>Sales - % Taiwan</v>
          </cell>
          <cell r="C156" t="str">
            <v>SALES_TAIWAN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</row>
        <row r="157">
          <cell r="B157" t="str">
            <v>Sales - % Other Developed Asia</v>
          </cell>
          <cell r="C157" t="str">
            <v>SALES_OTH_DEV_ASIA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</row>
        <row r="158">
          <cell r="B158" t="str">
            <v>Sales - % China</v>
          </cell>
          <cell r="C158" t="str">
            <v>SALES_CHINA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0.355842266514314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0.43533289853642215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0.42067196517382227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0.49265700267119689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0.60574723944574549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0.65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0.68</v>
          </cell>
          <cell r="BD158">
            <v>0.69</v>
          </cell>
          <cell r="BE158">
            <v>0.7</v>
          </cell>
        </row>
        <row r="159">
          <cell r="B159" t="str">
            <v>Sales - % India</v>
          </cell>
          <cell r="C159" t="str">
            <v>SALES_INDIA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</row>
        <row r="160">
          <cell r="B160" t="str">
            <v>Sales - % Indonesia</v>
          </cell>
          <cell r="C160" t="str">
            <v>SALES_INDONESIA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</row>
        <row r="161">
          <cell r="B161" t="str">
            <v>Sales - % Thailand</v>
          </cell>
          <cell r="C161" t="str">
            <v>SALES_THAILAND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</row>
        <row r="162">
          <cell r="B162" t="str">
            <v>Sales - % Other Emerging Asia</v>
          </cell>
          <cell r="C162" t="str">
            <v>SALES_OTH_EMERG_ASIA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</row>
        <row r="163">
          <cell r="B163" t="str">
            <v>Sales - % Australia</v>
          </cell>
          <cell r="C163" t="str">
            <v>SALES_AUSTRA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</row>
        <row r="164">
          <cell r="B164" t="str">
            <v>Sales - % New Zealand</v>
          </cell>
          <cell r="C164" t="str">
            <v>SALES_NZ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</row>
        <row r="165">
          <cell r="B165" t="str">
            <v>Sales - % Others</v>
          </cell>
          <cell r="C165" t="str">
            <v>SALES_OTHER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0.24415773348568609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0.16466710146357794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0.17932803482617782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0.1073429973288032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9.4252760554254467E-2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4.9999999999999933E-2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0.12</v>
          </cell>
          <cell r="BD165">
            <v>0.1100000000000001</v>
          </cell>
          <cell r="BE165">
            <v>0.10000000000000009</v>
          </cell>
        </row>
        <row r="166">
          <cell r="B166" t="str">
            <v>% of CoGS from U.S. (GS estimate)</v>
          </cell>
          <cell r="C166" t="str">
            <v>COGS_PCT_US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0.05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0.05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0.05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0.05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0.05</v>
          </cell>
          <cell r="BD166">
            <v>0.05</v>
          </cell>
          <cell r="BE166">
            <v>0.05</v>
          </cell>
        </row>
        <row r="167">
          <cell r="B167" t="str">
            <v>% of CoGS from non-U.S. (GS estimate)</v>
          </cell>
          <cell r="C167" t="str">
            <v>COGS_PCT_ROW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0.95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0.95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0.95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0.95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0.95</v>
          </cell>
          <cell r="BD167">
            <v>0.95</v>
          </cell>
          <cell r="BE167">
            <v>0.95</v>
          </cell>
        </row>
        <row r="168">
          <cell r="B168" t="str">
            <v>% of SG&amp;A from U.S. (GS estimate)</v>
          </cell>
          <cell r="C168" t="str">
            <v>SGA_PCT_US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0.05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0.05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0.05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0.05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0.05</v>
          </cell>
          <cell r="BD168">
            <v>0.05</v>
          </cell>
          <cell r="BE168">
            <v>0.05</v>
          </cell>
        </row>
        <row r="169">
          <cell r="B169" t="str">
            <v>% of SG&amp;A from non-U.S. (GS estimate)</v>
          </cell>
          <cell r="C169" t="str">
            <v>SGA_PCT_ROW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0.95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0.95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0.95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0.95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0.95</v>
          </cell>
          <cell r="BD169">
            <v>0.95</v>
          </cell>
          <cell r="BE169">
            <v>0.95</v>
          </cell>
        </row>
        <row r="170">
          <cell r="B170" t="str">
            <v>Sales -% Consumer (C)</v>
          </cell>
          <cell r="C170" t="str">
            <v>SALES_CONS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</row>
        <row r="171">
          <cell r="B171" t="str">
            <v>Sales -% Industry (I)</v>
          </cell>
          <cell r="C171" t="str">
            <v>SALES_IND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1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1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1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1</v>
          </cell>
          <cell r="BD171">
            <v>1</v>
          </cell>
          <cell r="BE171">
            <v>1</v>
          </cell>
        </row>
        <row r="172">
          <cell r="B172" t="str">
            <v>Sales -% Government (G)</v>
          </cell>
          <cell r="C172" t="str">
            <v>SALES_GOV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</row>
        <row r="173">
          <cell r="B173" t="str">
            <v>Sales - % Industry Sub-Segment: Financial Services</v>
          </cell>
          <cell r="C173" t="str">
            <v>SALES_FINAN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0.03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0.03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0.03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0.03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0.03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</row>
        <row r="174">
          <cell r="B174" t="str">
            <v>Sales - % Industry Sub-Segment: Oil &amp; Gas</v>
          </cell>
          <cell r="C174" t="str">
            <v>SALES_OIL_GAS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0.01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0.01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0.01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0.01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0.01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</row>
        <row r="175">
          <cell r="A175" t="str">
            <v>Commodities Exposure - Expense</v>
          </cell>
          <cell r="B175">
            <v>0</v>
          </cell>
          <cell r="C175">
            <v>0</v>
          </cell>
          <cell r="D175">
            <v>0</v>
          </cell>
        </row>
        <row r="176">
          <cell r="B176" t="str">
            <v>Expense - % Oil/Petrol/Fuel</v>
          </cell>
          <cell r="C176" t="str">
            <v>EXP_OIL_PETRO_FUEL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0.03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0.03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0.03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0.03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0.03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0.03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0.03</v>
          </cell>
          <cell r="BD176">
            <v>0.03</v>
          </cell>
          <cell r="BE176">
            <v>0.03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0.01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0.01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0.01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0.01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0.01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0.01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0.01</v>
          </cell>
          <cell r="BD177">
            <v>0.01</v>
          </cell>
          <cell r="BE177">
            <v>0.01</v>
          </cell>
        </row>
        <row r="178">
          <cell r="B178" t="str">
            <v>Expense - % Paper/pulp</v>
          </cell>
          <cell r="C178" t="str">
            <v>EXP_PAPER_PULP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</row>
        <row r="179">
          <cell r="B179" t="str">
            <v>Expense - % Glass</v>
          </cell>
          <cell r="C179" t="str">
            <v>EXP_GLASS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</row>
        <row r="180">
          <cell r="B180" t="str">
            <v>Expense - % Water</v>
          </cell>
          <cell r="C180" t="str">
            <v>EXP_WATER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</row>
        <row r="181">
          <cell r="B181" t="str">
            <v>Expense - % Other commodity</v>
          </cell>
          <cell r="C181" t="str">
            <v>EXP_OTH_COMMODITY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</row>
        <row r="182">
          <cell r="B182" t="str">
            <v>Expense - % Other (Non-Commodity) cost</v>
          </cell>
          <cell r="C182" t="str">
            <v>EXP_OTH_COST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 t="str">
            <v>FX Exposure - Sales</v>
          </cell>
          <cell r="B183">
            <v>0</v>
          </cell>
          <cell r="C183">
            <v>0</v>
          </cell>
          <cell r="D183">
            <v>0</v>
          </cell>
        </row>
        <row r="184">
          <cell r="B184" t="str">
            <v>Sales - % FX: British Pounds/Pence</v>
          </cell>
          <cell r="C184" t="str">
            <v>SALES_FX_GPB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</row>
        <row r="185">
          <cell r="B185" t="str">
            <v>Sales - % FX: Euro</v>
          </cell>
          <cell r="C185" t="str">
            <v>SALES_FX_EUR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</row>
        <row r="186">
          <cell r="B186" t="str">
            <v>Sales - % FX: New Russian Ruble</v>
          </cell>
          <cell r="C186" t="str">
            <v>SALES_FX_RUB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</row>
        <row r="187">
          <cell r="B187" t="str">
            <v>Sales - % FX: U.S. Dollar</v>
          </cell>
          <cell r="C187" t="str">
            <v>SALES_FX_USD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0.24415773348568609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0.16466710146357794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0.17932803482617782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0.1073429973288032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9.4252760554254467E-2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4.9999999999999933E-2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0.12</v>
          </cell>
          <cell r="BD187">
            <v>0.1100000000000001</v>
          </cell>
          <cell r="BE187">
            <v>0.10000000000000009</v>
          </cell>
        </row>
        <row r="188">
          <cell r="B188" t="str">
            <v>Sales - % FX: Brazilian Real</v>
          </cell>
          <cell r="C188" t="str">
            <v>SALES_FX_BRL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</row>
        <row r="189">
          <cell r="B189" t="str">
            <v>Sales - % FX: Japanese Yen</v>
          </cell>
          <cell r="C189" t="str">
            <v>SALES_FX_YEN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0.2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0.2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0.2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0.2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0.1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0.1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0.1</v>
          </cell>
          <cell r="BD189">
            <v>0.1</v>
          </cell>
          <cell r="BE189">
            <v>0.1</v>
          </cell>
        </row>
        <row r="190">
          <cell r="B190" t="str">
            <v>Sales - % FX: Chinese Renminbi</v>
          </cell>
          <cell r="C190" t="str">
            <v>SALES_FX_CNY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0.355842266514314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0.43533289853642215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0.42067196517382227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0.49265700267119689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0.60574723944574549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0.65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0.68</v>
          </cell>
          <cell r="BD190">
            <v>0.69</v>
          </cell>
          <cell r="BE190">
            <v>0.7</v>
          </cell>
        </row>
        <row r="191">
          <cell r="B191" t="str">
            <v>Sales - % FX: Indian Rupee</v>
          </cell>
          <cell r="C191" t="str">
            <v>SALES_FX_INR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</row>
        <row r="192">
          <cell r="B192" t="str">
            <v>Sales - % FX: South Korean Won</v>
          </cell>
          <cell r="C192" t="str">
            <v>SALES_FX_KRW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0.2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0.2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0.2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0.2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0.2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0.2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0.1</v>
          </cell>
          <cell r="BD192">
            <v>0.1</v>
          </cell>
          <cell r="BE192">
            <v>0.1</v>
          </cell>
        </row>
        <row r="193">
          <cell r="B193" t="str">
            <v>Sales - % FX: Taiwan Dollar</v>
          </cell>
          <cell r="C193" t="str">
            <v>SALES_FX_TWD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</row>
        <row r="194">
          <cell r="B194" t="str">
            <v>Sales - % FX: Other Currency</v>
          </cell>
          <cell r="C194" t="str">
            <v>SALES_FX_OTH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</row>
        <row r="195">
          <cell r="A195" t="str">
            <v>Items to be removed</v>
          </cell>
          <cell r="B195">
            <v>0</v>
          </cell>
          <cell r="C195">
            <v>0</v>
          </cell>
          <cell r="D195">
            <v>0</v>
          </cell>
        </row>
        <row r="196">
          <cell r="B196" t="str">
            <v>Sales - Total % Americas</v>
          </cell>
          <cell r="C196" t="str">
            <v>SALES_TOT_AM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</row>
        <row r="197">
          <cell r="B197" t="str">
            <v>Sales - % Other Americas</v>
          </cell>
          <cell r="C197" t="str">
            <v>SALES_OTH_AM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</row>
        <row r="198">
          <cell r="B198" t="str">
            <v>Sales - Total % EMEA</v>
          </cell>
          <cell r="C198" t="str">
            <v>SALES_TOT_EMEA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</row>
        <row r="199">
          <cell r="B199" t="str">
            <v>Sales - % Western Europe-Ex UK</v>
          </cell>
          <cell r="C199" t="str">
            <v>SALES_EU_EX_UK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</row>
        <row r="200">
          <cell r="B200" t="str">
            <v>Sales - % Central &amp; Eastern Europe</v>
          </cell>
          <cell r="C200" t="str">
            <v>SALES_CEE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</row>
        <row r="201">
          <cell r="B201" t="str">
            <v>Sales - % Middle East</v>
          </cell>
          <cell r="C201" t="str">
            <v>SALES_ME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</row>
        <row r="202">
          <cell r="B202" t="str">
            <v>Sales - % Total Africa</v>
          </cell>
          <cell r="C202" t="str">
            <v>SALES_TOT_AFRICA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</row>
        <row r="203">
          <cell r="B203" t="str">
            <v>Sales - % Other EMEA</v>
          </cell>
          <cell r="C203" t="str">
            <v>SALES_OTH_EMEA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</row>
        <row r="204">
          <cell r="B204" t="str">
            <v>Sales - Total % Asia (incl Australia &amp; New Zealand)</v>
          </cell>
          <cell r="C204" t="str">
            <v>SALES_TOT_ASIA</v>
          </cell>
          <cell r="F204">
            <v>0</v>
          </cell>
          <cell r="G204">
            <v>1</v>
          </cell>
          <cell r="H204">
            <v>1</v>
          </cell>
          <cell r="I204">
            <v>1</v>
          </cell>
          <cell r="J204">
            <v>1</v>
          </cell>
          <cell r="K204">
            <v>1</v>
          </cell>
          <cell r="L204">
            <v>1</v>
          </cell>
          <cell r="M204">
            <v>1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1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1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1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1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1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1</v>
          </cell>
          <cell r="BE204">
            <v>1</v>
          </cell>
        </row>
        <row r="205">
          <cell r="B205" t="str">
            <v>Sales - % Other Asia</v>
          </cell>
          <cell r="C205" t="str">
            <v>SALES_OTH_AEJ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 t="str">
            <v>Security: Tianma Microelectronics Co.</v>
          </cell>
          <cell r="B206">
            <v>0</v>
          </cell>
          <cell r="C206">
            <v>0</v>
          </cell>
          <cell r="D206">
            <v>0</v>
          </cell>
        </row>
        <row r="207">
          <cell r="A207" t="str">
            <v>Reference Data</v>
          </cell>
          <cell r="B207">
            <v>0</v>
          </cell>
          <cell r="C207">
            <v>0</v>
          </cell>
          <cell r="D207">
            <v>0</v>
          </cell>
        </row>
        <row r="208">
          <cell r="B208" t="str">
            <v>Ticker</v>
          </cell>
          <cell r="C208" t="str">
            <v>Ticker</v>
          </cell>
          <cell r="E208" t="str">
            <v>000050.SZ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Tianma Microelectronics Co.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  <cell r="B214">
            <v>0</v>
          </cell>
          <cell r="C214">
            <v>0</v>
          </cell>
          <cell r="D214">
            <v>0</v>
          </cell>
        </row>
        <row r="215">
          <cell r="B215" t="str">
            <v>Asia ex. Japan Investment List</v>
          </cell>
          <cell r="C215" t="str">
            <v>AEJ_LIST</v>
          </cell>
          <cell r="E215">
            <v>0</v>
          </cell>
        </row>
        <row r="216">
          <cell r="B216" t="str">
            <v>Asia ex. Japan Conviction List</v>
          </cell>
          <cell r="C216" t="str">
            <v>AEJ_CONVICTION</v>
          </cell>
          <cell r="E216">
            <v>0</v>
          </cell>
        </row>
        <row r="217">
          <cell r="B217" t="str">
            <v>Legal rating</v>
          </cell>
          <cell r="C217" t="str">
            <v>LEGAL_RATING</v>
          </cell>
          <cell r="E217">
            <v>0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20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Current shares outstanding (mn)</v>
          </cell>
          <cell r="C220" t="str">
            <v>NUM_SH</v>
          </cell>
          <cell r="E220">
            <v>1401.0987439999999</v>
          </cell>
        </row>
        <row r="221">
          <cell r="B221" t="str">
            <v>Free float</v>
          </cell>
          <cell r="C221" t="str">
            <v>FREE_FLOAT</v>
          </cell>
          <cell r="E221">
            <v>0</v>
          </cell>
        </row>
        <row r="222">
          <cell r="B222" t="str">
            <v>Foreign ownership</v>
          </cell>
          <cell r="C222" t="str">
            <v>FOREIGN_HOLDNG</v>
          </cell>
          <cell r="E222">
            <v>0</v>
          </cell>
        </row>
        <row r="223">
          <cell r="B223" t="str">
            <v>Catalyst 1 date</v>
          </cell>
          <cell r="C223" t="str">
            <v>CATALYST1_DATE</v>
          </cell>
          <cell r="E223">
            <v>0</v>
          </cell>
        </row>
        <row r="224">
          <cell r="B224" t="str">
            <v>Catalyst 1 description</v>
          </cell>
          <cell r="C224" t="str">
            <v>CATALYST1_EVENT</v>
          </cell>
          <cell r="E224">
            <v>0</v>
          </cell>
        </row>
        <row r="225">
          <cell r="B225" t="str">
            <v>Catalyst 2 date</v>
          </cell>
          <cell r="C225" t="str">
            <v>CATALYST2_DATE</v>
          </cell>
          <cell r="E225">
            <v>0</v>
          </cell>
        </row>
        <row r="226">
          <cell r="B226" t="str">
            <v>Catalyst 2 description</v>
          </cell>
          <cell r="C226" t="str">
            <v>CATALYST2_EVENT</v>
          </cell>
          <cell r="E226">
            <v>0</v>
          </cell>
        </row>
        <row r="227">
          <cell r="B227" t="str">
            <v>Catalyst 3 date</v>
          </cell>
          <cell r="C227" t="str">
            <v>CATALYST3_DATE</v>
          </cell>
          <cell r="E227">
            <v>0</v>
          </cell>
        </row>
        <row r="228">
          <cell r="B228" t="str">
            <v>Catalyst 3 description</v>
          </cell>
          <cell r="C228" t="str">
            <v>CATALYST3_EVENT</v>
          </cell>
          <cell r="E228">
            <v>0</v>
          </cell>
        </row>
        <row r="229">
          <cell r="B229" t="str">
            <v>Catalyst 4 date</v>
          </cell>
          <cell r="C229" t="str">
            <v>CATALYST4_DATE</v>
          </cell>
          <cell r="E229">
            <v>0</v>
          </cell>
        </row>
        <row r="230">
          <cell r="B230" t="str">
            <v>Catalyst 4 description</v>
          </cell>
          <cell r="C230" t="str">
            <v>CATALYST4_EVENT</v>
          </cell>
          <cell r="E230">
            <v>0</v>
          </cell>
        </row>
        <row r="231">
          <cell r="B231" t="str">
            <v>Catalyst 5 date</v>
          </cell>
          <cell r="C231" t="str">
            <v>CATALYST5_DATE</v>
          </cell>
          <cell r="E231">
            <v>0</v>
          </cell>
        </row>
        <row r="232">
          <cell r="B232" t="str">
            <v>Catalyst 5 description</v>
          </cell>
          <cell r="C232" t="str">
            <v>CATALYST5_EVENT</v>
          </cell>
          <cell r="E232">
            <v>0</v>
          </cell>
        </row>
        <row r="233">
          <cell r="B233" t="str">
            <v>Target price multiple</v>
          </cell>
          <cell r="C233" t="str">
            <v>PRI_TARG_MULT</v>
          </cell>
          <cell r="E233">
            <v>0</v>
          </cell>
        </row>
        <row r="234">
          <cell r="B234" t="str">
            <v>Target price methodology</v>
          </cell>
          <cell r="C234" t="str">
            <v>PRI_TARG_METH</v>
          </cell>
          <cell r="E234">
            <v>0</v>
          </cell>
        </row>
        <row r="235">
          <cell r="A235" t="str">
            <v>Publishing Items</v>
          </cell>
          <cell r="B235">
            <v>0</v>
          </cell>
          <cell r="C235">
            <v>0</v>
          </cell>
          <cell r="D235">
            <v>0</v>
          </cell>
        </row>
        <row r="236">
          <cell r="B236" t="str">
            <v>Book value per share, BVPS (Pub)</v>
          </cell>
          <cell r="C236" t="str">
            <v>BVPS_PUB</v>
          </cell>
          <cell r="D236" t="str">
            <v>CNY</v>
          </cell>
          <cell r="F236">
            <v>2.8496691545379229</v>
          </cell>
          <cell r="G236">
            <v>4.0696560511199635</v>
          </cell>
          <cell r="H236">
            <v>2.3527459608959709</v>
          </cell>
          <cell r="I236">
            <v>1.9943897160321296</v>
          </cell>
          <cell r="J236">
            <v>2.1158931522236011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2.2968781523324404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2.3910169955810967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4.4238677620322608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7.1988984319014158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9.4556748635555135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9.8201212266449645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10.331032847360827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12.912375129620528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13.853477099748059</v>
          </cell>
          <cell r="BD236">
            <v>15.096412070144112</v>
          </cell>
          <cell r="BE236">
            <v>16.745463350713628</v>
          </cell>
        </row>
        <row r="237">
          <cell r="B237" t="str">
            <v>DPS, dividend per share (Pub)</v>
          </cell>
          <cell r="C237" t="str">
            <v>DPS_PUB</v>
          </cell>
          <cell r="D237" t="str">
            <v>CNY</v>
          </cell>
          <cell r="F237">
            <v>0.2</v>
          </cell>
          <cell r="G237">
            <v>0.1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6.0000000000000005E-2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0.10000000044179817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5.9999999992862749E-2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6.0000000000000012E-2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0.10232584547231599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0.13987592410540037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0.20324981669358058</v>
          </cell>
          <cell r="BD237">
            <v>0.26843669752471605</v>
          </cell>
          <cell r="BE237">
            <v>0.35614564747818866</v>
          </cell>
        </row>
        <row r="238">
          <cell r="B238" t="str">
            <v>Special dividend per share</v>
          </cell>
          <cell r="C238" t="str">
            <v>DPS_SPECIAL_PUB</v>
          </cell>
          <cell r="D238" t="str">
            <v>CNY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</row>
        <row r="239">
          <cell r="B239" t="str">
            <v>EBITDA (Pub)</v>
          </cell>
          <cell r="C239" t="str">
            <v>EBITDA_PUB</v>
          </cell>
          <cell r="D239" t="str">
            <v>CNY</v>
          </cell>
          <cell r="F239">
            <v>209.71550838999997</v>
          </cell>
          <cell r="G239">
            <v>185.70575160000021</v>
          </cell>
          <cell r="H239">
            <v>74.752802989999736</v>
          </cell>
          <cell r="I239">
            <v>152.96268736000025</v>
          </cell>
          <cell r="J239">
            <v>520.02239499999996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573.45026700000017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653.88851400000112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1484.145098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1596.7516659999992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1478.8772300000001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1462.8711009800008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1959.188220850001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4379.1475497078754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5813.2118091348711</v>
          </cell>
          <cell r="BD239">
            <v>6916.8277743503168</v>
          </cell>
          <cell r="BE239">
            <v>7628.020711826066</v>
          </cell>
        </row>
        <row r="240">
          <cell r="B240" t="str">
            <v>EPS (Pub)</v>
          </cell>
          <cell r="C240" t="str">
            <v>EPS_PUB</v>
          </cell>
          <cell r="D240" t="str">
            <v>CNY</v>
          </cell>
          <cell r="F240">
            <v>0.27999999999999986</v>
          </cell>
          <cell r="G240">
            <v>0.25999999999999995</v>
          </cell>
          <cell r="H240">
            <v>1.9999999999999969E-2</v>
          </cell>
          <cell r="I240">
            <v>-0.35809999999999997</v>
          </cell>
          <cell r="J240">
            <v>0.1226</v>
          </cell>
          <cell r="K240">
            <v>1.4E-2</v>
          </cell>
          <cell r="L240">
            <v>0.05</v>
          </cell>
          <cell r="M240">
            <v>2.1999999999999992E-2</v>
          </cell>
          <cell r="N240">
            <v>9.0100000000000013E-2</v>
          </cell>
          <cell r="O240">
            <v>0.17610000000000001</v>
          </cell>
          <cell r="P240">
            <v>-1.2999999999999999E-2</v>
          </cell>
          <cell r="Q240">
            <v>3.2000000000000001E-2</v>
          </cell>
          <cell r="R240">
            <v>8.4999999999999992E-2</v>
          </cell>
          <cell r="S240">
            <v>-9.1999999999999998E-3</v>
          </cell>
          <cell r="T240">
            <v>9.4799999999999982E-2</v>
          </cell>
          <cell r="U240">
            <v>3.0000000000000001E-3</v>
          </cell>
          <cell r="V240">
            <v>3.3999999999999996E-2</v>
          </cell>
          <cell r="W240">
            <v>0.77679999999999993</v>
          </cell>
          <cell r="X240">
            <v>8.3200000000000052E-2</v>
          </cell>
          <cell r="Y240">
            <v>1.1453548139924672</v>
          </cell>
          <cell r="Z240">
            <v>0.16789999999999999</v>
          </cell>
          <cell r="AA240">
            <v>9.6899999999999986E-2</v>
          </cell>
          <cell r="AB240">
            <v>0.13600000000000001</v>
          </cell>
          <cell r="AC240">
            <v>0.31080000000000002</v>
          </cell>
          <cell r="AD240">
            <v>0.71160000000000023</v>
          </cell>
          <cell r="AE240">
            <v>0.1142</v>
          </cell>
          <cell r="AF240">
            <v>0.11310000000000001</v>
          </cell>
          <cell r="AG240">
            <v>7.1799999999999975E-2</v>
          </cell>
          <cell r="AH240">
            <v>0.191</v>
          </cell>
          <cell r="AI240">
            <v>0.49009999999999987</v>
          </cell>
          <cell r="AJ240">
            <v>6.4899999999999999E-2</v>
          </cell>
          <cell r="AK240">
            <v>0.12400000000000001</v>
          </cell>
          <cell r="AL240">
            <v>8.0699999999999994E-2</v>
          </cell>
          <cell r="AM240">
            <v>0.1366</v>
          </cell>
          <cell r="AN240">
            <v>0.40619999999999989</v>
          </cell>
          <cell r="AO240">
            <v>0.16070000000000001</v>
          </cell>
          <cell r="AP240">
            <v>0.15889999999999999</v>
          </cell>
          <cell r="AQ240">
            <v>0.21809999999999996</v>
          </cell>
          <cell r="AR240">
            <v>3.839999999999999E-2</v>
          </cell>
          <cell r="AS240">
            <v>0.57609999999999983</v>
          </cell>
          <cell r="AT240">
            <v>0.11432713374734681</v>
          </cell>
          <cell r="AU240">
            <v>0.16275007344284853</v>
          </cell>
          <cell r="AV240">
            <v>0.22792030885428469</v>
          </cell>
          <cell r="AW240">
            <v>0.2945810678384238</v>
          </cell>
          <cell r="AX240">
            <v>0.8088327775926436</v>
          </cell>
          <cell r="AY240">
            <v>0.26199116484859813</v>
          </cell>
          <cell r="AZ240">
            <v>0.27324681308257814</v>
          </cell>
          <cell r="BA240">
            <v>0.29879706718139465</v>
          </cell>
          <cell r="BB240">
            <v>0.31031674170854101</v>
          </cell>
          <cell r="BC240">
            <v>1.1443517868211113</v>
          </cell>
          <cell r="BD240">
            <v>1.5113716679207672</v>
          </cell>
          <cell r="BE240">
            <v>2.0051969280477042</v>
          </cell>
        </row>
        <row r="241">
          <cell r="B241" t="str">
            <v>EV adjustment (Pub)</v>
          </cell>
          <cell r="C241" t="str">
            <v>EV_ADJ_PUB</v>
          </cell>
          <cell r="D241" t="str">
            <v>CNY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</row>
        <row r="242">
          <cell r="B242" t="str">
            <v>Net debt (Pub)</v>
          </cell>
          <cell r="C242" t="str">
            <v>NET_DEBT_PUB</v>
          </cell>
          <cell r="D242" t="str">
            <v>CNY</v>
          </cell>
          <cell r="F242">
            <v>15.90079639999999</v>
          </cell>
          <cell r="G242">
            <v>1244.25242441</v>
          </cell>
          <cell r="H242">
            <v>1993.9096175199998</v>
          </cell>
          <cell r="I242">
            <v>2256.9002144700003</v>
          </cell>
          <cell r="J242">
            <v>2900.198054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2859.235138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2649.3113560000006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1829.7446439999999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1640.4809180000002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-5208.0027659999996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-2900.6863108999996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2792.5299491699998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9319.1873128495026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9261.5651274484026</v>
          </cell>
          <cell r="BD242">
            <v>2637.3173172543356</v>
          </cell>
          <cell r="BE242">
            <v>136.78384947458835</v>
          </cell>
        </row>
        <row r="243">
          <cell r="B243" t="str">
            <v>Net income (Pub)</v>
          </cell>
          <cell r="C243" t="str">
            <v>NI_PUB</v>
          </cell>
          <cell r="D243" t="str">
            <v>CNY</v>
          </cell>
          <cell r="F243">
            <v>93.800269829999934</v>
          </cell>
          <cell r="G243">
            <v>90.395896830000169</v>
          </cell>
          <cell r="H243">
            <v>9.3600721299998497</v>
          </cell>
          <cell r="I243">
            <v>-205.63756473999968</v>
          </cell>
          <cell r="J243">
            <v>70.381820999999988</v>
          </cell>
          <cell r="K243">
            <v>7.8535336799999946</v>
          </cell>
          <cell r="L243">
            <v>28.971001320000177</v>
          </cell>
          <cell r="M243">
            <v>12.371161299999731</v>
          </cell>
          <cell r="N243">
            <v>51.937646700000329</v>
          </cell>
          <cell r="O243">
            <v>101.13334300000028</v>
          </cell>
          <cell r="P243">
            <v>-7.2267948199999834</v>
          </cell>
          <cell r="Q243">
            <v>18.075897820000037</v>
          </cell>
          <cell r="R243">
            <v>48.927603999999846</v>
          </cell>
          <cell r="S243">
            <v>-5.3599189999992625</v>
          </cell>
          <cell r="T243">
            <v>54.416788000000466</v>
          </cell>
          <cell r="U243">
            <v>1.4579238199999902</v>
          </cell>
          <cell r="V243">
            <v>19.953143179999877</v>
          </cell>
          <cell r="W243">
            <v>575.27438093000012</v>
          </cell>
          <cell r="X243">
            <v>61.020237069999567</v>
          </cell>
          <cell r="Y243">
            <v>657.70568499999933</v>
          </cell>
          <cell r="Z243">
            <v>123.08948200000013</v>
          </cell>
          <cell r="AA243">
            <v>71.078068000000542</v>
          </cell>
          <cell r="AB243">
            <v>117.48768649999965</v>
          </cell>
          <cell r="AC243">
            <v>301.00074649999976</v>
          </cell>
          <cell r="AD243">
            <v>612.65598300000011</v>
          </cell>
          <cell r="AE243">
            <v>129.23734362999994</v>
          </cell>
          <cell r="AF243">
            <v>128.04169036999986</v>
          </cell>
          <cell r="AG243">
            <v>81.274654250000594</v>
          </cell>
          <cell r="AH243">
            <v>216.12180274999935</v>
          </cell>
          <cell r="AI243">
            <v>554.6754909999994</v>
          </cell>
          <cell r="AJ243">
            <v>90.885529259999785</v>
          </cell>
          <cell r="AK243">
            <v>173.81136274000036</v>
          </cell>
          <cell r="AL243">
            <v>112.98112504999995</v>
          </cell>
          <cell r="AM243">
            <v>191.49937631999919</v>
          </cell>
          <cell r="AN243">
            <v>569.17739336999944</v>
          </cell>
          <cell r="AO243">
            <v>225.13930386999985</v>
          </cell>
          <cell r="AP243">
            <v>222.59844082000112</v>
          </cell>
          <cell r="AQ243">
            <v>305.65270121999862</v>
          </cell>
          <cell r="AR243">
            <v>53.813869360001547</v>
          </cell>
          <cell r="AS243">
            <v>807.20431527000108</v>
          </cell>
          <cell r="AT243">
            <v>209.49855982130987</v>
          </cell>
          <cell r="AU243">
            <v>333.33217697024099</v>
          </cell>
          <cell r="AV243">
            <v>466.80883835549986</v>
          </cell>
          <cell r="AW243">
            <v>603.33827542807057</v>
          </cell>
          <cell r="AX243">
            <v>1612.977850575119</v>
          </cell>
          <cell r="AY243">
            <v>536.59014388475475</v>
          </cell>
          <cell r="AZ243">
            <v>559.64309648671667</v>
          </cell>
          <cell r="BA243">
            <v>611.97316086541002</v>
          </cell>
          <cell r="BB243">
            <v>635.56687180447602</v>
          </cell>
          <cell r="BC243">
            <v>2343.7732730413559</v>
          </cell>
          <cell r="BD243">
            <v>3095.4751516968404</v>
          </cell>
          <cell r="BE243">
            <v>4106.8900501288917</v>
          </cell>
        </row>
        <row r="244">
          <cell r="B244" t="str">
            <v>EBIT, operating profit (Pub)</v>
          </cell>
          <cell r="C244" t="str">
            <v>EBIT_PUB</v>
          </cell>
          <cell r="D244" t="str">
            <v>CNY</v>
          </cell>
          <cell r="F244">
            <v>154.91751159</v>
          </cell>
          <cell r="G244">
            <v>120.39962299000013</v>
          </cell>
          <cell r="H244">
            <v>-56.230500940000411</v>
          </cell>
          <cell r="I244">
            <v>-161.7972168299998</v>
          </cell>
          <cell r="J244">
            <v>200.73233299999993</v>
          </cell>
          <cell r="K244">
            <v>31.045380699999995</v>
          </cell>
          <cell r="L244">
            <v>67.593407300000166</v>
          </cell>
          <cell r="M244">
            <v>34.683483879999727</v>
          </cell>
          <cell r="N244">
            <v>-34.57779687999971</v>
          </cell>
          <cell r="O244">
            <v>98.744474999999511</v>
          </cell>
          <cell r="P244">
            <v>-5.0373232199999904</v>
          </cell>
          <cell r="Q244">
            <v>83.946729220000037</v>
          </cell>
          <cell r="R244">
            <v>64.052826999999851</v>
          </cell>
          <cell r="S244">
            <v>5.2459750000007261</v>
          </cell>
          <cell r="T244">
            <v>148.20820800000092</v>
          </cell>
          <cell r="U244">
            <v>20.172654239999986</v>
          </cell>
          <cell r="V244">
            <v>86.41970075999987</v>
          </cell>
          <cell r="W244">
            <v>206.65801538000017</v>
          </cell>
          <cell r="X244">
            <v>121.28977661999954</v>
          </cell>
          <cell r="Y244">
            <v>434.54014699999971</v>
          </cell>
          <cell r="Z244">
            <v>229.13935500000014</v>
          </cell>
          <cell r="AA244">
            <v>192.03450500000054</v>
          </cell>
          <cell r="AB244">
            <v>37.196570619999648</v>
          </cell>
          <cell r="AC244">
            <v>-21.658855620000281</v>
          </cell>
          <cell r="AD244">
            <v>436.71157499999936</v>
          </cell>
          <cell r="AE244">
            <v>76.297883729999967</v>
          </cell>
          <cell r="AF244">
            <v>15.157719269999802</v>
          </cell>
          <cell r="AG244">
            <v>35.352781910000544</v>
          </cell>
          <cell r="AH244">
            <v>-18.21811191000063</v>
          </cell>
          <cell r="AI244">
            <v>108.5902729999998</v>
          </cell>
          <cell r="AJ244">
            <v>46.994132619999789</v>
          </cell>
          <cell r="AK244">
            <v>72.130091380000351</v>
          </cell>
          <cell r="AL244">
            <v>92.569211979999977</v>
          </cell>
          <cell r="AM244">
            <v>106.52717632999918</v>
          </cell>
          <cell r="AN244">
            <v>318.22061231000225</v>
          </cell>
          <cell r="AO244">
            <v>230.21835270999986</v>
          </cell>
          <cell r="AP244">
            <v>225.34499996000113</v>
          </cell>
          <cell r="AQ244">
            <v>301.0607167999986</v>
          </cell>
          <cell r="AR244">
            <v>138.82118570000159</v>
          </cell>
          <cell r="AS244">
            <v>895.44525517000147</v>
          </cell>
          <cell r="AT244">
            <v>267.04763339836006</v>
          </cell>
          <cell r="AU244">
            <v>404.64054134161688</v>
          </cell>
          <cell r="AV244">
            <v>552.94794288079333</v>
          </cell>
          <cell r="AW244">
            <v>704.64731740587183</v>
          </cell>
          <cell r="AX244">
            <v>1929.2834350266385</v>
          </cell>
          <cell r="AY244">
            <v>629.67507705628918</v>
          </cell>
          <cell r="AZ244">
            <v>655.2894688362469</v>
          </cell>
          <cell r="BA244">
            <v>713.43398481257282</v>
          </cell>
          <cell r="BB244">
            <v>739.64921918931282</v>
          </cell>
          <cell r="BC244">
            <v>2738.0477498944201</v>
          </cell>
          <cell r="BD244">
            <v>3717.7089387361339</v>
          </cell>
          <cell r="BE244">
            <v>4871.4079611500929</v>
          </cell>
        </row>
        <row r="245">
          <cell r="B245" t="str">
            <v>Pre-tax profit (Pub)</v>
          </cell>
          <cell r="C245" t="str">
            <v>PTP_PUB</v>
          </cell>
          <cell r="D245" t="str">
            <v>CNY</v>
          </cell>
          <cell r="F245">
            <v>107.34060383999993</v>
          </cell>
          <cell r="G245">
            <v>92.830157200000173</v>
          </cell>
          <cell r="H245">
            <v>-93.908293110000145</v>
          </cell>
          <cell r="I245">
            <v>-362.76422844999968</v>
          </cell>
          <cell r="J245">
            <v>177.35004199999997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278.50959800000032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149.72302200000047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822.27735599999926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774.85764100000006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607.94842599999947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693.07218864999948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892.48712679000107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1792.1976117501324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2604.1925256015065</v>
          </cell>
          <cell r="BD245">
            <v>3439.4168352187116</v>
          </cell>
          <cell r="BE245">
            <v>4563.2111668098805</v>
          </cell>
        </row>
        <row r="246">
          <cell r="B246" t="str">
            <v>Sales, revenue (Pub)</v>
          </cell>
          <cell r="C246" t="str">
            <v>REVS_PUB</v>
          </cell>
          <cell r="D246" t="str">
            <v>CNY</v>
          </cell>
          <cell r="F246">
            <v>1513.8794653699999</v>
          </cell>
          <cell r="G246">
            <v>1723.9678907100001</v>
          </cell>
          <cell r="H246">
            <v>1376.2524553199999</v>
          </cell>
          <cell r="I246">
            <v>2190.4476040900004</v>
          </cell>
          <cell r="J246">
            <v>3454.2115079999999</v>
          </cell>
          <cell r="K246">
            <v>1016.77397508</v>
          </cell>
          <cell r="L246">
            <v>1092.44087992</v>
          </cell>
          <cell r="M246">
            <v>1242.7289263899997</v>
          </cell>
          <cell r="N246">
            <v>1263.0234376100002</v>
          </cell>
          <cell r="O246">
            <v>4614.9672190000001</v>
          </cell>
          <cell r="P246">
            <v>983.31109032000006</v>
          </cell>
          <cell r="Q246">
            <v>1254.00768668</v>
          </cell>
          <cell r="R246">
            <v>1071.903456</v>
          </cell>
          <cell r="S246">
            <v>1024.3221340000005</v>
          </cell>
          <cell r="T246">
            <v>4333.5443670000004</v>
          </cell>
          <cell r="U246">
            <v>1040.3844203799999</v>
          </cell>
          <cell r="V246">
            <v>1210.72232962</v>
          </cell>
          <cell r="W246">
            <v>4130.7786460699999</v>
          </cell>
          <cell r="X246">
            <v>1970.2614649299994</v>
          </cell>
          <cell r="Y246">
            <v>8352.1468609999993</v>
          </cell>
          <cell r="Z246">
            <v>2114.8931830000001</v>
          </cell>
          <cell r="AA246">
            <v>2705.9022960000002</v>
          </cell>
          <cell r="AB246">
            <v>1713.5344143699995</v>
          </cell>
          <cell r="AC246">
            <v>2788.0334456299997</v>
          </cell>
          <cell r="AD246">
            <v>9322.3633389999995</v>
          </cell>
          <cell r="AE246">
            <v>2440.21734702</v>
          </cell>
          <cell r="AF246">
            <v>2697.5879499799998</v>
          </cell>
          <cell r="AG246">
            <v>2660.8964359399997</v>
          </cell>
          <cell r="AH246">
            <v>2731.3009910600003</v>
          </cell>
          <cell r="AI246">
            <v>10530.002724</v>
          </cell>
          <cell r="AJ246">
            <v>2451.5401771699999</v>
          </cell>
          <cell r="AK246">
            <v>2518.9130398300003</v>
          </cell>
          <cell r="AL246">
            <v>2782.9592494899998</v>
          </cell>
          <cell r="AM246">
            <v>2983.3439640400002</v>
          </cell>
          <cell r="AN246">
            <v>10736.75643053</v>
          </cell>
          <cell r="AO246">
            <v>2902.6722642700001</v>
          </cell>
          <cell r="AP246">
            <v>3301.6971029000001</v>
          </cell>
          <cell r="AQ246">
            <v>3896.8942403799992</v>
          </cell>
          <cell r="AR246">
            <v>3911.2368820500014</v>
          </cell>
          <cell r="AS246">
            <v>14012.500489600001</v>
          </cell>
          <cell r="AT246">
            <v>6600.5013284219922</v>
          </cell>
          <cell r="AU246">
            <v>6721.8938368014833</v>
          </cell>
          <cell r="AV246">
            <v>6944.0633690982759</v>
          </cell>
          <cell r="AW246">
            <v>7185.9197266107003</v>
          </cell>
          <cell r="AX246">
            <v>27452.378260932448</v>
          </cell>
          <cell r="AY246">
            <v>7803.5501375173872</v>
          </cell>
          <cell r="AZ246">
            <v>7784.1062116116782</v>
          </cell>
          <cell r="BA246">
            <v>8118.2206340842349</v>
          </cell>
          <cell r="BB246">
            <v>8488.6285939064437</v>
          </cell>
          <cell r="BC246">
            <v>32194.50557711974</v>
          </cell>
          <cell r="BD246">
            <v>37723.829443733252</v>
          </cell>
          <cell r="BE246">
            <v>40001.938408664479</v>
          </cell>
        </row>
        <row r="247">
          <cell r="B247" t="str">
            <v>Total shareholders' equity (Pub)</v>
          </cell>
          <cell r="C247" t="str">
            <v>EQ_PUB</v>
          </cell>
          <cell r="D247" t="str">
            <v>CNY</v>
          </cell>
          <cell r="F247">
            <v>1314.1789308400002</v>
          </cell>
          <cell r="G247">
            <v>2276.5797438099999</v>
          </cell>
          <cell r="H247">
            <v>1996.6146358999999</v>
          </cell>
          <cell r="I247">
            <v>2098.6842597300001</v>
          </cell>
          <cell r="J247">
            <v>2490.6797299999998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2918.909893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3056.1119909999998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4340.0414310000006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8561.1156370000008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13248.334175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13758.959516579998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14474.797146659997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26446.133146134918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28373.625784494627</v>
          </cell>
          <cell r="BD247">
            <v>30919.309548256784</v>
          </cell>
          <cell r="BE247">
            <v>34296.769488272279</v>
          </cell>
        </row>
        <row r="248">
          <cell r="B248" t="str">
            <v>EPS (consensus)</v>
          </cell>
          <cell r="C248" t="str">
            <v>EPS_CONS_PUB</v>
          </cell>
          <cell r="D248" t="str">
            <v>CNY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 t="str">
            <v>Income Statement</v>
          </cell>
          <cell r="B249">
            <v>0</v>
          </cell>
          <cell r="C249">
            <v>0</v>
          </cell>
          <cell r="D249">
            <v>0</v>
          </cell>
        </row>
        <row r="250">
          <cell r="B250" t="str">
            <v>Provision for income tax</v>
          </cell>
          <cell r="C250" t="str">
            <v>PROV_INC_TAX</v>
          </cell>
          <cell r="D250" t="str">
            <v>CNY</v>
          </cell>
          <cell r="F250">
            <v>-12.453489730000001</v>
          </cell>
          <cell r="G250">
            <v>-7.4760815300000001</v>
          </cell>
          <cell r="H250">
            <v>22.8444298</v>
          </cell>
          <cell r="I250">
            <v>52.863248640000002</v>
          </cell>
          <cell r="J250">
            <v>-36.744579999999999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-21.074466000000001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-12.162190000000001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-22.578503999999999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-87.927017000000006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-52.375252000000003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-123.89479528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-85.282811519999996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-179.2197611750135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-260.41925256015082</v>
          </cell>
          <cell r="BD250">
            <v>-343.94168352187137</v>
          </cell>
          <cell r="BE250">
            <v>-456.32111668098833</v>
          </cell>
        </row>
        <row r="251">
          <cell r="B251" t="str">
            <v>Minority interest</v>
          </cell>
          <cell r="C251" t="str">
            <v>INC_MINORITY</v>
          </cell>
          <cell r="D251" t="str">
            <v>CNY</v>
          </cell>
          <cell r="F251">
            <v>-1.08684428</v>
          </cell>
          <cell r="G251">
            <v>5.0418211600000005</v>
          </cell>
          <cell r="H251">
            <v>80.423935439999994</v>
          </cell>
          <cell r="I251">
            <v>104.26341506999999</v>
          </cell>
          <cell r="J251">
            <v>-70.223641000000001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-156.30178900000001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-83.144043999999994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-141.993167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-74.274641000000003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-0.89768300000000001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</row>
        <row r="252">
          <cell r="B252" t="str">
            <v>Net income (pre-preferred dividends)</v>
          </cell>
          <cell r="C252" t="str">
            <v>NI_PRE_PREF</v>
          </cell>
          <cell r="D252" t="str">
            <v>CNY</v>
          </cell>
          <cell r="F252">
            <v>93.800269829999934</v>
          </cell>
          <cell r="G252">
            <v>90.395896830000169</v>
          </cell>
          <cell r="H252">
            <v>9.3600721299998497</v>
          </cell>
          <cell r="I252">
            <v>-205.63756473999968</v>
          </cell>
          <cell r="J252">
            <v>70.381820999999988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101.13334300000028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54.416788000000466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657.70568499999933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612.65598300000011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554.6754909999994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569.17739336999944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807.20431527000108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1612.977850575119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2343.7732730413559</v>
          </cell>
          <cell r="BD252">
            <v>3095.4751516968404</v>
          </cell>
          <cell r="BE252">
            <v>4106.8900501288917</v>
          </cell>
        </row>
        <row r="253">
          <cell r="B253" t="str">
            <v>Preferred dividends</v>
          </cell>
          <cell r="C253" t="str">
            <v>PREF_DIV</v>
          </cell>
          <cell r="D253" t="str">
            <v>CNY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Net income (pre-exceptionals)</v>
          </cell>
          <cell r="C254" t="str">
            <v>NET_EARNING</v>
          </cell>
          <cell r="D254" t="str">
            <v>CNY</v>
          </cell>
          <cell r="F254">
            <v>93.800269829999934</v>
          </cell>
          <cell r="G254">
            <v>90.395896830000169</v>
          </cell>
          <cell r="H254">
            <v>9.3600721299998497</v>
          </cell>
          <cell r="I254">
            <v>-205.63756473999968</v>
          </cell>
          <cell r="J254">
            <v>70.381820999999988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101.13334300000028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54.416788000000466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657.70568499999933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612.65598300000011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554.6754909999994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569.17739336999944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807.20431527000108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1612.977850575119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2343.7732730413559</v>
          </cell>
          <cell r="BD254">
            <v>3095.4751516968404</v>
          </cell>
          <cell r="BE254">
            <v>4106.8900501288917</v>
          </cell>
        </row>
        <row r="255">
          <cell r="B255" t="str">
            <v>Post-tax exceptionals</v>
          </cell>
          <cell r="C255" t="str">
            <v>TAX_EXC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</row>
        <row r="256">
          <cell r="B256" t="str">
            <v>Net income (post-exceptionals)</v>
          </cell>
          <cell r="C256" t="str">
            <v>NET_INC</v>
          </cell>
          <cell r="D256" t="str">
            <v>CNY</v>
          </cell>
          <cell r="F256">
            <v>93.800269829999934</v>
          </cell>
          <cell r="G256">
            <v>90.395896830000169</v>
          </cell>
          <cell r="H256">
            <v>9.3600721299998497</v>
          </cell>
          <cell r="I256">
            <v>-205.63756473999968</v>
          </cell>
          <cell r="J256">
            <v>70.381820999999988</v>
          </cell>
          <cell r="K256">
            <v>7.8535336799999946</v>
          </cell>
          <cell r="L256">
            <v>28.971001320000177</v>
          </cell>
          <cell r="M256">
            <v>12.371161299999731</v>
          </cell>
          <cell r="N256">
            <v>51.937646700000329</v>
          </cell>
          <cell r="O256">
            <v>101.13334300000028</v>
          </cell>
          <cell r="P256">
            <v>-7.2267948199999834</v>
          </cell>
          <cell r="Q256">
            <v>18.075897820000037</v>
          </cell>
          <cell r="R256">
            <v>48.927603999999846</v>
          </cell>
          <cell r="S256">
            <v>-5.3599189999992625</v>
          </cell>
          <cell r="T256">
            <v>54.416788000000466</v>
          </cell>
          <cell r="U256">
            <v>1.4579238199999902</v>
          </cell>
          <cell r="V256">
            <v>19.953143179999877</v>
          </cell>
          <cell r="W256">
            <v>575.27438093000012</v>
          </cell>
          <cell r="X256">
            <v>61.020237069999567</v>
          </cell>
          <cell r="Y256">
            <v>657.70568499999933</v>
          </cell>
          <cell r="Z256">
            <v>123.08948200000013</v>
          </cell>
          <cell r="AA256">
            <v>71.078068000000542</v>
          </cell>
          <cell r="AB256">
            <v>117.48768649999965</v>
          </cell>
          <cell r="AC256">
            <v>301.00074649999976</v>
          </cell>
          <cell r="AD256">
            <v>612.65598300000011</v>
          </cell>
          <cell r="AE256">
            <v>129.23734362999994</v>
          </cell>
          <cell r="AF256">
            <v>128.04169036999986</v>
          </cell>
          <cell r="AG256">
            <v>81.274654250000594</v>
          </cell>
          <cell r="AH256">
            <v>216.12180274999935</v>
          </cell>
          <cell r="AI256">
            <v>554.6754909999994</v>
          </cell>
          <cell r="AJ256">
            <v>90.885529259999785</v>
          </cell>
          <cell r="AK256">
            <v>173.81136274000036</v>
          </cell>
          <cell r="AL256">
            <v>112.98112504999995</v>
          </cell>
          <cell r="AM256">
            <v>191.49937631999919</v>
          </cell>
          <cell r="AN256">
            <v>569.17739336999944</v>
          </cell>
          <cell r="AO256">
            <v>225.13930386999985</v>
          </cell>
          <cell r="AP256">
            <v>222.59844082000112</v>
          </cell>
          <cell r="AQ256">
            <v>305.65270121999862</v>
          </cell>
          <cell r="AR256">
            <v>53.813869360001547</v>
          </cell>
          <cell r="AS256">
            <v>807.20431527000108</v>
          </cell>
          <cell r="AT256">
            <v>209.49855982130987</v>
          </cell>
          <cell r="AU256">
            <v>333.33217697024099</v>
          </cell>
          <cell r="AV256">
            <v>466.80883835549986</v>
          </cell>
          <cell r="AW256">
            <v>603.33827542807057</v>
          </cell>
          <cell r="AX256">
            <v>1612.977850575119</v>
          </cell>
          <cell r="AY256">
            <v>536.59014388475475</v>
          </cell>
          <cell r="AZ256">
            <v>559.64309648671667</v>
          </cell>
          <cell r="BA256">
            <v>611.97316086541002</v>
          </cell>
          <cell r="BB256">
            <v>635.56687180447602</v>
          </cell>
          <cell r="BC256">
            <v>2343.7732730413559</v>
          </cell>
          <cell r="BD256">
            <v>3095.4751516968404</v>
          </cell>
          <cell r="BE256">
            <v>4106.8900501288917</v>
          </cell>
        </row>
        <row r="257">
          <cell r="B257" t="str">
            <v>EPS (pre-exceptionals, basic)</v>
          </cell>
          <cell r="C257" t="str">
            <v>EPS</v>
          </cell>
          <cell r="D257" t="str">
            <v>CNY</v>
          </cell>
          <cell r="F257">
            <v>0.27999999999999986</v>
          </cell>
          <cell r="G257">
            <v>0.25999999999999995</v>
          </cell>
          <cell r="H257">
            <v>1.9999999999999969E-2</v>
          </cell>
          <cell r="I257">
            <v>-0.35809999999999997</v>
          </cell>
          <cell r="J257">
            <v>0.1226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0.17610000000000001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9.4799999999999982E-2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1.1453548139924672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0.71160000000000023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0.49009999999999987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0.40619999999999989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0.57609999999999983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0.8088327775926436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1.1443517868211113</v>
          </cell>
          <cell r="BD257">
            <v>1.5113716679207672</v>
          </cell>
          <cell r="BE257">
            <v>2.0051969280477042</v>
          </cell>
        </row>
        <row r="258">
          <cell r="B258" t="str">
            <v>EPS (pre-exceptionals, diluted)</v>
          </cell>
          <cell r="C258" t="str">
            <v>EPS_FUL_DIL</v>
          </cell>
          <cell r="D258" t="str">
            <v>CNY</v>
          </cell>
          <cell r="F258">
            <v>0.27999999999999986</v>
          </cell>
          <cell r="G258">
            <v>0.25999999999999995</v>
          </cell>
          <cell r="H258">
            <v>1.9999999999999969E-2</v>
          </cell>
          <cell r="I258">
            <v>-0.35809999999999997</v>
          </cell>
          <cell r="J258">
            <v>0.1226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0.17610000000000001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9.4799999999999982E-2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1.1453548139924672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0.71160000000000023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0.49009999999999987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0.40619999999999989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0.57609999999999983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0.8088327775926436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1.1443517868211113</v>
          </cell>
          <cell r="BD258">
            <v>1.5113716679207672</v>
          </cell>
          <cell r="BE258">
            <v>2.0051969280477042</v>
          </cell>
        </row>
        <row r="259">
          <cell r="B259" t="str">
            <v>EPS (post-exceptionals, basic)</v>
          </cell>
          <cell r="C259" t="str">
            <v>EPS_POST_BASIC</v>
          </cell>
          <cell r="D259" t="str">
            <v>CNY</v>
          </cell>
          <cell r="F259">
            <v>0.27999999999999986</v>
          </cell>
          <cell r="G259">
            <v>0.25999999999999995</v>
          </cell>
          <cell r="H259">
            <v>1.9999999999999969E-2</v>
          </cell>
          <cell r="I259">
            <v>-0.35809999999999997</v>
          </cell>
          <cell r="J259">
            <v>0.1226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0.17610000000000001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9.4799999999999982E-2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1.1453548139924672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0.71160000000000023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0.49009999999999987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0.40619999999999989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0.57609999999999983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0.8088327775926436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1.1443517868211113</v>
          </cell>
          <cell r="BD259">
            <v>1.5113716679207672</v>
          </cell>
          <cell r="BE259">
            <v>2.0051969280477042</v>
          </cell>
        </row>
        <row r="260">
          <cell r="B260" t="str">
            <v>EPS (post-exceptionals, diluted)</v>
          </cell>
          <cell r="C260" t="str">
            <v>FULLY_DIL_EPS</v>
          </cell>
          <cell r="D260" t="str">
            <v>CNY</v>
          </cell>
          <cell r="F260">
            <v>0.27999999999999986</v>
          </cell>
          <cell r="G260">
            <v>0.25999999999999995</v>
          </cell>
          <cell r="H260">
            <v>1.9999999999999969E-2</v>
          </cell>
          <cell r="I260">
            <v>-0.35809999999999997</v>
          </cell>
          <cell r="J260">
            <v>0.1226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0.17610000000000001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9.4799999999999982E-2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1.1453548139924672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0.71160000000000023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0.49009999999999987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0.40619999999999989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0.57609999999999983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0.8088327775926436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1.1443517868211113</v>
          </cell>
          <cell r="BD260">
            <v>1.5113716679207672</v>
          </cell>
          <cell r="BE260">
            <v>2.0051969280477042</v>
          </cell>
        </row>
        <row r="261">
          <cell r="B261" t="str">
            <v>Common dividends paid</v>
          </cell>
          <cell r="C261" t="str">
            <v>COMMON_DIV_PAID</v>
          </cell>
          <cell r="D261" t="str">
            <v>CNY</v>
          </cell>
          <cell r="F261">
            <v>-66.385000000000005</v>
          </cell>
          <cell r="G261">
            <v>-38.282499999999999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-34.454250000000002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-57.423749999999998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-113.17384800000001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-84.065924629999998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-84.065924640000006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-143.36861357000001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-286.48310444019705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-416.28063468164697</v>
          </cell>
          <cell r="BD261">
            <v>-549.79138793468564</v>
          </cell>
          <cell r="BE261">
            <v>-729.4301101133982</v>
          </cell>
        </row>
        <row r="262">
          <cell r="B262" t="str">
            <v>DPS, dividend per share</v>
          </cell>
          <cell r="C262" t="str">
            <v>DPS</v>
          </cell>
          <cell r="D262" t="str">
            <v>CNY</v>
          </cell>
          <cell r="F262">
            <v>0.2</v>
          </cell>
          <cell r="G262">
            <v>0.1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6.0000000000000005E-2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0.1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0.10000000044179817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5.9999999992862749E-2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6.0000000000000012E-2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0.10232584547231599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0.13987592410540037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0.20324981669358058</v>
          </cell>
          <cell r="BD262">
            <v>0.26843669752471605</v>
          </cell>
          <cell r="BE262">
            <v>0.35614564747818866</v>
          </cell>
        </row>
        <row r="263">
          <cell r="B263" t="str">
            <v>Weighted average shares outstanding, basic</v>
          </cell>
          <cell r="C263" t="str">
            <v>SH</v>
          </cell>
          <cell r="F263">
            <v>335.00096367857134</v>
          </cell>
          <cell r="G263">
            <v>347.67652626923149</v>
          </cell>
          <cell r="H263">
            <v>468.00360649999317</v>
          </cell>
          <cell r="I263">
            <v>574.24620145210747</v>
          </cell>
          <cell r="J263">
            <v>574.07684339314835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574.29496308915543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574.01675105485731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574.23749999999995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860.95556913996609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1131.759826566006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1401.2245036189058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1401.1531249262302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1994.2043587499998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2048.123051</v>
          </cell>
          <cell r="BD263">
            <v>2048.123051</v>
          </cell>
          <cell r="BE263">
            <v>2048.123051</v>
          </cell>
        </row>
        <row r="264">
          <cell r="B264" t="str">
            <v>Diluted average shares outstanding (mn)</v>
          </cell>
          <cell r="C264" t="str">
            <v>DILUTE_SHARES</v>
          </cell>
          <cell r="F264">
            <v>335.00096367857134</v>
          </cell>
          <cell r="G264">
            <v>347.67652626923149</v>
          </cell>
          <cell r="H264">
            <v>468.00360649999317</v>
          </cell>
          <cell r="I264">
            <v>574.24620145210747</v>
          </cell>
          <cell r="J264">
            <v>574.07684339314835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574.29496308915543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574.01675105485731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574.23749999999995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860.95556913996609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1131.759826566006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1401.2245036189058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1401.1531249262302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1994.2043587499998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2048.123051</v>
          </cell>
          <cell r="BD264">
            <v>2048.123051</v>
          </cell>
          <cell r="BE264">
            <v>2048.123051</v>
          </cell>
        </row>
        <row r="265">
          <cell r="B265" t="str">
            <v>Period-end shares outstanding</v>
          </cell>
          <cell r="C265" t="str">
            <v>NON_OP_ADD</v>
          </cell>
          <cell r="F265">
            <v>331.92500000000001</v>
          </cell>
          <cell r="G265">
            <v>382.82499999999999</v>
          </cell>
          <cell r="H265">
            <v>574.23749999999995</v>
          </cell>
          <cell r="I265">
            <v>574.23749999999995</v>
          </cell>
          <cell r="J265">
            <v>574.23749999999995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574.23749999999995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574.23749999999995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574.23749999999995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1131.7384750000001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1401.0987439999999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1401.0987439999999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1401.0987439999999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2048.123051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2048.123051</v>
          </cell>
          <cell r="BD265">
            <v>2048.123051</v>
          </cell>
          <cell r="BE265">
            <v>2048.123051</v>
          </cell>
        </row>
        <row r="266">
          <cell r="A266" t="str">
            <v>Additional Income Statement Items</v>
          </cell>
          <cell r="B266">
            <v>0</v>
          </cell>
          <cell r="C266">
            <v>0</v>
          </cell>
          <cell r="D266">
            <v>0</v>
          </cell>
        </row>
        <row r="267">
          <cell r="B267" t="str">
            <v>Marginal tax rate</v>
          </cell>
          <cell r="C267" t="str">
            <v>MARGIN_TAX_RATE</v>
          </cell>
          <cell r="F267">
            <v>0.11490826232559105</v>
          </cell>
          <cell r="G267">
            <v>7.9774901836263651E-2</v>
          </cell>
          <cell r="H267">
            <v>0.24434817966180974</v>
          </cell>
          <cell r="I267">
            <v>0.14572343272618518</v>
          </cell>
          <cell r="J267">
            <v>0.20718675668540301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7.1657748210325695E-2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7.6569849250096952E-2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7.1657748210325695E-2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0.10137596829079956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8.5694193599135521E-2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0.17749709091396759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9.1659547564782631E-2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0.10000000000000014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0.10000000000000006</v>
          </cell>
          <cell r="BD267">
            <v>0.10000000000000006</v>
          </cell>
          <cell r="BE267">
            <v>0.10000000000000006</v>
          </cell>
        </row>
        <row r="268">
          <cell r="B268" t="str">
            <v>Net income (consensus) (Pub)</v>
          </cell>
          <cell r="C268" t="str">
            <v>NI_CONS</v>
          </cell>
          <cell r="D268" t="str">
            <v>CNY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</row>
        <row r="269">
          <cell r="A269" t="str">
            <v>Balance Sheet</v>
          </cell>
          <cell r="B269">
            <v>0</v>
          </cell>
          <cell r="C269">
            <v>0</v>
          </cell>
          <cell r="D269">
            <v>0</v>
          </cell>
        </row>
        <row r="270">
          <cell r="B270" t="str">
            <v>BVPS, book value per share</v>
          </cell>
          <cell r="C270" t="str">
            <v>BVPS</v>
          </cell>
          <cell r="D270" t="str">
            <v>CNY</v>
          </cell>
          <cell r="F270">
            <v>2.8496691545379229</v>
          </cell>
          <cell r="G270">
            <v>4.0696560511199635</v>
          </cell>
          <cell r="H270">
            <v>2.3527459608959709</v>
          </cell>
          <cell r="I270">
            <v>1.9943897160321296</v>
          </cell>
          <cell r="J270">
            <v>2.1158931522236011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2.2968781523324404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2.3910169955810967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4.4238677620322608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7.1988984319014158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9.4556748635555135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9.8201212266449645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10.331032847360827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12.912375129620528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13.853477099748059</v>
          </cell>
          <cell r="BD270">
            <v>15.096412070144112</v>
          </cell>
          <cell r="BE270">
            <v>16.745463350713628</v>
          </cell>
        </row>
        <row r="271">
          <cell r="A271" t="str">
            <v>Cash Flow Statement</v>
          </cell>
          <cell r="B271">
            <v>0</v>
          </cell>
          <cell r="C271">
            <v>0</v>
          </cell>
          <cell r="D271">
            <v>0</v>
          </cell>
        </row>
        <row r="272">
          <cell r="B272" t="str">
            <v>Net income (pre-preferred dividends)</v>
          </cell>
          <cell r="C272" t="str">
            <v>CF_NI_PRE_PREF</v>
          </cell>
          <cell r="D272" t="str">
            <v>CNY</v>
          </cell>
          <cell r="F272">
            <v>93.800269829999934</v>
          </cell>
          <cell r="G272">
            <v>90.395896830000169</v>
          </cell>
          <cell r="H272">
            <v>9.3600721299998497</v>
          </cell>
          <cell r="I272">
            <v>-205.63756473999968</v>
          </cell>
          <cell r="J272">
            <v>70.381820999999988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101.13334300000028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54.416788000000466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657.70568499999933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612.65598300000011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554.6754909999994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569.17739336999944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807.20431527000108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1612.977850575119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2343.7732730413559</v>
          </cell>
          <cell r="BD272">
            <v>3095.4751516968404</v>
          </cell>
          <cell r="BE272">
            <v>4106.8900501288917</v>
          </cell>
        </row>
        <row r="273">
          <cell r="A273" t="str">
            <v>Other Items</v>
          </cell>
          <cell r="B273">
            <v>0</v>
          </cell>
          <cell r="C273">
            <v>0</v>
          </cell>
          <cell r="D273">
            <v>0</v>
          </cell>
        </row>
        <row r="274">
          <cell r="B274" t="str">
            <v>Beta</v>
          </cell>
          <cell r="C274" t="str">
            <v>BETA_ANALYST</v>
          </cell>
          <cell r="E274">
            <v>0</v>
          </cell>
        </row>
        <row r="275">
          <cell r="B275" t="str">
            <v>Market equity risk premium</v>
          </cell>
          <cell r="C275" t="str">
            <v>MKT_EQ_RISK_PREM</v>
          </cell>
          <cell r="E275">
            <v>0</v>
          </cell>
        </row>
        <row r="276">
          <cell r="B276" t="str">
            <v>Risk-free rate</v>
          </cell>
          <cell r="C276" t="str">
            <v>RISK_FR_RATE</v>
          </cell>
          <cell r="E276">
            <v>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Model"/>
      <sheetName val="Driver"/>
      <sheetName val="Display"/>
      <sheetName val="Raw Data"/>
      <sheetName val="Basic Data_Wind"/>
      <sheetName val="Market Data"/>
      <sheetName val="000725.SZ_Live_Sheet"/>
      <sheetName val="000725.SZ_Validation_Sheet"/>
      <sheetName val="000725.SZ_Annotation_Sheet"/>
      <sheetName val="000725.SZ_Exchange_Sheet"/>
      <sheetName val="GS vs. BBG"/>
      <sheetName val="Ratios"/>
      <sheetName val="Sensitivity"/>
      <sheetName val="Output"/>
      <sheetName val="Chart"/>
      <sheetName val="Summary page"/>
      <sheetName val="Management"/>
    </sheetNames>
    <sheetDataSet>
      <sheetData sheetId="0" refreshError="1"/>
      <sheetData sheetId="1">
        <row r="10">
          <cell r="Y10">
            <v>93800.479214999999</v>
          </cell>
        </row>
      </sheetData>
      <sheetData sheetId="2" refreshError="1"/>
      <sheetData sheetId="3">
        <row r="3">
          <cell r="K3">
            <v>6.8169000000000004</v>
          </cell>
        </row>
      </sheetData>
      <sheetData sheetId="4" refreshError="1"/>
      <sheetData sheetId="5" refreshError="1"/>
      <sheetData sheetId="6">
        <row r="142">
          <cell r="AF142">
            <v>0.80334561238074553</v>
          </cell>
        </row>
      </sheetData>
      <sheetData sheetId="7">
        <row r="1">
          <cell r="A1" t="str">
            <v>Issuer: BOE Technology Group</v>
          </cell>
          <cell r="C1">
            <v>1968485968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>
            <v>2015</v>
          </cell>
          <cell r="AJ1" t="str">
            <v>2016 Q1</v>
          </cell>
          <cell r="AK1" t="str">
            <v>2016 Q2</v>
          </cell>
          <cell r="AL1" t="str">
            <v>2016 Q3</v>
          </cell>
          <cell r="AM1" t="str">
            <v>2016 Q4</v>
          </cell>
          <cell r="AN1">
            <v>2016</v>
          </cell>
          <cell r="AO1" t="str">
            <v>2017 Q1</v>
          </cell>
          <cell r="AP1" t="str">
            <v>2017 Q2</v>
          </cell>
          <cell r="AQ1" t="str">
            <v>2017 Q3</v>
          </cell>
          <cell r="AR1" t="str">
            <v>2017 Q4</v>
          </cell>
          <cell r="AS1">
            <v>2017</v>
          </cell>
          <cell r="AT1" t="str">
            <v>2018 Q1</v>
          </cell>
          <cell r="AU1" t="str">
            <v>2018 Q2</v>
          </cell>
          <cell r="AV1" t="str">
            <v>2018 Q3</v>
          </cell>
          <cell r="AW1" t="str">
            <v>2018 Q4</v>
          </cell>
          <cell r="AX1">
            <v>2018</v>
          </cell>
          <cell r="AY1" t="str">
            <v>2019 Q1</v>
          </cell>
          <cell r="AZ1" t="str">
            <v>2019 Q2</v>
          </cell>
          <cell r="BA1" t="str">
            <v>2019 Q3</v>
          </cell>
          <cell r="BB1" t="str">
            <v>2019 Q4</v>
          </cell>
          <cell r="BC1">
            <v>2019</v>
          </cell>
          <cell r="BD1">
            <v>2020</v>
          </cell>
          <cell r="BE1">
            <v>2021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42094</v>
          </cell>
          <cell r="AF3">
            <v>42185</v>
          </cell>
          <cell r="AG3">
            <v>42277</v>
          </cell>
          <cell r="AH3">
            <v>42369</v>
          </cell>
          <cell r="AI3">
            <v>42369</v>
          </cell>
          <cell r="AJ3">
            <v>42460</v>
          </cell>
          <cell r="AK3">
            <v>42551</v>
          </cell>
          <cell r="AL3">
            <v>42643</v>
          </cell>
          <cell r="AM3">
            <v>42735</v>
          </cell>
          <cell r="AN3">
            <v>42735</v>
          </cell>
          <cell r="AO3">
            <v>42825</v>
          </cell>
          <cell r="AP3">
            <v>42916</v>
          </cell>
          <cell r="AQ3">
            <v>43008</v>
          </cell>
          <cell r="AR3">
            <v>43100</v>
          </cell>
          <cell r="AS3">
            <v>43100</v>
          </cell>
          <cell r="AT3">
            <v>43190</v>
          </cell>
          <cell r="AU3">
            <v>43281</v>
          </cell>
          <cell r="AV3">
            <v>43373</v>
          </cell>
          <cell r="AW3">
            <v>43465</v>
          </cell>
          <cell r="AY3">
            <v>43555</v>
          </cell>
          <cell r="AZ3">
            <v>43646</v>
          </cell>
          <cell r="BA3">
            <v>43738</v>
          </cell>
          <cell r="BB3">
            <v>43830</v>
          </cell>
          <cell r="BC3">
            <v>43830</v>
          </cell>
          <cell r="BD3">
            <v>44196</v>
          </cell>
          <cell r="BE3">
            <v>44561</v>
          </cell>
        </row>
        <row r="4">
          <cell r="A4" t="str">
            <v>Issuer: BOE Technology Group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BOE Technology Group</v>
          </cell>
        </row>
        <row r="7">
          <cell r="B7" t="str">
            <v>Reporting Currency</v>
          </cell>
          <cell r="C7" t="str">
            <v>CURRENCY_ISO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>
            <v>0</v>
          </cell>
        </row>
        <row r="12">
          <cell r="B12" t="str">
            <v>Compensation &amp; benfits expense</v>
          </cell>
          <cell r="C12" t="str">
            <v>PERSONNEL</v>
          </cell>
          <cell r="D12">
            <v>0</v>
          </cell>
        </row>
        <row r="13">
          <cell r="B13" t="str">
            <v>Cost of goods sold, COGS</v>
          </cell>
          <cell r="C13" t="str">
            <v>COST_GD_SD</v>
          </cell>
          <cell r="D13">
            <v>0</v>
          </cell>
        </row>
        <row r="14">
          <cell r="B14" t="str">
            <v>SG&amp;A, selling, general and admin. expense</v>
          </cell>
          <cell r="C14" t="str">
            <v>SEL_GL_AD</v>
          </cell>
          <cell r="D14">
            <v>0</v>
          </cell>
        </row>
        <row r="15">
          <cell r="B15" t="str">
            <v>Total operating expense</v>
          </cell>
          <cell r="C15" t="str">
            <v>OP_COST</v>
          </cell>
          <cell r="D15">
            <v>0</v>
          </cell>
        </row>
        <row r="16">
          <cell r="B16" t="str">
            <v>R&amp;D expense</v>
          </cell>
          <cell r="C16" t="str">
            <v>RD_EXP</v>
          </cell>
          <cell r="D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>
            <v>0</v>
          </cell>
        </row>
        <row r="19">
          <cell r="B19" t="str">
            <v>Total operating expense (excl. D&amp;A)</v>
          </cell>
          <cell r="C19" t="str">
            <v>TOT_OPS_EXP</v>
          </cell>
          <cell r="D19">
            <v>0</v>
          </cell>
        </row>
        <row r="20">
          <cell r="B20" t="str">
            <v>EBITDA</v>
          </cell>
          <cell r="C20" t="str">
            <v>EBITDA_CALC</v>
          </cell>
          <cell r="D20">
            <v>0</v>
          </cell>
        </row>
        <row r="21">
          <cell r="B21" t="str">
            <v>Depreciation</v>
          </cell>
          <cell r="C21" t="str">
            <v>DEPREC</v>
          </cell>
          <cell r="D21">
            <v>0</v>
          </cell>
        </row>
        <row r="22">
          <cell r="B22" t="str">
            <v>Amortization</v>
          </cell>
          <cell r="C22" t="str">
            <v>GOODWILL_AMORT</v>
          </cell>
          <cell r="D22">
            <v>0</v>
          </cell>
        </row>
        <row r="23">
          <cell r="B23" t="str">
            <v>EBIT, operating profit</v>
          </cell>
          <cell r="C23" t="str">
            <v>EBIT</v>
          </cell>
          <cell r="D23">
            <v>0</v>
          </cell>
        </row>
        <row r="24">
          <cell r="B24" t="str">
            <v>Interest income</v>
          </cell>
          <cell r="C24" t="str">
            <v>INT_INC_IND</v>
          </cell>
          <cell r="D24">
            <v>0</v>
          </cell>
        </row>
        <row r="25">
          <cell r="B25" t="str">
            <v>Interest expense</v>
          </cell>
          <cell r="C25" t="str">
            <v>INT_EXP_IND</v>
          </cell>
          <cell r="D25">
            <v>0</v>
          </cell>
        </row>
        <row r="26">
          <cell r="B26" t="str">
            <v>Net interest income/(expense)</v>
          </cell>
          <cell r="C26" t="str">
            <v>NET_INT_EXP</v>
          </cell>
          <cell r="D26">
            <v>0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>
            <v>0</v>
          </cell>
        </row>
        <row r="30">
          <cell r="B30" t="str">
            <v>Pre-tax profit</v>
          </cell>
          <cell r="C30" t="str">
            <v>PT_PROF</v>
          </cell>
          <cell r="D30">
            <v>0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>
            <v>0</v>
          </cell>
        </row>
        <row r="33">
          <cell r="B33" t="str">
            <v>Lease payments</v>
          </cell>
          <cell r="C33" t="str">
            <v>LEASE_PAY</v>
          </cell>
          <cell r="D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>
            <v>0</v>
          </cell>
        </row>
        <row r="36">
          <cell r="B36" t="str">
            <v>Gross interest charge</v>
          </cell>
          <cell r="C36" t="str">
            <v>NET_INT_CH</v>
          </cell>
          <cell r="D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>
            <v>0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>
            <v>0</v>
          </cell>
        </row>
        <row r="40">
          <cell r="B40" t="str">
            <v>Accounts receivable</v>
          </cell>
          <cell r="C40" t="str">
            <v>DEBTORS</v>
          </cell>
          <cell r="D40">
            <v>0</v>
          </cell>
        </row>
        <row r="41">
          <cell r="B41" t="str">
            <v>Inventory</v>
          </cell>
          <cell r="C41" t="str">
            <v>STOCKS</v>
          </cell>
          <cell r="D41">
            <v>0</v>
          </cell>
        </row>
        <row r="42">
          <cell r="B42" t="str">
            <v>Other current assets</v>
          </cell>
          <cell r="C42" t="str">
            <v>OTH_CUR_ASS</v>
          </cell>
          <cell r="D42">
            <v>0</v>
          </cell>
        </row>
        <row r="43">
          <cell r="B43" t="str">
            <v>Total current assets</v>
          </cell>
          <cell r="C43" t="str">
            <v>CUR_ASS</v>
          </cell>
          <cell r="D43">
            <v>0</v>
          </cell>
        </row>
        <row r="44">
          <cell r="B44" t="str">
            <v>Gross fixed assets, PP&amp;E</v>
          </cell>
          <cell r="C44" t="str">
            <v>GR_FIX_ASS</v>
          </cell>
          <cell r="D44">
            <v>0</v>
          </cell>
        </row>
        <row r="45">
          <cell r="B45" t="str">
            <v>Accumulated depreciation</v>
          </cell>
          <cell r="C45" t="str">
            <v>ACC_DDA</v>
          </cell>
          <cell r="D45">
            <v>0</v>
          </cell>
        </row>
        <row r="46">
          <cell r="B46" t="str">
            <v>Net PP&amp;E</v>
          </cell>
          <cell r="C46" t="str">
            <v>NET_FIX_ASS</v>
          </cell>
          <cell r="D46">
            <v>0</v>
          </cell>
        </row>
        <row r="47">
          <cell r="B47" t="str">
            <v>Gross intangibles</v>
          </cell>
          <cell r="C47" t="str">
            <v>GR_INTANG</v>
          </cell>
          <cell r="D47">
            <v>0</v>
          </cell>
        </row>
        <row r="48">
          <cell r="B48" t="str">
            <v>Accumulated amortization</v>
          </cell>
          <cell r="C48" t="str">
            <v>ACC_AMORT</v>
          </cell>
          <cell r="D48">
            <v>0</v>
          </cell>
        </row>
        <row r="49">
          <cell r="B49" t="str">
            <v>Net intangible assets</v>
          </cell>
          <cell r="C49" t="str">
            <v>NET_INTANG</v>
          </cell>
          <cell r="D49">
            <v>0</v>
          </cell>
        </row>
        <row r="50">
          <cell r="B50" t="str">
            <v>Equity method investments</v>
          </cell>
          <cell r="C50" t="str">
            <v>FIX_ASS_INV</v>
          </cell>
          <cell r="D50">
            <v>0</v>
          </cell>
        </row>
        <row r="51">
          <cell r="B51" t="str">
            <v>Investments in securities</v>
          </cell>
          <cell r="C51" t="str">
            <v>INV_SECUR</v>
          </cell>
          <cell r="D51">
            <v>0</v>
          </cell>
        </row>
        <row r="52">
          <cell r="B52" t="str">
            <v>Other long-term assets</v>
          </cell>
          <cell r="C52" t="str">
            <v>OTH_LT_ASS</v>
          </cell>
          <cell r="D52">
            <v>0</v>
          </cell>
        </row>
        <row r="53">
          <cell r="B53" t="str">
            <v>Total assets</v>
          </cell>
          <cell r="C53" t="str">
            <v>TOT_ASSET</v>
          </cell>
          <cell r="D53">
            <v>0</v>
          </cell>
        </row>
        <row r="54">
          <cell r="B54" t="str">
            <v>Accounts payable</v>
          </cell>
          <cell r="C54" t="str">
            <v>ACC_PAY_GQ</v>
          </cell>
          <cell r="D54">
            <v>0</v>
          </cell>
        </row>
        <row r="55">
          <cell r="B55" t="str">
            <v>Short-term debt</v>
          </cell>
          <cell r="C55" t="str">
            <v>SHORT_T_DEBT</v>
          </cell>
          <cell r="D55">
            <v>0</v>
          </cell>
        </row>
        <row r="56">
          <cell r="B56" t="str">
            <v>Other current liabilities</v>
          </cell>
          <cell r="C56" t="str">
            <v>OTH_CUR_LIABS</v>
          </cell>
          <cell r="D56">
            <v>0</v>
          </cell>
        </row>
        <row r="57">
          <cell r="B57" t="str">
            <v>Total current liabilities</v>
          </cell>
          <cell r="C57" t="str">
            <v>SHORT_TERM_LIABS</v>
          </cell>
          <cell r="D57">
            <v>0</v>
          </cell>
        </row>
        <row r="58">
          <cell r="B58" t="str">
            <v>Long-term  debt</v>
          </cell>
          <cell r="C58" t="str">
            <v>LT_DEBT</v>
          </cell>
          <cell r="D58">
            <v>0</v>
          </cell>
        </row>
        <row r="59">
          <cell r="B59" t="str">
            <v>Other long-term liabilities</v>
          </cell>
          <cell r="C59" t="str">
            <v>OTH_LT_CRED_GQ</v>
          </cell>
          <cell r="D59">
            <v>0</v>
          </cell>
        </row>
        <row r="60">
          <cell r="B60" t="str">
            <v>Total long-term liabilities</v>
          </cell>
          <cell r="C60" t="str">
            <v>TOT_LT_LIAB</v>
          </cell>
          <cell r="D60">
            <v>0</v>
          </cell>
        </row>
        <row r="61">
          <cell r="B61" t="str">
            <v>Total liabilities</v>
          </cell>
          <cell r="C61" t="str">
            <v>TOT_LIAB</v>
          </cell>
          <cell r="D61">
            <v>0</v>
          </cell>
        </row>
        <row r="62">
          <cell r="B62" t="str">
            <v>Preferred shares</v>
          </cell>
          <cell r="C62" t="str">
            <v>PREF_SH</v>
          </cell>
          <cell r="D62">
            <v>0</v>
          </cell>
        </row>
        <row r="63">
          <cell r="B63" t="str">
            <v>Total common equity</v>
          </cell>
          <cell r="C63" t="str">
            <v>ORD_SH_FUND</v>
          </cell>
          <cell r="D63">
            <v>0</v>
          </cell>
        </row>
        <row r="64">
          <cell r="B64" t="str">
            <v>Minority interest</v>
          </cell>
          <cell r="C64" t="str">
            <v>MINORITIES</v>
          </cell>
          <cell r="D64">
            <v>0</v>
          </cell>
        </row>
        <row r="65">
          <cell r="B65" t="str">
            <v>Total shareholders' equity</v>
          </cell>
          <cell r="C65" t="str">
            <v>EQ</v>
          </cell>
          <cell r="D65">
            <v>0</v>
          </cell>
        </row>
        <row r="66">
          <cell r="B66" t="str">
            <v>Total liabilities and equity</v>
          </cell>
          <cell r="C66" t="str">
            <v>TOT_LIAB_EQ</v>
          </cell>
          <cell r="D66">
            <v>0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</row>
        <row r="69">
          <cell r="B69" t="str">
            <v>% US$ debt hedged (principal)</v>
          </cell>
          <cell r="C69" t="str">
            <v>TOT_PCT_USD_DEBT_HEDGED</v>
          </cell>
        </row>
        <row r="70">
          <cell r="B70" t="str">
            <v>% Floating debt (local currency debt)</v>
          </cell>
          <cell r="C70" t="str">
            <v>FLOATING_PCT_LOCAL_DEBT</v>
          </cell>
        </row>
        <row r="71">
          <cell r="B71" t="str">
            <v>% floating debt hedged (rates)</v>
          </cell>
          <cell r="C71" t="str">
            <v>FLOATING_PCT_LOCAL_DEBT_HEDGED</v>
          </cell>
        </row>
        <row r="72">
          <cell r="B72" t="str">
            <v>Net debt</v>
          </cell>
          <cell r="C72" t="str">
            <v>NET_DEBT</v>
          </cell>
          <cell r="D72">
            <v>0</v>
          </cell>
        </row>
        <row r="73">
          <cell r="B73" t="str">
            <v>Capitalized leases</v>
          </cell>
          <cell r="C73" t="str">
            <v>CAP_LEASES</v>
          </cell>
          <cell r="D73">
            <v>0</v>
          </cell>
        </row>
        <row r="74">
          <cell r="B74" t="str">
            <v>Deferred income taxes</v>
          </cell>
          <cell r="C74" t="str">
            <v>DEF_INC_TAX</v>
          </cell>
          <cell r="D74">
            <v>0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>
            <v>0</v>
          </cell>
        </row>
        <row r="76">
          <cell r="B76" t="str">
            <v>Net debt adjustment</v>
          </cell>
          <cell r="C76" t="str">
            <v>NET_DEBT_ADJ</v>
          </cell>
          <cell r="D76">
            <v>0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>
            <v>0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>
            <v>0</v>
          </cell>
        </row>
        <row r="82">
          <cell r="B82" t="str">
            <v>Other GCI adjustments</v>
          </cell>
          <cell r="C82" t="str">
            <v>OTH_GCI_ADJ</v>
          </cell>
          <cell r="D82">
            <v>0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>
            <v>0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>
            <v>0</v>
          </cell>
        </row>
        <row r="88">
          <cell r="B88" t="str">
            <v>(Increase)/decrease in working capital</v>
          </cell>
          <cell r="C88" t="str">
            <v>WORK_CAP</v>
          </cell>
          <cell r="D88">
            <v>0</v>
          </cell>
        </row>
        <row r="89">
          <cell r="B89" t="str">
            <v>Other operating cash flow items</v>
          </cell>
          <cell r="C89" t="str">
            <v>OTH_OP_CF</v>
          </cell>
          <cell r="D89">
            <v>0</v>
          </cell>
        </row>
        <row r="90">
          <cell r="B90" t="str">
            <v>Cash flow from operating activities</v>
          </cell>
          <cell r="C90" t="str">
            <v>CF_OPS</v>
          </cell>
          <cell r="D90">
            <v>0</v>
          </cell>
        </row>
        <row r="91">
          <cell r="B91" t="str">
            <v>Capital expenditures, Capex</v>
          </cell>
          <cell r="C91" t="str">
            <v>CAPEX</v>
          </cell>
          <cell r="D91">
            <v>0</v>
          </cell>
        </row>
        <row r="92">
          <cell r="B92" t="str">
            <v>Acquisitions</v>
          </cell>
          <cell r="C92" t="str">
            <v>ACQ</v>
          </cell>
          <cell r="D92">
            <v>0</v>
          </cell>
        </row>
        <row r="93">
          <cell r="B93" t="str">
            <v>Divestitures</v>
          </cell>
          <cell r="C93" t="str">
            <v>DIVEST</v>
          </cell>
          <cell r="D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>
            <v>0</v>
          </cell>
        </row>
        <row r="95">
          <cell r="B95" t="str">
            <v>Cash flow from investing</v>
          </cell>
          <cell r="C95" t="str">
            <v>CF_INV</v>
          </cell>
          <cell r="D95">
            <v>0</v>
          </cell>
        </row>
        <row r="96">
          <cell r="B96" t="str">
            <v>Dividends paid</v>
          </cell>
          <cell r="C96" t="str">
            <v>DIV_PAID</v>
          </cell>
          <cell r="D96">
            <v>0</v>
          </cell>
        </row>
        <row r="97">
          <cell r="B97" t="str">
            <v>Common stock issuance/(repurchase)</v>
          </cell>
          <cell r="C97" t="str">
            <v>SH_REPUR</v>
          </cell>
          <cell r="D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>
            <v>0</v>
          </cell>
        </row>
        <row r="99">
          <cell r="B99" t="str">
            <v>Other financing cash flow items</v>
          </cell>
          <cell r="C99" t="str">
            <v>OTH_FIN_CF</v>
          </cell>
          <cell r="D99">
            <v>0</v>
          </cell>
        </row>
        <row r="100">
          <cell r="B100" t="str">
            <v>Cash flow from financing</v>
          </cell>
          <cell r="C100" t="str">
            <v>CF_FIN</v>
          </cell>
          <cell r="D100">
            <v>0</v>
          </cell>
        </row>
        <row r="101">
          <cell r="B101" t="str">
            <v>Total cash flow</v>
          </cell>
          <cell r="C101" t="str">
            <v>TOT_CF</v>
          </cell>
          <cell r="D101">
            <v>0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>
            <v>0</v>
          </cell>
        </row>
        <row r="104">
          <cell r="B104" t="str">
            <v>Profit/(loss) on sale of assets</v>
          </cell>
          <cell r="C104" t="str">
            <v>PL_SALE_ASSETS</v>
          </cell>
          <cell r="D104">
            <v>0</v>
          </cell>
        </row>
        <row r="105">
          <cell r="B105" t="str">
            <v>Other non-cash adjustments</v>
          </cell>
          <cell r="C105" t="str">
            <v>OTH_NONCASH_ADJ</v>
          </cell>
          <cell r="D105">
            <v>0</v>
          </cell>
        </row>
        <row r="106">
          <cell r="B106" t="str">
            <v>Other DACF adjustments</v>
          </cell>
          <cell r="C106" t="str">
            <v>OTH_DACF_ADJ</v>
          </cell>
          <cell r="D106">
            <v>0</v>
          </cell>
        </row>
        <row r="107">
          <cell r="B107" t="str">
            <v>Cash interest expense</v>
          </cell>
          <cell r="C107" t="str">
            <v>CASH_INT_EXP</v>
          </cell>
          <cell r="D107">
            <v>0</v>
          </cell>
        </row>
        <row r="108">
          <cell r="B108" t="str">
            <v>Cash tax expense</v>
          </cell>
          <cell r="C108" t="str">
            <v>CASH_TAX_EXP</v>
          </cell>
          <cell r="D108">
            <v>0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>
            <v>0</v>
          </cell>
        </row>
        <row r="110">
          <cell r="B110" t="str">
            <v>Capex maintenance</v>
          </cell>
          <cell r="C110" t="str">
            <v>CAPEX_MAINTENANCE</v>
          </cell>
          <cell r="D110">
            <v>0</v>
          </cell>
        </row>
        <row r="111">
          <cell r="B111" t="str">
            <v>Capex expansion</v>
          </cell>
          <cell r="C111" t="str">
            <v>CAPEX_EXPANSION</v>
          </cell>
          <cell r="D111">
            <v>0</v>
          </cell>
        </row>
        <row r="112">
          <cell r="B112" t="str">
            <v>Non-PP&amp;E capex</v>
          </cell>
          <cell r="C112" t="str">
            <v>NONPPE_CAPEX</v>
          </cell>
          <cell r="D112">
            <v>0</v>
          </cell>
        </row>
        <row r="113">
          <cell r="B113" t="str">
            <v>Dividends paid to minorities</v>
          </cell>
          <cell r="C113" t="str">
            <v>DIVDS_PD_MINORITIES</v>
          </cell>
          <cell r="D113">
            <v>0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4">
          <cell r="B174" t="str">
            <v>Sales - % Industry Sub-Segment: Oil &amp; Gas</v>
          </cell>
          <cell r="C174" t="str">
            <v>SALES_OIL_GAS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3">
          <cell r="A183" t="str">
            <v>FX Exposure - Sales</v>
          </cell>
        </row>
        <row r="184">
          <cell r="B184" t="str">
            <v>Sales - % FX: British Pounds/Pence</v>
          </cell>
          <cell r="C184" t="str">
            <v>SALES_FX_GPB</v>
          </cell>
        </row>
        <row r="185">
          <cell r="B185" t="str">
            <v>Sales - % FX: Euro</v>
          </cell>
          <cell r="C185" t="str">
            <v>SALES_FX_EUR</v>
          </cell>
        </row>
        <row r="186">
          <cell r="B186" t="str">
            <v>Sales - % FX: New Russian Ruble</v>
          </cell>
          <cell r="C186" t="str">
            <v>SALES_FX_RUB</v>
          </cell>
        </row>
        <row r="187">
          <cell r="B187" t="str">
            <v>Sales - % FX: U.S. Dollar</v>
          </cell>
          <cell r="C187" t="str">
            <v>SALES_FX_USD</v>
          </cell>
        </row>
        <row r="188">
          <cell r="B188" t="str">
            <v>Sales - % FX: Brazilian Real</v>
          </cell>
          <cell r="C188" t="str">
            <v>SALES_FX_BRL</v>
          </cell>
        </row>
        <row r="189">
          <cell r="B189" t="str">
            <v>Sales - % FX: Japanese Yen</v>
          </cell>
          <cell r="C189" t="str">
            <v>SALES_FX_YEN</v>
          </cell>
        </row>
        <row r="190">
          <cell r="B190" t="str">
            <v>Sales - % FX: Chinese Renminbi</v>
          </cell>
          <cell r="C190" t="str">
            <v>SALES_FX_CNY</v>
          </cell>
        </row>
        <row r="191">
          <cell r="B191" t="str">
            <v>Sales - % FX: Indian Rupee</v>
          </cell>
          <cell r="C191" t="str">
            <v>SALES_FX_INR</v>
          </cell>
        </row>
        <row r="192">
          <cell r="B192" t="str">
            <v>Sales - % FX: South Korean Won</v>
          </cell>
          <cell r="C192" t="str">
            <v>SALES_FX_KRW</v>
          </cell>
        </row>
        <row r="193">
          <cell r="B193" t="str">
            <v>Sales - % FX: Taiwan Dollar</v>
          </cell>
          <cell r="C193" t="str">
            <v>SALES_FX_TWD</v>
          </cell>
        </row>
        <row r="194">
          <cell r="B194" t="str">
            <v>Sales - % FX: Other Currency</v>
          </cell>
          <cell r="C194" t="str">
            <v>SALES_FX_OTH</v>
          </cell>
        </row>
        <row r="195">
          <cell r="A195" t="str">
            <v>Items to be removed</v>
          </cell>
        </row>
        <row r="196">
          <cell r="B196" t="str">
            <v>Sales - Total % Americas</v>
          </cell>
          <cell r="C196" t="str">
            <v>SALES_TOT_AM</v>
          </cell>
        </row>
        <row r="197">
          <cell r="B197" t="str">
            <v>Sales - % Other Americas</v>
          </cell>
          <cell r="C197" t="str">
            <v>SALES_OTH_AM</v>
          </cell>
        </row>
        <row r="198">
          <cell r="B198" t="str">
            <v>Sales - Total % EMEA</v>
          </cell>
          <cell r="C198" t="str">
            <v>SALES_TOT_EMEA</v>
          </cell>
        </row>
        <row r="199">
          <cell r="B199" t="str">
            <v>Sales - % Western Europe-Ex UK</v>
          </cell>
          <cell r="C199" t="str">
            <v>SALES_EU_EX_UK</v>
          </cell>
        </row>
        <row r="200">
          <cell r="B200" t="str">
            <v>Sales - % Central &amp; Eastern Europe</v>
          </cell>
          <cell r="C200" t="str">
            <v>SALES_CEE</v>
          </cell>
        </row>
        <row r="201">
          <cell r="B201" t="str">
            <v>Sales - % Middle East</v>
          </cell>
          <cell r="C201" t="str">
            <v>SALES_ME</v>
          </cell>
        </row>
        <row r="202">
          <cell r="B202" t="str">
            <v>Sales - % Total Africa</v>
          </cell>
          <cell r="C202" t="str">
            <v>SALES_TOT_AFRICA</v>
          </cell>
        </row>
        <row r="203">
          <cell r="B203" t="str">
            <v>Sales - % Other EMEA</v>
          </cell>
          <cell r="C203" t="str">
            <v>SALES_OTH_EMEA</v>
          </cell>
        </row>
        <row r="204">
          <cell r="B204" t="str">
            <v>Sales - Total % Asia (incl Australia &amp; New Zealand)</v>
          </cell>
          <cell r="C204" t="str">
            <v>SALES_TOT_ASIA</v>
          </cell>
        </row>
        <row r="205">
          <cell r="B205" t="str">
            <v>Sales - % Other Asia</v>
          </cell>
          <cell r="C205" t="str">
            <v>SALES_OTH_AEJ</v>
          </cell>
        </row>
        <row r="206">
          <cell r="A206" t="str">
            <v>Security: BOE Technology Group (A)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000725.SZ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BOE Technology Group (A)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</row>
        <row r="212">
          <cell r="B212" t="str">
            <v>Pricing Currency</v>
          </cell>
          <cell r="C212" t="str">
            <v>PRICE_CURRENCY_ISO</v>
          </cell>
        </row>
        <row r="213">
          <cell r="B213" t="str">
            <v>Reporting Currency</v>
          </cell>
          <cell r="C213" t="str">
            <v>CURRENCY_ISO</v>
          </cell>
        </row>
        <row r="214">
          <cell r="A214" t="str">
            <v>General Information</v>
          </cell>
        </row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>
            <v>0</v>
          </cell>
        </row>
        <row r="219">
          <cell r="B219" t="str">
            <v>Target price period</v>
          </cell>
          <cell r="C219" t="str">
            <v>TP_PERIOD</v>
          </cell>
        </row>
        <row r="220">
          <cell r="B220" t="str">
            <v>Fundamental value</v>
          </cell>
          <cell r="C220" t="str">
            <v>TARGET_PRICE_FUNDAMENTAL</v>
          </cell>
          <cell r="D220">
            <v>0</v>
          </cell>
        </row>
        <row r="221">
          <cell r="B221" t="str">
            <v>M&amp;A value</v>
          </cell>
          <cell r="C221" t="str">
            <v>TARGET_PRICE_MA</v>
          </cell>
          <cell r="D221">
            <v>0</v>
          </cell>
        </row>
        <row r="222">
          <cell r="B222" t="str">
            <v>Current shares outstanding (mn)</v>
          </cell>
          <cell r="C222" t="str">
            <v>NUM_SH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37">
          <cell r="A237" t="str">
            <v>Publishing Items</v>
          </cell>
        </row>
        <row r="238">
          <cell r="B238" t="str">
            <v>Book value per share, BVPS (Pub)</v>
          </cell>
          <cell r="C238" t="str">
            <v>BVPS_PUB</v>
          </cell>
          <cell r="D238">
            <v>0</v>
          </cell>
        </row>
        <row r="239">
          <cell r="B239" t="str">
            <v>DPS, dividend per share (Pub)</v>
          </cell>
          <cell r="C239" t="str">
            <v>DPS_PUB</v>
          </cell>
          <cell r="D239">
            <v>0</v>
          </cell>
        </row>
        <row r="240">
          <cell r="B240" t="str">
            <v>Special dividend per share</v>
          </cell>
          <cell r="C240" t="str">
            <v>DPS_SPECIAL_PUB</v>
          </cell>
          <cell r="D240">
            <v>0</v>
          </cell>
        </row>
        <row r="241">
          <cell r="B241" t="str">
            <v>EBITDA (Pub)</v>
          </cell>
          <cell r="C241" t="str">
            <v>EBITDA_PUB</v>
          </cell>
          <cell r="D241">
            <v>0</v>
          </cell>
        </row>
        <row r="242">
          <cell r="B242" t="str">
            <v>EPS (Pub)</v>
          </cell>
          <cell r="C242" t="str">
            <v>EPS_PUB</v>
          </cell>
          <cell r="D242">
            <v>0</v>
          </cell>
        </row>
        <row r="243">
          <cell r="B243" t="str">
            <v>EV adjustment (Pub)</v>
          </cell>
          <cell r="C243" t="str">
            <v>EV_ADJ_PUB</v>
          </cell>
          <cell r="D243">
            <v>0</v>
          </cell>
        </row>
        <row r="244">
          <cell r="B244" t="str">
            <v>Net debt (Pub)</v>
          </cell>
          <cell r="C244" t="str">
            <v>NET_DEBT_PUB</v>
          </cell>
          <cell r="D244">
            <v>0</v>
          </cell>
        </row>
        <row r="245">
          <cell r="B245" t="str">
            <v>Net income (Pub)</v>
          </cell>
          <cell r="C245" t="str">
            <v>NI_PUB</v>
          </cell>
          <cell r="D245">
            <v>0</v>
          </cell>
        </row>
        <row r="246">
          <cell r="B246" t="str">
            <v>EBIT, operating profit (Pub)</v>
          </cell>
          <cell r="C246" t="str">
            <v>EBIT_PUB</v>
          </cell>
          <cell r="D246">
            <v>0</v>
          </cell>
        </row>
        <row r="247">
          <cell r="B247" t="str">
            <v>Pre-tax profit (Pub)</v>
          </cell>
          <cell r="C247" t="str">
            <v>PTP_PUB</v>
          </cell>
          <cell r="D247">
            <v>0</v>
          </cell>
        </row>
        <row r="248">
          <cell r="B248" t="str">
            <v>Sales, revenue (Pub)</v>
          </cell>
          <cell r="C248" t="str">
            <v>REVS_PUB</v>
          </cell>
          <cell r="D248">
            <v>0</v>
          </cell>
        </row>
        <row r="249">
          <cell r="B249" t="str">
            <v>Total shareholders' equity (Pub)</v>
          </cell>
          <cell r="C249" t="str">
            <v>EQ_PUB</v>
          </cell>
          <cell r="D249">
            <v>0</v>
          </cell>
        </row>
        <row r="250">
          <cell r="B250" t="str">
            <v>EPS (consensus)</v>
          </cell>
          <cell r="C250" t="str">
            <v>EPS_CONS_PUB</v>
          </cell>
          <cell r="D250">
            <v>0</v>
          </cell>
        </row>
        <row r="251">
          <cell r="A251" t="str">
            <v>Income Statement</v>
          </cell>
        </row>
        <row r="252">
          <cell r="B252" t="str">
            <v>Provision for income tax</v>
          </cell>
          <cell r="C252" t="str">
            <v>PROV_INC_TAX</v>
          </cell>
          <cell r="D252">
            <v>0</v>
          </cell>
        </row>
        <row r="253">
          <cell r="B253" t="str">
            <v>Minority interest</v>
          </cell>
          <cell r="C253" t="str">
            <v>INC_MINORITY</v>
          </cell>
          <cell r="D253">
            <v>0</v>
          </cell>
        </row>
        <row r="254">
          <cell r="B254" t="str">
            <v>Net income (pre-preferred dividends)</v>
          </cell>
          <cell r="C254" t="str">
            <v>NI_PRE_PREF</v>
          </cell>
          <cell r="D254">
            <v>0</v>
          </cell>
        </row>
        <row r="255">
          <cell r="B255" t="str">
            <v>Preferred dividends</v>
          </cell>
          <cell r="C255" t="str">
            <v>PREF_DIV</v>
          </cell>
          <cell r="D255">
            <v>0</v>
          </cell>
        </row>
        <row r="256">
          <cell r="B256" t="str">
            <v>Net income (pre-exceptionals)</v>
          </cell>
          <cell r="C256" t="str">
            <v>NET_EARNING</v>
          </cell>
          <cell r="D256">
            <v>0</v>
          </cell>
        </row>
        <row r="257">
          <cell r="B257" t="str">
            <v>Post-tax exceptionals</v>
          </cell>
          <cell r="C257" t="str">
            <v>TAX_EXC</v>
          </cell>
          <cell r="D257">
            <v>0</v>
          </cell>
        </row>
        <row r="258">
          <cell r="B258" t="str">
            <v>Net income (post-exceptionals)</v>
          </cell>
          <cell r="C258" t="str">
            <v>NET_INC</v>
          </cell>
          <cell r="D258">
            <v>0</v>
          </cell>
        </row>
        <row r="259">
          <cell r="B259" t="str">
            <v>EPS (pre-exceptionals, basic)</v>
          </cell>
          <cell r="C259" t="str">
            <v>EPS</v>
          </cell>
          <cell r="D259">
            <v>0</v>
          </cell>
        </row>
        <row r="260">
          <cell r="B260" t="str">
            <v>EPS (pre-exceptionals, diluted)</v>
          </cell>
          <cell r="C260" t="str">
            <v>EPS_FUL_DIL</v>
          </cell>
          <cell r="D260">
            <v>0</v>
          </cell>
        </row>
        <row r="261">
          <cell r="B261" t="str">
            <v>EPS (post-exceptionals, basic)</v>
          </cell>
          <cell r="C261" t="str">
            <v>EPS_POST_BASIC</v>
          </cell>
          <cell r="D261">
            <v>0</v>
          </cell>
        </row>
        <row r="262">
          <cell r="B262" t="str">
            <v>EPS (post-exceptionals, diluted)</v>
          </cell>
          <cell r="C262" t="str">
            <v>FULLY_DIL_EPS</v>
          </cell>
          <cell r="D262">
            <v>0</v>
          </cell>
        </row>
        <row r="263">
          <cell r="B263" t="str">
            <v>Common dividends paid</v>
          </cell>
          <cell r="C263" t="str">
            <v>COMMON_DIV_PAID</v>
          </cell>
          <cell r="D263">
            <v>0</v>
          </cell>
        </row>
        <row r="264">
          <cell r="B264" t="str">
            <v>DPS, dividend per share</v>
          </cell>
          <cell r="C264" t="str">
            <v>DPS</v>
          </cell>
          <cell r="D264">
            <v>0</v>
          </cell>
        </row>
        <row r="265">
          <cell r="B265" t="str">
            <v>Weighted average shares outstanding, basic</v>
          </cell>
          <cell r="C265" t="str">
            <v>SH</v>
          </cell>
        </row>
        <row r="266">
          <cell r="B266" t="str">
            <v>Diluted average shares outstanding (mn)</v>
          </cell>
          <cell r="C266" t="str">
            <v>DILUTE_SHARES</v>
          </cell>
        </row>
        <row r="267">
          <cell r="B267" t="str">
            <v>Period-end shares outstanding</v>
          </cell>
          <cell r="C267" t="str">
            <v>NON_OP_ADD</v>
          </cell>
        </row>
        <row r="268">
          <cell r="A268" t="str">
            <v>Additional Income Statement Items</v>
          </cell>
        </row>
        <row r="269">
          <cell r="B269" t="str">
            <v>Marginal tax rate</v>
          </cell>
          <cell r="C269" t="str">
            <v>MARGIN_TAX_RATE</v>
          </cell>
        </row>
        <row r="270">
          <cell r="B270" t="str">
            <v>Net income (consensus) (Pub)</v>
          </cell>
          <cell r="C270" t="str">
            <v>NI_CONS</v>
          </cell>
          <cell r="D270">
            <v>0</v>
          </cell>
        </row>
        <row r="271">
          <cell r="A271" t="str">
            <v>Balance Sheet</v>
          </cell>
        </row>
        <row r="272">
          <cell r="B272" t="str">
            <v>BVPS, book value per share</v>
          </cell>
          <cell r="C272" t="str">
            <v>BVPS</v>
          </cell>
          <cell r="D272">
            <v>0</v>
          </cell>
        </row>
        <row r="273">
          <cell r="A273" t="str">
            <v>Cash Flow Statement</v>
          </cell>
        </row>
        <row r="274">
          <cell r="B274" t="str">
            <v>Net income (pre-preferred dividends)</v>
          </cell>
          <cell r="C274" t="str">
            <v>CF_NI_PRE_PREF</v>
          </cell>
          <cell r="D274">
            <v>0</v>
          </cell>
        </row>
        <row r="275">
          <cell r="A275" t="str">
            <v>Other Items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  <sheetData sheetId="8">
        <row r="1">
          <cell r="A1" t="str">
            <v>d7d19e0c-61a0-40ad-bb33-921084514412</v>
          </cell>
        </row>
        <row r="2">
          <cell r="A2" t="str">
            <v>M:\china_innovation\Display panel sector\BOE 京东方\[GS_BOE (000725.SZ) model.xlsm]000725.SZ_Validation_Sheet</v>
          </cell>
        </row>
        <row r="7">
          <cell r="A7" t="str">
            <v>Scalar|||208006410|||ISSR|||CURRENCY_ISO|||False|||</v>
          </cell>
          <cell r="C7" t="str">
            <v>V_KEYWORD_ISSR_208006410_CURRENCY_ISO</v>
          </cell>
          <cell r="E7" t="str">
            <v>ERROR</v>
          </cell>
        </row>
        <row r="9">
          <cell r="A9" t="str">
            <v>Scalar|||208006410|||ISSR|||MA_PROB|||False|||</v>
          </cell>
          <cell r="C9" t="str">
            <v>V_KEYWORD_ISSR_208006410_MA_PROB</v>
          </cell>
          <cell r="E9" t="str">
            <v>ERROR</v>
          </cell>
        </row>
        <row r="11">
          <cell r="A11" t="str">
            <v>Vector|||208006410|||ISSR|||SALES|||False|||</v>
          </cell>
          <cell r="C11" t="str">
            <v>V_KEYWORD_ISSR_208006410_SALES</v>
          </cell>
          <cell r="AX11" t="str">
            <v>ERROR</v>
          </cell>
          <cell r="BC11" t="str">
            <v>ERROR</v>
          </cell>
          <cell r="BD11" t="str">
            <v>ERROR</v>
          </cell>
          <cell r="BE11" t="str">
            <v>ERROR</v>
          </cell>
        </row>
        <row r="12">
          <cell r="A12" t="str">
            <v>Vector|||208006410|||ISSR|||PERSONNEL|||False|||</v>
          </cell>
          <cell r="C12" t="str">
            <v>V_KEYWORD_ISSR_208006410_PERSONNEL</v>
          </cell>
        </row>
        <row r="13">
          <cell r="A13" t="str">
            <v>Vector|||208006410|||ISSR|||COST_GD_SD|||False|||</v>
          </cell>
          <cell r="C13" t="str">
            <v>V_KEYWORD_ISSR_208006410_COST_GD_SD</v>
          </cell>
        </row>
        <row r="14">
          <cell r="A14" t="str">
            <v>Vector|||208006410|||ISSR|||SEL_GL_AD|||False|||</v>
          </cell>
          <cell r="C14" t="str">
            <v>V_KEYWORD_ISSR_208006410_SEL_GL_AD</v>
          </cell>
        </row>
        <row r="15">
          <cell r="A15" t="str">
            <v>Vector|||208006410|||ISSR|||OP_COST|||False|||</v>
          </cell>
          <cell r="C15" t="str">
            <v>V_KEYWORD_ISSR_208006410_OP_COST</v>
          </cell>
        </row>
        <row r="16">
          <cell r="A16" t="str">
            <v>Vector|||208006410|||ISSR|||RD_EXP|||False|||</v>
          </cell>
          <cell r="C16" t="str">
            <v>V_KEYWORD_ISSR_208006410_RD_EXP</v>
          </cell>
        </row>
        <row r="17">
          <cell r="A17" t="str">
            <v>Vector|||208006410|||ISSR|||OTH_OP_INC_EXP|||False|||</v>
          </cell>
          <cell r="C17" t="str">
            <v>V_KEYWORD_ISSR_208006410_OTH_OP_INC_EXP</v>
          </cell>
        </row>
        <row r="18">
          <cell r="A18" t="str">
            <v>Vector|||208006410|||ISSR|||TOT_OPS_EXP_DDA|||False|||</v>
          </cell>
          <cell r="C18" t="str">
            <v>V_KEYWORD_ISSR_208006410_TOT_OPS_EXP_DDA</v>
          </cell>
          <cell r="AX18" t="str">
            <v>ERROR</v>
          </cell>
          <cell r="BC18" t="str">
            <v>ERROR</v>
          </cell>
          <cell r="BD18" t="str">
            <v>ERROR</v>
          </cell>
          <cell r="BE18" t="str">
            <v>ERROR</v>
          </cell>
        </row>
        <row r="19">
          <cell r="A19" t="str">
            <v>Vector|||208006410|||ISSR|||TOT_OPS_EXP|||False|||</v>
          </cell>
          <cell r="C19" t="str">
            <v>V_KEYWORD_ISSR_208006410_TOT_OPS_EXP</v>
          </cell>
        </row>
        <row r="20">
          <cell r="A20" t="str">
            <v>Vector|||208006410|||ISSR|||EBITDA_CALC|||False|||</v>
          </cell>
          <cell r="C20" t="str">
            <v>V_KEYWORD_ISSR_208006410_EBITDA_CALC</v>
          </cell>
        </row>
        <row r="21">
          <cell r="A21" t="str">
            <v>Vector|||208006410|||ISSR|||DEPREC|||False|||</v>
          </cell>
          <cell r="C21" t="str">
            <v>V_KEYWORD_ISSR_208006410_DEPREC</v>
          </cell>
        </row>
        <row r="22">
          <cell r="A22" t="str">
            <v>Vector|||208006410|||ISSR|||GOODWILL_AMORT|||False|||</v>
          </cell>
          <cell r="C22" t="str">
            <v>V_KEYWORD_ISSR_208006410_GOODWILL_AMORT</v>
          </cell>
        </row>
        <row r="23">
          <cell r="A23" t="str">
            <v>Vector|||208006410|||ISSR|||EBIT|||False|||</v>
          </cell>
          <cell r="C23" t="str">
            <v>V_KEYWORD_ISSR_208006410_EBIT</v>
          </cell>
        </row>
        <row r="24">
          <cell r="A24" t="str">
            <v>Vector|||208006410|||ISSR|||INT_INC_IND|||False|||</v>
          </cell>
          <cell r="C24" t="str">
            <v>V_KEYWORD_ISSR_208006410_INT_INC_IND</v>
          </cell>
        </row>
        <row r="25">
          <cell r="A25" t="str">
            <v>Vector|||208006410|||ISSR|||INT_EXP_IND|||False|||</v>
          </cell>
          <cell r="C25" t="str">
            <v>V_KEYWORD_ISSR_208006410_INT_EXP_IND</v>
          </cell>
        </row>
        <row r="26">
          <cell r="A26" t="str">
            <v>Vector|||208006410|||ISSR|||NET_INT_EXP|||False|||</v>
          </cell>
          <cell r="C26" t="str">
            <v>V_KEYWORD_ISSR_208006410_NET_INT_EXP</v>
          </cell>
          <cell r="AX26" t="str">
            <v>ERROR</v>
          </cell>
          <cell r="BC26" t="str">
            <v>ERROR</v>
          </cell>
          <cell r="BD26" t="str">
            <v>ERROR</v>
          </cell>
          <cell r="BE26" t="str">
            <v>ERROR</v>
          </cell>
        </row>
        <row r="27">
          <cell r="A27" t="str">
            <v>Vector|||208006410|||ISSR|||ASSOCIATE|||False|||</v>
          </cell>
          <cell r="C27" t="str">
            <v>V_KEYWORD_ISSR_208006410_ASSOCIATE</v>
          </cell>
          <cell r="AX27" t="str">
            <v>ERROR</v>
          </cell>
          <cell r="BC27" t="str">
            <v>ERROR</v>
          </cell>
          <cell r="BD27" t="str">
            <v>ERROR</v>
          </cell>
          <cell r="BE27" t="str">
            <v>ERROR</v>
          </cell>
        </row>
        <row r="28">
          <cell r="A28" t="str">
            <v>Vector|||208006410|||ISSR|||PROFIT_ON_DISP|||False|||</v>
          </cell>
          <cell r="C28" t="str">
            <v>V_KEYWORD_ISSR_208006410_PROFIT_ON_DISP</v>
          </cell>
          <cell r="AX28" t="str">
            <v>ERROR</v>
          </cell>
          <cell r="BC28" t="str">
            <v>ERROR</v>
          </cell>
          <cell r="BD28" t="str">
            <v>ERROR</v>
          </cell>
          <cell r="BE28" t="str">
            <v>ERROR</v>
          </cell>
        </row>
        <row r="29">
          <cell r="A29" t="str">
            <v>Vector|||208006410|||ISSR|||OTH_COST_INC|||False|||</v>
          </cell>
          <cell r="C29" t="str">
            <v>V_KEYWORD_ISSR_208006410_OTH_COST_INC</v>
          </cell>
          <cell r="AX29" t="str">
            <v>ERROR</v>
          </cell>
          <cell r="BC29" t="str">
            <v>ERROR</v>
          </cell>
          <cell r="BD29" t="str">
            <v>ERROR</v>
          </cell>
          <cell r="BE29" t="str">
            <v>ERROR</v>
          </cell>
        </row>
        <row r="30">
          <cell r="A30" t="str">
            <v>Vector|||208006410|||ISSR|||PT_PROF|||False|||</v>
          </cell>
          <cell r="C30" t="str">
            <v>V_KEYWORD_ISSR_208006410_PT_PROF</v>
          </cell>
        </row>
        <row r="32">
          <cell r="A32" t="str">
            <v>Vector|||208006410|||ISSR|||CONTRIB_MARGIN_RATIO|||False|||</v>
          </cell>
          <cell r="C32" t="str">
            <v>V_KEYWORD_ISSR_208006410_CONTRIB_MARGIN_RATIO</v>
          </cell>
        </row>
        <row r="33">
          <cell r="A33" t="str">
            <v>Vector|||208006410|||ISSR|||LEASE_PAY|||False|||</v>
          </cell>
          <cell r="C33" t="str">
            <v>V_KEYWORD_ISSR_208006410_LEASE_PAY</v>
          </cell>
        </row>
        <row r="34">
          <cell r="A34" t="str">
            <v>Vector|||208006410|||ISSR|||LEASE_DEEM_INT|||False|||</v>
          </cell>
          <cell r="C34" t="str">
            <v>V_KEYWORD_ISSR_208006410_LEASE_DEEM_INT</v>
          </cell>
        </row>
        <row r="35">
          <cell r="A35" t="str">
            <v>Vector|||208006410|||ISSR|||LEASE_DEEM_DEPR|||False|||</v>
          </cell>
          <cell r="C35" t="str">
            <v>V_KEYWORD_ISSR_208006410_LEASE_DEEM_DEPR</v>
          </cell>
        </row>
        <row r="36">
          <cell r="A36" t="str">
            <v>Vector|||208006410|||ISSR|||NET_INT_CH|||False|||</v>
          </cell>
          <cell r="C36" t="str">
            <v>V_KEYWORD_ISSR_208006410_NET_INT_CH</v>
          </cell>
        </row>
        <row r="37">
          <cell r="A37" t="str">
            <v>Vector|||208006410|||ISSR|||ASSOCIATE_OP|||False|||</v>
          </cell>
          <cell r="C37" t="str">
            <v>V_KEYWORD_ISSR_208006410_ASSOCIATE_OP</v>
          </cell>
        </row>
        <row r="39">
          <cell r="A39" t="str">
            <v>Vector|||208006410|||ISSR|||CASH_EQ|||False|||</v>
          </cell>
          <cell r="C39" t="str">
            <v>V_KEYWORD_ISSR_208006410_CASH_EQ</v>
          </cell>
        </row>
        <row r="40">
          <cell r="A40" t="str">
            <v>Vector|||208006410|||ISSR|||DEBTORS|||False|||</v>
          </cell>
          <cell r="C40" t="str">
            <v>V_KEYWORD_ISSR_208006410_DEBTORS</v>
          </cell>
        </row>
        <row r="41">
          <cell r="A41" t="str">
            <v>Vector|||208006410|||ISSR|||STOCKS|||False|||</v>
          </cell>
          <cell r="C41" t="str">
            <v>V_KEYWORD_ISSR_208006410_STOCKS</v>
          </cell>
        </row>
        <row r="42">
          <cell r="A42" t="str">
            <v>Vector|||208006410|||ISSR|||OTH_CUR_ASS|||False|||</v>
          </cell>
          <cell r="C42" t="str">
            <v>V_KEYWORD_ISSR_208006410_OTH_CUR_ASS</v>
          </cell>
        </row>
        <row r="43">
          <cell r="A43" t="str">
            <v>Vector|||208006410|||ISSR|||CUR_ASS|||False|||</v>
          </cell>
          <cell r="C43" t="str">
            <v>V_KEYWORD_ISSR_208006410_CUR_ASS</v>
          </cell>
        </row>
        <row r="44">
          <cell r="A44" t="str">
            <v>Vector|||208006410|||ISSR|||GR_FIX_ASS|||False|||</v>
          </cell>
          <cell r="C44" t="str">
            <v>V_KEYWORD_ISSR_208006410_GR_FIX_ASS</v>
          </cell>
        </row>
        <row r="45">
          <cell r="A45" t="str">
            <v>Vector|||208006410|||ISSR|||ACC_DDA|||False|||</v>
          </cell>
          <cell r="C45" t="str">
            <v>V_KEYWORD_ISSR_208006410_ACC_DDA</v>
          </cell>
        </row>
        <row r="46">
          <cell r="A46" t="str">
            <v>Vector|||208006410|||ISSR|||NET_FIX_ASS|||False|||</v>
          </cell>
          <cell r="C46" t="str">
            <v>V_KEYWORD_ISSR_208006410_NET_FIX_ASS</v>
          </cell>
        </row>
        <row r="47">
          <cell r="A47" t="str">
            <v>Vector|||208006410|||ISSR|||GR_INTANG|||False|||</v>
          </cell>
          <cell r="C47" t="str">
            <v>V_KEYWORD_ISSR_208006410_GR_INTANG</v>
          </cell>
        </row>
        <row r="48">
          <cell r="A48" t="str">
            <v>Vector|||208006410|||ISSR|||ACC_AMORT|||False|||</v>
          </cell>
          <cell r="C48" t="str">
            <v>V_KEYWORD_ISSR_208006410_ACC_AMORT</v>
          </cell>
        </row>
        <row r="49">
          <cell r="A49" t="str">
            <v>Vector|||208006410|||ISSR|||NET_INTANG|||False|||</v>
          </cell>
          <cell r="C49" t="str">
            <v>V_KEYWORD_ISSR_208006410_NET_INTANG</v>
          </cell>
        </row>
        <row r="50">
          <cell r="A50" t="str">
            <v>Vector|||208006410|||ISSR|||FIX_ASS_INV|||False|||</v>
          </cell>
          <cell r="C50" t="str">
            <v>V_KEYWORD_ISSR_208006410_FIX_ASS_INV</v>
          </cell>
        </row>
        <row r="51">
          <cell r="A51" t="str">
            <v>Vector|||208006410|||ISSR|||INV_SECUR|||False|||</v>
          </cell>
          <cell r="C51" t="str">
            <v>V_KEYWORD_ISSR_208006410_INV_SECUR</v>
          </cell>
        </row>
        <row r="52">
          <cell r="A52" t="str">
            <v>Vector|||208006410|||ISSR|||OTH_LT_ASS|||False|||</v>
          </cell>
          <cell r="C52" t="str">
            <v>V_KEYWORD_ISSR_208006410_OTH_LT_ASS</v>
          </cell>
        </row>
        <row r="53">
          <cell r="A53" t="str">
            <v>Vector|||208006410|||ISSR|||TOT_ASSET|||False|||</v>
          </cell>
          <cell r="C53" t="str">
            <v>V_KEYWORD_ISSR_208006410_TOT_ASSET</v>
          </cell>
        </row>
        <row r="54">
          <cell r="A54" t="str">
            <v>Vector|||208006410|||ISSR|||ACC_PAY_GQ|||False|||</v>
          </cell>
          <cell r="C54" t="str">
            <v>V_KEYWORD_ISSR_208006410_ACC_PAY_GQ</v>
          </cell>
        </row>
        <row r="55">
          <cell r="A55" t="str">
            <v>Vector|||208006410|||ISSR|||SHORT_T_DEBT|||False|||</v>
          </cell>
          <cell r="C55" t="str">
            <v>V_KEYWORD_ISSR_208006410_SHORT_T_DEBT</v>
          </cell>
        </row>
        <row r="56">
          <cell r="A56" t="str">
            <v>Vector|||208006410|||ISSR|||OTH_CUR_LIABS|||False|||</v>
          </cell>
          <cell r="C56" t="str">
            <v>V_KEYWORD_ISSR_208006410_OTH_CUR_LIABS</v>
          </cell>
        </row>
        <row r="57">
          <cell r="A57" t="str">
            <v>Vector|||208006410|||ISSR|||SHORT_TERM_LIABS|||False|||</v>
          </cell>
          <cell r="C57" t="str">
            <v>V_KEYWORD_ISSR_208006410_SHORT_TERM_LIABS</v>
          </cell>
        </row>
        <row r="58">
          <cell r="A58" t="str">
            <v>Vector|||208006410|||ISSR|||LT_DEBT|||False|||</v>
          </cell>
          <cell r="C58" t="str">
            <v>V_KEYWORD_ISSR_208006410_LT_DEBT</v>
          </cell>
        </row>
        <row r="59">
          <cell r="A59" t="str">
            <v>Vector|||208006410|||ISSR|||OTH_LT_CRED_GQ|||False|||</v>
          </cell>
          <cell r="C59" t="str">
            <v>V_KEYWORD_ISSR_208006410_OTH_LT_CRED_GQ</v>
          </cell>
        </row>
        <row r="60">
          <cell r="A60" t="str">
            <v>Vector|||208006410|||ISSR|||TOT_LT_LIAB|||False|||</v>
          </cell>
          <cell r="C60" t="str">
            <v>V_KEYWORD_ISSR_208006410_TOT_LT_LIAB</v>
          </cell>
        </row>
        <row r="61">
          <cell r="A61" t="str">
            <v>Vector|||208006410|||ISSR|||TOT_LIAB|||False|||</v>
          </cell>
          <cell r="C61" t="str">
            <v>V_KEYWORD_ISSR_208006410_TOT_LIAB</v>
          </cell>
        </row>
        <row r="62">
          <cell r="A62" t="str">
            <v>Vector|||208006410|||ISSR|||PREF_SH|||False|||</v>
          </cell>
          <cell r="C62" t="str">
            <v>V_KEYWORD_ISSR_208006410_PREF_SH</v>
          </cell>
        </row>
        <row r="63">
          <cell r="A63" t="str">
            <v>Vector|||208006410|||ISSR|||ORD_SH_FUND|||False|||</v>
          </cell>
          <cell r="C63" t="str">
            <v>V_KEYWORD_ISSR_208006410_ORD_SH_FUND</v>
          </cell>
        </row>
        <row r="64">
          <cell r="A64" t="str">
            <v>Vector|||208006410|||ISSR|||MINORITIES|||False|||</v>
          </cell>
          <cell r="C64" t="str">
            <v>V_KEYWORD_ISSR_208006410_MINORITIES</v>
          </cell>
        </row>
        <row r="65">
          <cell r="A65" t="str">
            <v>Vector|||208006410|||ISSR|||EQ|||False|||</v>
          </cell>
          <cell r="C65" t="str">
            <v>V_KEYWORD_ISSR_208006410_EQ</v>
          </cell>
        </row>
        <row r="66">
          <cell r="A66" t="str">
            <v>Vector|||208006410|||ISSR|||TOT_LIAB_EQ|||False|||</v>
          </cell>
          <cell r="C66" t="str">
            <v>V_KEYWORD_ISSR_208006410_TOT_LIAB_EQ</v>
          </cell>
        </row>
        <row r="68">
          <cell r="A68" t="str">
            <v>Vector|||208006410|||ISSR|||TOT_USD_DEBT|||False|||</v>
          </cell>
          <cell r="C68" t="str">
            <v>V_KEYWORD_ISSR_208006410_TOT_USD_DEBT</v>
          </cell>
        </row>
        <row r="69">
          <cell r="A69" t="str">
            <v>Vector|||208006410|||ISSR|||TOT_PCT_USD_DEBT_HEDGED|||False|||</v>
          </cell>
          <cell r="C69" t="str">
            <v>V_KEYWORD_ISSR_208006410_TOT_PCT_USD_DEBT_HEDGED</v>
          </cell>
        </row>
        <row r="70">
          <cell r="A70" t="str">
            <v>Vector|||208006410|||ISSR|||FLOATING_PCT_LOCAL_DEBT|||False|||</v>
          </cell>
          <cell r="C70" t="str">
            <v>V_KEYWORD_ISSR_208006410_FLOATING_PCT_LOCAL_DEBT</v>
          </cell>
        </row>
        <row r="71">
          <cell r="A71" t="str">
            <v>Vector|||208006410|||ISSR|||FLOATING_PCT_LOCAL_DEBT_HEDGED|||False|||</v>
          </cell>
          <cell r="C71" t="str">
            <v>V_KEYWORD_ISSR_208006410_FLOATING_PCT_LOCAL_DEBT_HEDGED</v>
          </cell>
        </row>
        <row r="72">
          <cell r="A72" t="str">
            <v>Vector|||208006410|||ISSR|||NET_DEBT|||False|||</v>
          </cell>
          <cell r="C72" t="str">
            <v>V_KEYWORD_ISSR_208006410_NET_DEBT</v>
          </cell>
        </row>
        <row r="73">
          <cell r="A73" t="str">
            <v>Vector|||208006410|||ISSR|||CAP_LEASES|||False|||</v>
          </cell>
          <cell r="C73" t="str">
            <v>V_KEYWORD_ISSR_208006410_CAP_LEASES</v>
          </cell>
        </row>
        <row r="74">
          <cell r="A74" t="str">
            <v>Vector|||208006410|||ISSR|||DEF_INC_TAX|||False|||</v>
          </cell>
          <cell r="C74" t="str">
            <v>V_KEYWORD_ISSR_208006410_DEF_INC_TAX</v>
          </cell>
        </row>
        <row r="75">
          <cell r="A75" t="str">
            <v>Vector|||208006410|||ISSR|||MV_ASSOCIATES|||False|||</v>
          </cell>
          <cell r="C75" t="str">
            <v>V_KEYWORD_ISSR_208006410_MV_ASSOCIATES</v>
          </cell>
        </row>
        <row r="76">
          <cell r="A76" t="str">
            <v>Vector|||208006410|||ISSR|||NET_DEBT_ADJ|||False|||</v>
          </cell>
          <cell r="C76" t="str">
            <v>V_KEYWORD_ISSR_208006410_NET_DEBT_ADJ</v>
          </cell>
        </row>
        <row r="77">
          <cell r="A77" t="str">
            <v>Vector|||208006410|||ISSR|||CO_BOR_MARGIN|||False|||</v>
          </cell>
          <cell r="C77" t="str">
            <v>V_KEYWORD_ISSR_208006410_CO_BOR_MARGIN</v>
          </cell>
        </row>
        <row r="78">
          <cell r="A78" t="str">
            <v>Vector|||208006410|||ISSR|||UNF_PENS|||False|||</v>
          </cell>
          <cell r="C78" t="str">
            <v>V_KEYWORD_ISSR_208006410_UNF_PENS</v>
          </cell>
        </row>
        <row r="79">
          <cell r="A79" t="str">
            <v>Vector|||208006410|||ISSR|||UNF_PENS_OFF|||False|||</v>
          </cell>
          <cell r="C79" t="str">
            <v>V_KEYWORD_ISSR_208006410_UNF_PENS_OFF</v>
          </cell>
        </row>
        <row r="80">
          <cell r="A80" t="str">
            <v>Vector|||208006410|||ISSR|||UNF_PENS_LIAB_OTH|||False|||</v>
          </cell>
          <cell r="C80" t="str">
            <v>V_KEYWORD_ISSR_208006410_UNF_PENS_LIAB_OTH</v>
          </cell>
        </row>
        <row r="81">
          <cell r="A81" t="str">
            <v>Vector|||208006410|||ISSR|||ADJ_UNF_PENS_GOOD|||False|||</v>
          </cell>
          <cell r="C81" t="str">
            <v>V_KEYWORD_ISSR_208006410_ADJ_UNF_PENS_GOOD</v>
          </cell>
        </row>
        <row r="82">
          <cell r="A82" t="str">
            <v>Vector|||208006410|||ISSR|||OTH_GCI_ADJ|||False|||</v>
          </cell>
          <cell r="C82" t="str">
            <v>V_KEYWORD_ISSR_208006410_OTH_GCI_ADJ</v>
          </cell>
        </row>
        <row r="83">
          <cell r="A83" t="str">
            <v>Vector|||208006410|||ISSR|||GCI_INFL|||False|||</v>
          </cell>
          <cell r="C83" t="str">
            <v>V_KEYWORD_ISSR_208006410_GCI_INFL</v>
          </cell>
        </row>
        <row r="84">
          <cell r="A84" t="str">
            <v>Vector|||208006410|||ISSR|||BAL_MINO_INT|||False|||</v>
          </cell>
          <cell r="C84" t="str">
            <v>V_KEYWORD_ISSR_208006410_BAL_MINO_INT</v>
          </cell>
        </row>
        <row r="86">
          <cell r="A86" t="str">
            <v>Vector|||208006410|||ISSR|||CF_INC_MINORITY|||False|||</v>
          </cell>
          <cell r="C86" t="str">
            <v>V_KEYWORD_ISSR_208006410_CF_INC_MINORITY</v>
          </cell>
        </row>
        <row r="87">
          <cell r="A87" t="str">
            <v>Vector|||208006410|||ISSR|||DEPR_AMORT|||False|||</v>
          </cell>
          <cell r="C87" t="str">
            <v>V_KEYWORD_ISSR_208006410_DEPR_AMORT</v>
          </cell>
        </row>
        <row r="88">
          <cell r="A88" t="str">
            <v>Vector|||208006410|||ISSR|||WORK_CAP|||False|||</v>
          </cell>
          <cell r="C88" t="str">
            <v>V_KEYWORD_ISSR_208006410_WORK_CAP</v>
          </cell>
        </row>
        <row r="89">
          <cell r="A89" t="str">
            <v>Vector|||208006410|||ISSR|||OTH_OP_CF|||False|||</v>
          </cell>
          <cell r="C89" t="str">
            <v>V_KEYWORD_ISSR_208006410_OTH_OP_CF</v>
          </cell>
        </row>
        <row r="90">
          <cell r="A90" t="str">
            <v>Vector|||208006410|||ISSR|||CF_OPS|||False|||</v>
          </cell>
          <cell r="C90" t="str">
            <v>V_KEYWORD_ISSR_208006410_CF_OPS</v>
          </cell>
        </row>
        <row r="91">
          <cell r="A91" t="str">
            <v>Vector|||208006410|||ISSR|||CAPEX|||False|||</v>
          </cell>
          <cell r="C91" t="str">
            <v>V_KEYWORD_ISSR_208006410_CAPEX</v>
          </cell>
        </row>
        <row r="92">
          <cell r="A92" t="str">
            <v>Vector|||208006410|||ISSR|||ACQ|||False|||</v>
          </cell>
          <cell r="C92" t="str">
            <v>V_KEYWORD_ISSR_208006410_ACQ</v>
          </cell>
        </row>
        <row r="93">
          <cell r="A93" t="str">
            <v>Vector|||208006410|||ISSR|||DIVEST|||False|||</v>
          </cell>
          <cell r="C93" t="str">
            <v>V_KEYWORD_ISSR_208006410_DIVEST</v>
          </cell>
        </row>
        <row r="94">
          <cell r="A94" t="str">
            <v>Vector|||208006410|||ISSR|||OTH_INV_CF|||False|||</v>
          </cell>
          <cell r="C94" t="str">
            <v>V_KEYWORD_ISSR_208006410_OTH_INV_CF</v>
          </cell>
        </row>
        <row r="95">
          <cell r="A95" t="str">
            <v>Vector|||208006410|||ISSR|||CF_INV|||False|||</v>
          </cell>
          <cell r="C95" t="str">
            <v>V_KEYWORD_ISSR_208006410_CF_INV</v>
          </cell>
        </row>
        <row r="96">
          <cell r="A96" t="str">
            <v>Vector|||208006410|||ISSR|||DIV_PAID|||False|||</v>
          </cell>
          <cell r="C96" t="str">
            <v>V_KEYWORD_ISSR_208006410_DIV_PAID</v>
          </cell>
        </row>
        <row r="97">
          <cell r="A97" t="str">
            <v>Vector|||208006410|||ISSR|||SH_REPUR|||False|||</v>
          </cell>
          <cell r="C97" t="str">
            <v>V_KEYWORD_ISSR_208006410_SH_REPUR</v>
          </cell>
        </row>
        <row r="98">
          <cell r="A98" t="str">
            <v>Vector|||208006410|||ISSR|||CHG_LT_DEBT|||False|||</v>
          </cell>
          <cell r="C98" t="str">
            <v>V_KEYWORD_ISSR_208006410_CHG_LT_DEBT</v>
          </cell>
        </row>
        <row r="99">
          <cell r="A99" t="str">
            <v>Vector|||208006410|||ISSR|||OTH_FIN_CF|||False|||</v>
          </cell>
          <cell r="C99" t="str">
            <v>V_KEYWORD_ISSR_208006410_OTH_FIN_CF</v>
          </cell>
        </row>
        <row r="100">
          <cell r="A100" t="str">
            <v>Vector|||208006410|||ISSR|||CF_FIN|||False|||</v>
          </cell>
          <cell r="C100" t="str">
            <v>V_KEYWORD_ISSR_208006410_CF_FIN</v>
          </cell>
        </row>
        <row r="101">
          <cell r="A101" t="str">
            <v>Vector|||208006410|||ISSR|||TOT_CF|||False|||</v>
          </cell>
          <cell r="C101" t="str">
            <v>V_KEYWORD_ISSR_208006410_TOT_CF</v>
          </cell>
        </row>
        <row r="103">
          <cell r="A103" t="str">
            <v>Vector|||208006410|||ISSR|||ASSOC_JV_ADDBK|||False|||</v>
          </cell>
          <cell r="C103" t="str">
            <v>V_KEYWORD_ISSR_208006410_ASSOC_JV_ADDBK</v>
          </cell>
        </row>
        <row r="104">
          <cell r="A104" t="str">
            <v>Vector|||208006410|||ISSR|||PL_SALE_ASSETS|||False|||</v>
          </cell>
          <cell r="C104" t="str">
            <v>V_KEYWORD_ISSR_208006410_PL_SALE_ASSETS</v>
          </cell>
        </row>
        <row r="105">
          <cell r="A105" t="str">
            <v>Vector|||208006410|||ISSR|||OTH_NONCASH_ADJ|||False|||</v>
          </cell>
          <cell r="C105" t="str">
            <v>V_KEYWORD_ISSR_208006410_OTH_NONCASH_ADJ</v>
          </cell>
        </row>
        <row r="106">
          <cell r="A106" t="str">
            <v>Vector|||208006410|||ISSR|||OTH_DACF_ADJ|||False|||</v>
          </cell>
          <cell r="C106" t="str">
            <v>V_KEYWORD_ISSR_208006410_OTH_DACF_ADJ</v>
          </cell>
        </row>
        <row r="107">
          <cell r="A107" t="str">
            <v>Vector|||208006410|||ISSR|||CASH_INT_EXP|||False|||</v>
          </cell>
          <cell r="C107" t="str">
            <v>V_KEYWORD_ISSR_208006410_CASH_INT_EXP</v>
          </cell>
        </row>
        <row r="108">
          <cell r="A108" t="str">
            <v>Vector|||208006410|||ISSR|||CASH_TAX_EXP|||False|||</v>
          </cell>
          <cell r="C108" t="str">
            <v>V_KEYWORD_ISSR_208006410_CASH_TAX_EXP</v>
          </cell>
        </row>
        <row r="109">
          <cell r="A109" t="str">
            <v>Vector|||208006410|||ISSR|||DIVDS_ASSOC_JV|||False|||</v>
          </cell>
          <cell r="C109" t="str">
            <v>V_KEYWORD_ISSR_208006410_DIVDS_ASSOC_JV</v>
          </cell>
        </row>
        <row r="110">
          <cell r="A110" t="str">
            <v>Vector|||208006410|||ISSR|||CAPEX_MAINTENANCE|||False|||</v>
          </cell>
          <cell r="C110" t="str">
            <v>V_KEYWORD_ISSR_208006410_CAPEX_MAINTENANCE</v>
          </cell>
        </row>
        <row r="111">
          <cell r="A111" t="str">
            <v>Vector|||208006410|||ISSR|||CAPEX_EXPANSION|||False|||</v>
          </cell>
          <cell r="C111" t="str">
            <v>V_KEYWORD_ISSR_208006410_CAPEX_EXPANSION</v>
          </cell>
        </row>
        <row r="112">
          <cell r="A112" t="str">
            <v>Vector|||208006410|||ISSR|||NONPPE_CAPEX|||False|||</v>
          </cell>
          <cell r="C112" t="str">
            <v>V_KEYWORD_ISSR_208006410_NONPPE_CAPEX</v>
          </cell>
        </row>
        <row r="113">
          <cell r="A113" t="str">
            <v>Vector|||208006410|||ISSR|||DIVDS_PD_MINORITIES|||False|||</v>
          </cell>
          <cell r="C113" t="str">
            <v>V_KEYWORD_ISSR_208006410_DIVDS_PD_MINORITIES</v>
          </cell>
        </row>
        <row r="115">
          <cell r="A115" t="str">
            <v>Vector|||208006410|||ISSR|||EMPLOYEES|||False|||</v>
          </cell>
          <cell r="C115" t="str">
            <v>V_KEYWORD_ISSR_208006410_EMPLOYEES</v>
          </cell>
        </row>
        <row r="117">
          <cell r="A117" t="str">
            <v>Vector|||208006410|||ISSR|||SALES_CANADA|||False|||</v>
          </cell>
          <cell r="C117" t="str">
            <v>V_KEYWORD_ISSR_208006410_SALES_CANADA</v>
          </cell>
        </row>
        <row r="118">
          <cell r="A118" t="str">
            <v>Vector|||208006410|||ISSR|||SALES_US|||False|||</v>
          </cell>
          <cell r="C118" t="str">
            <v>V_KEYWORD_ISSR_208006410_SALES_US</v>
          </cell>
        </row>
        <row r="119">
          <cell r="A119" t="str">
            <v>Vector|||208006410|||ISSR|||SALES_OTH_NO_AMER|||False|||</v>
          </cell>
          <cell r="C119" t="str">
            <v>V_KEYWORD_ISSR_208006410_SALES_OTH_NO_AMER</v>
          </cell>
        </row>
        <row r="120">
          <cell r="A120" t="str">
            <v>Vector|||208006410|||ISSR|||SALES_ARGENTINA|||False|||</v>
          </cell>
          <cell r="C120" t="str">
            <v>V_KEYWORD_ISSR_208006410_SALES_ARGENTINA</v>
          </cell>
        </row>
        <row r="121">
          <cell r="A121" t="str">
            <v>Vector|||208006410|||ISSR|||SALES_BRAZIL|||False|||</v>
          </cell>
          <cell r="C121" t="str">
            <v>V_KEYWORD_ISSR_208006410_SALES_BRAZIL</v>
          </cell>
        </row>
        <row r="122">
          <cell r="A122" t="str">
            <v>Vector|||208006410|||ISSR|||SALES_CHILE|||False|||</v>
          </cell>
          <cell r="C122" t="str">
            <v>V_KEYWORD_ISSR_208006410_SALES_CHILE</v>
          </cell>
        </row>
        <row r="123">
          <cell r="A123" t="str">
            <v>Vector|||208006410|||ISSR|||SALES_COLOMBIA|||False|||</v>
          </cell>
          <cell r="C123" t="str">
            <v>V_KEYWORD_ISSR_208006410_SALES_COLOMBIA</v>
          </cell>
        </row>
        <row r="124">
          <cell r="A124" t="str">
            <v>Vector|||208006410|||ISSR|||SALES_MEXICO|||False|||</v>
          </cell>
          <cell r="C124" t="str">
            <v>V_KEYWORD_ISSR_208006410_SALES_MEXICO</v>
          </cell>
        </row>
        <row r="125">
          <cell r="A125" t="str">
            <v>Vector|||208006410|||ISSR|||SALES_VENEZUELA|||False|||</v>
          </cell>
          <cell r="C125" t="str">
            <v>V_KEYWORD_ISSR_208006410_SALES_VENEZUELA</v>
          </cell>
        </row>
        <row r="126">
          <cell r="A126" t="str">
            <v>Vector|||208006410|||ISSR|||SALES_OTH_LATAM|||False|||</v>
          </cell>
          <cell r="C126" t="str">
            <v>V_KEYWORD_ISSR_208006410_SALES_OTH_LATAM</v>
          </cell>
        </row>
        <row r="127">
          <cell r="A127" t="str">
            <v>Vector|||208006410|||ISSR|||SALES_AUSTRIA|||False|||</v>
          </cell>
          <cell r="C127" t="str">
            <v>V_KEYWORD_ISSR_208006410_SALES_AUSTRIA</v>
          </cell>
        </row>
        <row r="128">
          <cell r="A128" t="str">
            <v>Vector|||208006410|||ISSR|||SALES_BEL|||False|||</v>
          </cell>
          <cell r="C128" t="str">
            <v>V_KEYWORD_ISSR_208006410_SALES_BEL</v>
          </cell>
        </row>
        <row r="129">
          <cell r="A129" t="str">
            <v>Vector|||208006410|||ISSR|||SALES_FRA|||False|||</v>
          </cell>
          <cell r="C129" t="str">
            <v>V_KEYWORD_ISSR_208006410_SALES_FRA</v>
          </cell>
        </row>
        <row r="130">
          <cell r="A130" t="str">
            <v>Vector|||208006410|||ISSR|||SALES_GER|||False|||</v>
          </cell>
          <cell r="C130" t="str">
            <v>V_KEYWORD_ISSR_208006410_SALES_GER</v>
          </cell>
        </row>
        <row r="131">
          <cell r="A131" t="str">
            <v>Vector|||208006410|||ISSR|||SALES_GRE|||False|||</v>
          </cell>
          <cell r="C131" t="str">
            <v>V_KEYWORD_ISSR_208006410_SALES_GRE</v>
          </cell>
        </row>
        <row r="132">
          <cell r="A132" t="str">
            <v>Vector|||208006410|||ISSR|||SALES_IRE|||False|||</v>
          </cell>
          <cell r="C132" t="str">
            <v>V_KEYWORD_ISSR_208006410_SALES_IRE</v>
          </cell>
        </row>
        <row r="133">
          <cell r="A133" t="str">
            <v>Vector|||208006410|||ISSR|||SALES_ITA|||False|||</v>
          </cell>
          <cell r="C133" t="str">
            <v>V_KEYWORD_ISSR_208006410_SALES_ITA</v>
          </cell>
        </row>
        <row r="134">
          <cell r="A134" t="str">
            <v>Vector|||208006410|||ISSR|||SALES_NETH|||False|||</v>
          </cell>
          <cell r="C134" t="str">
            <v>V_KEYWORD_ISSR_208006410_SALES_NETH</v>
          </cell>
        </row>
        <row r="135">
          <cell r="A135" t="str">
            <v>Vector|||208006410|||ISSR|||SALES_NOR|||False|||</v>
          </cell>
          <cell r="C135" t="str">
            <v>V_KEYWORD_ISSR_208006410_SALES_NOR</v>
          </cell>
        </row>
        <row r="136">
          <cell r="A136" t="str">
            <v>Vector|||208006410|||ISSR|||SALES_POR|||False|||</v>
          </cell>
          <cell r="C136" t="str">
            <v>V_KEYWORD_ISSR_208006410_SALES_POR</v>
          </cell>
        </row>
        <row r="137">
          <cell r="A137" t="str">
            <v>Vector|||208006410|||ISSR|||SALES_SPA|||False|||</v>
          </cell>
          <cell r="C137" t="str">
            <v>V_KEYWORD_ISSR_208006410_SALES_SPA</v>
          </cell>
        </row>
        <row r="138">
          <cell r="A138" t="str">
            <v>Vector|||208006410|||ISSR|||SALES_SWE|||False|||</v>
          </cell>
          <cell r="C138" t="str">
            <v>V_KEYWORD_ISSR_208006410_SALES_SWE</v>
          </cell>
        </row>
        <row r="139">
          <cell r="A139" t="str">
            <v>Vector|||208006410|||ISSR|||SALES_SWIT|||False|||</v>
          </cell>
          <cell r="C139" t="str">
            <v>V_KEYWORD_ISSR_208006410_SALES_SWIT</v>
          </cell>
        </row>
        <row r="140">
          <cell r="A140" t="str">
            <v>Vector|||208006410|||ISSR|||SALES_UK|||False|||</v>
          </cell>
          <cell r="C140" t="str">
            <v>V_KEYWORD_ISSR_208006410_SALES_UK</v>
          </cell>
        </row>
        <row r="141">
          <cell r="A141" t="str">
            <v>Vector|||208006410|||ISSR|||SALES_OTH_WEST_EURO|||False|||</v>
          </cell>
          <cell r="C141" t="str">
            <v>V_KEYWORD_ISSR_208006410_SALES_OTH_WEST_EURO</v>
          </cell>
        </row>
        <row r="142">
          <cell r="A142" t="str">
            <v>Vector|||208006410|||ISSR|||SALES_POLAND|||False|||</v>
          </cell>
          <cell r="C142" t="str">
            <v>V_KEYWORD_ISSR_208006410_SALES_POLAND</v>
          </cell>
        </row>
        <row r="143">
          <cell r="A143" t="str">
            <v>Vector|||208006410|||ISSR|||SALES_RUSSIA|||False|||</v>
          </cell>
          <cell r="C143" t="str">
            <v>V_KEYWORD_ISSR_208006410_SALES_RUSSIA</v>
          </cell>
        </row>
        <row r="144">
          <cell r="A144" t="str">
            <v>Vector|||208006410|||ISSR|||SALES_TURKEY|||False|||</v>
          </cell>
          <cell r="C144" t="str">
            <v>V_KEYWORD_ISSR_208006410_SALES_TURKEY</v>
          </cell>
        </row>
        <row r="145">
          <cell r="A145" t="str">
            <v>Vector|||208006410|||ISSR|||SALES_OTH_CEE|||False|||</v>
          </cell>
          <cell r="C145" t="str">
            <v>V_KEYWORD_ISSR_208006410_SALES_OTH_CEE</v>
          </cell>
        </row>
        <row r="146">
          <cell r="A146" t="str">
            <v>Vector|||208006410|||ISSR|||SALES_SAUDI_ARABIA|||False|||</v>
          </cell>
          <cell r="C146" t="str">
            <v>V_KEYWORD_ISSR_208006410_SALES_SAUDI_ARABIA</v>
          </cell>
        </row>
        <row r="147">
          <cell r="A147" t="str">
            <v>Vector|||208006410|||ISSR|||SALES_UAE|||False|||</v>
          </cell>
          <cell r="C147" t="str">
            <v>V_KEYWORD_ISSR_208006410_SALES_UAE</v>
          </cell>
        </row>
        <row r="148">
          <cell r="A148" t="str">
            <v>Vector|||208006410|||ISSR|||SALES_OTH_ME|||False|||</v>
          </cell>
          <cell r="C148" t="str">
            <v>V_KEYWORD_ISSR_208006410_SALES_OTH_ME</v>
          </cell>
        </row>
        <row r="149">
          <cell r="A149" t="str">
            <v>Vector|||208006410|||ISSR|||SALES_NIGERIA|||False|||</v>
          </cell>
          <cell r="C149" t="str">
            <v>V_KEYWORD_ISSR_208006410_SALES_NIGERIA</v>
          </cell>
        </row>
        <row r="150">
          <cell r="A150" t="str">
            <v>Vector|||208006410|||ISSR|||SALES_SO_AFRICA|||False|||</v>
          </cell>
          <cell r="C150" t="str">
            <v>V_KEYWORD_ISSR_208006410_SALES_SO_AFRICA</v>
          </cell>
        </row>
        <row r="151">
          <cell r="A151" t="str">
            <v>Vector|||208006410|||ISSR|||SALES_OTH_AFRICA|||False|||</v>
          </cell>
          <cell r="C151" t="str">
            <v>V_KEYWORD_ISSR_208006410_SALES_OTH_AFRICA</v>
          </cell>
        </row>
        <row r="152">
          <cell r="A152" t="str">
            <v>Vector|||208006410|||ISSR|||SALES_HONG_KONG|||False|||</v>
          </cell>
          <cell r="C152" t="str">
            <v>V_KEYWORD_ISSR_208006410_SALES_HONG_KONG</v>
          </cell>
        </row>
        <row r="153">
          <cell r="A153" t="str">
            <v>Vector|||208006410|||ISSR|||SALES_JAPAN|||False|||</v>
          </cell>
          <cell r="C153" t="str">
            <v>V_KEYWORD_ISSR_208006410_SALES_JAPAN</v>
          </cell>
        </row>
        <row r="154">
          <cell r="A154" t="str">
            <v>Vector|||208006410|||ISSR|||SALES_SINGAPORE|||False|||</v>
          </cell>
          <cell r="C154" t="str">
            <v>V_KEYWORD_ISSR_208006410_SALES_SINGAPORE</v>
          </cell>
        </row>
        <row r="155">
          <cell r="A155" t="str">
            <v>Vector|||208006410|||ISSR|||SALES_SK|||False|||</v>
          </cell>
          <cell r="C155" t="str">
            <v>V_KEYWORD_ISSR_208006410_SALES_SK</v>
          </cell>
        </row>
        <row r="156">
          <cell r="A156" t="str">
            <v>Vector|||208006410|||ISSR|||SALES_TAIWAN|||False|||</v>
          </cell>
          <cell r="C156" t="str">
            <v>V_KEYWORD_ISSR_208006410_SALES_TAIWAN</v>
          </cell>
        </row>
        <row r="157">
          <cell r="A157" t="str">
            <v>Vector|||208006410|||ISSR|||SALES_OTH_DEV_ASIA|||False|||</v>
          </cell>
          <cell r="C157" t="str">
            <v>V_KEYWORD_ISSR_208006410_SALES_OTH_DEV_ASIA</v>
          </cell>
        </row>
        <row r="158">
          <cell r="A158" t="str">
            <v>Vector|||208006410|||ISSR|||SALES_CHINA|||False|||</v>
          </cell>
          <cell r="C158" t="str">
            <v>V_KEYWORD_ISSR_208006410_SALES_CHINA</v>
          </cell>
        </row>
        <row r="159">
          <cell r="A159" t="str">
            <v>Vector|||208006410|||ISSR|||SALES_INDIA|||False|||</v>
          </cell>
          <cell r="C159" t="str">
            <v>V_KEYWORD_ISSR_208006410_SALES_INDIA</v>
          </cell>
        </row>
        <row r="160">
          <cell r="A160" t="str">
            <v>Vector|||208006410|||ISSR|||SALES_INDONESIA|||False|||</v>
          </cell>
          <cell r="C160" t="str">
            <v>V_KEYWORD_ISSR_208006410_SALES_INDONESIA</v>
          </cell>
        </row>
        <row r="161">
          <cell r="A161" t="str">
            <v>Vector|||208006410|||ISSR|||SALES_THAILAND|||False|||</v>
          </cell>
          <cell r="C161" t="str">
            <v>V_KEYWORD_ISSR_208006410_SALES_THAILAND</v>
          </cell>
        </row>
        <row r="162">
          <cell r="A162" t="str">
            <v>Vector|||208006410|||ISSR|||SALES_OTH_EMERG_ASIA|||False|||</v>
          </cell>
          <cell r="C162" t="str">
            <v>V_KEYWORD_ISSR_208006410_SALES_OTH_EMERG_ASIA</v>
          </cell>
        </row>
        <row r="163">
          <cell r="A163" t="str">
            <v>Vector|||208006410|||ISSR|||SALES_AUSTRA|||False|||</v>
          </cell>
          <cell r="C163" t="str">
            <v>V_KEYWORD_ISSR_208006410_SALES_AUSTRA</v>
          </cell>
        </row>
        <row r="164">
          <cell r="A164" t="str">
            <v>Vector|||208006410|||ISSR|||SALES_NZ|||False|||</v>
          </cell>
          <cell r="C164" t="str">
            <v>V_KEYWORD_ISSR_208006410_SALES_NZ</v>
          </cell>
        </row>
        <row r="165">
          <cell r="A165" t="str">
            <v>Vector|||208006410|||ISSR|||SALES_OTHER|||False|||</v>
          </cell>
          <cell r="C165" t="str">
            <v>V_KEYWORD_ISSR_208006410_SALES_OTHER</v>
          </cell>
        </row>
        <row r="166">
          <cell r="A166" t="str">
            <v>Vector|||208006410|||ISSR|||COGS_PCT_US|||False|||</v>
          </cell>
          <cell r="C166" t="str">
            <v>V_KEYWORD_ISSR_208006410_COGS_PCT_US</v>
          </cell>
        </row>
        <row r="167">
          <cell r="A167" t="str">
            <v>Vector|||208006410|||ISSR|||COGS_PCT_ROW|||False|||</v>
          </cell>
          <cell r="C167" t="str">
            <v>V_KEYWORD_ISSR_208006410_COGS_PCT_ROW</v>
          </cell>
        </row>
        <row r="168">
          <cell r="A168" t="str">
            <v>Vector|||208006410|||ISSR|||SGA_PCT_US|||False|||</v>
          </cell>
          <cell r="C168" t="str">
            <v>V_KEYWORD_ISSR_208006410_SGA_PCT_US</v>
          </cell>
        </row>
        <row r="169">
          <cell r="A169" t="str">
            <v>Vector|||208006410|||ISSR|||SGA_PCT_ROW|||False|||</v>
          </cell>
          <cell r="C169" t="str">
            <v>V_KEYWORD_ISSR_208006410_SGA_PCT_ROW</v>
          </cell>
        </row>
        <row r="170">
          <cell r="A170" t="str">
            <v>Vector|||208006410|||ISSR|||SALES_CONS|||False|||</v>
          </cell>
          <cell r="C170" t="str">
            <v>V_KEYWORD_ISSR_208006410_SALES_CONS</v>
          </cell>
        </row>
        <row r="171">
          <cell r="A171" t="str">
            <v>Vector|||208006410|||ISSR|||SALES_IND|||False|||</v>
          </cell>
          <cell r="C171" t="str">
            <v>V_KEYWORD_ISSR_208006410_SALES_IND</v>
          </cell>
        </row>
        <row r="172">
          <cell r="A172" t="str">
            <v>Vector|||208006410|||ISSR|||SALES_GOV|||False|||</v>
          </cell>
          <cell r="C172" t="str">
            <v>V_KEYWORD_ISSR_208006410_SALES_GOV</v>
          </cell>
        </row>
        <row r="173">
          <cell r="A173" t="str">
            <v>Vector|||208006410|||ISSR|||SALES_FINAN|||False|||</v>
          </cell>
          <cell r="C173" t="str">
            <v>V_KEYWORD_ISSR_208006410_SALES_FINAN</v>
          </cell>
        </row>
        <row r="174">
          <cell r="A174" t="str">
            <v>Vector|||208006410|||ISSR|||SALES_OIL_GAS|||False|||</v>
          </cell>
          <cell r="C174" t="str">
            <v>V_KEYWORD_ISSR_208006410_SALES_OIL_GAS</v>
          </cell>
        </row>
        <row r="176">
          <cell r="A176" t="str">
            <v>Vector|||208006410|||ISSR|||EXP_OIL_PETRO_FUEL|||False|||</v>
          </cell>
          <cell r="C176" t="str">
            <v>V_KEYWORD_ISSR_208006410_EXP_OIL_PETRO_FUEL</v>
          </cell>
        </row>
        <row r="177">
          <cell r="A177" t="str">
            <v>Vector|||208006410|||ISSR|||EXP_OIL_DERIV_NGLS_PLASTICS|||False|||</v>
          </cell>
          <cell r="C177" t="str">
            <v>V_KEYWORD_ISSR_208006410_EXP_OIL_DERIV_NGLS_PLASTICS</v>
          </cell>
        </row>
        <row r="178">
          <cell r="A178" t="str">
            <v>Vector|||208006410|||ISSR|||EXP_PAPER_PULP|||False|||</v>
          </cell>
          <cell r="C178" t="str">
            <v>V_KEYWORD_ISSR_208006410_EXP_PAPER_PULP</v>
          </cell>
        </row>
        <row r="179">
          <cell r="A179" t="str">
            <v>Vector|||208006410|||ISSR|||EXP_GLASS|||False|||</v>
          </cell>
          <cell r="C179" t="str">
            <v>V_KEYWORD_ISSR_208006410_EXP_GLASS</v>
          </cell>
        </row>
        <row r="180">
          <cell r="A180" t="str">
            <v>Vector|||208006410|||ISSR|||EXP_WATER|||False|||</v>
          </cell>
          <cell r="C180" t="str">
            <v>V_KEYWORD_ISSR_208006410_EXP_WATER</v>
          </cell>
        </row>
        <row r="181">
          <cell r="A181" t="str">
            <v>Vector|||208006410|||ISSR|||EXP_OTH_COMMODITY|||False|||</v>
          </cell>
          <cell r="C181" t="str">
            <v>V_KEYWORD_ISSR_208006410_EXP_OTH_COMMODITY</v>
          </cell>
        </row>
        <row r="182">
          <cell r="A182" t="str">
            <v>Vector|||208006410|||ISSR|||EXP_OTH_COST|||False|||</v>
          </cell>
          <cell r="C182" t="str">
            <v>V_KEYWORD_ISSR_208006410_EXP_OTH_COST</v>
          </cell>
        </row>
        <row r="184">
          <cell r="A184" t="str">
            <v>Vector|||208006410|||ISSR|||SALES_FX_GPB|||False|||</v>
          </cell>
          <cell r="C184" t="str">
            <v>V_KEYWORD_ISSR_208006410_SALES_FX_GPB</v>
          </cell>
        </row>
        <row r="185">
          <cell r="A185" t="str">
            <v>Vector|||208006410|||ISSR|||SALES_FX_EUR|||False|||</v>
          </cell>
          <cell r="C185" t="str">
            <v>V_KEYWORD_ISSR_208006410_SALES_FX_EUR</v>
          </cell>
        </row>
        <row r="186">
          <cell r="A186" t="str">
            <v>Vector|||208006410|||ISSR|||SALES_FX_RUB|||False|||</v>
          </cell>
          <cell r="C186" t="str">
            <v>V_KEYWORD_ISSR_208006410_SALES_FX_RUB</v>
          </cell>
        </row>
        <row r="187">
          <cell r="A187" t="str">
            <v>Vector|||208006410|||ISSR|||SALES_FX_USD|||False|||</v>
          </cell>
          <cell r="C187" t="str">
            <v>V_KEYWORD_ISSR_208006410_SALES_FX_USD</v>
          </cell>
        </row>
        <row r="188">
          <cell r="A188" t="str">
            <v>Vector|||208006410|||ISSR|||SALES_FX_BRL|||False|||</v>
          </cell>
          <cell r="C188" t="str">
            <v>V_KEYWORD_ISSR_208006410_SALES_FX_BRL</v>
          </cell>
        </row>
        <row r="189">
          <cell r="A189" t="str">
            <v>Vector|||208006410|||ISSR|||SALES_FX_YEN|||False|||</v>
          </cell>
          <cell r="C189" t="str">
            <v>V_KEYWORD_ISSR_208006410_SALES_FX_YEN</v>
          </cell>
        </row>
        <row r="190">
          <cell r="A190" t="str">
            <v>Vector|||208006410|||ISSR|||SALES_FX_CNY|||False|||</v>
          </cell>
          <cell r="C190" t="str">
            <v>V_KEYWORD_ISSR_208006410_SALES_FX_CNY</v>
          </cell>
        </row>
        <row r="191">
          <cell r="A191" t="str">
            <v>Vector|||208006410|||ISSR|||SALES_FX_INR|||False|||</v>
          </cell>
          <cell r="C191" t="str">
            <v>V_KEYWORD_ISSR_208006410_SALES_FX_INR</v>
          </cell>
        </row>
        <row r="192">
          <cell r="A192" t="str">
            <v>Vector|||208006410|||ISSR|||SALES_FX_KRW|||False|||</v>
          </cell>
          <cell r="C192" t="str">
            <v>V_KEYWORD_ISSR_208006410_SALES_FX_KRW</v>
          </cell>
        </row>
        <row r="193">
          <cell r="A193" t="str">
            <v>Vector|||208006410|||ISSR|||SALES_FX_TWD|||False|||</v>
          </cell>
          <cell r="C193" t="str">
            <v>V_KEYWORD_ISSR_208006410_SALES_FX_TWD</v>
          </cell>
        </row>
        <row r="194">
          <cell r="A194" t="str">
            <v>Vector|||208006410|||ISSR|||SALES_FX_OTH|||False|||</v>
          </cell>
          <cell r="C194" t="str">
            <v>V_KEYWORD_ISSR_208006410_SALES_FX_OTH</v>
          </cell>
        </row>
        <row r="196">
          <cell r="A196" t="str">
            <v>Vector|||208006410|||ISSR|||SALES_TOT_AM|||False|||</v>
          </cell>
          <cell r="C196" t="str">
            <v>V_KEYWORD_ISSR_208006410_SALES_TOT_AM</v>
          </cell>
        </row>
        <row r="197">
          <cell r="A197" t="str">
            <v>Vector|||208006410|||ISSR|||SALES_OTH_AM|||False|||</v>
          </cell>
          <cell r="C197" t="str">
            <v>V_KEYWORD_ISSR_208006410_SALES_OTH_AM</v>
          </cell>
        </row>
        <row r="198">
          <cell r="A198" t="str">
            <v>Vector|||208006410|||ISSR|||SALES_TOT_EMEA|||False|||</v>
          </cell>
          <cell r="C198" t="str">
            <v>V_KEYWORD_ISSR_208006410_SALES_TOT_EMEA</v>
          </cell>
        </row>
        <row r="199">
          <cell r="A199" t="str">
            <v>Vector|||208006410|||ISSR|||SALES_EU_EX_UK|||False|||</v>
          </cell>
          <cell r="C199" t="str">
            <v>V_KEYWORD_ISSR_208006410_SALES_EU_EX_UK</v>
          </cell>
        </row>
        <row r="200">
          <cell r="A200" t="str">
            <v>Vector|||208006410|||ISSR|||SALES_CEE|||False|||</v>
          </cell>
          <cell r="C200" t="str">
            <v>V_KEYWORD_ISSR_208006410_SALES_CEE</v>
          </cell>
        </row>
        <row r="201">
          <cell r="A201" t="str">
            <v>Vector|||208006410|||ISSR|||SALES_ME|||False|||</v>
          </cell>
          <cell r="C201" t="str">
            <v>V_KEYWORD_ISSR_208006410_SALES_ME</v>
          </cell>
        </row>
        <row r="202">
          <cell r="A202" t="str">
            <v>Vector|||208006410|||ISSR|||SALES_TOT_AFRICA|||False|||</v>
          </cell>
          <cell r="C202" t="str">
            <v>V_KEYWORD_ISSR_208006410_SALES_TOT_AFRICA</v>
          </cell>
        </row>
        <row r="203">
          <cell r="A203" t="str">
            <v>Vector|||208006410|||ISSR|||SALES_OTH_EMEA|||False|||</v>
          </cell>
          <cell r="C203" t="str">
            <v>V_KEYWORD_ISSR_208006410_SALES_OTH_EMEA</v>
          </cell>
        </row>
        <row r="204">
          <cell r="A204" t="str">
            <v>Vector|||208006410|||ISSR|||SALES_TOT_ASIA|||False|||</v>
          </cell>
          <cell r="C204" t="str">
            <v>V_KEYWORD_ISSR_208006410_SALES_TOT_ASIA</v>
          </cell>
        </row>
        <row r="205">
          <cell r="A205" t="str">
            <v>Vector|||208006410|||ISSR|||SALES_OTH_AEJ|||False|||</v>
          </cell>
          <cell r="C205" t="str">
            <v>V_KEYWORD_ISSR_208006410_SALES_OTH_AEJ</v>
          </cell>
        </row>
        <row r="211">
          <cell r="A211" t="str">
            <v>Scalar|||200008194|||EQTY|||PUB_CURRENCY_ISO|||False|||</v>
          </cell>
          <cell r="C211" t="str">
            <v>V_KEYWORD_EQTY_200008194_PUB_CURRENCY_ISO</v>
          </cell>
          <cell r="E211" t="str">
            <v>ERROR</v>
          </cell>
        </row>
        <row r="212">
          <cell r="A212" t="str">
            <v>Scalar|||200008194|||EQTY|||PRICE_CURRENCY_ISO|||False|||</v>
          </cell>
          <cell r="C212" t="str">
            <v>V_KEYWORD_EQTY_200008194_PRICE_CURRENCY_ISO</v>
          </cell>
          <cell r="E212" t="str">
            <v>ERROR</v>
          </cell>
        </row>
        <row r="213">
          <cell r="A213" t="str">
            <v>Scalar|||200008194|||EQTY|||CURRENCY_ISO|||False|||</v>
          </cell>
          <cell r="C213" t="str">
            <v>V_KEYWORD_EQTY_200008194_CURRENCY_ISO</v>
          </cell>
        </row>
        <row r="215">
          <cell r="A215" t="str">
            <v>Scalar|||200008194|||EQTY|||AEJ_LIST|||False|||</v>
          </cell>
          <cell r="C215" t="str">
            <v>V_KEYWORD_EQTY_200008194_AEJ_LIST</v>
          </cell>
          <cell r="E215" t="str">
            <v>ERROR</v>
          </cell>
        </row>
        <row r="216">
          <cell r="A216" t="str">
            <v>Scalar|||200008194|||EQTY|||AEJ_CONVICTION|||False|||</v>
          </cell>
          <cell r="C216" t="str">
            <v>V_KEYWORD_EQTY_200008194_AEJ_CONVICTION</v>
          </cell>
        </row>
        <row r="217">
          <cell r="A217" t="str">
            <v>Scalar|||200008194|||EQTY|||LEGAL_RATING|||False|||</v>
          </cell>
          <cell r="C217" t="str">
            <v>V_KEYWORD_EQTY_200008194_LEGAL_RATING</v>
          </cell>
        </row>
        <row r="218">
          <cell r="A218" t="str">
            <v>Scalar|||200008194|||EQTY|||TARGET_PRICE|||False|||</v>
          </cell>
          <cell r="C218" t="str">
            <v>V_KEYWORD_EQTY_200008194_TARGET_PRICE</v>
          </cell>
          <cell r="E218" t="str">
            <v>ERROR</v>
          </cell>
        </row>
        <row r="219">
          <cell r="A219" t="str">
            <v>Scalar|||200008194|||EQTY|||TP_PERIOD|||False|||</v>
          </cell>
          <cell r="C219" t="str">
            <v>V_KEYWORD_EQTY_200008194_TP_PERIOD</v>
          </cell>
          <cell r="E219" t="str">
            <v>ERROR</v>
          </cell>
        </row>
        <row r="220">
          <cell r="A220" t="str">
            <v>Scalar|||200008194|||EQTY|||TARGET_PRICE_FUNDAMENTAL|||False|||</v>
          </cell>
          <cell r="C220" t="str">
            <v>V_KEYWORD_EQTY_200008194_TARGET_PRICE_FUNDAMENTAL</v>
          </cell>
        </row>
        <row r="221">
          <cell r="A221" t="str">
            <v>Scalar|||200008194|||EQTY|||TARGET_PRICE_MA|||False|||</v>
          </cell>
          <cell r="C221" t="str">
            <v>V_KEYWORD_EQTY_200008194_TARGET_PRICE_MA</v>
          </cell>
        </row>
        <row r="222">
          <cell r="A222" t="str">
            <v>Scalar|||200008194|||EQTY|||NUM_SH|||False|||</v>
          </cell>
          <cell r="C222" t="str">
            <v>V_KEYWORD_EQTY_200008194_NUM_SH</v>
          </cell>
        </row>
        <row r="223">
          <cell r="A223" t="str">
            <v>Scalar|||200008194|||EQTY|||FREE_FLOAT|||False|||</v>
          </cell>
          <cell r="C223" t="str">
            <v>V_KEYWORD_EQTY_200008194_FREE_FLOAT</v>
          </cell>
        </row>
        <row r="224">
          <cell r="A224" t="str">
            <v>Scalar|||200008194|||EQTY|||FOREIGN_HOLDNG|||False|||</v>
          </cell>
          <cell r="C224" t="str">
            <v>V_KEYWORD_EQTY_200008194_FOREIGN_HOLDNG</v>
          </cell>
        </row>
        <row r="225">
          <cell r="A225" t="str">
            <v>Scalar|||200008194|||EQTY|||CATALYST1_DATE|||True|||</v>
          </cell>
          <cell r="C225" t="str">
            <v>V_KEYWORD_EQTY_200008194_CATALYST1_DATE</v>
          </cell>
        </row>
        <row r="226">
          <cell r="A226" t="str">
            <v>Scalar|||200008194|||EQTY|||CATALYST1_EVENT|||False|||</v>
          </cell>
          <cell r="C226" t="str">
            <v>V_KEYWORD_EQTY_200008194_CATALYST1_EVENT</v>
          </cell>
        </row>
        <row r="227">
          <cell r="A227" t="str">
            <v>Scalar|||200008194|||EQTY|||CATALYST2_DATE|||True|||</v>
          </cell>
          <cell r="C227" t="str">
            <v>V_KEYWORD_EQTY_200008194_CATALYST2_DATE</v>
          </cell>
        </row>
        <row r="228">
          <cell r="A228" t="str">
            <v>Scalar|||200008194|||EQTY|||CATALYST2_EVENT|||False|||</v>
          </cell>
          <cell r="C228" t="str">
            <v>V_KEYWORD_EQTY_200008194_CATALYST2_EVENT</v>
          </cell>
        </row>
        <row r="229">
          <cell r="A229" t="str">
            <v>Scalar|||200008194|||EQTY|||CATALYST3_DATE|||True|||</v>
          </cell>
          <cell r="C229" t="str">
            <v>V_KEYWORD_EQTY_200008194_CATALYST3_DATE</v>
          </cell>
        </row>
        <row r="230">
          <cell r="A230" t="str">
            <v>Scalar|||200008194|||EQTY|||CATALYST3_EVENT|||False|||</v>
          </cell>
          <cell r="C230" t="str">
            <v>V_KEYWORD_EQTY_200008194_CATALYST3_EVENT</v>
          </cell>
        </row>
        <row r="231">
          <cell r="A231" t="str">
            <v>Scalar|||200008194|||EQTY|||CATALYST4_DATE|||True|||</v>
          </cell>
          <cell r="C231" t="str">
            <v>V_KEYWORD_EQTY_200008194_CATALYST4_DATE</v>
          </cell>
        </row>
        <row r="232">
          <cell r="A232" t="str">
            <v>Scalar|||200008194|||EQTY|||CATALYST4_EVENT|||False|||</v>
          </cell>
          <cell r="C232" t="str">
            <v>V_KEYWORD_EQTY_200008194_CATALYST4_EVENT</v>
          </cell>
        </row>
        <row r="233">
          <cell r="A233" t="str">
            <v>Scalar|||200008194|||EQTY|||CATALYST5_DATE|||True|||</v>
          </cell>
          <cell r="C233" t="str">
            <v>V_KEYWORD_EQTY_200008194_CATALYST5_DATE</v>
          </cell>
        </row>
        <row r="234">
          <cell r="A234" t="str">
            <v>Scalar|||200008194|||EQTY|||CATALYST5_EVENT|||False|||</v>
          </cell>
          <cell r="C234" t="str">
            <v>V_KEYWORD_EQTY_200008194_CATALYST5_EVENT</v>
          </cell>
        </row>
        <row r="235">
          <cell r="A235" t="str">
            <v>Scalar|||200008194|||EQTY|||PRI_TARG_MULT|||False|||</v>
          </cell>
          <cell r="C235" t="str">
            <v>V_KEYWORD_EQTY_200008194_PRI_TARG_MULT</v>
          </cell>
        </row>
        <row r="236">
          <cell r="A236" t="str">
            <v>Scalar|||200008194|||EQTY|||PRI_TARG_METH|||False|||</v>
          </cell>
          <cell r="C236" t="str">
            <v>V_KEYWORD_EQTY_200008194_PRI_TARG_METH</v>
          </cell>
        </row>
        <row r="238">
          <cell r="A238" t="str">
            <v>Vector|||200008194|||EQTY|||BVPS_PUB|||False|||</v>
          </cell>
          <cell r="C238" t="str">
            <v>V_KEYWORD_EQTY_200008194_BVPS_PUB</v>
          </cell>
        </row>
        <row r="239">
          <cell r="A239" t="str">
            <v>Vector|||200008194|||EQTY|||DPS_PUB|||False|||</v>
          </cell>
          <cell r="C239" t="str">
            <v>V_KEYWORD_EQTY_200008194_DPS_PUB</v>
          </cell>
        </row>
        <row r="240">
          <cell r="A240" t="str">
            <v>Vector|||200008194|||EQTY|||DPS_SPECIAL_PUB|||False|||</v>
          </cell>
          <cell r="C240" t="str">
            <v>V_KEYWORD_EQTY_200008194_DPS_SPECIAL_PUB</v>
          </cell>
        </row>
        <row r="241">
          <cell r="A241" t="str">
            <v>Vector|||200008194|||EQTY|||EBITDA_PUB|||False|||</v>
          </cell>
          <cell r="C241" t="str">
            <v>V_KEYWORD_EQTY_200008194_EBITDA_PUB</v>
          </cell>
        </row>
        <row r="242">
          <cell r="A242" t="str">
            <v>Vector|||200008194|||EQTY|||EPS_PUB|||False|||</v>
          </cell>
          <cell r="C242" t="str">
            <v>V_KEYWORD_EQTY_200008194_EPS_PUB</v>
          </cell>
          <cell r="F242" t="str">
            <v>ERROR</v>
          </cell>
          <cell r="G242" t="str">
            <v>ERROR</v>
          </cell>
          <cell r="H242" t="str">
            <v>ERROR</v>
          </cell>
          <cell r="I242" t="str">
            <v>ERROR</v>
          </cell>
          <cell r="J242" t="str">
            <v>ERROR</v>
          </cell>
          <cell r="K242" t="str">
            <v>ERROR</v>
          </cell>
          <cell r="L242" t="str">
            <v>ERROR</v>
          </cell>
          <cell r="M242" t="str">
            <v>ERROR</v>
          </cell>
          <cell r="N242" t="str">
            <v>ERROR</v>
          </cell>
          <cell r="O242" t="str">
            <v>ERROR</v>
          </cell>
          <cell r="P242" t="str">
            <v>ERROR</v>
          </cell>
          <cell r="Q242" t="str">
            <v>ERROR</v>
          </cell>
          <cell r="R242" t="str">
            <v>ERROR</v>
          </cell>
          <cell r="S242" t="str">
            <v>ERROR</v>
          </cell>
          <cell r="T242" t="str">
            <v>ERROR</v>
          </cell>
          <cell r="U242" t="str">
            <v>ERROR</v>
          </cell>
          <cell r="V242" t="str">
            <v>ERROR</v>
          </cell>
          <cell r="W242" t="str">
            <v>ERROR</v>
          </cell>
          <cell r="X242" t="str">
            <v>ERROR</v>
          </cell>
          <cell r="Y242" t="str">
            <v>ERROR</v>
          </cell>
          <cell r="Z242" t="str">
            <v>ERROR</v>
          </cell>
          <cell r="AA242" t="str">
            <v>ERROR</v>
          </cell>
          <cell r="AB242" t="str">
            <v>ERROR</v>
          </cell>
          <cell r="AC242" t="str">
            <v>ERROR</v>
          </cell>
          <cell r="AD242" t="str">
            <v>ERROR</v>
          </cell>
          <cell r="AE242" t="str">
            <v>ERROR</v>
          </cell>
          <cell r="AF242" t="str">
            <v>ERROR</v>
          </cell>
          <cell r="AG242" t="str">
            <v>ERROR</v>
          </cell>
          <cell r="AH242" t="str">
            <v>ERROR</v>
          </cell>
          <cell r="AI242" t="str">
            <v>ERROR</v>
          </cell>
          <cell r="AJ242" t="str">
            <v>ERROR</v>
          </cell>
          <cell r="AK242" t="str">
            <v>ERROR</v>
          </cell>
          <cell r="AL242" t="str">
            <v>ERROR</v>
          </cell>
          <cell r="AM242" t="str">
            <v>ERROR</v>
          </cell>
          <cell r="AN242" t="str">
            <v>ERROR</v>
          </cell>
          <cell r="AO242" t="str">
            <v>ERROR</v>
          </cell>
          <cell r="AP242" t="str">
            <v>ERROR</v>
          </cell>
          <cell r="AQ242" t="str">
            <v>ERROR</v>
          </cell>
          <cell r="AR242" t="str">
            <v>ERROR</v>
          </cell>
          <cell r="AS242" t="str">
            <v>ERROR</v>
          </cell>
          <cell r="AT242" t="str">
            <v>ERROR</v>
          </cell>
          <cell r="AU242" t="str">
            <v>ERROR</v>
          </cell>
          <cell r="AV242" t="str">
            <v>ERROR</v>
          </cell>
          <cell r="AW242" t="str">
            <v>ERROR</v>
          </cell>
          <cell r="AX242" t="str">
            <v>ERROR</v>
          </cell>
          <cell r="AY242" t="str">
            <v>ERROR</v>
          </cell>
          <cell r="AZ242" t="str">
            <v>ERROR</v>
          </cell>
          <cell r="BA242" t="str">
            <v>ERROR</v>
          </cell>
          <cell r="BB242" t="str">
            <v>ERROR</v>
          </cell>
          <cell r="BC242" t="str">
            <v>ERROR</v>
          </cell>
          <cell r="BD242" t="str">
            <v>ERROR</v>
          </cell>
          <cell r="BE242" t="str">
            <v>ERROR</v>
          </cell>
        </row>
        <row r="243">
          <cell r="A243" t="str">
            <v>Vector|||200008194|||EQTY|||EV_ADJ_PUB|||False|||</v>
          </cell>
          <cell r="C243" t="str">
            <v>V_KEYWORD_EQTY_200008194_EV_ADJ_PUB</v>
          </cell>
        </row>
        <row r="244">
          <cell r="A244" t="str">
            <v>Vector|||200008194|||EQTY|||NET_DEBT_PUB|||False|||</v>
          </cell>
          <cell r="C244" t="str">
            <v>V_KEYWORD_EQTY_200008194_NET_DEBT_PUB</v>
          </cell>
        </row>
        <row r="245">
          <cell r="A245" t="str">
            <v>Vector|||200008194|||EQTY|||NI_PUB|||False|||</v>
          </cell>
          <cell r="C245" t="str">
            <v>V_KEYWORD_EQTY_200008194_NI_PUB</v>
          </cell>
        </row>
        <row r="246">
          <cell r="A246" t="str">
            <v>Vector|||200008194|||EQTY|||EBIT_PUB|||False|||</v>
          </cell>
          <cell r="C246" t="str">
            <v>V_KEYWORD_EQTY_200008194_EBIT_PUB</v>
          </cell>
          <cell r="AS246" t="str">
            <v>ERROR</v>
          </cell>
          <cell r="AX246" t="str">
            <v>ERROR</v>
          </cell>
        </row>
        <row r="247">
          <cell r="A247" t="str">
            <v>Vector|||200008194|||EQTY|||PTP_PUB|||False|||</v>
          </cell>
          <cell r="C247" t="str">
            <v>V_KEYWORD_EQTY_200008194_PTP_PUB</v>
          </cell>
        </row>
        <row r="248">
          <cell r="A248" t="str">
            <v>Vector|||200008194|||EQTY|||REVS_PUB|||False|||</v>
          </cell>
          <cell r="C248" t="str">
            <v>V_KEYWORD_EQTY_200008194_REVS_PUB</v>
          </cell>
        </row>
        <row r="249">
          <cell r="A249" t="str">
            <v>Vector|||200008194|||EQTY|||EQ_PUB|||False|||</v>
          </cell>
          <cell r="C249" t="str">
            <v>V_KEYWORD_EQTY_200008194_EQ_PUB</v>
          </cell>
        </row>
        <row r="250">
          <cell r="A250" t="str">
            <v>Vector|||200008194|||EQTY|||EPS_CONS_PUB|||False|||</v>
          </cell>
          <cell r="C250" t="str">
            <v>V_KEYWORD_EQTY_200008194_EPS_CONS_PUB</v>
          </cell>
        </row>
        <row r="252">
          <cell r="A252" t="str">
            <v>Vector|||200008194|||EQTY|||PROV_INC_TAX|||False|||</v>
          </cell>
          <cell r="C252" t="str">
            <v>V_KEYWORD_EQTY_200008194_PROV_INC_TAX</v>
          </cell>
          <cell r="AX252" t="str">
            <v>ERROR</v>
          </cell>
          <cell r="BC252" t="str">
            <v>ERROR</v>
          </cell>
          <cell r="BD252" t="str">
            <v>ERROR</v>
          </cell>
          <cell r="BE252" t="str">
            <v>ERROR</v>
          </cell>
        </row>
        <row r="253">
          <cell r="A253" t="str">
            <v>Vector|||200008194|||EQTY|||INC_MINORITY|||False|||</v>
          </cell>
          <cell r="C253" t="str">
            <v>V_KEYWORD_EQTY_200008194_INC_MINORITY</v>
          </cell>
          <cell r="AX253" t="str">
            <v>ERROR</v>
          </cell>
          <cell r="BC253" t="str">
            <v>ERROR</v>
          </cell>
          <cell r="BD253" t="str">
            <v>ERROR</v>
          </cell>
          <cell r="BE253" t="str">
            <v>ERROR</v>
          </cell>
        </row>
        <row r="254">
          <cell r="A254" t="str">
            <v>Vector|||200008194|||EQTY|||NI_PRE_PREF|||False|||</v>
          </cell>
          <cell r="C254" t="str">
            <v>V_KEYWORD_EQTY_200008194_NI_PRE_PREF</v>
          </cell>
        </row>
        <row r="255">
          <cell r="A255" t="str">
            <v>Vector|||200008194|||EQTY|||PREF_DIV|||False|||</v>
          </cell>
          <cell r="C255" t="str">
            <v>V_KEYWORD_EQTY_200008194_PREF_DIV</v>
          </cell>
          <cell r="AX255" t="str">
            <v>ERROR</v>
          </cell>
          <cell r="BC255" t="str">
            <v>ERROR</v>
          </cell>
          <cell r="BD255" t="str">
            <v>ERROR</v>
          </cell>
          <cell r="BE255" t="str">
            <v>ERROR</v>
          </cell>
        </row>
        <row r="256">
          <cell r="A256" t="str">
            <v>Vector|||200008194|||EQTY|||NET_EARNING|||False|||</v>
          </cell>
          <cell r="C256" t="str">
            <v>V_KEYWORD_EQTY_200008194_NET_EARNING</v>
          </cell>
        </row>
        <row r="257">
          <cell r="A257" t="str">
            <v>Vector|||200008194|||EQTY|||TAX_EXC|||False|||</v>
          </cell>
          <cell r="C257" t="str">
            <v>V_KEYWORD_EQTY_200008194_TAX_EXC</v>
          </cell>
          <cell r="AX257" t="str">
            <v>ERROR</v>
          </cell>
          <cell r="BC257" t="str">
            <v>ERROR</v>
          </cell>
          <cell r="BD257" t="str">
            <v>ERROR</v>
          </cell>
          <cell r="BE257" t="str">
            <v>ERROR</v>
          </cell>
        </row>
        <row r="258">
          <cell r="A258" t="str">
            <v>Vector|||200008194|||EQTY|||NET_INC|||False|||</v>
          </cell>
          <cell r="C258" t="str">
            <v>V_KEYWORD_EQTY_200008194_NET_INC</v>
          </cell>
          <cell r="AX258" t="str">
            <v>ERROR</v>
          </cell>
          <cell r="BC258" t="str">
            <v>ERROR</v>
          </cell>
          <cell r="BD258" t="str">
            <v>ERROR</v>
          </cell>
          <cell r="BE258" t="str">
            <v>ERROR</v>
          </cell>
        </row>
        <row r="259">
          <cell r="A259" t="str">
            <v>Vector|||200008194|||EQTY|||EPS|||False|||</v>
          </cell>
          <cell r="C259" t="str">
            <v>V_KEYWORD_EQTY_200008194_EPS</v>
          </cell>
        </row>
        <row r="260">
          <cell r="A260" t="str">
            <v>Vector|||200008194|||EQTY|||EPS_FUL_DIL|||False|||</v>
          </cell>
          <cell r="C260" t="str">
            <v>V_KEYWORD_EQTY_200008194_EPS_FUL_DIL</v>
          </cell>
        </row>
        <row r="261">
          <cell r="A261" t="str">
            <v>Vector|||200008194|||EQTY|||EPS_POST_BASIC|||False|||</v>
          </cell>
          <cell r="C261" t="str">
            <v>V_KEYWORD_EQTY_200008194_EPS_POST_BASIC</v>
          </cell>
        </row>
        <row r="262">
          <cell r="A262" t="str">
            <v>Vector|||200008194|||EQTY|||FULLY_DIL_EPS|||False|||</v>
          </cell>
          <cell r="C262" t="str">
            <v>V_KEYWORD_EQTY_200008194_FULLY_DIL_EPS</v>
          </cell>
        </row>
        <row r="263">
          <cell r="A263" t="str">
            <v>Vector|||200008194|||EQTY|||COMMON_DIV_PAID|||False|||</v>
          </cell>
          <cell r="C263" t="str">
            <v>V_KEYWORD_EQTY_200008194_COMMON_DIV_PAID</v>
          </cell>
        </row>
        <row r="264">
          <cell r="A264" t="str">
            <v>Vector|||200008194|||EQTY|||DPS|||False|||</v>
          </cell>
          <cell r="C264" t="str">
            <v>V_KEYWORD_EQTY_200008194_DPS</v>
          </cell>
        </row>
        <row r="265">
          <cell r="A265" t="str">
            <v>Vector|||200008194|||EQTY|||SH|||False|||</v>
          </cell>
          <cell r="C265" t="str">
            <v>V_KEYWORD_EQTY_200008194_SH</v>
          </cell>
        </row>
        <row r="266">
          <cell r="A266" t="str">
            <v>Vector|||200008194|||EQTY|||DILUTE_SHARES|||False|||</v>
          </cell>
          <cell r="C266" t="str">
            <v>V_KEYWORD_EQTY_200008194_DILUTE_SHARES</v>
          </cell>
        </row>
        <row r="267">
          <cell r="A267" t="str">
            <v>Vector|||200008194|||EQTY|||NON_OP_ADD|||False|||</v>
          </cell>
          <cell r="C267" t="str">
            <v>V_KEYWORD_EQTY_200008194_NON_OP_ADD</v>
          </cell>
        </row>
        <row r="269">
          <cell r="A269" t="str">
            <v>Vector|||200008194|||EQTY|||MARGIN_TAX_RATE|||False|||</v>
          </cell>
          <cell r="C269" t="str">
            <v>V_KEYWORD_EQTY_200008194_MARGIN_TAX_RATE</v>
          </cell>
        </row>
        <row r="270">
          <cell r="A270" t="str">
            <v>Vector|||200008194|||EQTY|||NI_CONS|||False|||</v>
          </cell>
          <cell r="C270" t="str">
            <v>V_KEYWORD_EQTY_200008194_NI_CONS</v>
          </cell>
        </row>
        <row r="272">
          <cell r="A272" t="str">
            <v>Vector|||200008194|||EQTY|||BVPS|||False|||</v>
          </cell>
          <cell r="C272" t="str">
            <v>V_KEYWORD_EQTY_200008194_BVPS</v>
          </cell>
        </row>
        <row r="274">
          <cell r="A274" t="str">
            <v>Vector|||200008194|||EQTY|||CF_NI_PRE_PREF|||False|||</v>
          </cell>
          <cell r="C274" t="str">
            <v>V_KEYWORD_EQTY_200008194_CF_NI_PRE_PREF</v>
          </cell>
        </row>
        <row r="276">
          <cell r="A276" t="str">
            <v>Scalar|||200008194|||EQTY|||BETA_ANALYST|||False|||</v>
          </cell>
          <cell r="C276" t="str">
            <v>V_KEYWORD_EQTY_200008194_BETA_ANALYST</v>
          </cell>
        </row>
        <row r="277">
          <cell r="A277" t="str">
            <v>Scalar|||200008194|||EQTY|||MKT_EQ_RISK_PREM|||False|||</v>
          </cell>
          <cell r="C277" t="str">
            <v>V_KEYWORD_EQTY_200008194_MKT_EQ_RISK_PREM</v>
          </cell>
        </row>
        <row r="278">
          <cell r="A278" t="str">
            <v>Scalar|||200008194|||EQTY|||RISK_FR_RATE|||False|||</v>
          </cell>
          <cell r="C278" t="str">
            <v>V_KEYWORD_EQTY_200008194_RISK_FR_RATE</v>
          </cell>
        </row>
      </sheetData>
      <sheetData sheetId="9">
        <row r="1">
          <cell r="A1" t="str">
            <v>Issuer: BOE Technology Group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>
            <v>2015</v>
          </cell>
          <cell r="AJ1" t="str">
            <v>2016 Q1</v>
          </cell>
          <cell r="AK1" t="str">
            <v>2016 Q2</v>
          </cell>
          <cell r="AL1" t="str">
            <v>2016 Q3</v>
          </cell>
          <cell r="AM1" t="str">
            <v>2016 Q4</v>
          </cell>
          <cell r="AN1">
            <v>2016</v>
          </cell>
          <cell r="AO1" t="str">
            <v>2017 Q1</v>
          </cell>
          <cell r="AP1" t="str">
            <v>2017 Q2</v>
          </cell>
          <cell r="AQ1" t="str">
            <v>2017 Q3</v>
          </cell>
          <cell r="AR1" t="str">
            <v>2017 Q4</v>
          </cell>
          <cell r="AS1">
            <v>2017</v>
          </cell>
          <cell r="AT1" t="str">
            <v>2018 Q1</v>
          </cell>
          <cell r="AU1" t="str">
            <v>2018 Q2</v>
          </cell>
          <cell r="AV1" t="str">
            <v>2018 Q3</v>
          </cell>
          <cell r="AW1" t="str">
            <v>2018 Q4</v>
          </cell>
          <cell r="AX1">
            <v>2018</v>
          </cell>
          <cell r="AY1" t="str">
            <v>2019 Q1</v>
          </cell>
          <cell r="AZ1" t="str">
            <v>2019 Q2</v>
          </cell>
          <cell r="BA1" t="str">
            <v>2019 Q3</v>
          </cell>
          <cell r="BB1" t="str">
            <v>2019 Q4</v>
          </cell>
          <cell r="BC1">
            <v>2019</v>
          </cell>
          <cell r="BD1">
            <v>2020</v>
          </cell>
          <cell r="BE1">
            <v>2021</v>
          </cell>
        </row>
        <row r="4">
          <cell r="A4" t="str">
            <v>Issuer: BOE Technology Group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BOE Technology Group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e">
            <v>#NAME?</v>
          </cell>
        </row>
        <row r="12">
          <cell r="B12" t="str">
            <v>Compensation &amp; benfits expense</v>
          </cell>
          <cell r="C12" t="str">
            <v>PERSONNEL</v>
          </cell>
          <cell r="D12" t="e">
            <v>#NAME?</v>
          </cell>
        </row>
        <row r="13">
          <cell r="B13" t="str">
            <v>Cost of goods sold, COGS</v>
          </cell>
          <cell r="C13" t="str">
            <v>COST_GD_SD</v>
          </cell>
          <cell r="D13" t="e">
            <v>#NAME?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e">
            <v>#NAME?</v>
          </cell>
        </row>
        <row r="15">
          <cell r="B15" t="str">
            <v>Total operating expense</v>
          </cell>
          <cell r="C15" t="str">
            <v>OP_COST</v>
          </cell>
          <cell r="D15" t="e">
            <v>#NAME?</v>
          </cell>
        </row>
        <row r="16">
          <cell r="B16" t="str">
            <v>R&amp;D expense</v>
          </cell>
          <cell r="C16" t="str">
            <v>RD_EXP</v>
          </cell>
          <cell r="D16" t="e">
            <v>#NAME?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e">
            <v>#NAME?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e">
            <v>#NAME?</v>
          </cell>
        </row>
        <row r="19">
          <cell r="B19" t="str">
            <v>Total operating expense (excl. D&amp;A)</v>
          </cell>
          <cell r="C19" t="str">
            <v>TOT_OPS_EXP</v>
          </cell>
          <cell r="D19" t="e">
            <v>#NAME?</v>
          </cell>
        </row>
        <row r="20">
          <cell r="B20" t="str">
            <v>EBITDA</v>
          </cell>
          <cell r="C20" t="str">
            <v>EBITDA_CALC</v>
          </cell>
          <cell r="D20" t="e">
            <v>#NAME?</v>
          </cell>
        </row>
        <row r="21">
          <cell r="B21" t="str">
            <v>Depreciation</v>
          </cell>
          <cell r="C21" t="str">
            <v>DEPREC</v>
          </cell>
          <cell r="D21" t="e">
            <v>#NAME?</v>
          </cell>
        </row>
        <row r="22">
          <cell r="B22" t="str">
            <v>Amortization</v>
          </cell>
          <cell r="C22" t="str">
            <v>GOODWILL_AMORT</v>
          </cell>
          <cell r="D22" t="e">
            <v>#NAME?</v>
          </cell>
        </row>
        <row r="23">
          <cell r="B23" t="str">
            <v>EBIT, operating profit</v>
          </cell>
          <cell r="C23" t="str">
            <v>EBIT</v>
          </cell>
          <cell r="D23" t="e">
            <v>#NAME?</v>
          </cell>
        </row>
        <row r="24">
          <cell r="B24" t="str">
            <v>Interest income</v>
          </cell>
          <cell r="C24" t="str">
            <v>INT_INC_IND</v>
          </cell>
          <cell r="D24" t="e">
            <v>#NAME?</v>
          </cell>
        </row>
        <row r="25">
          <cell r="B25" t="str">
            <v>Interest expense</v>
          </cell>
          <cell r="C25" t="str">
            <v>INT_EXP_IND</v>
          </cell>
          <cell r="D25" t="e">
            <v>#NAME?</v>
          </cell>
        </row>
        <row r="26">
          <cell r="B26" t="str">
            <v>Net interest income/(expense)</v>
          </cell>
          <cell r="C26" t="str">
            <v>NET_INT_EXP</v>
          </cell>
          <cell r="D26" t="e">
            <v>#NAME?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e">
            <v>#NAME?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e">
            <v>#NAME?</v>
          </cell>
        </row>
        <row r="29">
          <cell r="B29" t="str">
            <v>Other non-ops income/(expense)</v>
          </cell>
          <cell r="C29" t="str">
            <v>OTH_COST_INC</v>
          </cell>
          <cell r="D29" t="e">
            <v>#NAME?</v>
          </cell>
        </row>
        <row r="30">
          <cell r="B30" t="str">
            <v>Pre-tax profit</v>
          </cell>
          <cell r="C30" t="str">
            <v>PT_PROF</v>
          </cell>
          <cell r="D30" t="e">
            <v>#NAME?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e">
            <v>#NAME?</v>
          </cell>
        </row>
        <row r="33">
          <cell r="B33" t="str">
            <v>Lease payments</v>
          </cell>
          <cell r="C33" t="str">
            <v>LEASE_PAY</v>
          </cell>
          <cell r="D33" t="e">
            <v>#NAME?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e">
            <v>#NAME?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e">
            <v>#NAME?</v>
          </cell>
        </row>
        <row r="36">
          <cell r="B36" t="str">
            <v>Gross interest charge</v>
          </cell>
          <cell r="C36" t="str">
            <v>NET_INT_CH</v>
          </cell>
          <cell r="D36" t="e">
            <v>#NAME?</v>
          </cell>
        </row>
        <row r="37">
          <cell r="B37" t="str">
            <v>Income from associates (operating)</v>
          </cell>
          <cell r="C37" t="str">
            <v>ASSOCIATE_OP</v>
          </cell>
          <cell r="D37" t="e">
            <v>#NAME?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e">
            <v>#NAME?</v>
          </cell>
        </row>
        <row r="40">
          <cell r="B40" t="str">
            <v>Accounts receivable</v>
          </cell>
          <cell r="C40" t="str">
            <v>DEBTORS</v>
          </cell>
          <cell r="D40" t="e">
            <v>#NAME?</v>
          </cell>
        </row>
        <row r="41">
          <cell r="B41" t="str">
            <v>Inventory</v>
          </cell>
          <cell r="C41" t="str">
            <v>STOCKS</v>
          </cell>
          <cell r="D41" t="e">
            <v>#NAME?</v>
          </cell>
        </row>
        <row r="42">
          <cell r="B42" t="str">
            <v>Other current assets</v>
          </cell>
          <cell r="C42" t="str">
            <v>OTH_CUR_ASS</v>
          </cell>
          <cell r="D42" t="e">
            <v>#NAME?</v>
          </cell>
        </row>
        <row r="43">
          <cell r="B43" t="str">
            <v>Total current assets</v>
          </cell>
          <cell r="C43" t="str">
            <v>CUR_ASS</v>
          </cell>
          <cell r="D43" t="e">
            <v>#NAME?</v>
          </cell>
        </row>
        <row r="44">
          <cell r="B44" t="str">
            <v>Gross fixed assets, PP&amp;E</v>
          </cell>
          <cell r="C44" t="str">
            <v>GR_FIX_ASS</v>
          </cell>
          <cell r="D44" t="e">
            <v>#NAME?</v>
          </cell>
        </row>
        <row r="45">
          <cell r="B45" t="str">
            <v>Accumulated depreciation</v>
          </cell>
          <cell r="C45" t="str">
            <v>ACC_DDA</v>
          </cell>
          <cell r="D45" t="e">
            <v>#NAME?</v>
          </cell>
        </row>
        <row r="46">
          <cell r="B46" t="str">
            <v>Net PP&amp;E</v>
          </cell>
          <cell r="C46" t="str">
            <v>NET_FIX_ASS</v>
          </cell>
          <cell r="D46" t="e">
            <v>#NAME?</v>
          </cell>
        </row>
        <row r="47">
          <cell r="B47" t="str">
            <v>Gross intangibles</v>
          </cell>
          <cell r="C47" t="str">
            <v>GR_INTANG</v>
          </cell>
          <cell r="D47" t="e">
            <v>#NAME?</v>
          </cell>
        </row>
        <row r="48">
          <cell r="B48" t="str">
            <v>Accumulated amortization</v>
          </cell>
          <cell r="C48" t="str">
            <v>ACC_AMORT</v>
          </cell>
          <cell r="D48" t="e">
            <v>#NAME?</v>
          </cell>
        </row>
        <row r="49">
          <cell r="B49" t="str">
            <v>Net intangible assets</v>
          </cell>
          <cell r="C49" t="str">
            <v>NET_INTANG</v>
          </cell>
          <cell r="D49" t="e">
            <v>#NAME?</v>
          </cell>
        </row>
        <row r="50">
          <cell r="B50" t="str">
            <v>Equity method investments</v>
          </cell>
          <cell r="C50" t="str">
            <v>FIX_ASS_INV</v>
          </cell>
          <cell r="D50" t="e">
            <v>#NAME?</v>
          </cell>
        </row>
        <row r="51">
          <cell r="B51" t="str">
            <v>Investments in securities</v>
          </cell>
          <cell r="C51" t="str">
            <v>INV_SECUR</v>
          </cell>
          <cell r="D51" t="e">
            <v>#NAME?</v>
          </cell>
        </row>
        <row r="52">
          <cell r="B52" t="str">
            <v>Other long-term assets</v>
          </cell>
          <cell r="C52" t="str">
            <v>OTH_LT_ASS</v>
          </cell>
          <cell r="D52" t="e">
            <v>#NAME?</v>
          </cell>
        </row>
        <row r="53">
          <cell r="B53" t="str">
            <v>Total assets</v>
          </cell>
          <cell r="C53" t="str">
            <v>TOT_ASSET</v>
          </cell>
          <cell r="D53" t="e">
            <v>#NAME?</v>
          </cell>
        </row>
        <row r="54">
          <cell r="B54" t="str">
            <v>Accounts payable</v>
          </cell>
          <cell r="C54" t="str">
            <v>ACC_PAY_GQ</v>
          </cell>
          <cell r="D54" t="e">
            <v>#NAME?</v>
          </cell>
        </row>
        <row r="55">
          <cell r="B55" t="str">
            <v>Short-term debt</v>
          </cell>
          <cell r="C55" t="str">
            <v>SHORT_T_DEBT</v>
          </cell>
          <cell r="D55" t="e">
            <v>#NAME?</v>
          </cell>
        </row>
        <row r="56">
          <cell r="B56" t="str">
            <v>Other current liabilities</v>
          </cell>
          <cell r="C56" t="str">
            <v>OTH_CUR_LIABS</v>
          </cell>
          <cell r="D56" t="e">
            <v>#NAME?</v>
          </cell>
        </row>
        <row r="57">
          <cell r="B57" t="str">
            <v>Total current liabilities</v>
          </cell>
          <cell r="C57" t="str">
            <v>SHORT_TERM_LIABS</v>
          </cell>
          <cell r="D57" t="e">
            <v>#NAME?</v>
          </cell>
        </row>
        <row r="58">
          <cell r="B58" t="str">
            <v>Long-term  debt</v>
          </cell>
          <cell r="C58" t="str">
            <v>LT_DEBT</v>
          </cell>
          <cell r="D58" t="e">
            <v>#NAME?</v>
          </cell>
        </row>
        <row r="59">
          <cell r="B59" t="str">
            <v>Other long-term liabilities</v>
          </cell>
          <cell r="C59" t="str">
            <v>OTH_LT_CRED_GQ</v>
          </cell>
          <cell r="D59" t="e">
            <v>#NAME?</v>
          </cell>
        </row>
        <row r="60">
          <cell r="B60" t="str">
            <v>Total long-term liabilities</v>
          </cell>
          <cell r="C60" t="str">
            <v>TOT_LT_LIAB</v>
          </cell>
          <cell r="D60" t="e">
            <v>#NAME?</v>
          </cell>
        </row>
        <row r="61">
          <cell r="B61" t="str">
            <v>Total liabilities</v>
          </cell>
          <cell r="C61" t="str">
            <v>TOT_LIAB</v>
          </cell>
          <cell r="D61" t="e">
            <v>#NAME?</v>
          </cell>
        </row>
        <row r="62">
          <cell r="B62" t="str">
            <v>Preferred shares</v>
          </cell>
          <cell r="C62" t="str">
            <v>PREF_SH</v>
          </cell>
          <cell r="D62" t="e">
            <v>#NAME?</v>
          </cell>
        </row>
        <row r="63">
          <cell r="B63" t="str">
            <v>Total common equity</v>
          </cell>
          <cell r="C63" t="str">
            <v>ORD_SH_FUND</v>
          </cell>
          <cell r="D63" t="e">
            <v>#NAME?</v>
          </cell>
        </row>
        <row r="64">
          <cell r="B64" t="str">
            <v>Minority interest</v>
          </cell>
          <cell r="C64" t="str">
            <v>MINORITIES</v>
          </cell>
          <cell r="D64" t="e">
            <v>#NAME?</v>
          </cell>
        </row>
        <row r="65">
          <cell r="B65" t="str">
            <v>Total shareholders' equity</v>
          </cell>
          <cell r="C65" t="str">
            <v>EQ</v>
          </cell>
          <cell r="D65" t="e">
            <v>#NAME?</v>
          </cell>
        </row>
        <row r="66">
          <cell r="B66" t="str">
            <v>Total liabilities and equity</v>
          </cell>
          <cell r="C66" t="str">
            <v>TOT_LIAB_EQ</v>
          </cell>
          <cell r="D66" t="e">
            <v>#NAME?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</row>
        <row r="69">
          <cell r="B69" t="str">
            <v>% US$ debt hedged (principal)</v>
          </cell>
          <cell r="C69" t="str">
            <v>TOT_PCT_USD_DEBT_HEDGED</v>
          </cell>
        </row>
        <row r="70">
          <cell r="B70" t="str">
            <v>% Floating debt (local currency debt)</v>
          </cell>
          <cell r="C70" t="str">
            <v>FLOATING_PCT_LOCAL_DEBT</v>
          </cell>
        </row>
        <row r="71">
          <cell r="B71" t="str">
            <v>% floating debt hedged (rates)</v>
          </cell>
          <cell r="C71" t="str">
            <v>FLOATING_PCT_LOCAL_DEBT_HEDGED</v>
          </cell>
        </row>
        <row r="72">
          <cell r="B72" t="str">
            <v>Net debt</v>
          </cell>
          <cell r="C72" t="str">
            <v>NET_DEBT</v>
          </cell>
          <cell r="D72" t="e">
            <v>#NAME?</v>
          </cell>
        </row>
        <row r="73">
          <cell r="B73" t="str">
            <v>Capitalized leases</v>
          </cell>
          <cell r="C73" t="str">
            <v>CAP_LEASES</v>
          </cell>
          <cell r="D73" t="e">
            <v>#NAME?</v>
          </cell>
        </row>
        <row r="74">
          <cell r="B74" t="str">
            <v>Deferred income taxes</v>
          </cell>
          <cell r="C74" t="str">
            <v>DEF_INC_TAX</v>
          </cell>
          <cell r="D74" t="e">
            <v>#NAME?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e">
            <v>#NAME?</v>
          </cell>
        </row>
        <row r="76">
          <cell r="B76" t="str">
            <v>Net debt adjustment</v>
          </cell>
          <cell r="C76" t="str">
            <v>NET_DEBT_ADJ</v>
          </cell>
          <cell r="D76" t="e">
            <v>#NAME?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 t="e">
            <v>#NAME?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e">
            <v>#NAME?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e">
            <v>#NAME?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e">
            <v>#NAME?</v>
          </cell>
        </row>
        <row r="82">
          <cell r="B82" t="str">
            <v>Other GCI adjustments</v>
          </cell>
          <cell r="C82" t="str">
            <v>OTH_GCI_ADJ</v>
          </cell>
          <cell r="D82" t="e">
            <v>#NAME?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 t="e">
            <v>#NAME?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e">
            <v>#NAME?</v>
          </cell>
        </row>
        <row r="87">
          <cell r="B87" t="str">
            <v>Depreciation &amp; amortization add-back</v>
          </cell>
          <cell r="C87" t="str">
            <v>DEPR_AMORT</v>
          </cell>
          <cell r="D87" t="e">
            <v>#NAME?</v>
          </cell>
        </row>
        <row r="88">
          <cell r="B88" t="str">
            <v>(Increase)/decrease in working capital</v>
          </cell>
          <cell r="C88" t="str">
            <v>WORK_CAP</v>
          </cell>
          <cell r="D88" t="e">
            <v>#NAME?</v>
          </cell>
        </row>
        <row r="89">
          <cell r="B89" t="str">
            <v>Other operating cash flow items</v>
          </cell>
          <cell r="C89" t="str">
            <v>OTH_OP_CF</v>
          </cell>
          <cell r="D89" t="e">
            <v>#NAME?</v>
          </cell>
        </row>
        <row r="90">
          <cell r="B90" t="str">
            <v>Cash flow from operating activities</v>
          </cell>
          <cell r="C90" t="str">
            <v>CF_OPS</v>
          </cell>
          <cell r="D90" t="e">
            <v>#NAME?</v>
          </cell>
        </row>
        <row r="91">
          <cell r="B91" t="str">
            <v>Capital expenditures, Capex</v>
          </cell>
          <cell r="C91" t="str">
            <v>CAPEX</v>
          </cell>
          <cell r="D91" t="e">
            <v>#NAME?</v>
          </cell>
        </row>
        <row r="92">
          <cell r="B92" t="str">
            <v>Acquisitions</v>
          </cell>
          <cell r="C92" t="str">
            <v>ACQ</v>
          </cell>
          <cell r="D92" t="e">
            <v>#NAME?</v>
          </cell>
        </row>
        <row r="93">
          <cell r="B93" t="str">
            <v>Divestitures</v>
          </cell>
          <cell r="C93" t="str">
            <v>DIVEST</v>
          </cell>
          <cell r="D93" t="e">
            <v>#NAME?</v>
          </cell>
        </row>
        <row r="94">
          <cell r="B94" t="str">
            <v>Other investing cash flow items</v>
          </cell>
          <cell r="C94" t="str">
            <v>OTH_INV_CF</v>
          </cell>
          <cell r="D94" t="e">
            <v>#NAME?</v>
          </cell>
        </row>
        <row r="95">
          <cell r="B95" t="str">
            <v>Cash flow from investing</v>
          </cell>
          <cell r="C95" t="str">
            <v>CF_INV</v>
          </cell>
          <cell r="D95" t="e">
            <v>#NAME?</v>
          </cell>
        </row>
        <row r="96">
          <cell r="B96" t="str">
            <v>Dividends paid</v>
          </cell>
          <cell r="C96" t="str">
            <v>DIV_PAID</v>
          </cell>
          <cell r="D96" t="e">
            <v>#NAME?</v>
          </cell>
        </row>
        <row r="97">
          <cell r="B97" t="str">
            <v>Common stock issuance/(repurchase)</v>
          </cell>
          <cell r="C97" t="str">
            <v>SH_REPUR</v>
          </cell>
          <cell r="D97" t="e">
            <v>#NAME?</v>
          </cell>
        </row>
        <row r="98">
          <cell r="B98" t="str">
            <v>Increase/(decrease) in total debt</v>
          </cell>
          <cell r="C98" t="str">
            <v>CHG_LT_DEBT</v>
          </cell>
          <cell r="D98" t="e">
            <v>#NAME?</v>
          </cell>
        </row>
        <row r="99">
          <cell r="B99" t="str">
            <v>Other financing cash flow items</v>
          </cell>
          <cell r="C99" t="str">
            <v>OTH_FIN_CF</v>
          </cell>
          <cell r="D99" t="e">
            <v>#NAME?</v>
          </cell>
        </row>
        <row r="100">
          <cell r="B100" t="str">
            <v>Cash flow from financing</v>
          </cell>
          <cell r="C100" t="str">
            <v>CF_FIN</v>
          </cell>
          <cell r="D100" t="e">
            <v>#NAME?</v>
          </cell>
        </row>
        <row r="101">
          <cell r="B101" t="str">
            <v>Total cash flow</v>
          </cell>
          <cell r="C101" t="str">
            <v>TOT_CF</v>
          </cell>
          <cell r="D101" t="e">
            <v>#NAME?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e">
            <v>#NAME?</v>
          </cell>
        </row>
        <row r="104">
          <cell r="B104" t="str">
            <v>Profit/(loss) on sale of assets</v>
          </cell>
          <cell r="C104" t="str">
            <v>PL_SALE_ASSETS</v>
          </cell>
          <cell r="D104" t="e">
            <v>#NAME?</v>
          </cell>
        </row>
        <row r="105">
          <cell r="B105" t="str">
            <v>Other non-cash adjustments</v>
          </cell>
          <cell r="C105" t="str">
            <v>OTH_NONCASH_ADJ</v>
          </cell>
          <cell r="D105" t="e">
            <v>#NAME?</v>
          </cell>
        </row>
        <row r="106">
          <cell r="B106" t="str">
            <v>Other DACF adjustments</v>
          </cell>
          <cell r="C106" t="str">
            <v>OTH_DACF_ADJ</v>
          </cell>
          <cell r="D106" t="e">
            <v>#NAME?</v>
          </cell>
        </row>
        <row r="107">
          <cell r="B107" t="str">
            <v>Cash interest expense</v>
          </cell>
          <cell r="C107" t="str">
            <v>CASH_INT_EXP</v>
          </cell>
          <cell r="D107" t="e">
            <v>#NAME?</v>
          </cell>
        </row>
        <row r="108">
          <cell r="B108" t="str">
            <v>Cash tax expense</v>
          </cell>
          <cell r="C108" t="str">
            <v>CASH_TAX_EXP</v>
          </cell>
          <cell r="D108" t="e">
            <v>#NAME?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e">
            <v>#NAME?</v>
          </cell>
        </row>
        <row r="110">
          <cell r="B110" t="str">
            <v>Capex maintenance</v>
          </cell>
          <cell r="C110" t="str">
            <v>CAPEX_MAINTENANCE</v>
          </cell>
          <cell r="D110" t="e">
            <v>#NAME?</v>
          </cell>
        </row>
        <row r="111">
          <cell r="B111" t="str">
            <v>Capex expansion</v>
          </cell>
          <cell r="C111" t="str">
            <v>CAPEX_EXPANSION</v>
          </cell>
          <cell r="D111" t="e">
            <v>#NAME?</v>
          </cell>
        </row>
        <row r="112">
          <cell r="B112" t="str">
            <v>Non-PP&amp;E capex</v>
          </cell>
          <cell r="C112" t="str">
            <v>NONPPE_CAPEX</v>
          </cell>
          <cell r="D112" t="e">
            <v>#NAME?</v>
          </cell>
        </row>
        <row r="113">
          <cell r="B113" t="str">
            <v>Dividends paid to minorities</v>
          </cell>
          <cell r="C113" t="str">
            <v>DIVDS_PD_MINORITIES</v>
          </cell>
          <cell r="D113" t="e">
            <v>#NAME?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4">
          <cell r="B174" t="str">
            <v>Sales - % Industry Sub-Segment: Oil &amp; Gas</v>
          </cell>
          <cell r="C174" t="str">
            <v>SALES_OIL_GAS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3">
          <cell r="A183" t="str">
            <v>FX Exposure - Sales</v>
          </cell>
        </row>
        <row r="184">
          <cell r="B184" t="str">
            <v>Sales - % FX: British Pounds/Pence</v>
          </cell>
          <cell r="C184" t="str">
            <v>SALES_FX_GPB</v>
          </cell>
        </row>
        <row r="185">
          <cell r="B185" t="str">
            <v>Sales - % FX: Euro</v>
          </cell>
          <cell r="C185" t="str">
            <v>SALES_FX_EUR</v>
          </cell>
        </row>
        <row r="186">
          <cell r="B186" t="str">
            <v>Sales - % FX: New Russian Ruble</v>
          </cell>
          <cell r="C186" t="str">
            <v>SALES_FX_RUB</v>
          </cell>
        </row>
        <row r="187">
          <cell r="B187" t="str">
            <v>Sales - % FX: U.S. Dollar</v>
          </cell>
          <cell r="C187" t="str">
            <v>SALES_FX_USD</v>
          </cell>
        </row>
        <row r="188">
          <cell r="B188" t="str">
            <v>Sales - % FX: Brazilian Real</v>
          </cell>
          <cell r="C188" t="str">
            <v>SALES_FX_BRL</v>
          </cell>
        </row>
        <row r="189">
          <cell r="B189" t="str">
            <v>Sales - % FX: Japanese Yen</v>
          </cell>
          <cell r="C189" t="str">
            <v>SALES_FX_YEN</v>
          </cell>
        </row>
        <row r="190">
          <cell r="B190" t="str">
            <v>Sales - % FX: Chinese Renminbi</v>
          </cell>
          <cell r="C190" t="str">
            <v>SALES_FX_CNY</v>
          </cell>
        </row>
        <row r="191">
          <cell r="B191" t="str">
            <v>Sales - % FX: Indian Rupee</v>
          </cell>
          <cell r="C191" t="str">
            <v>SALES_FX_INR</v>
          </cell>
        </row>
        <row r="192">
          <cell r="B192" t="str">
            <v>Sales - % FX: South Korean Won</v>
          </cell>
          <cell r="C192" t="str">
            <v>SALES_FX_KRW</v>
          </cell>
        </row>
        <row r="193">
          <cell r="B193" t="str">
            <v>Sales - % FX: Taiwan Dollar</v>
          </cell>
          <cell r="C193" t="str">
            <v>SALES_FX_TWD</v>
          </cell>
        </row>
        <row r="194">
          <cell r="B194" t="str">
            <v>Sales - % FX: Other Currency</v>
          </cell>
          <cell r="C194" t="str">
            <v>SALES_FX_OTH</v>
          </cell>
        </row>
        <row r="195">
          <cell r="A195" t="str">
            <v>Items to be removed</v>
          </cell>
        </row>
        <row r="196">
          <cell r="B196" t="str">
            <v>Sales - Total % Americas</v>
          </cell>
          <cell r="C196" t="str">
            <v>SALES_TOT_AM</v>
          </cell>
        </row>
        <row r="197">
          <cell r="B197" t="str">
            <v>Sales - % Other Americas</v>
          </cell>
          <cell r="C197" t="str">
            <v>SALES_OTH_AM</v>
          </cell>
        </row>
        <row r="198">
          <cell r="B198" t="str">
            <v>Sales - Total % EMEA</v>
          </cell>
          <cell r="C198" t="str">
            <v>SALES_TOT_EMEA</v>
          </cell>
        </row>
        <row r="199">
          <cell r="B199" t="str">
            <v>Sales - % Western Europe-Ex UK</v>
          </cell>
          <cell r="C199" t="str">
            <v>SALES_EU_EX_UK</v>
          </cell>
        </row>
        <row r="200">
          <cell r="B200" t="str">
            <v>Sales - % Central &amp; Eastern Europe</v>
          </cell>
          <cell r="C200" t="str">
            <v>SALES_CEE</v>
          </cell>
        </row>
        <row r="201">
          <cell r="B201" t="str">
            <v>Sales - % Middle East</v>
          </cell>
          <cell r="C201" t="str">
            <v>SALES_ME</v>
          </cell>
        </row>
        <row r="202">
          <cell r="B202" t="str">
            <v>Sales - % Total Africa</v>
          </cell>
          <cell r="C202" t="str">
            <v>SALES_TOT_AFRICA</v>
          </cell>
        </row>
        <row r="203">
          <cell r="B203" t="str">
            <v>Sales - % Other EMEA</v>
          </cell>
          <cell r="C203" t="str">
            <v>SALES_OTH_EMEA</v>
          </cell>
        </row>
        <row r="204">
          <cell r="B204" t="str">
            <v>Sales - Total % Asia (incl Australia &amp; New Zealand)</v>
          </cell>
          <cell r="C204" t="str">
            <v>SALES_TOT_ASIA</v>
          </cell>
        </row>
        <row r="205">
          <cell r="B205" t="str">
            <v>Sales - % Other Asia</v>
          </cell>
          <cell r="C205" t="str">
            <v>SALES_OTH_AEJ</v>
          </cell>
        </row>
        <row r="206">
          <cell r="A206" t="str">
            <v>Security: BOE Technology Group (A)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000725.SZ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BOE Technology Group (A)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</row>
        <row r="215">
          <cell r="B215" t="str">
            <v>Asia ex. Japan Investment List</v>
          </cell>
          <cell r="C215" t="str">
            <v>AEJ_LIST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e">
            <v>#NAME?</v>
          </cell>
        </row>
        <row r="219">
          <cell r="B219" t="str">
            <v>Target price period</v>
          </cell>
          <cell r="C219" t="str">
            <v>TP_PERIOD</v>
          </cell>
        </row>
        <row r="220">
          <cell r="B220" t="str">
            <v>Fundamental value</v>
          </cell>
          <cell r="C220" t="str">
            <v>TARGET_PRICE_FUNDAMENTAL</v>
          </cell>
          <cell r="D220" t="e">
            <v>#NAME?</v>
          </cell>
        </row>
        <row r="221">
          <cell r="B221" t="str">
            <v>M&amp;A value</v>
          </cell>
          <cell r="C221" t="str">
            <v>TARGET_PRICE_MA</v>
          </cell>
          <cell r="D221" t="e">
            <v>#NAME?</v>
          </cell>
        </row>
        <row r="222">
          <cell r="B222" t="str">
            <v>Current shares outstanding (mn)</v>
          </cell>
          <cell r="C222" t="str">
            <v>NUM_SH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37">
          <cell r="A237" t="str">
            <v>Publishing Items</v>
          </cell>
        </row>
        <row r="238">
          <cell r="B238" t="str">
            <v>Book value per share, BVPS (Pub)</v>
          </cell>
          <cell r="C238" t="str">
            <v>BVPS_PUB</v>
          </cell>
          <cell r="D238" t="e">
            <v>#NAME?</v>
          </cell>
        </row>
        <row r="239">
          <cell r="B239" t="str">
            <v>DPS, dividend per share (Pub)</v>
          </cell>
          <cell r="C239" t="str">
            <v>DPS_PUB</v>
          </cell>
          <cell r="D239" t="e">
            <v>#NAME?</v>
          </cell>
        </row>
        <row r="240">
          <cell r="B240" t="str">
            <v>Special dividend per share</v>
          </cell>
          <cell r="C240" t="str">
            <v>DPS_SPECIAL_PUB</v>
          </cell>
          <cell r="D240" t="e">
            <v>#NAME?</v>
          </cell>
        </row>
        <row r="241">
          <cell r="B241" t="str">
            <v>EBITDA (Pub)</v>
          </cell>
          <cell r="C241" t="str">
            <v>EBITDA_PUB</v>
          </cell>
          <cell r="D241" t="e">
            <v>#NAME?</v>
          </cell>
        </row>
        <row r="242">
          <cell r="B242" t="str">
            <v>EPS (Pub)</v>
          </cell>
          <cell r="C242" t="str">
            <v>EPS_PUB</v>
          </cell>
          <cell r="D242" t="e">
            <v>#NAME?</v>
          </cell>
        </row>
        <row r="243">
          <cell r="B243" t="str">
            <v>EV adjustment (Pub)</v>
          </cell>
          <cell r="C243" t="str">
            <v>EV_ADJ_PUB</v>
          </cell>
          <cell r="D243" t="e">
            <v>#NAME?</v>
          </cell>
        </row>
        <row r="244">
          <cell r="B244" t="str">
            <v>Net debt (Pub)</v>
          </cell>
          <cell r="C244" t="str">
            <v>NET_DEBT_PUB</v>
          </cell>
          <cell r="D244" t="e">
            <v>#NAME?</v>
          </cell>
        </row>
        <row r="245">
          <cell r="B245" t="str">
            <v>Net income (Pub)</v>
          </cell>
          <cell r="C245" t="str">
            <v>NI_PUB</v>
          </cell>
          <cell r="D245" t="e">
            <v>#NAME?</v>
          </cell>
        </row>
        <row r="246">
          <cell r="B246" t="str">
            <v>EBIT, operating profit (Pub)</v>
          </cell>
          <cell r="C246" t="str">
            <v>EBIT_PUB</v>
          </cell>
          <cell r="D246" t="e">
            <v>#NAME?</v>
          </cell>
        </row>
        <row r="247">
          <cell r="B247" t="str">
            <v>Pre-tax profit (Pub)</v>
          </cell>
          <cell r="C247" t="str">
            <v>PTP_PUB</v>
          </cell>
          <cell r="D247" t="e">
            <v>#NAME?</v>
          </cell>
        </row>
        <row r="248">
          <cell r="B248" t="str">
            <v>Sales, revenue (Pub)</v>
          </cell>
          <cell r="C248" t="str">
            <v>REVS_PUB</v>
          </cell>
          <cell r="D248" t="e">
            <v>#NAME?</v>
          </cell>
        </row>
        <row r="249">
          <cell r="B249" t="str">
            <v>Total shareholders' equity (Pub)</v>
          </cell>
          <cell r="C249" t="str">
            <v>EQ_PUB</v>
          </cell>
          <cell r="D249" t="e">
            <v>#NAME?</v>
          </cell>
        </row>
        <row r="250">
          <cell r="B250" t="str">
            <v>EPS (consensus)</v>
          </cell>
          <cell r="C250" t="str">
            <v>EPS_CONS_PUB</v>
          </cell>
          <cell r="D250" t="e">
            <v>#NAME?</v>
          </cell>
        </row>
        <row r="251">
          <cell r="A251" t="str">
            <v>Income Statement</v>
          </cell>
        </row>
        <row r="252">
          <cell r="B252" t="str">
            <v>Provision for income tax</v>
          </cell>
          <cell r="C252" t="str">
            <v>PROV_INC_TAX</v>
          </cell>
          <cell r="D252" t="e">
            <v>#NAME?</v>
          </cell>
        </row>
        <row r="253">
          <cell r="B253" t="str">
            <v>Minority interest</v>
          </cell>
          <cell r="C253" t="str">
            <v>INC_MINORITY</v>
          </cell>
          <cell r="D253" t="e">
            <v>#NAME?</v>
          </cell>
        </row>
        <row r="254">
          <cell r="B254" t="str">
            <v>Net income (pre-preferred dividends)</v>
          </cell>
          <cell r="C254" t="str">
            <v>NI_PRE_PREF</v>
          </cell>
          <cell r="D254" t="e">
            <v>#NAME?</v>
          </cell>
        </row>
        <row r="255">
          <cell r="B255" t="str">
            <v>Preferred dividends</v>
          </cell>
          <cell r="C255" t="str">
            <v>PREF_DIV</v>
          </cell>
          <cell r="D255" t="e">
            <v>#NAME?</v>
          </cell>
        </row>
        <row r="256">
          <cell r="B256" t="str">
            <v>Net income (pre-exceptionals)</v>
          </cell>
          <cell r="C256" t="str">
            <v>NET_EARNING</v>
          </cell>
          <cell r="D256" t="e">
            <v>#NAME?</v>
          </cell>
        </row>
        <row r="257">
          <cell r="B257" t="str">
            <v>Post-tax exceptionals</v>
          </cell>
          <cell r="C257" t="str">
            <v>TAX_EXC</v>
          </cell>
          <cell r="D257" t="e">
            <v>#NAME?</v>
          </cell>
        </row>
        <row r="258">
          <cell r="B258" t="str">
            <v>Net income (post-exceptionals)</v>
          </cell>
          <cell r="C258" t="str">
            <v>NET_INC</v>
          </cell>
          <cell r="D258" t="e">
            <v>#NAME?</v>
          </cell>
        </row>
        <row r="259">
          <cell r="B259" t="str">
            <v>EPS (pre-exceptionals, basic)</v>
          </cell>
          <cell r="C259" t="str">
            <v>EPS</v>
          </cell>
          <cell r="D259" t="e">
            <v>#NAME?</v>
          </cell>
        </row>
        <row r="260">
          <cell r="B260" t="str">
            <v>EPS (pre-exceptionals, diluted)</v>
          </cell>
          <cell r="C260" t="str">
            <v>EPS_FUL_DIL</v>
          </cell>
          <cell r="D260" t="e">
            <v>#NAME?</v>
          </cell>
        </row>
        <row r="261">
          <cell r="B261" t="str">
            <v>EPS (post-exceptionals, basic)</v>
          </cell>
          <cell r="C261" t="str">
            <v>EPS_POST_BASIC</v>
          </cell>
          <cell r="D261" t="e">
            <v>#NAME?</v>
          </cell>
        </row>
        <row r="262">
          <cell r="B262" t="str">
            <v>EPS (post-exceptionals, diluted)</v>
          </cell>
          <cell r="C262" t="str">
            <v>FULLY_DIL_EPS</v>
          </cell>
          <cell r="D262" t="e">
            <v>#NAME?</v>
          </cell>
        </row>
        <row r="263">
          <cell r="B263" t="str">
            <v>Common dividends paid</v>
          </cell>
          <cell r="C263" t="str">
            <v>COMMON_DIV_PAID</v>
          </cell>
          <cell r="D263" t="e">
            <v>#NAME?</v>
          </cell>
        </row>
        <row r="264">
          <cell r="B264" t="str">
            <v>DPS, dividend per share</v>
          </cell>
          <cell r="C264" t="str">
            <v>DPS</v>
          </cell>
          <cell r="D264" t="e">
            <v>#NAME?</v>
          </cell>
        </row>
        <row r="265">
          <cell r="B265" t="str">
            <v>Weighted average shares outstanding, basic</v>
          </cell>
          <cell r="C265" t="str">
            <v>SH</v>
          </cell>
        </row>
        <row r="266">
          <cell r="B266" t="str">
            <v>Diluted average shares outstanding (mn)</v>
          </cell>
          <cell r="C266" t="str">
            <v>DILUTE_SHARES</v>
          </cell>
        </row>
        <row r="267">
          <cell r="B267" t="str">
            <v>Period-end shares outstanding</v>
          </cell>
          <cell r="C267" t="str">
            <v>NON_OP_ADD</v>
          </cell>
        </row>
        <row r="268">
          <cell r="A268" t="str">
            <v>Additional Income Statement Items</v>
          </cell>
        </row>
        <row r="269">
          <cell r="B269" t="str">
            <v>Marginal tax rate</v>
          </cell>
          <cell r="C269" t="str">
            <v>MARGIN_TAX_RATE</v>
          </cell>
        </row>
        <row r="270">
          <cell r="B270" t="str">
            <v>Net income (consensus) (Pub)</v>
          </cell>
          <cell r="C270" t="str">
            <v>NI_CONS</v>
          </cell>
          <cell r="D270" t="e">
            <v>#NAME?</v>
          </cell>
        </row>
        <row r="271">
          <cell r="A271" t="str">
            <v>Balance Sheet</v>
          </cell>
        </row>
        <row r="272">
          <cell r="B272" t="str">
            <v>BVPS, book value per share</v>
          </cell>
          <cell r="C272" t="str">
            <v>BVPS</v>
          </cell>
          <cell r="D272" t="e">
            <v>#NAME?</v>
          </cell>
        </row>
        <row r="273">
          <cell r="A273" t="str">
            <v>Cash Flow Statement</v>
          </cell>
        </row>
        <row r="274">
          <cell r="B274" t="str">
            <v>Net income (pre-preferred dividends)</v>
          </cell>
          <cell r="C274" t="str">
            <v>CF_NI_PRE_PREF</v>
          </cell>
          <cell r="D274" t="e">
            <v>#NAME?</v>
          </cell>
        </row>
        <row r="275">
          <cell r="A275" t="str">
            <v>Other Items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</row>
      </sheetData>
      <sheetData sheetId="10">
        <row r="1">
          <cell r="A1" t="str">
            <v>Issuer: BOE Technology Group</v>
          </cell>
          <cell r="F1" t="str">
            <v>2006</v>
          </cell>
          <cell r="G1" t="str">
            <v>2007</v>
          </cell>
          <cell r="H1" t="str">
            <v>2008</v>
          </cell>
          <cell r="I1" t="str">
            <v>2009</v>
          </cell>
          <cell r="J1" t="str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 t="str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 t="str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 t="str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 t="str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 t="str">
            <v>2015</v>
          </cell>
          <cell r="AJ1" t="str">
            <v>2016 Q1</v>
          </cell>
          <cell r="AK1" t="str">
            <v>2016 Q2</v>
          </cell>
          <cell r="AL1" t="str">
            <v>2016 Q3</v>
          </cell>
          <cell r="AM1" t="str">
            <v>2016 Q4</v>
          </cell>
          <cell r="AN1" t="str">
            <v>2016</v>
          </cell>
          <cell r="AO1" t="str">
            <v>2017 Q1</v>
          </cell>
          <cell r="AP1" t="str">
            <v>2017 Q2</v>
          </cell>
          <cell r="AQ1" t="str">
            <v>2017 Q3</v>
          </cell>
          <cell r="AR1" t="str">
            <v>2017 Q4</v>
          </cell>
          <cell r="AS1" t="str">
            <v>2017</v>
          </cell>
          <cell r="AT1" t="str">
            <v>2018 Q1</v>
          </cell>
          <cell r="AU1" t="str">
            <v>2018 Q2</v>
          </cell>
          <cell r="AV1" t="str">
            <v>2018 Q3</v>
          </cell>
          <cell r="AW1" t="str">
            <v>2018 Q4</v>
          </cell>
          <cell r="AX1">
            <v>2018</v>
          </cell>
          <cell r="AY1" t="str">
            <v>2019 Q1</v>
          </cell>
          <cell r="AZ1" t="str">
            <v>2019 Q2</v>
          </cell>
          <cell r="BA1" t="str">
            <v>2019 Q3</v>
          </cell>
          <cell r="BB1" t="str">
            <v>2019 Q4</v>
          </cell>
          <cell r="BC1" t="str">
            <v>2019</v>
          </cell>
          <cell r="BD1" t="str">
            <v>2020</v>
          </cell>
          <cell r="BE1" t="str">
            <v>2021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42094</v>
          </cell>
          <cell r="AF3">
            <v>42185</v>
          </cell>
          <cell r="AG3">
            <v>42277</v>
          </cell>
          <cell r="AH3">
            <v>42369</v>
          </cell>
          <cell r="AI3">
            <v>42369</v>
          </cell>
          <cell r="AJ3">
            <v>42460</v>
          </cell>
          <cell r="AK3">
            <v>42551</v>
          </cell>
          <cell r="AL3">
            <v>42643</v>
          </cell>
          <cell r="AM3">
            <v>42735</v>
          </cell>
          <cell r="AN3">
            <v>42735</v>
          </cell>
          <cell r="AO3">
            <v>42825</v>
          </cell>
          <cell r="AP3">
            <v>42916</v>
          </cell>
          <cell r="AQ3">
            <v>43008</v>
          </cell>
          <cell r="AR3">
            <v>43100</v>
          </cell>
          <cell r="AS3">
            <v>43100</v>
          </cell>
          <cell r="AT3">
            <v>43190</v>
          </cell>
          <cell r="AU3">
            <v>43281</v>
          </cell>
          <cell r="AV3">
            <v>43373</v>
          </cell>
          <cell r="AW3">
            <v>43465</v>
          </cell>
          <cell r="AX3">
            <v>43465</v>
          </cell>
          <cell r="AY3">
            <v>43555</v>
          </cell>
          <cell r="AZ3">
            <v>43646</v>
          </cell>
          <cell r="BA3">
            <v>43738</v>
          </cell>
          <cell r="BB3">
            <v>43830</v>
          </cell>
          <cell r="BC3">
            <v>43830</v>
          </cell>
          <cell r="BD3">
            <v>44196</v>
          </cell>
          <cell r="BE3">
            <v>44561</v>
          </cell>
        </row>
        <row r="4">
          <cell r="A4" t="str">
            <v>Issuer: BOE Technology Group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BOE Technology Group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F11">
            <v>8839.6642909999991</v>
          </cell>
          <cell r="G11">
            <v>11170.448855000001</v>
          </cell>
          <cell r="H11">
            <v>8334.0157710000003</v>
          </cell>
          <cell r="I11">
            <v>6249.1941260000003</v>
          </cell>
          <cell r="J11">
            <v>8025.2908479999996</v>
          </cell>
          <cell r="K11">
            <v>1969.6462220000001</v>
          </cell>
          <cell r="L11">
            <v>2970.3877750000001</v>
          </cell>
          <cell r="M11">
            <v>3574.6025570000002</v>
          </cell>
          <cell r="N11">
            <v>4226.7770079999991</v>
          </cell>
          <cell r="O11">
            <v>12741.413562</v>
          </cell>
          <cell r="P11">
            <v>4147.6412799999998</v>
          </cell>
          <cell r="Q11">
            <v>5461.2407330000005</v>
          </cell>
          <cell r="R11">
            <v>7514.0259879999994</v>
          </cell>
          <cell r="S11">
            <v>8648.6753849999986</v>
          </cell>
          <cell r="T11">
            <v>25771.583385999998</v>
          </cell>
          <cell r="U11">
            <v>8058.663697</v>
          </cell>
          <cell r="V11">
            <v>8195.66237</v>
          </cell>
          <cell r="W11">
            <v>8519.4456469999986</v>
          </cell>
          <cell r="X11">
            <v>9000.5139060000038</v>
          </cell>
          <cell r="Y11">
            <v>33774.285620000002</v>
          </cell>
          <cell r="Z11">
            <v>8091.6793150000003</v>
          </cell>
          <cell r="AA11">
            <v>8021.4922689999994</v>
          </cell>
          <cell r="AB11">
            <v>9174.8977999999988</v>
          </cell>
          <cell r="AC11">
            <v>11528.247292000004</v>
          </cell>
          <cell r="AD11">
            <v>36816.316676000002</v>
          </cell>
          <cell r="AE11">
            <v>11582.854379</v>
          </cell>
          <cell r="AF11">
            <v>11387.993732999999</v>
          </cell>
          <cell r="AG11">
            <v>13449.597930000004</v>
          </cell>
          <cell r="AH11">
            <v>12203.286269999997</v>
          </cell>
          <cell r="AI11">
            <v>48623.732312</v>
          </cell>
          <cell r="AJ11">
            <v>12297.73883</v>
          </cell>
          <cell r="AK11">
            <v>14150.571887</v>
          </cell>
          <cell r="AL11">
            <v>19393.595018</v>
          </cell>
          <cell r="AM11">
            <v>23053.753227999994</v>
          </cell>
          <cell r="AN11">
            <v>68895.658962999994</v>
          </cell>
          <cell r="AO11">
            <v>21854.974362000001</v>
          </cell>
          <cell r="AP11">
            <v>22750.053632999996</v>
          </cell>
          <cell r="AQ11">
            <v>24803.328149000008</v>
          </cell>
          <cell r="AR11">
            <v>24392.123070999995</v>
          </cell>
          <cell r="AS11">
            <v>93800.479214999999</v>
          </cell>
          <cell r="AT11">
            <v>21566.813037</v>
          </cell>
          <cell r="AU11">
            <v>21907.091929000002</v>
          </cell>
          <cell r="AV11">
            <v>25111.748155415677</v>
          </cell>
          <cell r="AW11">
            <v>26807.015784984564</v>
          </cell>
          <cell r="AX11">
            <v>95392.668906400242</v>
          </cell>
          <cell r="AY11">
            <v>31671.191262724631</v>
          </cell>
          <cell r="AZ11">
            <v>33829.407132382701</v>
          </cell>
          <cell r="BA11">
            <v>35539.388695136025</v>
          </cell>
          <cell r="BB11">
            <v>35884.019925695437</v>
          </cell>
          <cell r="BC11">
            <v>136924.00701593878</v>
          </cell>
          <cell r="BD11">
            <v>160381.07258766334</v>
          </cell>
          <cell r="BE11">
            <v>199332.12755527135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F13">
            <v>-9999.7357900000006</v>
          </cell>
          <cell r="G13">
            <v>-9263.8703399999995</v>
          </cell>
          <cell r="H13">
            <v>-7681.521839</v>
          </cell>
          <cell r="I13">
            <v>-6276.6493819999996</v>
          </cell>
          <cell r="J13">
            <v>-8288.1530299999995</v>
          </cell>
          <cell r="O13">
            <v>-13441.228862</v>
          </cell>
          <cell r="T13">
            <v>-22790.332462999999</v>
          </cell>
          <cell r="Y13">
            <v>-25703.823432000001</v>
          </cell>
          <cell r="AD13">
            <v>-28504.880729</v>
          </cell>
          <cell r="AI13">
            <v>-38755.090665999996</v>
          </cell>
          <cell r="AN13">
            <v>-56585.696090999998</v>
          </cell>
          <cell r="AS13">
            <v>-70282.477585000001</v>
          </cell>
          <cell r="AX13">
            <v>-76199.704541224113</v>
          </cell>
          <cell r="BC13">
            <v>-105642.18726290202</v>
          </cell>
          <cell r="BD13">
            <v>-121900.60986336881</v>
          </cell>
          <cell r="BE13">
            <v>-150369.88690302763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F14">
            <v>-1124.771358</v>
          </cell>
          <cell r="G14">
            <v>-774.11196899999993</v>
          </cell>
          <cell r="H14">
            <v>-1003.079303</v>
          </cell>
          <cell r="I14">
            <v>-1010.1518389999999</v>
          </cell>
          <cell r="J14">
            <v>-1680.405782</v>
          </cell>
          <cell r="O14">
            <v>-2269.8198240000002</v>
          </cell>
          <cell r="T14">
            <v>-2969.2578759999997</v>
          </cell>
          <cell r="Y14">
            <v>-4504.495003</v>
          </cell>
          <cell r="AD14">
            <v>-4992.8386170000003</v>
          </cell>
          <cell r="AI14">
            <v>-6241.6153009999998</v>
          </cell>
          <cell r="AN14">
            <v>-8062.0695059999998</v>
          </cell>
          <cell r="AS14">
            <v>-10546.850667000001</v>
          </cell>
          <cell r="AX14">
            <v>-12037.076901682063</v>
          </cell>
          <cell r="BC14">
            <v>-17999.159376359108</v>
          </cell>
          <cell r="BD14">
            <v>-21330.682654159224</v>
          </cell>
          <cell r="BE14">
            <v>-26511.172964851092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F15">
            <v>-11124.507148000001</v>
          </cell>
          <cell r="G15">
            <v>-10037.982308999999</v>
          </cell>
          <cell r="H15">
            <v>-8684.6011419999995</v>
          </cell>
          <cell r="I15">
            <v>-7286.8012209999997</v>
          </cell>
          <cell r="J15">
            <v>-9968.5588119999993</v>
          </cell>
          <cell r="O15">
            <v>-15711.048686</v>
          </cell>
          <cell r="T15">
            <v>-25759.590338999998</v>
          </cell>
          <cell r="Y15">
            <v>-30208.318435000001</v>
          </cell>
          <cell r="AD15">
            <v>-33497.719345999998</v>
          </cell>
          <cell r="AI15">
            <v>-44996.705966999994</v>
          </cell>
          <cell r="AN15">
            <v>-64647.765596999998</v>
          </cell>
          <cell r="AS15">
            <v>-80829.328252000007</v>
          </cell>
          <cell r="AX15">
            <v>-88236.781442906184</v>
          </cell>
          <cell r="BC15">
            <v>-123641.34663926113</v>
          </cell>
          <cell r="BD15">
            <v>-143231.29251752803</v>
          </cell>
          <cell r="BE15">
            <v>-176881.05986787871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O16">
            <v>0</v>
          </cell>
          <cell r="T16">
            <v>0</v>
          </cell>
          <cell r="Y16">
            <v>0</v>
          </cell>
          <cell r="AD16">
            <v>0</v>
          </cell>
          <cell r="AI16">
            <v>0</v>
          </cell>
          <cell r="AN16">
            <v>0</v>
          </cell>
          <cell r="AS16">
            <v>0</v>
          </cell>
          <cell r="AX16">
            <v>0</v>
          </cell>
          <cell r="BC16">
            <v>0</v>
          </cell>
          <cell r="BD16">
            <v>0</v>
          </cell>
          <cell r="BE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O17">
            <v>0</v>
          </cell>
          <cell r="T17">
            <v>0</v>
          </cell>
          <cell r="Y17">
            <v>0</v>
          </cell>
          <cell r="AD17">
            <v>0</v>
          </cell>
          <cell r="AI17">
            <v>0</v>
          </cell>
          <cell r="AN17">
            <v>0</v>
          </cell>
          <cell r="AS17">
            <v>0</v>
          </cell>
          <cell r="AX17">
            <v>0</v>
          </cell>
          <cell r="BC17">
            <v>0</v>
          </cell>
          <cell r="BD17">
            <v>0</v>
          </cell>
          <cell r="BE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F18">
            <v>-11124.507147999999</v>
          </cell>
          <cell r="G18">
            <v>-10037.982308999999</v>
          </cell>
          <cell r="H18">
            <v>-8684.6011419999977</v>
          </cell>
          <cell r="I18">
            <v>-7286.8012209999997</v>
          </cell>
          <cell r="J18">
            <v>-9968.5588119999993</v>
          </cell>
          <cell r="O18">
            <v>-15711.048686</v>
          </cell>
          <cell r="T18">
            <v>-25759.590338999998</v>
          </cell>
          <cell r="Y18">
            <v>-30208.318435000001</v>
          </cell>
          <cell r="AD18">
            <v>-33497.719345999998</v>
          </cell>
          <cell r="AI18">
            <v>-44996.705966999994</v>
          </cell>
          <cell r="AN18">
            <v>-64647.765596999998</v>
          </cell>
          <cell r="AS18">
            <v>-80829.328251999992</v>
          </cell>
          <cell r="AX18">
            <v>-88236.781442906169</v>
          </cell>
          <cell r="BC18">
            <v>-123641.34663926113</v>
          </cell>
          <cell r="BD18">
            <v>-143231.29251752803</v>
          </cell>
          <cell r="BE18">
            <v>-176881.05986787871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F19">
            <v>-9480.126827</v>
          </cell>
          <cell r="G19">
            <v>-8889.2418089999992</v>
          </cell>
          <cell r="H19">
            <v>-7531.7985629999994</v>
          </cell>
          <cell r="I19">
            <v>-6011.8321120000001</v>
          </cell>
          <cell r="J19">
            <v>-8212.0258049999993</v>
          </cell>
          <cell r="O19">
            <v>-12801.480345</v>
          </cell>
          <cell r="T19">
            <v>-21843.080610999998</v>
          </cell>
          <cell r="Y19">
            <v>-25599.084075999999</v>
          </cell>
          <cell r="AD19">
            <v>-27741.990298999997</v>
          </cell>
          <cell r="AI19">
            <v>-36901.422606999993</v>
          </cell>
          <cell r="AN19">
            <v>-54274.247799999997</v>
          </cell>
          <cell r="AS19">
            <v>-68884.815004000004</v>
          </cell>
          <cell r="AX19">
            <v>-74805.121530766643</v>
          </cell>
          <cell r="BC19">
            <v>-107639.09804215617</v>
          </cell>
          <cell r="BD19">
            <v>-123724.60006792229</v>
          </cell>
          <cell r="BE19">
            <v>-153055.68516262271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F20">
            <v>-640.46253600000091</v>
          </cell>
          <cell r="G20">
            <v>2281.2070460000014</v>
          </cell>
          <cell r="H20">
            <v>802.21720800000094</v>
          </cell>
          <cell r="I20">
            <v>237.36201400000027</v>
          </cell>
          <cell r="J20">
            <v>-186.73495699999967</v>
          </cell>
          <cell r="O20">
            <v>-60.066783000000214</v>
          </cell>
          <cell r="T20">
            <v>3928.5027750000008</v>
          </cell>
          <cell r="Y20">
            <v>8175.2015440000032</v>
          </cell>
          <cell r="AD20">
            <v>9074.3263770000049</v>
          </cell>
          <cell r="AI20">
            <v>11722.309705000007</v>
          </cell>
          <cell r="AN20">
            <v>14621.411162999997</v>
          </cell>
          <cell r="AS20">
            <v>24915.664210999996</v>
          </cell>
          <cell r="AX20">
            <v>20587.5473756336</v>
          </cell>
          <cell r="BC20">
            <v>29284.908973782614</v>
          </cell>
          <cell r="BD20">
            <v>36656.472519741044</v>
          </cell>
          <cell r="BE20">
            <v>46276.442392648634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F21">
            <v>-1575.772737</v>
          </cell>
          <cell r="G21">
            <v>-1093.0238440000001</v>
          </cell>
          <cell r="H21">
            <v>-1096.1437679999999</v>
          </cell>
          <cell r="I21">
            <v>-1215.1236510000001</v>
          </cell>
          <cell r="J21">
            <v>-1681.54774</v>
          </cell>
          <cell r="O21">
            <v>-2801.1040859999998</v>
          </cell>
          <cell r="T21">
            <v>-3765.2481299999999</v>
          </cell>
          <cell r="Y21">
            <v>-4392.6437329999999</v>
          </cell>
          <cell r="AD21">
            <v>-5523.7265870000001</v>
          </cell>
          <cell r="AI21">
            <v>-7799.4577090000002</v>
          </cell>
          <cell r="AN21">
            <v>-10043.152205</v>
          </cell>
          <cell r="AS21">
            <v>-11582.379561</v>
          </cell>
          <cell r="AX21">
            <v>-13057.326167778479</v>
          </cell>
          <cell r="BC21">
            <v>-15375.532974111775</v>
          </cell>
          <cell r="BD21">
            <v>-18879.976826612557</v>
          </cell>
          <cell r="BE21">
            <v>-23198.65908226281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F22">
            <v>-68.607584000000003</v>
          </cell>
          <cell r="G22">
            <v>-55.716656</v>
          </cell>
          <cell r="H22">
            <v>-56.658811</v>
          </cell>
          <cell r="I22">
            <v>-59.845458000000001</v>
          </cell>
          <cell r="J22">
            <v>-74.985266999999993</v>
          </cell>
          <cell r="O22">
            <v>-108.46425500000001</v>
          </cell>
          <cell r="T22">
            <v>-151.26159799999999</v>
          </cell>
          <cell r="Y22">
            <v>-216.59062599999999</v>
          </cell>
          <cell r="AD22">
            <v>-232.00246000000001</v>
          </cell>
          <cell r="AI22">
            <v>-295.82565099999999</v>
          </cell>
          <cell r="AN22">
            <v>-330.36559199999999</v>
          </cell>
          <cell r="AS22">
            <v>-362.13368700000001</v>
          </cell>
          <cell r="AX22">
            <v>-374.33374436105612</v>
          </cell>
          <cell r="BC22">
            <v>-626.71562299318089</v>
          </cell>
          <cell r="BD22">
            <v>-626.71562299318089</v>
          </cell>
          <cell r="BE22">
            <v>-626.71562299318089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F23">
            <v>-2284.8428569999996</v>
          </cell>
          <cell r="G23">
            <v>1132.4665460000015</v>
          </cell>
          <cell r="H23">
            <v>-350.58537099999739</v>
          </cell>
          <cell r="I23">
            <v>-1037.6070949999994</v>
          </cell>
          <cell r="J23">
            <v>-1943.2679639999997</v>
          </cell>
          <cell r="K23">
            <v>-796.97162500000013</v>
          </cell>
          <cell r="L23">
            <v>-606.39709899999991</v>
          </cell>
          <cell r="M23">
            <v>-832.06253799999877</v>
          </cell>
          <cell r="N23">
            <v>-734.20386200000166</v>
          </cell>
          <cell r="O23">
            <v>-2969.6351240000004</v>
          </cell>
          <cell r="P23">
            <v>-639.36001400000055</v>
          </cell>
          <cell r="Q23">
            <v>-473.91375099999948</v>
          </cell>
          <cell r="R23">
            <v>23.29101399999945</v>
          </cell>
          <cell r="S23">
            <v>1101.9757980000002</v>
          </cell>
          <cell r="T23">
            <v>11.993046999999933</v>
          </cell>
          <cell r="U23">
            <v>722.78521600000033</v>
          </cell>
          <cell r="V23">
            <v>1038.1231600000001</v>
          </cell>
          <cell r="W23">
            <v>1073.150977999999</v>
          </cell>
          <cell r="X23">
            <v>731.90783100000181</v>
          </cell>
          <cell r="Y23">
            <v>3565.9671850000013</v>
          </cell>
          <cell r="Z23">
            <v>586.24193400000058</v>
          </cell>
          <cell r="AA23">
            <v>678.32098399999882</v>
          </cell>
          <cell r="AB23">
            <v>930.06678799999941</v>
          </cell>
          <cell r="AC23">
            <v>1123.9676240000031</v>
          </cell>
          <cell r="AD23">
            <v>3318.5973300000041</v>
          </cell>
          <cell r="AE23">
            <v>1427.7032219999996</v>
          </cell>
          <cell r="AF23">
            <v>1134.0902720000004</v>
          </cell>
          <cell r="AG23">
            <v>879.10860500000422</v>
          </cell>
          <cell r="AH23">
            <v>186.12424599999895</v>
          </cell>
          <cell r="AI23">
            <v>3627.0263450000057</v>
          </cell>
          <cell r="AJ23">
            <v>-779.15522500000043</v>
          </cell>
          <cell r="AK23">
            <v>140.13771400000155</v>
          </cell>
          <cell r="AL23">
            <v>1484.2523399999991</v>
          </cell>
          <cell r="AM23">
            <v>3402.6585369999966</v>
          </cell>
          <cell r="AN23">
            <v>4247.8933659999966</v>
          </cell>
          <cell r="AO23">
            <v>3897.3148200000014</v>
          </cell>
          <cell r="AP23">
            <v>3835.5231559999984</v>
          </cell>
          <cell r="AQ23">
            <v>3025.9046730000077</v>
          </cell>
          <cell r="AR23">
            <v>2212.408313999993</v>
          </cell>
          <cell r="AS23">
            <v>12971.150963000007</v>
          </cell>
          <cell r="AT23">
            <v>1897.1127989999986</v>
          </cell>
          <cell r="AU23">
            <v>1090.9584150000005</v>
          </cell>
          <cell r="AV23">
            <v>2136.6766675348558</v>
          </cell>
          <cell r="AW23">
            <v>2031.139581959219</v>
          </cell>
          <cell r="AX23">
            <v>7155.887463494073</v>
          </cell>
          <cell r="AY23">
            <v>2152.8774682391686</v>
          </cell>
          <cell r="AZ23">
            <v>3218.3010630072604</v>
          </cell>
          <cell r="BA23">
            <v>4227.2305477548962</v>
          </cell>
          <cell r="BB23">
            <v>3684.2512976763628</v>
          </cell>
          <cell r="BC23">
            <v>13282.660376677653</v>
          </cell>
          <cell r="BD23">
            <v>17149.780070135312</v>
          </cell>
          <cell r="BE23">
            <v>22451.067687392642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F24">
            <v>30.491007</v>
          </cell>
          <cell r="G24">
            <v>32.630741999999998</v>
          </cell>
          <cell r="H24">
            <v>53.497635000000002</v>
          </cell>
          <cell r="I24">
            <v>147.67732100000001</v>
          </cell>
          <cell r="J24">
            <v>230.71939599999999</v>
          </cell>
          <cell r="O24">
            <v>344.569323</v>
          </cell>
          <cell r="T24">
            <v>286.07613800000001</v>
          </cell>
          <cell r="Y24">
            <v>352.77686199999999</v>
          </cell>
          <cell r="AD24">
            <v>890.18465800000001</v>
          </cell>
          <cell r="AI24">
            <v>725.63400899999999</v>
          </cell>
          <cell r="AN24">
            <v>533.34101199999998</v>
          </cell>
          <cell r="AS24">
            <v>665.07639099999994</v>
          </cell>
          <cell r="AX24">
            <v>645.65127767960314</v>
          </cell>
          <cell r="BC24">
            <v>692.59702856389902</v>
          </cell>
          <cell r="BD24">
            <v>724.0471049523378</v>
          </cell>
          <cell r="BE24">
            <v>788.65494343606247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F25">
            <v>-829.84220099999993</v>
          </cell>
          <cell r="G25">
            <v>-526.15946600000007</v>
          </cell>
          <cell r="H25">
            <v>-296.21928599999995</v>
          </cell>
          <cell r="I25">
            <v>-198.68729100000002</v>
          </cell>
          <cell r="J25">
            <v>-235.95321499999997</v>
          </cell>
          <cell r="O25">
            <v>-522.35877700000003</v>
          </cell>
          <cell r="T25">
            <v>-756.00201200000004</v>
          </cell>
          <cell r="Y25">
            <v>-1072.012757</v>
          </cell>
          <cell r="AD25">
            <v>-867.87193500000012</v>
          </cell>
          <cell r="AI25">
            <v>-1406.396203</v>
          </cell>
          <cell r="AN25">
            <v>-2077.6982840000001</v>
          </cell>
          <cell r="AS25">
            <v>-2593.1786309999998</v>
          </cell>
          <cell r="AX25">
            <v>-3030.0369698240247</v>
          </cell>
          <cell r="BC25">
            <v>-3438.7545026162975</v>
          </cell>
          <cell r="BD25">
            <v>-3749.289829687832</v>
          </cell>
          <cell r="BE25">
            <v>-3858.9384231415729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F26">
            <v>-799.35119399999996</v>
          </cell>
          <cell r="G26">
            <v>-493.52872400000007</v>
          </cell>
          <cell r="H26">
            <v>-242.72165099999995</v>
          </cell>
          <cell r="I26">
            <v>-51.00997000000001</v>
          </cell>
          <cell r="J26">
            <v>-5.2338189999999827</v>
          </cell>
          <cell r="O26">
            <v>-177.78945400000003</v>
          </cell>
          <cell r="T26">
            <v>-469.92587400000002</v>
          </cell>
          <cell r="Y26">
            <v>-719.23589500000003</v>
          </cell>
          <cell r="AD26">
            <v>22.312722999999892</v>
          </cell>
          <cell r="AI26">
            <v>-680.76219400000002</v>
          </cell>
          <cell r="AN26">
            <v>-1544.3572720000002</v>
          </cell>
          <cell r="AS26">
            <v>-1928.1022399999997</v>
          </cell>
          <cell r="AX26">
            <v>-2384.3856921444217</v>
          </cell>
          <cell r="BC26">
            <v>-2746.1574740523984</v>
          </cell>
          <cell r="BD26">
            <v>-3025.2427247354944</v>
          </cell>
          <cell r="BE26">
            <v>-3070.2834797055102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F27">
            <v>418.780123</v>
          </cell>
          <cell r="G27">
            <v>-83.656077999999994</v>
          </cell>
          <cell r="H27">
            <v>-281.31832600000001</v>
          </cell>
          <cell r="I27">
            <v>-204.544825</v>
          </cell>
          <cell r="J27">
            <v>-6.6765829999999999</v>
          </cell>
          <cell r="O27">
            <v>-5.2051340000000001</v>
          </cell>
          <cell r="T27">
            <v>-5.9583820000000003</v>
          </cell>
          <cell r="Y27">
            <v>8.7148000000000003E-2</v>
          </cell>
          <cell r="AD27">
            <v>3.5699779999999999</v>
          </cell>
          <cell r="AI27">
            <v>4.7487389999999996</v>
          </cell>
          <cell r="AN27">
            <v>-15.121347</v>
          </cell>
          <cell r="AS27">
            <v>0.16903399999999999</v>
          </cell>
          <cell r="AX27">
            <v>-39.144272074999996</v>
          </cell>
          <cell r="BC27">
            <v>-70.556476376075267</v>
          </cell>
          <cell r="BD27">
            <v>-93.984487128763433</v>
          </cell>
          <cell r="BE27">
            <v>-104.17648712876344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O28">
            <v>0</v>
          </cell>
          <cell r="T28">
            <v>0</v>
          </cell>
          <cell r="Y28">
            <v>0</v>
          </cell>
          <cell r="AD28">
            <v>0</v>
          </cell>
          <cell r="AI28">
            <v>0</v>
          </cell>
          <cell r="AN28">
            <v>0</v>
          </cell>
          <cell r="AS28">
            <v>0</v>
          </cell>
          <cell r="AX28">
            <v>0</v>
          </cell>
          <cell r="BC28">
            <v>0</v>
          </cell>
          <cell r="BD28">
            <v>0</v>
          </cell>
          <cell r="BE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F29">
            <v>891.36267699999826</v>
          </cell>
          <cell r="G29">
            <v>285.51731999999976</v>
          </cell>
          <cell r="H29">
            <v>-54.725948000002347</v>
          </cell>
          <cell r="I29">
            <v>1211.214614</v>
          </cell>
          <cell r="J29">
            <v>-286.18185700000004</v>
          </cell>
          <cell r="O29">
            <v>3998.7170080000005</v>
          </cell>
          <cell r="T29">
            <v>649.94317200000012</v>
          </cell>
          <cell r="Y29">
            <v>175.59498700000023</v>
          </cell>
          <cell r="AD29">
            <v>-168.57286600000305</v>
          </cell>
          <cell r="AI29">
            <v>-937.76977300000294</v>
          </cell>
          <cell r="AN29">
            <v>-176.01567199999977</v>
          </cell>
          <cell r="AS29">
            <v>-1302.0770730000113</v>
          </cell>
          <cell r="AX29">
            <v>1665.1886525063903</v>
          </cell>
          <cell r="BC29">
            <v>1121.298345819549</v>
          </cell>
          <cell r="BD29">
            <v>1379.2289503382783</v>
          </cell>
          <cell r="BE29">
            <v>455.93402243711461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F30">
            <v>-1774.0512510000012</v>
          </cell>
          <cell r="G30">
            <v>840.79906400000118</v>
          </cell>
          <cell r="H30">
            <v>-929.35129599999971</v>
          </cell>
          <cell r="I30">
            <v>-81.947275999999306</v>
          </cell>
          <cell r="J30">
            <v>-2241.3602229999997</v>
          </cell>
          <cell r="O30">
            <v>846.08729600000015</v>
          </cell>
          <cell r="T30">
            <v>186.051963</v>
          </cell>
          <cell r="Y30">
            <v>3022.4134250000016</v>
          </cell>
          <cell r="AD30">
            <v>3175.907165000001</v>
          </cell>
          <cell r="AI30">
            <v>2013.2431170000027</v>
          </cell>
          <cell r="AN30">
            <v>2512.3990749999966</v>
          </cell>
          <cell r="AS30">
            <v>9741.1406839999963</v>
          </cell>
          <cell r="AX30">
            <v>6397.5461517810418</v>
          </cell>
          <cell r="BC30">
            <v>11587.244772068729</v>
          </cell>
          <cell r="BD30">
            <v>15409.781808609332</v>
          </cell>
          <cell r="BE30">
            <v>19732.541742995483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</row>
        <row r="33">
          <cell r="B33" t="str">
            <v>Lease payments</v>
          </cell>
          <cell r="C33" t="str">
            <v>LEASE_PAY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O33">
            <v>0</v>
          </cell>
          <cell r="T33">
            <v>0</v>
          </cell>
          <cell r="Y33">
            <v>0</v>
          </cell>
          <cell r="AD33">
            <v>0</v>
          </cell>
          <cell r="AI33">
            <v>0</v>
          </cell>
          <cell r="AN33">
            <v>0</v>
          </cell>
          <cell r="AS33">
            <v>0</v>
          </cell>
          <cell r="AX33">
            <v>0</v>
          </cell>
          <cell r="BC33">
            <v>0</v>
          </cell>
          <cell r="BD33">
            <v>0</v>
          </cell>
          <cell r="BE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  <cell r="F36">
            <v>-829.84220099999993</v>
          </cell>
          <cell r="G36">
            <v>-526.15946600000007</v>
          </cell>
          <cell r="H36">
            <v>-296.21928599999995</v>
          </cell>
          <cell r="I36">
            <v>-198.68729100000002</v>
          </cell>
          <cell r="J36">
            <v>-235.95321499999997</v>
          </cell>
          <cell r="O36">
            <v>-522.35877700000003</v>
          </cell>
          <cell r="T36">
            <v>-756.00201200000004</v>
          </cell>
          <cell r="Y36">
            <v>-1072.012757</v>
          </cell>
          <cell r="AD36">
            <v>-867.87193500000012</v>
          </cell>
          <cell r="AI36">
            <v>-1406.396203</v>
          </cell>
          <cell r="AN36">
            <v>-2077.6982840000001</v>
          </cell>
          <cell r="AS36">
            <v>-2593.1786309999998</v>
          </cell>
          <cell r="AX36">
            <v>-3030.0369698240247</v>
          </cell>
          <cell r="BC36">
            <v>-3438.7545026162975</v>
          </cell>
          <cell r="BD36">
            <v>-3749.289829687832</v>
          </cell>
          <cell r="BE36">
            <v>-3858.9384231415729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CNY</v>
          </cell>
          <cell r="F39">
            <v>1452.714377</v>
          </cell>
          <cell r="G39">
            <v>1452.1602</v>
          </cell>
          <cell r="H39">
            <v>3528.5978140000002</v>
          </cell>
          <cell r="I39">
            <v>15230.490503999999</v>
          </cell>
          <cell r="J39">
            <v>19097.948638000002</v>
          </cell>
          <cell r="O39">
            <v>12959.533670000001</v>
          </cell>
          <cell r="T39">
            <v>13556.486692</v>
          </cell>
          <cell r="Y39">
            <v>16474.975848999999</v>
          </cell>
          <cell r="AD39">
            <v>36504.707159999998</v>
          </cell>
          <cell r="AI39">
            <v>36182.738216999998</v>
          </cell>
          <cell r="AN39">
            <v>49354.810387999998</v>
          </cell>
          <cell r="AS39">
            <v>47913.287582999998</v>
          </cell>
          <cell r="AX39">
            <v>51397.095856411863</v>
          </cell>
          <cell r="BC39">
            <v>53730.981975126175</v>
          </cell>
          <cell r="BD39">
            <v>58525.480262981895</v>
          </cell>
          <cell r="BE39">
            <v>81324.145993929007</v>
          </cell>
        </row>
        <row r="40">
          <cell r="B40" t="str">
            <v>Accounts receivable</v>
          </cell>
          <cell r="C40" t="str">
            <v>DEBTORS</v>
          </cell>
          <cell r="D40" t="str">
            <v>CNY</v>
          </cell>
          <cell r="F40">
            <v>1336.4897289999999</v>
          </cell>
          <cell r="G40">
            <v>2051.5077740000002</v>
          </cell>
          <cell r="H40">
            <v>889.25181300000008</v>
          </cell>
          <cell r="I40">
            <v>1670.6956330000003</v>
          </cell>
          <cell r="J40">
            <v>2033.122813</v>
          </cell>
          <cell r="O40">
            <v>4742.1579449999999</v>
          </cell>
          <cell r="T40">
            <v>6546.8578729999999</v>
          </cell>
          <cell r="Y40">
            <v>6148.5318800000005</v>
          </cell>
          <cell r="AD40">
            <v>8113.5288019999998</v>
          </cell>
          <cell r="AI40">
            <v>9342.4155780000001</v>
          </cell>
          <cell r="AN40">
            <v>18589.839255999999</v>
          </cell>
          <cell r="AS40">
            <v>17165.055511000002</v>
          </cell>
          <cell r="AX40">
            <v>19196.750599540497</v>
          </cell>
          <cell r="BC40">
            <v>32995.983413144277</v>
          </cell>
          <cell r="BD40">
            <v>28138.121881207779</v>
          </cell>
          <cell r="BE40">
            <v>47843.358214271582</v>
          </cell>
        </row>
        <row r="41">
          <cell r="B41" t="str">
            <v>Inventory</v>
          </cell>
          <cell r="C41" t="str">
            <v>STOCKS</v>
          </cell>
          <cell r="D41" t="str">
            <v>CNY</v>
          </cell>
          <cell r="F41">
            <v>1251.2459180000001</v>
          </cell>
          <cell r="G41">
            <v>791.69802000000004</v>
          </cell>
          <cell r="H41">
            <v>472.23396600000001</v>
          </cell>
          <cell r="I41">
            <v>780.63988199999994</v>
          </cell>
          <cell r="J41">
            <v>1300.4798249999999</v>
          </cell>
          <cell r="O41">
            <v>2116.2187050000002</v>
          </cell>
          <cell r="T41">
            <v>2668.9065270000001</v>
          </cell>
          <cell r="Y41">
            <v>3018.8046589999999</v>
          </cell>
          <cell r="AD41">
            <v>4163.3040289999999</v>
          </cell>
          <cell r="AI41">
            <v>6609.4062279999998</v>
          </cell>
          <cell r="AN41">
            <v>7833.1385319999999</v>
          </cell>
          <cell r="AS41">
            <v>8957.7193810000008</v>
          </cell>
          <cell r="AX41">
            <v>8292.8688521211352</v>
          </cell>
          <cell r="BC41">
            <v>15850.219818396994</v>
          </cell>
          <cell r="BD41">
            <v>12310.198153422973</v>
          </cell>
          <cell r="BE41">
            <v>21620.646766347505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CNY</v>
          </cell>
          <cell r="F42">
            <v>406.79418899999973</v>
          </cell>
          <cell r="G42">
            <v>369.15640099999951</v>
          </cell>
          <cell r="H42">
            <v>711.66019700000015</v>
          </cell>
          <cell r="I42">
            <v>931.10297200000105</v>
          </cell>
          <cell r="J42">
            <v>5360.7338429999982</v>
          </cell>
          <cell r="O42">
            <v>8127.531533999997</v>
          </cell>
          <cell r="T42">
            <v>3058.8948049999981</v>
          </cell>
          <cell r="Y42">
            <v>6003.7871720000039</v>
          </cell>
          <cell r="AD42">
            <v>9904.193306000001</v>
          </cell>
          <cell r="AI42">
            <v>11622.588640000002</v>
          </cell>
          <cell r="AN42">
            <v>15264.040248999987</v>
          </cell>
          <cell r="AS42">
            <v>25744.235873999991</v>
          </cell>
          <cell r="AX42">
            <v>27177.372638999987</v>
          </cell>
          <cell r="BC42">
            <v>27177.372639000001</v>
          </cell>
          <cell r="BD42">
            <v>27177.372639000001</v>
          </cell>
          <cell r="BE42">
            <v>27177.372638999987</v>
          </cell>
        </row>
        <row r="43">
          <cell r="B43" t="str">
            <v>Total current assets</v>
          </cell>
          <cell r="C43" t="str">
            <v>CUR_ASS</v>
          </cell>
          <cell r="D43" t="str">
            <v>CNY</v>
          </cell>
          <cell r="F43">
            <v>4447.2442129999999</v>
          </cell>
          <cell r="G43">
            <v>4664.522395</v>
          </cell>
          <cell r="H43">
            <v>5601.7437900000004</v>
          </cell>
          <cell r="I43">
            <v>18612.928991000001</v>
          </cell>
          <cell r="J43">
            <v>27792.285119</v>
          </cell>
          <cell r="O43">
            <v>27945.441853999997</v>
          </cell>
          <cell r="T43">
            <v>25831.145896999999</v>
          </cell>
          <cell r="Y43">
            <v>31646.099560000002</v>
          </cell>
          <cell r="AD43">
            <v>58685.733296999999</v>
          </cell>
          <cell r="AI43">
            <v>63757.148663</v>
          </cell>
          <cell r="AN43">
            <v>91041.828424999985</v>
          </cell>
          <cell r="AS43">
            <v>99780.29834899999</v>
          </cell>
          <cell r="AX43">
            <v>106064.08794707348</v>
          </cell>
          <cell r="BC43">
            <v>129754.55784566744</v>
          </cell>
          <cell r="BD43">
            <v>126151.17293661265</v>
          </cell>
          <cell r="BE43">
            <v>177965.52361354808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CNY</v>
          </cell>
          <cell r="F44">
            <v>10018.576478999999</v>
          </cell>
          <cell r="G44">
            <v>9984.9413719999993</v>
          </cell>
          <cell r="H44">
            <v>11072.839563000001</v>
          </cell>
          <cell r="I44">
            <v>14372.014915</v>
          </cell>
          <cell r="J44">
            <v>30347.670610000001</v>
          </cell>
          <cell r="O44">
            <v>46133.799506000003</v>
          </cell>
          <cell r="T44">
            <v>49615.354578999999</v>
          </cell>
          <cell r="Y44">
            <v>71398.389418000006</v>
          </cell>
          <cell r="AD44">
            <v>93369.644809999998</v>
          </cell>
          <cell r="AI44">
            <v>112048.574891</v>
          </cell>
          <cell r="AN44">
            <v>142631.12309800001</v>
          </cell>
          <cell r="AS44">
            <v>190321.596731</v>
          </cell>
          <cell r="AX44">
            <v>228967.89480022667</v>
          </cell>
          <cell r="BC44">
            <v>256474.65445438653</v>
          </cell>
          <cell r="BD44">
            <v>286982.82733187632</v>
          </cell>
          <cell r="BE44">
            <v>314836.8737145355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CNY</v>
          </cell>
          <cell r="F45">
            <v>-2040.6625489999999</v>
          </cell>
          <cell r="G45">
            <v>-3032.9204049999998</v>
          </cell>
          <cell r="H45">
            <v>-4085.3111589999999</v>
          </cell>
          <cell r="I45">
            <v>-5276.1767989999998</v>
          </cell>
          <cell r="J45">
            <v>-6961.3566170000004</v>
          </cell>
          <cell r="O45">
            <v>-9332.0148939999999</v>
          </cell>
          <cell r="T45">
            <v>-12786.990796</v>
          </cell>
          <cell r="Y45">
            <v>-16729.774721000002</v>
          </cell>
          <cell r="AD45">
            <v>-22102.607411000001</v>
          </cell>
          <cell r="AI45">
            <v>-29838.013793999999</v>
          </cell>
          <cell r="AN45">
            <v>-39675.287410999998</v>
          </cell>
          <cell r="AS45">
            <v>-50935.049544000001</v>
          </cell>
          <cell r="AX45">
            <v>-63992.375711778484</v>
          </cell>
          <cell r="BC45">
            <v>-79367.908685890259</v>
          </cell>
          <cell r="BD45">
            <v>-98247.88551250282</v>
          </cell>
          <cell r="BE45">
            <v>-121446.54459476563</v>
          </cell>
        </row>
        <row r="46">
          <cell r="B46" t="str">
            <v>Net PP&amp;E</v>
          </cell>
          <cell r="C46" t="str">
            <v>NET_FIX_ASS</v>
          </cell>
          <cell r="D46" t="str">
            <v>CNY</v>
          </cell>
          <cell r="F46">
            <v>7977.9139299999997</v>
          </cell>
          <cell r="G46">
            <v>6952.0209669999995</v>
          </cell>
          <cell r="H46">
            <v>6987.5284040000015</v>
          </cell>
          <cell r="I46">
            <v>9095.838115999999</v>
          </cell>
          <cell r="J46">
            <v>23386.313993</v>
          </cell>
          <cell r="O46">
            <v>36801.784612000003</v>
          </cell>
          <cell r="T46">
            <v>36828.363783000001</v>
          </cell>
          <cell r="Y46">
            <v>54668.614697000005</v>
          </cell>
          <cell r="AD46">
            <v>71267.037398999993</v>
          </cell>
          <cell r="AI46">
            <v>82210.561096999998</v>
          </cell>
          <cell r="AN46">
            <v>102955.83568700001</v>
          </cell>
          <cell r="AS46">
            <v>139386.54718699999</v>
          </cell>
          <cell r="AX46">
            <v>164975.5190884482</v>
          </cell>
          <cell r="BC46">
            <v>177106.74576849627</v>
          </cell>
          <cell r="BD46">
            <v>188734.94181937352</v>
          </cell>
          <cell r="BE46">
            <v>193390.32911976986</v>
          </cell>
        </row>
        <row r="47">
          <cell r="B47" t="str">
            <v>Gross intangibles</v>
          </cell>
          <cell r="C47" t="str">
            <v>GR_INTANG</v>
          </cell>
          <cell r="D47" t="str">
            <v>CNY</v>
          </cell>
          <cell r="F47">
            <v>847.60955100000001</v>
          </cell>
          <cell r="G47">
            <v>945.47429699999998</v>
          </cell>
          <cell r="H47">
            <v>982.76549999999997</v>
          </cell>
          <cell r="I47">
            <v>1098.3896220000001</v>
          </cell>
          <cell r="J47">
            <v>1512.7901190000002</v>
          </cell>
          <cell r="O47">
            <v>1929.9173299999998</v>
          </cell>
          <cell r="T47">
            <v>2297.947733</v>
          </cell>
          <cell r="Y47">
            <v>3035.452761</v>
          </cell>
          <cell r="AD47">
            <v>3435.1353290000002</v>
          </cell>
          <cell r="AI47">
            <v>4379.2105799999999</v>
          </cell>
          <cell r="AN47">
            <v>5099.6797329999999</v>
          </cell>
          <cell r="AS47">
            <v>5264.8154800000002</v>
          </cell>
          <cell r="AX47">
            <v>8680.9690950000004</v>
          </cell>
          <cell r="BC47">
            <v>8680.9690950000004</v>
          </cell>
          <cell r="BD47">
            <v>8680.9690950000004</v>
          </cell>
          <cell r="BE47">
            <v>8680.9690950000004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CNY</v>
          </cell>
          <cell r="F48">
            <v>0</v>
          </cell>
          <cell r="G48">
            <v>-154.20553000000001</v>
          </cell>
          <cell r="H48">
            <v>-204.975503</v>
          </cell>
          <cell r="I48">
            <v>-260.29141099999998</v>
          </cell>
          <cell r="J48">
            <v>-331.09650799999997</v>
          </cell>
          <cell r="O48">
            <v>-400.88451199999997</v>
          </cell>
          <cell r="T48">
            <v>-526.75761799999998</v>
          </cell>
          <cell r="Y48">
            <v>-715.189886</v>
          </cell>
          <cell r="AD48">
            <v>-921.13723300000004</v>
          </cell>
          <cell r="AI48">
            <v>-1160.4814240000001</v>
          </cell>
          <cell r="AN48">
            <v>-1419.951431</v>
          </cell>
          <cell r="AS48">
            <v>-1704.358054</v>
          </cell>
          <cell r="AX48">
            <v>-2078.691798361056</v>
          </cell>
          <cell r="BC48">
            <v>-2705.4074213542372</v>
          </cell>
          <cell r="BD48">
            <v>-3332.1230443474178</v>
          </cell>
          <cell r="BE48">
            <v>-3958.8386673405985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CNY</v>
          </cell>
          <cell r="F49">
            <v>847.60955100000001</v>
          </cell>
          <cell r="G49">
            <v>791.26876700000003</v>
          </cell>
          <cell r="H49">
            <v>777.78999699999997</v>
          </cell>
          <cell r="I49">
            <v>838.09821100000022</v>
          </cell>
          <cell r="J49">
            <v>1181.6936110000001</v>
          </cell>
          <cell r="O49">
            <v>1529.0328179999997</v>
          </cell>
          <cell r="T49">
            <v>1771.1901149999999</v>
          </cell>
          <cell r="Y49">
            <v>2320.2628749999999</v>
          </cell>
          <cell r="AD49">
            <v>2513.9980960000003</v>
          </cell>
          <cell r="AI49">
            <v>3218.7291559999999</v>
          </cell>
          <cell r="AN49">
            <v>3679.728302</v>
          </cell>
          <cell r="AS49">
            <v>3560.4574259999999</v>
          </cell>
          <cell r="AX49">
            <v>6602.2772966389439</v>
          </cell>
          <cell r="BC49">
            <v>5975.5616736457632</v>
          </cell>
          <cell r="BD49">
            <v>5348.8460506525826</v>
          </cell>
          <cell r="BE49">
            <v>4722.1304276594019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CNY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CNY</v>
          </cell>
          <cell r="F51">
            <v>3279.9145639999997</v>
          </cell>
          <cell r="G51">
            <v>897.12965999999994</v>
          </cell>
          <cell r="H51">
            <v>569.04478600000004</v>
          </cell>
          <cell r="I51">
            <v>1452.524754</v>
          </cell>
          <cell r="J51">
            <v>1644.8377479999999</v>
          </cell>
          <cell r="O51">
            <v>2374.5831249999997</v>
          </cell>
          <cell r="T51">
            <v>2397.5715620000001</v>
          </cell>
          <cell r="Y51">
            <v>2528.7705890000002</v>
          </cell>
          <cell r="AD51">
            <v>2214.1706910000003</v>
          </cell>
          <cell r="AI51">
            <v>2941.4986320000003</v>
          </cell>
          <cell r="AN51">
            <v>3171.5468470000001</v>
          </cell>
          <cell r="AS51">
            <v>9085.4159760000002</v>
          </cell>
          <cell r="AX51">
            <v>9946.2717039250001</v>
          </cell>
          <cell r="BC51">
            <v>16158.156087763979</v>
          </cell>
          <cell r="BD51">
            <v>18049.773751172848</v>
          </cell>
          <cell r="BE51">
            <v>16611.954253291398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CNY</v>
          </cell>
          <cell r="F52">
            <v>1.8317540000002737</v>
          </cell>
          <cell r="G52">
            <v>76.33307200000047</v>
          </cell>
          <cell r="H52">
            <v>5.0133449999987079</v>
          </cell>
          <cell r="I52">
            <v>614.59040800000184</v>
          </cell>
          <cell r="J52">
            <v>224.82229799999595</v>
          </cell>
          <cell r="O52">
            <v>118.57323700000916</v>
          </cell>
          <cell r="T52">
            <v>277.08950800001412</v>
          </cell>
          <cell r="Y52">
            <v>1374.703771000015</v>
          </cell>
          <cell r="AD52">
            <v>1559.3439939999971</v>
          </cell>
          <cell r="AI52">
            <v>464.95689399999173</v>
          </cell>
          <cell r="AN52">
            <v>4286.0717810000006</v>
          </cell>
          <cell r="AS52">
            <v>4296.0229110000037</v>
          </cell>
          <cell r="AX52">
            <v>5296.8863949999213</v>
          </cell>
          <cell r="BC52">
            <v>5296.8863949999395</v>
          </cell>
          <cell r="BD52">
            <v>5296.8863949998995</v>
          </cell>
          <cell r="BE52">
            <v>5296.8863950000305</v>
          </cell>
        </row>
        <row r="53">
          <cell r="B53" t="str">
            <v>Total assets</v>
          </cell>
          <cell r="C53" t="str">
            <v>TOT_ASSET</v>
          </cell>
          <cell r="D53" t="str">
            <v>CNY</v>
          </cell>
          <cell r="F53">
            <v>16554.514012</v>
          </cell>
          <cell r="G53">
            <v>13381.274861</v>
          </cell>
          <cell r="H53">
            <v>13941.120322000001</v>
          </cell>
          <cell r="I53">
            <v>30613.980480000002</v>
          </cell>
          <cell r="J53">
            <v>54229.952768999996</v>
          </cell>
          <cell r="O53">
            <v>68769.415646000009</v>
          </cell>
          <cell r="T53">
            <v>67105.36086500001</v>
          </cell>
          <cell r="Y53">
            <v>92538.451492000022</v>
          </cell>
          <cell r="AD53">
            <v>136240.28347699999</v>
          </cell>
          <cell r="AI53">
            <v>152592.89444199999</v>
          </cell>
          <cell r="AN53">
            <v>205135.011042</v>
          </cell>
          <cell r="AS53">
            <v>256108.74184899998</v>
          </cell>
          <cell r="AX53">
            <v>292885.04243108555</v>
          </cell>
          <cell r="BC53">
            <v>334291.90777057339</v>
          </cell>
          <cell r="BD53">
            <v>343581.6209528115</v>
          </cell>
          <cell r="BE53">
            <v>397986.82380926877</v>
          </cell>
        </row>
        <row r="54">
          <cell r="B54" t="str">
            <v>Accounts payable</v>
          </cell>
          <cell r="C54" t="str">
            <v>ACC_PAY_GQ</v>
          </cell>
          <cell r="D54" t="str">
            <v>CNY</v>
          </cell>
          <cell r="F54">
            <v>2122.8054310000002</v>
          </cell>
          <cell r="G54">
            <v>1889.472002</v>
          </cell>
          <cell r="H54">
            <v>1522.8055929999998</v>
          </cell>
          <cell r="I54">
            <v>2378.276652</v>
          </cell>
          <cell r="J54">
            <v>5478.2292259999995</v>
          </cell>
          <cell r="O54">
            <v>8130.2746349999998</v>
          </cell>
          <cell r="T54">
            <v>9353.4130179999993</v>
          </cell>
          <cell r="Y54">
            <v>12146.701863999999</v>
          </cell>
          <cell r="AD54">
            <v>14815.074224</v>
          </cell>
          <cell r="AI54">
            <v>19444.680849000004</v>
          </cell>
          <cell r="AN54">
            <v>29420.346087999998</v>
          </cell>
          <cell r="AS54">
            <v>32795.718829000005</v>
          </cell>
          <cell r="AX54">
            <v>34658.445100542958</v>
          </cell>
          <cell r="BC54">
            <v>58859.048968638017</v>
          </cell>
          <cell r="BD54">
            <v>49050.86709129173</v>
          </cell>
          <cell r="BE54">
            <v>84060.869526220311</v>
          </cell>
        </row>
        <row r="55">
          <cell r="B55" t="str">
            <v>Short-term debt</v>
          </cell>
          <cell r="C55" t="str">
            <v>SHORT_T_DEBT</v>
          </cell>
          <cell r="D55" t="str">
            <v>CNY</v>
          </cell>
          <cell r="F55">
            <v>4544.4732599999998</v>
          </cell>
          <cell r="G55">
            <v>1120.7115120000001</v>
          </cell>
          <cell r="H55">
            <v>2518.2160739999999</v>
          </cell>
          <cell r="I55">
            <v>1101.5973039999999</v>
          </cell>
          <cell r="J55">
            <v>5224.4801660000003</v>
          </cell>
          <cell r="O55">
            <v>8203.9702259999995</v>
          </cell>
          <cell r="T55">
            <v>2271.2881229999998</v>
          </cell>
          <cell r="Y55">
            <v>12431.398666000001</v>
          </cell>
          <cell r="AD55">
            <v>2173.9886000000001</v>
          </cell>
          <cell r="AI55">
            <v>7375.509943</v>
          </cell>
          <cell r="AN55">
            <v>8601.2024419999998</v>
          </cell>
          <cell r="AS55">
            <v>12359.444941000002</v>
          </cell>
          <cell r="AX55">
            <v>12359.444941000002</v>
          </cell>
          <cell r="BC55">
            <v>15359.444941000002</v>
          </cell>
          <cell r="BD55">
            <v>17359.444941000002</v>
          </cell>
          <cell r="BE55">
            <v>17359.444941000002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CNY</v>
          </cell>
          <cell r="F56">
            <v>91.017665999998826</v>
          </cell>
          <cell r="G56">
            <v>288.95155000000045</v>
          </cell>
          <cell r="H56">
            <v>174.70938000000024</v>
          </cell>
          <cell r="I56">
            <v>281.487392</v>
          </cell>
          <cell r="J56">
            <v>357.81375600000047</v>
          </cell>
          <cell r="O56">
            <v>621.84956099999908</v>
          </cell>
          <cell r="T56">
            <v>789.92650100000037</v>
          </cell>
          <cell r="Y56">
            <v>1613.6248440000018</v>
          </cell>
          <cell r="AD56">
            <v>1987.8902749999984</v>
          </cell>
          <cell r="AI56">
            <v>2051.2501249999996</v>
          </cell>
          <cell r="AN56">
            <v>3418.1975519999996</v>
          </cell>
          <cell r="AS56">
            <v>4581.0040359999985</v>
          </cell>
          <cell r="AX56">
            <v>4078.8110918013408</v>
          </cell>
          <cell r="BC56">
            <v>5033.8251270099645</v>
          </cell>
          <cell r="BD56">
            <v>5775.7011885244938</v>
          </cell>
          <cell r="BE56">
            <v>6534.2969362361109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CNY</v>
          </cell>
          <cell r="F57">
            <v>6758.2963569999993</v>
          </cell>
          <cell r="G57">
            <v>3299.1350640000005</v>
          </cell>
          <cell r="H57">
            <v>4215.7310470000002</v>
          </cell>
          <cell r="I57">
            <v>3761.3613479999999</v>
          </cell>
          <cell r="J57">
            <v>11060.523148</v>
          </cell>
          <cell r="O57">
            <v>16956.094421999998</v>
          </cell>
          <cell r="T57">
            <v>12414.627641999999</v>
          </cell>
          <cell r="Y57">
            <v>26191.725374000001</v>
          </cell>
          <cell r="AD57">
            <v>18976.953098999998</v>
          </cell>
          <cell r="AI57">
            <v>28871.440917000004</v>
          </cell>
          <cell r="AN57">
            <v>41439.746081999998</v>
          </cell>
          <cell r="AS57">
            <v>49736.167806000005</v>
          </cell>
          <cell r="AX57">
            <v>51096.701133344301</v>
          </cell>
          <cell r="BC57">
            <v>79252.319036647983</v>
          </cell>
          <cell r="BD57">
            <v>72186.013220816225</v>
          </cell>
          <cell r="BE57">
            <v>107954.61140345642</v>
          </cell>
        </row>
        <row r="58">
          <cell r="B58" t="str">
            <v>Long-term  debt</v>
          </cell>
          <cell r="C58" t="str">
            <v>LT_DEBT</v>
          </cell>
          <cell r="D58" t="str">
            <v>CNY</v>
          </cell>
          <cell r="F58">
            <v>5083.6374290000003</v>
          </cell>
          <cell r="G58">
            <v>4494.6678039999997</v>
          </cell>
          <cell r="H58">
            <v>2934.1275609999998</v>
          </cell>
          <cell r="I58">
            <v>4403.7290000000003</v>
          </cell>
          <cell r="J58">
            <v>7504.827507</v>
          </cell>
          <cell r="O58">
            <v>14700.018373999999</v>
          </cell>
          <cell r="T58">
            <v>17373.155699999999</v>
          </cell>
          <cell r="Y58">
            <v>20995.628956</v>
          </cell>
          <cell r="AD58">
            <v>33631.104669</v>
          </cell>
          <cell r="AI58">
            <v>36341.198145000002</v>
          </cell>
          <cell r="AN58">
            <v>59841.885719000005</v>
          </cell>
          <cell r="AS58">
            <v>88940.100506000002</v>
          </cell>
          <cell r="AX58">
            <v>100940.100506</v>
          </cell>
          <cell r="BC58">
            <v>105940.100506</v>
          </cell>
          <cell r="BD58">
            <v>108940.100506</v>
          </cell>
          <cell r="BE58">
            <v>108940.100506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CNY</v>
          </cell>
          <cell r="F59">
            <v>65.512674999999945</v>
          </cell>
          <cell r="G59">
            <v>66.132819000000381</v>
          </cell>
          <cell r="H59">
            <v>72.46009099999992</v>
          </cell>
          <cell r="I59">
            <v>512.73817800000052</v>
          </cell>
          <cell r="J59">
            <v>1404.7938610000001</v>
          </cell>
          <cell r="O59">
            <v>2067.8189439999987</v>
          </cell>
          <cell r="T59">
            <v>2052.7630710000012</v>
          </cell>
          <cell r="Y59">
            <v>7196.8337580000007</v>
          </cell>
          <cell r="AD59">
            <v>6672.8194900000017</v>
          </cell>
          <cell r="AI59">
            <v>9029.4255609999964</v>
          </cell>
          <cell r="AN59">
            <v>11837.324081000006</v>
          </cell>
          <cell r="AS59">
            <v>13148.210703999997</v>
          </cell>
          <cell r="AX59">
            <v>21606.804411000005</v>
          </cell>
          <cell r="BC59">
            <v>21606.804411000005</v>
          </cell>
          <cell r="BD59">
            <v>21606.804411000005</v>
          </cell>
          <cell r="BE59">
            <v>21606.804411000005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CNY</v>
          </cell>
          <cell r="F60">
            <v>5149.1501040000003</v>
          </cell>
          <cell r="G60">
            <v>4560.8006230000001</v>
          </cell>
          <cell r="H60">
            <v>3006.5876519999997</v>
          </cell>
          <cell r="I60">
            <v>4916.4671780000008</v>
          </cell>
          <cell r="J60">
            <v>8909.6213680000001</v>
          </cell>
          <cell r="O60">
            <v>16767.837317999998</v>
          </cell>
          <cell r="T60">
            <v>19425.918771000001</v>
          </cell>
          <cell r="Y60">
            <v>28192.462714000001</v>
          </cell>
          <cell r="AD60">
            <v>40303.924159000002</v>
          </cell>
          <cell r="AI60">
            <v>45370.623705999998</v>
          </cell>
          <cell r="AN60">
            <v>71679.209800000011</v>
          </cell>
          <cell r="AS60">
            <v>102088.31121</v>
          </cell>
          <cell r="AX60">
            <v>122546.90491700001</v>
          </cell>
          <cell r="BC60">
            <v>127546.90491700001</v>
          </cell>
          <cell r="BD60">
            <v>130546.90491700001</v>
          </cell>
          <cell r="BE60">
            <v>130546.90491700001</v>
          </cell>
        </row>
        <row r="61">
          <cell r="B61" t="str">
            <v>Total liabilities</v>
          </cell>
          <cell r="C61" t="str">
            <v>TOT_LIAB</v>
          </cell>
          <cell r="D61" t="str">
            <v>CNY</v>
          </cell>
          <cell r="F61">
            <v>11907.446461</v>
          </cell>
          <cell r="G61">
            <v>7859.9356870000011</v>
          </cell>
          <cell r="H61">
            <v>7222.3186989999995</v>
          </cell>
          <cell r="I61">
            <v>8677.8285260000011</v>
          </cell>
          <cell r="J61">
            <v>19970.144516</v>
          </cell>
          <cell r="O61">
            <v>33723.93174</v>
          </cell>
          <cell r="T61">
            <v>31840.546413</v>
          </cell>
          <cell r="Y61">
            <v>54384.188088000003</v>
          </cell>
          <cell r="AD61">
            <v>59280.877258</v>
          </cell>
          <cell r="AI61">
            <v>74242.064622999998</v>
          </cell>
          <cell r="AN61">
            <v>113118.95588200001</v>
          </cell>
          <cell r="AS61">
            <v>151824.479016</v>
          </cell>
          <cell r="AX61">
            <v>173643.6060503443</v>
          </cell>
          <cell r="BC61">
            <v>206799.223953648</v>
          </cell>
          <cell r="BD61">
            <v>202732.91813781625</v>
          </cell>
          <cell r="BE61">
            <v>238501.51632045643</v>
          </cell>
        </row>
        <row r="62">
          <cell r="B62" t="str">
            <v>Preferred shares</v>
          </cell>
          <cell r="C62" t="str">
            <v>PREF_SH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O62">
            <v>0</v>
          </cell>
          <cell r="T62">
            <v>0</v>
          </cell>
          <cell r="Y62">
            <v>0</v>
          </cell>
          <cell r="AD62">
            <v>0</v>
          </cell>
          <cell r="AI62">
            <v>0</v>
          </cell>
          <cell r="AN62">
            <v>0</v>
          </cell>
          <cell r="AS62">
            <v>0</v>
          </cell>
          <cell r="AX62">
            <v>0</v>
          </cell>
          <cell r="BC62">
            <v>0</v>
          </cell>
          <cell r="BD62">
            <v>0</v>
          </cell>
          <cell r="BE62">
            <v>0</v>
          </cell>
        </row>
        <row r="63">
          <cell r="B63" t="str">
            <v>Total common equity</v>
          </cell>
          <cell r="C63" t="str">
            <v>ORD_SH_FUND</v>
          </cell>
          <cell r="D63" t="str">
            <v>CNY</v>
          </cell>
          <cell r="F63">
            <v>3889.0763970000003</v>
          </cell>
          <cell r="G63">
            <v>4570.5791489999992</v>
          </cell>
          <cell r="H63">
            <v>5936.2225319999998</v>
          </cell>
          <cell r="I63">
            <v>18029.695698</v>
          </cell>
          <cell r="J63">
            <v>24955.013045999996</v>
          </cell>
          <cell r="O63">
            <v>25585.892264000002</v>
          </cell>
          <cell r="T63">
            <v>25886.959650000001</v>
          </cell>
          <cell r="Y63">
            <v>28251.815361000004</v>
          </cell>
          <cell r="AD63">
            <v>76155.071578999996</v>
          </cell>
          <cell r="AI63">
            <v>77485.275563999996</v>
          </cell>
          <cell r="AN63">
            <v>78699.988493000012</v>
          </cell>
          <cell r="AS63">
            <v>84809.816376999981</v>
          </cell>
          <cell r="AX63">
            <v>88955.56150753703</v>
          </cell>
          <cell r="BC63">
            <v>96300.10960949595</v>
          </cell>
          <cell r="BD63">
            <v>106129.55873124054</v>
          </cell>
          <cell r="BE63">
            <v>118499.91117212629</v>
          </cell>
        </row>
        <row r="64">
          <cell r="B64" t="str">
            <v>Minority interest</v>
          </cell>
          <cell r="C64" t="str">
            <v>MINORITIES</v>
          </cell>
          <cell r="D64" t="str">
            <v>CNY</v>
          </cell>
          <cell r="F64">
            <v>757.99115400000005</v>
          </cell>
          <cell r="G64">
            <v>950.76002500000004</v>
          </cell>
          <cell r="H64">
            <v>782.57909099999995</v>
          </cell>
          <cell r="I64">
            <v>3906.4562559999999</v>
          </cell>
          <cell r="J64">
            <v>9304.7952069999992</v>
          </cell>
          <cell r="O64">
            <v>9459.5916419999994</v>
          </cell>
          <cell r="T64">
            <v>9377.8548019999998</v>
          </cell>
          <cell r="Y64">
            <v>9902.4480430000003</v>
          </cell>
          <cell r="AD64">
            <v>804.33464000000004</v>
          </cell>
          <cell r="AI64">
            <v>865.55425500000001</v>
          </cell>
          <cell r="AN64">
            <v>13316.066666999999</v>
          </cell>
          <cell r="AS64">
            <v>19474.446456000001</v>
          </cell>
          <cell r="AX64">
            <v>30285.874873204302</v>
          </cell>
          <cell r="BC64">
            <v>31192.574207429567</v>
          </cell>
          <cell r="BD64">
            <v>34719.144083754836</v>
          </cell>
          <cell r="BE64">
            <v>40985.396316686019</v>
          </cell>
        </row>
        <row r="65">
          <cell r="B65" t="str">
            <v>Total shareholders' equity</v>
          </cell>
          <cell r="C65" t="str">
            <v>EQ</v>
          </cell>
          <cell r="D65" t="str">
            <v>CNY</v>
          </cell>
          <cell r="F65">
            <v>4647.0675510000001</v>
          </cell>
          <cell r="G65">
            <v>5521.3391739999988</v>
          </cell>
          <cell r="H65">
            <v>6718.8016229999994</v>
          </cell>
          <cell r="I65">
            <v>21936.151954000001</v>
          </cell>
          <cell r="J65">
            <v>34259.808252999996</v>
          </cell>
          <cell r="O65">
            <v>35045.483906000001</v>
          </cell>
          <cell r="T65">
            <v>35264.814451999999</v>
          </cell>
          <cell r="Y65">
            <v>38154.263404000005</v>
          </cell>
          <cell r="AD65">
            <v>76959.406218999997</v>
          </cell>
          <cell r="AI65">
            <v>78350.829818999991</v>
          </cell>
          <cell r="AN65">
            <v>92016.055160000018</v>
          </cell>
          <cell r="AS65">
            <v>104284.26283299999</v>
          </cell>
          <cell r="AX65">
            <v>119241.43638074133</v>
          </cell>
          <cell r="BC65">
            <v>127492.68381692552</v>
          </cell>
          <cell r="BD65">
            <v>140848.70281499537</v>
          </cell>
          <cell r="BE65">
            <v>159485.30748881231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CNY</v>
          </cell>
          <cell r="F66">
            <v>16554.514012</v>
          </cell>
          <cell r="G66">
            <v>13381.274861</v>
          </cell>
          <cell r="H66">
            <v>13941.120321999999</v>
          </cell>
          <cell r="I66">
            <v>30613.980480000002</v>
          </cell>
          <cell r="J66">
            <v>54229.952768999996</v>
          </cell>
          <cell r="O66">
            <v>68769.415646000009</v>
          </cell>
          <cell r="T66">
            <v>67105.360864999995</v>
          </cell>
          <cell r="Y66">
            <v>92538.451492000007</v>
          </cell>
          <cell r="AD66">
            <v>136240.28347699999</v>
          </cell>
          <cell r="AI66">
            <v>152592.89444199999</v>
          </cell>
          <cell r="AN66">
            <v>205135.01104200003</v>
          </cell>
          <cell r="AS66">
            <v>256108.74184899998</v>
          </cell>
          <cell r="AX66">
            <v>292885.0424310856</v>
          </cell>
          <cell r="BC66">
            <v>334291.90777057351</v>
          </cell>
          <cell r="BD66">
            <v>343581.62095281162</v>
          </cell>
          <cell r="BE66">
            <v>397986.82380926877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  <cell r="AN68">
            <v>362.26998901399998</v>
          </cell>
        </row>
        <row r="69">
          <cell r="B69" t="str">
            <v>% US$ debt hedged (principal)</v>
          </cell>
          <cell r="C69" t="str">
            <v>TOT_PCT_USD_DEBT_HEDGED</v>
          </cell>
          <cell r="AN69">
            <v>0</v>
          </cell>
        </row>
        <row r="70">
          <cell r="B70" t="str">
            <v>% Floating debt (local currency debt)</v>
          </cell>
          <cell r="C70" t="str">
            <v>FLOATING_PCT_LOCAL_DEBT</v>
          </cell>
          <cell r="AN70">
            <v>0.05</v>
          </cell>
        </row>
        <row r="71">
          <cell r="B71" t="str">
            <v>% floating debt hedged (rates)</v>
          </cell>
          <cell r="C71" t="str">
            <v>FLOATING_PCT_LOCAL_DEBT_HEDGED</v>
          </cell>
          <cell r="AN71">
            <v>0.2</v>
          </cell>
        </row>
        <row r="72">
          <cell r="B72" t="str">
            <v>Net debt</v>
          </cell>
          <cell r="C72" t="str">
            <v>NET_DEBT</v>
          </cell>
          <cell r="D72" t="str">
            <v>CNY</v>
          </cell>
          <cell r="F72">
            <v>8175.3963120000008</v>
          </cell>
          <cell r="G72">
            <v>4163.2191159999993</v>
          </cell>
          <cell r="H72">
            <v>1923.7458209999991</v>
          </cell>
          <cell r="I72">
            <v>-9725.1641999999993</v>
          </cell>
          <cell r="J72">
            <v>-6368.6409650000023</v>
          </cell>
          <cell r="O72">
            <v>9944.4549299999962</v>
          </cell>
          <cell r="T72">
            <v>6087.9571309999974</v>
          </cell>
          <cell r="Y72">
            <v>16952.051773000003</v>
          </cell>
          <cell r="AD72">
            <v>-699.61389100000088</v>
          </cell>
          <cell r="AI72">
            <v>7533.9698710000011</v>
          </cell>
          <cell r="AN72">
            <v>19088.277773000009</v>
          </cell>
          <cell r="AS72">
            <v>53386.257864000014</v>
          </cell>
          <cell r="AX72">
            <v>61902.449590588149</v>
          </cell>
          <cell r="BC72">
            <v>67568.563471873844</v>
          </cell>
          <cell r="BD72">
            <v>67774.065184018109</v>
          </cell>
          <cell r="BE72">
            <v>44975.399453071004</v>
          </cell>
        </row>
        <row r="73">
          <cell r="B73" t="str">
            <v>Capitalized leases</v>
          </cell>
          <cell r="C73" t="str">
            <v>CAP_LEASES</v>
          </cell>
          <cell r="D73" t="str">
            <v>CNY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O73">
            <v>0</v>
          </cell>
          <cell r="T73">
            <v>0</v>
          </cell>
          <cell r="Y73">
            <v>0</v>
          </cell>
          <cell r="AD73">
            <v>0</v>
          </cell>
          <cell r="AI73">
            <v>0</v>
          </cell>
          <cell r="AN73">
            <v>0</v>
          </cell>
          <cell r="AS73">
            <v>0</v>
          </cell>
          <cell r="AX73">
            <v>0</v>
          </cell>
          <cell r="BC73">
            <v>0</v>
          </cell>
          <cell r="BD73">
            <v>0</v>
          </cell>
          <cell r="BE73">
            <v>0</v>
          </cell>
        </row>
        <row r="74">
          <cell r="B74" t="str">
            <v>Deferred income taxes</v>
          </cell>
          <cell r="C74" t="str">
            <v>DEF_INC_TAX</v>
          </cell>
          <cell r="D74" t="str">
            <v>CNY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O75">
            <v>0</v>
          </cell>
          <cell r="T75">
            <v>0</v>
          </cell>
          <cell r="Y75">
            <v>0</v>
          </cell>
          <cell r="AD75">
            <v>0</v>
          </cell>
          <cell r="AI75">
            <v>0</v>
          </cell>
          <cell r="AN75">
            <v>0</v>
          </cell>
          <cell r="AS75">
            <v>0</v>
          </cell>
          <cell r="AX75">
            <v>0</v>
          </cell>
          <cell r="BC75">
            <v>0</v>
          </cell>
          <cell r="BD75">
            <v>0</v>
          </cell>
          <cell r="BE75">
            <v>0</v>
          </cell>
        </row>
        <row r="76">
          <cell r="B76" t="str">
            <v>Net debt adjustment</v>
          </cell>
          <cell r="C76" t="str">
            <v>NET_DEBT_ADJ</v>
          </cell>
          <cell r="D76" t="str">
            <v>CNY</v>
          </cell>
        </row>
        <row r="77">
          <cell r="B77" t="str">
            <v>Company borrowing margin</v>
          </cell>
          <cell r="C77" t="str">
            <v>CO_BOR_MARGIN</v>
          </cell>
          <cell r="Y77">
            <v>3.2070238763749807E-2</v>
          </cell>
          <cell r="AD77">
            <v>2.4238784367345931E-2</v>
          </cell>
          <cell r="AI77">
            <v>3.2170679461248096E-2</v>
          </cell>
          <cell r="AN77">
            <v>3.0356582962951496E-2</v>
          </cell>
          <cell r="AS77">
            <v>2.5599114187109088E-2</v>
          </cell>
          <cell r="AX77">
            <v>2.6743593346907422E-2</v>
          </cell>
          <cell r="BC77">
            <v>2.8349277731785145E-2</v>
          </cell>
          <cell r="BD77">
            <v>2.9685695355579671E-2</v>
          </cell>
          <cell r="BE77">
            <v>3.0553858364921249E-2</v>
          </cell>
        </row>
        <row r="78">
          <cell r="B78" t="str">
            <v>Unfunded pensions &amp; other provisions</v>
          </cell>
          <cell r="C78" t="str">
            <v>UNF_PENS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O78">
            <v>0</v>
          </cell>
          <cell r="T78">
            <v>0</v>
          </cell>
          <cell r="Y78">
            <v>0</v>
          </cell>
          <cell r="AD78">
            <v>0</v>
          </cell>
          <cell r="AI78">
            <v>0</v>
          </cell>
          <cell r="AN78">
            <v>0</v>
          </cell>
          <cell r="AS78">
            <v>0</v>
          </cell>
          <cell r="AX78">
            <v>0</v>
          </cell>
          <cell r="BC78">
            <v>0</v>
          </cell>
          <cell r="BD78">
            <v>0</v>
          </cell>
          <cell r="BE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str">
            <v>CNY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O80">
            <v>0</v>
          </cell>
          <cell r="T80">
            <v>0</v>
          </cell>
          <cell r="Y80">
            <v>0</v>
          </cell>
          <cell r="AD80">
            <v>0</v>
          </cell>
          <cell r="AI80">
            <v>0</v>
          </cell>
          <cell r="AN80">
            <v>0</v>
          </cell>
          <cell r="AS80">
            <v>0</v>
          </cell>
          <cell r="AX80">
            <v>0</v>
          </cell>
          <cell r="BC80">
            <v>0</v>
          </cell>
          <cell r="BD80">
            <v>0</v>
          </cell>
          <cell r="BE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str">
            <v>CNY</v>
          </cell>
          <cell r="F81">
            <v>-847.60955100000001</v>
          </cell>
          <cell r="G81">
            <v>-791.26876700000003</v>
          </cell>
          <cell r="H81">
            <v>-777.78999699999997</v>
          </cell>
          <cell r="I81">
            <v>-838.09821100000022</v>
          </cell>
          <cell r="J81">
            <v>-1181.6936110000001</v>
          </cell>
          <cell r="O81">
            <v>-1529.0328179999997</v>
          </cell>
          <cell r="T81">
            <v>-1771.1901149999999</v>
          </cell>
          <cell r="Y81">
            <v>-2320.2628749999999</v>
          </cell>
          <cell r="AD81">
            <v>-2513.9980960000003</v>
          </cell>
          <cell r="AI81">
            <v>-3218.7291559999999</v>
          </cell>
          <cell r="AN81">
            <v>-3679.728302</v>
          </cell>
          <cell r="AS81">
            <v>-3560.4574259999999</v>
          </cell>
          <cell r="AX81">
            <v>-6602.2772966389439</v>
          </cell>
          <cell r="BC81">
            <v>-5975.5616736457632</v>
          </cell>
          <cell r="BD81">
            <v>-5348.8460506525826</v>
          </cell>
          <cell r="BE81">
            <v>-4722.1304276594019</v>
          </cell>
        </row>
        <row r="82">
          <cell r="B82" t="str">
            <v>Other GCI adjustments</v>
          </cell>
          <cell r="C82" t="str">
            <v>OTH_GCI_ADJ</v>
          </cell>
          <cell r="D82" t="str">
            <v>CNY</v>
          </cell>
        </row>
        <row r="83">
          <cell r="B83" t="str">
            <v>GCI inflator</v>
          </cell>
          <cell r="C83" t="str">
            <v>GCI_INFL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1</v>
          </cell>
          <cell r="O83">
            <v>1</v>
          </cell>
          <cell r="T83">
            <v>1</v>
          </cell>
          <cell r="Y83">
            <v>1</v>
          </cell>
          <cell r="AD83">
            <v>1</v>
          </cell>
          <cell r="AI83">
            <v>1</v>
          </cell>
          <cell r="AN83">
            <v>1</v>
          </cell>
          <cell r="AS83">
            <v>1</v>
          </cell>
          <cell r="AX83">
            <v>1</v>
          </cell>
          <cell r="BC83">
            <v>1</v>
          </cell>
          <cell r="BD83">
            <v>1</v>
          </cell>
          <cell r="BE83">
            <v>1</v>
          </cell>
        </row>
        <row r="84">
          <cell r="B84" t="str">
            <v>Minority interest</v>
          </cell>
          <cell r="C84" t="str">
            <v>BAL_MINO_INT</v>
          </cell>
          <cell r="D84" t="str">
            <v>CNY</v>
          </cell>
          <cell r="F84">
            <v>757.99115400000005</v>
          </cell>
          <cell r="G84">
            <v>950.76002500000004</v>
          </cell>
          <cell r="H84">
            <v>782.57909099999995</v>
          </cell>
          <cell r="I84">
            <v>3906.4562559999999</v>
          </cell>
          <cell r="J84">
            <v>9304.7952069999992</v>
          </cell>
          <cell r="O84">
            <v>9459.5916419999994</v>
          </cell>
          <cell r="T84">
            <v>9377.8548019999998</v>
          </cell>
          <cell r="Y84">
            <v>9902.4480430000003</v>
          </cell>
          <cell r="AD84">
            <v>804.33464000000004</v>
          </cell>
          <cell r="AI84">
            <v>865.55425500000001</v>
          </cell>
          <cell r="AN84">
            <v>13316.066666999999</v>
          </cell>
          <cell r="AS84">
            <v>19474.446456000001</v>
          </cell>
          <cell r="AX84">
            <v>30285.874873204302</v>
          </cell>
          <cell r="BC84">
            <v>31192.574207429567</v>
          </cell>
          <cell r="BD84">
            <v>34719.144083754836</v>
          </cell>
          <cell r="BE84">
            <v>40985.396316686019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CNY</v>
          </cell>
          <cell r="F86">
            <v>-16.148385999999999</v>
          </cell>
          <cell r="G86">
            <v>206.161137</v>
          </cell>
          <cell r="H86">
            <v>-189.24562299999999</v>
          </cell>
          <cell r="I86">
            <v>-114.944221</v>
          </cell>
          <cell r="J86">
            <v>-264.21972299999999</v>
          </cell>
          <cell r="O86">
            <v>132.81084000000001</v>
          </cell>
          <cell r="T86">
            <v>-73.750322999999995</v>
          </cell>
          <cell r="Y86">
            <v>618.76349700000003</v>
          </cell>
          <cell r="AD86">
            <v>153.78514100000001</v>
          </cell>
          <cell r="AI86">
            <v>1.8394440000000001</v>
          </cell>
          <cell r="AN86">
            <v>162.599085</v>
          </cell>
          <cell r="AS86">
            <v>292.72906599999999</v>
          </cell>
          <cell r="AX86">
            <v>-200</v>
          </cell>
          <cell r="BC86">
            <v>-200</v>
          </cell>
          <cell r="BD86">
            <v>-300</v>
          </cell>
          <cell r="BE86">
            <v>-100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CNY</v>
          </cell>
          <cell r="F87">
            <v>1644.3803210000001</v>
          </cell>
          <cell r="G87">
            <v>1148.7405000000001</v>
          </cell>
          <cell r="H87">
            <v>1152.8025789999999</v>
          </cell>
          <cell r="I87">
            <v>1274.9691090000001</v>
          </cell>
          <cell r="J87">
            <v>1756.533007</v>
          </cell>
          <cell r="O87">
            <v>2909.5683409999997</v>
          </cell>
          <cell r="T87">
            <v>3916.509728</v>
          </cell>
          <cell r="Y87">
            <v>4609.234359</v>
          </cell>
          <cell r="AD87">
            <v>5755.7290469999998</v>
          </cell>
          <cell r="AI87">
            <v>8095.2833600000004</v>
          </cell>
          <cell r="AN87">
            <v>10373.517797</v>
          </cell>
          <cell r="AS87">
            <v>11944.513247999999</v>
          </cell>
          <cell r="AX87">
            <v>13431.659912139536</v>
          </cell>
          <cell r="BC87">
            <v>16002.248597104955</v>
          </cell>
          <cell r="BD87">
            <v>19506.69244960574</v>
          </cell>
          <cell r="BE87">
            <v>23825.374705255992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CNY</v>
          </cell>
          <cell r="F88">
            <v>1117.7433080000005</v>
          </cell>
          <cell r="G88">
            <v>-488.80357600000048</v>
          </cell>
          <cell r="H88">
            <v>1115.0536059999999</v>
          </cell>
          <cell r="I88">
            <v>-234.37867699999993</v>
          </cell>
          <cell r="J88">
            <v>2217.6854509999998</v>
          </cell>
          <cell r="O88">
            <v>-872.72860300000002</v>
          </cell>
          <cell r="T88">
            <v>-1134.2493670000003</v>
          </cell>
          <cell r="Y88">
            <v>2841.7167069999991</v>
          </cell>
          <cell r="AD88">
            <v>-441.12393199999815</v>
          </cell>
          <cell r="AI88">
            <v>954.61765000000378</v>
          </cell>
          <cell r="AN88">
            <v>-495.49074300000575</v>
          </cell>
          <cell r="AS88">
            <v>3675.5756370000026</v>
          </cell>
          <cell r="AX88">
            <v>495.88171188132401</v>
          </cell>
          <cell r="BC88">
            <v>2844.0200882154204</v>
          </cell>
          <cell r="BD88">
            <v>-1410.2986804357679</v>
          </cell>
          <cell r="BE88">
            <v>5994.3174889402435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CNY</v>
          </cell>
          <cell r="F89">
            <v>-138.96678199999951</v>
          </cell>
          <cell r="G89">
            <v>735.05452299999911</v>
          </cell>
          <cell r="H89">
            <v>-143.11521200000038</v>
          </cell>
          <cell r="I89">
            <v>-165.31750400000089</v>
          </cell>
          <cell r="J89">
            <v>-2759.5009460000001</v>
          </cell>
          <cell r="O89">
            <v>-3509.0477820000001</v>
          </cell>
          <cell r="T89">
            <v>122.23209600000064</v>
          </cell>
          <cell r="Y89">
            <v>-1466.6410070000015</v>
          </cell>
          <cell r="AD89">
            <v>65.306837999997242</v>
          </cell>
          <cell r="AI89">
            <v>-194.62549700000545</v>
          </cell>
          <cell r="AN89">
            <v>-1849.9106929999907</v>
          </cell>
          <cell r="AS89">
            <v>2786.4164259999989</v>
          </cell>
          <cell r="AX89">
            <v>6063.7377300749886</v>
          </cell>
          <cell r="BC89">
            <v>70.556476376072169</v>
          </cell>
          <cell r="BD89">
            <v>93.984487128764158</v>
          </cell>
          <cell r="BE89">
            <v>104.17648712876689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CNY</v>
          </cell>
          <cell r="F90">
            <v>836.20598600000005</v>
          </cell>
          <cell r="G90">
            <v>2292.098399</v>
          </cell>
          <cell r="H90">
            <v>1127.969877</v>
          </cell>
          <cell r="I90">
            <v>810.00903500000004</v>
          </cell>
          <cell r="J90">
            <v>-1053.315294</v>
          </cell>
          <cell r="O90">
            <v>-778.53072699999996</v>
          </cell>
          <cell r="T90">
            <v>3088.8755249999999</v>
          </cell>
          <cell r="Y90">
            <v>8956.4392499999994</v>
          </cell>
          <cell r="AD90">
            <v>8095.8259230000003</v>
          </cell>
          <cell r="AI90">
            <v>10493.385445</v>
          </cell>
          <cell r="AN90">
            <v>10073.287120000001</v>
          </cell>
          <cell r="AS90">
            <v>26266.986014999999</v>
          </cell>
          <cell r="AX90">
            <v>25174.75147858424</v>
          </cell>
          <cell r="BC90">
            <v>28254.114292815324</v>
          </cell>
          <cell r="BD90">
            <v>30654.444468717829</v>
          </cell>
          <cell r="BE90">
            <v>45887.433960596878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CNY</v>
          </cell>
          <cell r="F91">
            <v>-755.37971800000003</v>
          </cell>
          <cell r="G91">
            <v>-374.00939</v>
          </cell>
          <cell r="H91">
            <v>-1085.48234</v>
          </cell>
          <cell r="I91">
            <v>-3740.4446280000002</v>
          </cell>
          <cell r="J91">
            <v>-14114.102183000001</v>
          </cell>
          <cell r="O91">
            <v>-18331.564138000002</v>
          </cell>
          <cell r="T91">
            <v>-4233.4629219999997</v>
          </cell>
          <cell r="Y91">
            <v>-18326.663219999999</v>
          </cell>
          <cell r="AD91">
            <v>-21290.003057999998</v>
          </cell>
          <cell r="AI91">
            <v>-18607.146446999999</v>
          </cell>
          <cell r="AN91">
            <v>-30702.614717</v>
          </cell>
          <cell r="AS91">
            <v>-47741.900710000002</v>
          </cell>
          <cell r="AX91">
            <v>-37920.850948405699</v>
          </cell>
          <cell r="BC91">
            <v>-26957.329611578181</v>
          </cell>
          <cell r="BD91">
            <v>-27348.278161979626</v>
          </cell>
          <cell r="BE91">
            <v>-24046.757249850023</v>
          </cell>
        </row>
        <row r="92">
          <cell r="B92" t="str">
            <v>Acquisitions</v>
          </cell>
          <cell r="C92" t="str">
            <v>ACQ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O92">
            <v>0</v>
          </cell>
          <cell r="T92">
            <v>0</v>
          </cell>
          <cell r="Y92">
            <v>0</v>
          </cell>
          <cell r="AD92">
            <v>0</v>
          </cell>
          <cell r="AI92">
            <v>0</v>
          </cell>
          <cell r="AN92">
            <v>0</v>
          </cell>
          <cell r="AS92">
            <v>0</v>
          </cell>
          <cell r="AX92">
            <v>0</v>
          </cell>
          <cell r="BC92">
            <v>0</v>
          </cell>
          <cell r="BD92">
            <v>0</v>
          </cell>
          <cell r="BE92">
            <v>0</v>
          </cell>
        </row>
        <row r="93">
          <cell r="B93" t="str">
            <v>Divestitures</v>
          </cell>
          <cell r="C93" t="str">
            <v>DIVEST</v>
          </cell>
          <cell r="D93" t="str">
            <v>CNY</v>
          </cell>
          <cell r="F93">
            <v>77.729141999999996</v>
          </cell>
          <cell r="G93">
            <v>64.459631000000002</v>
          </cell>
          <cell r="H93">
            <v>63.499757000000002</v>
          </cell>
          <cell r="I93">
            <v>31.792777000000001</v>
          </cell>
          <cell r="J93">
            <v>82.453186000000002</v>
          </cell>
          <cell r="O93">
            <v>45.643801000000003</v>
          </cell>
          <cell r="T93">
            <v>64.767374000000004</v>
          </cell>
          <cell r="Y93">
            <v>14.808978</v>
          </cell>
          <cell r="AD93">
            <v>28.82047</v>
          </cell>
          <cell r="AI93">
            <v>25.777766</v>
          </cell>
          <cell r="AN93">
            <v>214.13733500000001</v>
          </cell>
          <cell r="AS93">
            <v>6.9067600000000002</v>
          </cell>
          <cell r="AX93">
            <v>0</v>
          </cell>
          <cell r="BC93">
            <v>0</v>
          </cell>
          <cell r="BD93">
            <v>0</v>
          </cell>
          <cell r="BE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CNY</v>
          </cell>
          <cell r="F94">
            <v>484.38046499999996</v>
          </cell>
          <cell r="G94">
            <v>2326.1437300000002</v>
          </cell>
          <cell r="H94">
            <v>49.947067999999987</v>
          </cell>
          <cell r="I94">
            <v>344.06391200000019</v>
          </cell>
          <cell r="J94">
            <v>895.03496100000189</v>
          </cell>
          <cell r="O94">
            <v>2911.1316779999979</v>
          </cell>
          <cell r="T94">
            <v>1991.3441969999999</v>
          </cell>
          <cell r="Y94">
            <v>155.47215800000143</v>
          </cell>
          <cell r="AD94">
            <v>-2493.2285580000002</v>
          </cell>
          <cell r="AI94">
            <v>-1013.0352090000023</v>
          </cell>
          <cell r="AN94">
            <v>5993.5462220000036</v>
          </cell>
          <cell r="AS94">
            <v>-11327.031827000001</v>
          </cell>
          <cell r="AX94">
            <v>-5041.6007358209754</v>
          </cell>
          <cell r="BC94">
            <v>-12788.839709646756</v>
          </cell>
          <cell r="BD94">
            <v>-15144.595130797799</v>
          </cell>
          <cell r="BE94">
            <v>-10472.924733856431</v>
          </cell>
        </row>
        <row r="95">
          <cell r="B95" t="str">
            <v>Cash flow from investing</v>
          </cell>
          <cell r="C95" t="str">
            <v>CF_INV</v>
          </cell>
          <cell r="D95" t="str">
            <v>CNY</v>
          </cell>
          <cell r="F95">
            <v>-193.27011100000004</v>
          </cell>
          <cell r="G95">
            <v>2016.5939710000002</v>
          </cell>
          <cell r="H95">
            <v>-972.03551500000003</v>
          </cell>
          <cell r="I95">
            <v>-3364.587939</v>
          </cell>
          <cell r="J95">
            <v>-13136.614035999999</v>
          </cell>
          <cell r="O95">
            <v>-15374.788659000003</v>
          </cell>
          <cell r="T95">
            <v>-2177.3513509999998</v>
          </cell>
          <cell r="Y95">
            <v>-18156.382083999997</v>
          </cell>
          <cell r="AD95">
            <v>-23754.411145999999</v>
          </cell>
          <cell r="AI95">
            <v>-19594.403890000001</v>
          </cell>
          <cell r="AN95">
            <v>-24494.931159999996</v>
          </cell>
          <cell r="AS95">
            <v>-59062.025777000003</v>
          </cell>
          <cell r="AX95">
            <v>-42962.451684226675</v>
          </cell>
          <cell r="BC95">
            <v>-39746.169321224937</v>
          </cell>
          <cell r="BD95">
            <v>-42492.873292777425</v>
          </cell>
          <cell r="BE95">
            <v>-34519.681983706454</v>
          </cell>
        </row>
        <row r="96">
          <cell r="B96" t="str">
            <v>Dividends paid</v>
          </cell>
          <cell r="C96" t="str">
            <v>DIV_PAID</v>
          </cell>
          <cell r="D96" t="str">
            <v>CNY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O96">
            <v>0</v>
          </cell>
          <cell r="T96">
            <v>0</v>
          </cell>
          <cell r="Y96">
            <v>0</v>
          </cell>
          <cell r="AD96">
            <v>0</v>
          </cell>
          <cell r="AI96">
            <v>0</v>
          </cell>
          <cell r="AN96">
            <v>-703.06135486000005</v>
          </cell>
          <cell r="AS96">
            <v>-1046.578276</v>
          </cell>
          <cell r="AX96">
            <v>-1739.91993815</v>
          </cell>
          <cell r="BC96">
            <v>-1237.7269939513435</v>
          </cell>
          <cell r="BD96">
            <v>-2192.7410291599513</v>
          </cell>
          <cell r="BE96">
            <v>-2934.6170906745001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CNY</v>
          </cell>
          <cell r="F97">
            <v>1200.0000050000001</v>
          </cell>
          <cell r="G97">
            <v>0</v>
          </cell>
          <cell r="H97">
            <v>2248.4999990000001</v>
          </cell>
          <cell r="I97">
            <v>14833.252</v>
          </cell>
          <cell r="J97">
            <v>8998.5799969999989</v>
          </cell>
          <cell r="O97">
            <v>0</v>
          </cell>
          <cell r="T97">
            <v>0</v>
          </cell>
          <cell r="Y97">
            <v>14.351281</v>
          </cell>
          <cell r="AD97">
            <v>30752.700690000001</v>
          </cell>
          <cell r="AI97">
            <v>0</v>
          </cell>
          <cell r="AN97">
            <v>0</v>
          </cell>
          <cell r="AS97">
            <v>0</v>
          </cell>
          <cell r="AX97">
            <v>0</v>
          </cell>
          <cell r="BC97">
            <v>0</v>
          </cell>
          <cell r="BD97">
            <v>0</v>
          </cell>
          <cell r="BE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CNY</v>
          </cell>
          <cell r="F98">
            <v>-726.82215499999984</v>
          </cell>
          <cell r="G98">
            <v>-3772.83007</v>
          </cell>
          <cell r="H98">
            <v>-6.0526410000002215</v>
          </cell>
          <cell r="I98">
            <v>-16.329176000000189</v>
          </cell>
          <cell r="J98">
            <v>7048.1582410000001</v>
          </cell>
          <cell r="O98">
            <v>10577.517491000002</v>
          </cell>
          <cell r="T98">
            <v>-3656.613202999999</v>
          </cell>
          <cell r="Y98">
            <v>13903.174294999999</v>
          </cell>
          <cell r="AD98">
            <v>7349.777646999999</v>
          </cell>
          <cell r="AI98">
            <v>6876.3207389999989</v>
          </cell>
          <cell r="AN98">
            <v>22818.08941</v>
          </cell>
          <cell r="AS98">
            <v>34769.101022000003</v>
          </cell>
          <cell r="AX98">
            <v>12000</v>
          </cell>
          <cell r="BC98">
            <v>8000</v>
          </cell>
          <cell r="BD98">
            <v>5000</v>
          </cell>
          <cell r="BE98">
            <v>0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CNY</v>
          </cell>
          <cell r="F99">
            <v>-824.13879199999997</v>
          </cell>
          <cell r="G99">
            <v>-536.41647699999976</v>
          </cell>
          <cell r="H99">
            <v>-321.94410600000015</v>
          </cell>
          <cell r="I99">
            <v>-560.45122999999967</v>
          </cell>
          <cell r="J99">
            <v>2010.6492259999968</v>
          </cell>
          <cell r="O99">
            <v>-562.61307300000226</v>
          </cell>
          <cell r="T99">
            <v>3342.0420510000004</v>
          </cell>
          <cell r="Y99">
            <v>-1799.0935850000005</v>
          </cell>
          <cell r="AD99">
            <v>-2414.1618029999954</v>
          </cell>
          <cell r="AI99">
            <v>1902.7287629999992</v>
          </cell>
          <cell r="AN99">
            <v>5478.6881558600035</v>
          </cell>
          <cell r="AS99">
            <v>-2369.0057890000026</v>
          </cell>
          <cell r="AX99">
            <v>11011.428417204301</v>
          </cell>
          <cell r="BC99">
            <v>7063.6681410752681</v>
          </cell>
          <cell r="BD99">
            <v>13825.668141075268</v>
          </cell>
          <cell r="BE99">
            <v>14365.530844731184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CNY</v>
          </cell>
          <cell r="F100">
            <v>-350.9609419999997</v>
          </cell>
          <cell r="G100">
            <v>-4309.2465469999997</v>
          </cell>
          <cell r="H100">
            <v>1920.5032519999997</v>
          </cell>
          <cell r="I100">
            <v>14256.471594000001</v>
          </cell>
          <cell r="J100">
            <v>18057.387463999996</v>
          </cell>
          <cell r="O100">
            <v>10014.904418</v>
          </cell>
          <cell r="T100">
            <v>-314.57115199999885</v>
          </cell>
          <cell r="Y100">
            <v>12118.431990999998</v>
          </cell>
          <cell r="AD100">
            <v>35688.316534000005</v>
          </cell>
          <cell r="AI100">
            <v>8779.049501999998</v>
          </cell>
          <cell r="AN100">
            <v>27593.716211000003</v>
          </cell>
          <cell r="AS100">
            <v>31353.516957</v>
          </cell>
          <cell r="AX100">
            <v>21271.508479054301</v>
          </cell>
          <cell r="BC100">
            <v>13825.941147123925</v>
          </cell>
          <cell r="BD100">
            <v>16632.927111915316</v>
          </cell>
          <cell r="BE100">
            <v>11430.913754056684</v>
          </cell>
        </row>
        <row r="101">
          <cell r="B101" t="str">
            <v>Total cash flow</v>
          </cell>
          <cell r="C101" t="str">
            <v>TOT_CF</v>
          </cell>
          <cell r="D101" t="str">
            <v>CNY</v>
          </cell>
          <cell r="F101">
            <v>291.97493300000031</v>
          </cell>
          <cell r="G101">
            <v>-0.554176999999072</v>
          </cell>
          <cell r="H101">
            <v>2076.4376139999995</v>
          </cell>
          <cell r="I101">
            <v>11701.892690000001</v>
          </cell>
          <cell r="J101">
            <v>3867.4581339999968</v>
          </cell>
          <cell r="O101">
            <v>-6138.4149680000028</v>
          </cell>
          <cell r="T101">
            <v>596.95302200000128</v>
          </cell>
          <cell r="Y101">
            <v>2918.489157</v>
          </cell>
          <cell r="AD101">
            <v>20029.731311000007</v>
          </cell>
          <cell r="AI101">
            <v>-321.96894300000349</v>
          </cell>
          <cell r="AN101">
            <v>13172.072171000007</v>
          </cell>
          <cell r="AS101">
            <v>-1441.5228050000005</v>
          </cell>
          <cell r="AX101">
            <v>3483.8082734118652</v>
          </cell>
          <cell r="BC101">
            <v>2333.886118714312</v>
          </cell>
          <cell r="BD101">
            <v>4794.4982878557203</v>
          </cell>
          <cell r="BE101">
            <v>22798.665730947108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CNY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CNY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CNY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CNY</v>
          </cell>
        </row>
        <row r="107">
          <cell r="B107" t="str">
            <v>Cash interest expense</v>
          </cell>
          <cell r="C107" t="str">
            <v>CASH_INT_EXP</v>
          </cell>
          <cell r="D107" t="str">
            <v>CNY</v>
          </cell>
        </row>
        <row r="108">
          <cell r="B108" t="str">
            <v>Cash tax expense</v>
          </cell>
          <cell r="C108" t="str">
            <v>CASH_TAX_EXP</v>
          </cell>
          <cell r="D108" t="str">
            <v>CNY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str">
            <v>CNY</v>
          </cell>
        </row>
        <row r="110">
          <cell r="B110" t="str">
            <v>Capex maintenance</v>
          </cell>
          <cell r="C110" t="str">
            <v>CAPEX_MAINTENANCE</v>
          </cell>
          <cell r="D110" t="str">
            <v>CNY</v>
          </cell>
        </row>
        <row r="111">
          <cell r="B111" t="str">
            <v>Capex expansion</v>
          </cell>
          <cell r="C111" t="str">
            <v>CAPEX_EXPANSION</v>
          </cell>
          <cell r="D111" t="str">
            <v>CNY</v>
          </cell>
        </row>
        <row r="112">
          <cell r="B112" t="str">
            <v>Non-PP&amp;E capex</v>
          </cell>
          <cell r="C112" t="str">
            <v>NONPPE_CAPEX</v>
          </cell>
          <cell r="D112" t="str">
            <v>CNY</v>
          </cell>
        </row>
        <row r="113">
          <cell r="B113" t="str">
            <v>Dividends paid to minorities</v>
          </cell>
          <cell r="C113" t="str">
            <v>DIVDS_PD_MINORITIES</v>
          </cell>
          <cell r="D113" t="str">
            <v>CNY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  <cell r="T115">
            <v>22.98</v>
          </cell>
          <cell r="Y115">
            <v>26.922000000000001</v>
          </cell>
          <cell r="AD115">
            <v>34.164999999999999</v>
          </cell>
          <cell r="AI115">
            <v>42.837000000000003</v>
          </cell>
          <cell r="AN115">
            <v>49.151000000000003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  <cell r="Y155">
            <v>0.3</v>
          </cell>
          <cell r="AD155">
            <v>0.3</v>
          </cell>
          <cell r="AI155">
            <v>0.3</v>
          </cell>
          <cell r="AN155">
            <v>0.3</v>
          </cell>
          <cell r="AS155">
            <v>0.3</v>
          </cell>
          <cell r="AX155">
            <v>0.3</v>
          </cell>
          <cell r="BC155">
            <v>0.3</v>
          </cell>
          <cell r="BD155">
            <v>0.3</v>
          </cell>
          <cell r="BE155">
            <v>0.3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  <cell r="Y158">
            <v>0.51958205125821533</v>
          </cell>
          <cell r="AD158">
            <v>0.53549650562386764</v>
          </cell>
          <cell r="AI158">
            <v>0.43307803997219468</v>
          </cell>
          <cell r="AN158">
            <v>0.53353547463774953</v>
          </cell>
          <cell r="AS158">
            <v>0.5</v>
          </cell>
          <cell r="AX158">
            <v>0.48</v>
          </cell>
          <cell r="BC158">
            <v>0.45</v>
          </cell>
          <cell r="BD158">
            <v>0.45</v>
          </cell>
          <cell r="BE158">
            <v>0.45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  <cell r="Y165">
            <v>0.18041794874178463</v>
          </cell>
          <cell r="AD165">
            <v>0.16450349437613232</v>
          </cell>
          <cell r="AI165">
            <v>0.26692196002780527</v>
          </cell>
          <cell r="AN165">
            <v>0.16646452536225043</v>
          </cell>
          <cell r="AS165">
            <v>0.19999999999999996</v>
          </cell>
          <cell r="AX165">
            <v>0.21999999999999997</v>
          </cell>
          <cell r="BC165">
            <v>0.24999999999999994</v>
          </cell>
          <cell r="BD165">
            <v>0.24999999999999994</v>
          </cell>
          <cell r="BE165">
            <v>0.24999999999999994</v>
          </cell>
        </row>
        <row r="166">
          <cell r="B166" t="str">
            <v>% of CoGS from U.S. (GS estimate)</v>
          </cell>
          <cell r="C166" t="str">
            <v>COGS_PCT_US</v>
          </cell>
          <cell r="Y166">
            <v>0.15</v>
          </cell>
          <cell r="AD166">
            <v>0.15</v>
          </cell>
          <cell r="AI166">
            <v>0.15</v>
          </cell>
          <cell r="AN166">
            <v>0.15</v>
          </cell>
          <cell r="AS166">
            <v>0.15</v>
          </cell>
          <cell r="AX166">
            <v>0.15</v>
          </cell>
        </row>
        <row r="167">
          <cell r="B167" t="str">
            <v>% of CoGS from non-U.S. (GS estimate)</v>
          </cell>
          <cell r="C167" t="str">
            <v>COGS_PCT_ROW</v>
          </cell>
          <cell r="Y167">
            <v>0.85</v>
          </cell>
          <cell r="AD167">
            <v>0.85</v>
          </cell>
          <cell r="AI167">
            <v>0.85</v>
          </cell>
          <cell r="AN167">
            <v>0.85</v>
          </cell>
          <cell r="AS167">
            <v>0.85</v>
          </cell>
          <cell r="AX167">
            <v>0.85</v>
          </cell>
        </row>
        <row r="168">
          <cell r="B168" t="str">
            <v>% of SG&amp;A from U.S. (GS estimate)</v>
          </cell>
          <cell r="C168" t="str">
            <v>SGA_PCT_US</v>
          </cell>
          <cell r="Y168">
            <v>0.05</v>
          </cell>
          <cell r="AD168">
            <v>0.05</v>
          </cell>
          <cell r="AI168">
            <v>0.05</v>
          </cell>
          <cell r="AN168">
            <v>0.05</v>
          </cell>
          <cell r="AS168">
            <v>0.05</v>
          </cell>
          <cell r="AX168">
            <v>0.05</v>
          </cell>
        </row>
        <row r="169">
          <cell r="B169" t="str">
            <v>% of SG&amp;A from non-U.S. (GS estimate)</v>
          </cell>
          <cell r="C169" t="str">
            <v>SGA_PCT_ROW</v>
          </cell>
          <cell r="Y169">
            <v>0.95</v>
          </cell>
          <cell r="AD169">
            <v>0.95</v>
          </cell>
          <cell r="AI169">
            <v>0.95</v>
          </cell>
          <cell r="AN169">
            <v>0.95</v>
          </cell>
          <cell r="AS169">
            <v>0.95</v>
          </cell>
          <cell r="AX169">
            <v>0.95</v>
          </cell>
        </row>
        <row r="170">
          <cell r="B170" t="str">
            <v>Sales -% Consumer (C)</v>
          </cell>
          <cell r="C170" t="str">
            <v>SALES_CONS</v>
          </cell>
          <cell r="Y170">
            <v>0</v>
          </cell>
          <cell r="AD170">
            <v>0</v>
          </cell>
          <cell r="AI170">
            <v>0</v>
          </cell>
          <cell r="AN170">
            <v>0</v>
          </cell>
          <cell r="AS170">
            <v>0</v>
          </cell>
          <cell r="AX170">
            <v>0</v>
          </cell>
        </row>
        <row r="171">
          <cell r="B171" t="str">
            <v>Sales -% Industry (I)</v>
          </cell>
          <cell r="C171" t="str">
            <v>SALES_IND</v>
          </cell>
          <cell r="Y171">
            <v>1</v>
          </cell>
          <cell r="AD171">
            <v>1</v>
          </cell>
          <cell r="AI171">
            <v>1</v>
          </cell>
          <cell r="AN171">
            <v>1</v>
          </cell>
          <cell r="AS171">
            <v>1</v>
          </cell>
          <cell r="AX171">
            <v>1</v>
          </cell>
        </row>
        <row r="172">
          <cell r="B172" t="str">
            <v>Sales -% Government (G)</v>
          </cell>
          <cell r="C172" t="str">
            <v>SALES_GOV</v>
          </cell>
          <cell r="Y172">
            <v>0</v>
          </cell>
          <cell r="AD172">
            <v>0</v>
          </cell>
          <cell r="AI172">
            <v>0</v>
          </cell>
          <cell r="AN172">
            <v>0</v>
          </cell>
          <cell r="AS172">
            <v>0</v>
          </cell>
          <cell r="AX172">
            <v>0</v>
          </cell>
        </row>
        <row r="173">
          <cell r="B173" t="str">
            <v>Sales - % Industry Sub-Segment: Financial Services</v>
          </cell>
          <cell r="C173" t="str">
            <v>SALES_FINAN</v>
          </cell>
          <cell r="Y173">
            <v>0.05</v>
          </cell>
          <cell r="AD173">
            <v>0.05</v>
          </cell>
          <cell r="AI173">
            <v>0.05</v>
          </cell>
          <cell r="AN173">
            <v>0.05</v>
          </cell>
          <cell r="AS173">
            <v>0.05</v>
          </cell>
          <cell r="AX173">
            <v>0.05</v>
          </cell>
        </row>
        <row r="174">
          <cell r="B174" t="str">
            <v>Sales - % Industry Sub-Segment: Oil &amp; Gas</v>
          </cell>
          <cell r="C174" t="str">
            <v>SALES_OIL_GAS</v>
          </cell>
          <cell r="Y174">
            <v>0.03</v>
          </cell>
          <cell r="AD174">
            <v>0.03</v>
          </cell>
          <cell r="AI174">
            <v>0.03</v>
          </cell>
          <cell r="AN174">
            <v>0.03</v>
          </cell>
          <cell r="AS174">
            <v>0.03</v>
          </cell>
          <cell r="AX174">
            <v>0.03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  <cell r="Y176">
            <v>0</v>
          </cell>
          <cell r="AD176">
            <v>0.03</v>
          </cell>
          <cell r="AI176">
            <v>0.03</v>
          </cell>
          <cell r="AN176">
            <v>0.03</v>
          </cell>
          <cell r="AS176">
            <v>0.03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  <cell r="Y177">
            <v>0.08</v>
          </cell>
          <cell r="AD177">
            <v>5.0000000000000001E-3</v>
          </cell>
          <cell r="AI177">
            <v>5.0000000000000001E-3</v>
          </cell>
          <cell r="AN177">
            <v>5.0000000000000001E-3</v>
          </cell>
          <cell r="AS177">
            <v>5.0000000000000001E-3</v>
          </cell>
        </row>
        <row r="178">
          <cell r="B178" t="str">
            <v>Expense - % Paper/pulp</v>
          </cell>
          <cell r="C178" t="str">
            <v>EXP_PAPER_PULP</v>
          </cell>
        </row>
        <row r="179">
          <cell r="B179" t="str">
            <v>Expense - % Glass</v>
          </cell>
          <cell r="C179" t="str">
            <v>EXP_GLASS</v>
          </cell>
        </row>
        <row r="180">
          <cell r="B180" t="str">
            <v>Expense - % Water</v>
          </cell>
          <cell r="C180" t="str">
            <v>EXP_WATER</v>
          </cell>
        </row>
        <row r="181">
          <cell r="B181" t="str">
            <v>Expense - % Other commodity</v>
          </cell>
          <cell r="C181" t="str">
            <v>EXP_OTH_COMMODITY</v>
          </cell>
        </row>
        <row r="182">
          <cell r="B182" t="str">
            <v>Expense - % Other (Non-Commodity) cost</v>
          </cell>
          <cell r="C182" t="str">
            <v>EXP_OTH_COST</v>
          </cell>
        </row>
        <row r="183">
          <cell r="A183" t="str">
            <v>FX Exposure - Sales</v>
          </cell>
        </row>
        <row r="184">
          <cell r="B184" t="str">
            <v>Sales - % FX: British Pounds/Pence</v>
          </cell>
          <cell r="C184" t="str">
            <v>SALES_FX_GPB</v>
          </cell>
          <cell r="Y184">
            <v>0</v>
          </cell>
          <cell r="AD184">
            <v>0</v>
          </cell>
          <cell r="AI184">
            <v>0</v>
          </cell>
          <cell r="AN184">
            <v>0</v>
          </cell>
          <cell r="AS184">
            <v>0</v>
          </cell>
          <cell r="AX184">
            <v>0</v>
          </cell>
          <cell r="BC184">
            <v>0</v>
          </cell>
          <cell r="BD184">
            <v>0</v>
          </cell>
          <cell r="BE184">
            <v>0</v>
          </cell>
        </row>
        <row r="185">
          <cell r="B185" t="str">
            <v>Sales - % FX: Euro</v>
          </cell>
          <cell r="C185" t="str">
            <v>SALES_FX_EUR</v>
          </cell>
          <cell r="Y185">
            <v>0</v>
          </cell>
          <cell r="AD185">
            <v>0</v>
          </cell>
          <cell r="AI185">
            <v>0</v>
          </cell>
          <cell r="AN185">
            <v>0</v>
          </cell>
          <cell r="AS185">
            <v>0</v>
          </cell>
          <cell r="AX185">
            <v>0</v>
          </cell>
          <cell r="BC185">
            <v>0</v>
          </cell>
          <cell r="BD185">
            <v>0</v>
          </cell>
          <cell r="BE185">
            <v>0</v>
          </cell>
        </row>
        <row r="186">
          <cell r="B186" t="str">
            <v>Sales - % FX: New Russian Ruble</v>
          </cell>
          <cell r="C186" t="str">
            <v>SALES_FX_RUB</v>
          </cell>
          <cell r="Y186">
            <v>0</v>
          </cell>
          <cell r="AD186">
            <v>0</v>
          </cell>
          <cell r="AI186">
            <v>0</v>
          </cell>
          <cell r="AN186">
            <v>0</v>
          </cell>
          <cell r="AS186">
            <v>0</v>
          </cell>
          <cell r="AX186">
            <v>0</v>
          </cell>
          <cell r="BC186">
            <v>0</v>
          </cell>
          <cell r="BD186">
            <v>0</v>
          </cell>
          <cell r="BE186">
            <v>0</v>
          </cell>
        </row>
        <row r="187">
          <cell r="B187" t="str">
            <v>Sales - % FX: U.S. Dollar</v>
          </cell>
          <cell r="C187" t="str">
            <v>SALES_FX_USD</v>
          </cell>
          <cell r="Y187">
            <v>0.2</v>
          </cell>
          <cell r="AD187">
            <v>0.2</v>
          </cell>
          <cell r="AI187">
            <v>0.2</v>
          </cell>
          <cell r="AN187">
            <v>0.2</v>
          </cell>
          <cell r="AS187">
            <v>0.2</v>
          </cell>
          <cell r="AX187">
            <v>0.2</v>
          </cell>
          <cell r="BC187">
            <v>0.2</v>
          </cell>
          <cell r="BD187">
            <v>0.2</v>
          </cell>
          <cell r="BE187">
            <v>0.2</v>
          </cell>
        </row>
        <row r="188">
          <cell r="B188" t="str">
            <v>Sales - % FX: Brazilian Real</v>
          </cell>
          <cell r="C188" t="str">
            <v>SALES_FX_BRL</v>
          </cell>
          <cell r="Y188">
            <v>0</v>
          </cell>
          <cell r="AD188">
            <v>0</v>
          </cell>
          <cell r="AI188">
            <v>0</v>
          </cell>
          <cell r="AN188">
            <v>0</v>
          </cell>
          <cell r="AS188">
            <v>0</v>
          </cell>
          <cell r="AX188">
            <v>0</v>
          </cell>
          <cell r="BC188">
            <v>0</v>
          </cell>
          <cell r="BD188">
            <v>0</v>
          </cell>
          <cell r="BE188">
            <v>0</v>
          </cell>
        </row>
        <row r="189">
          <cell r="B189" t="str">
            <v>Sales - % FX: Japanese Yen</v>
          </cell>
          <cell r="C189" t="str">
            <v>SALES_FX_YEN</v>
          </cell>
          <cell r="Y189">
            <v>0</v>
          </cell>
          <cell r="AD189">
            <v>0</v>
          </cell>
          <cell r="AI189">
            <v>0</v>
          </cell>
          <cell r="AN189">
            <v>0</v>
          </cell>
          <cell r="AS189">
            <v>0</v>
          </cell>
          <cell r="AX189">
            <v>0</v>
          </cell>
          <cell r="BC189">
            <v>0</v>
          </cell>
          <cell r="BD189">
            <v>0</v>
          </cell>
          <cell r="BE189">
            <v>0</v>
          </cell>
        </row>
        <row r="190">
          <cell r="B190" t="str">
            <v>Sales - % FX: Chinese Renminbi</v>
          </cell>
          <cell r="C190" t="str">
            <v>SALES_FX_CNY</v>
          </cell>
          <cell r="Y190">
            <v>0.8</v>
          </cell>
          <cell r="AD190">
            <v>0.8</v>
          </cell>
          <cell r="AI190">
            <v>0.8</v>
          </cell>
          <cell r="AN190">
            <v>0.8</v>
          </cell>
          <cell r="AS190">
            <v>0.8</v>
          </cell>
          <cell r="AX190">
            <v>0.8</v>
          </cell>
          <cell r="BC190">
            <v>0.8</v>
          </cell>
          <cell r="BD190">
            <v>0.8</v>
          </cell>
          <cell r="BE190">
            <v>0.8</v>
          </cell>
        </row>
        <row r="191">
          <cell r="B191" t="str">
            <v>Sales - % FX: Indian Rupee</v>
          </cell>
          <cell r="C191" t="str">
            <v>SALES_FX_INR</v>
          </cell>
          <cell r="Y191">
            <v>0</v>
          </cell>
          <cell r="AD191">
            <v>0</v>
          </cell>
          <cell r="AI191">
            <v>0</v>
          </cell>
          <cell r="AN191">
            <v>0</v>
          </cell>
          <cell r="AS191">
            <v>0</v>
          </cell>
          <cell r="AX191">
            <v>0</v>
          </cell>
          <cell r="BC191">
            <v>0</v>
          </cell>
          <cell r="BD191">
            <v>0</v>
          </cell>
          <cell r="BE191">
            <v>0</v>
          </cell>
        </row>
        <row r="192">
          <cell r="B192" t="str">
            <v>Sales - % FX: South Korean Won</v>
          </cell>
          <cell r="C192" t="str">
            <v>SALES_FX_KRW</v>
          </cell>
          <cell r="Y192">
            <v>0</v>
          </cell>
          <cell r="AD192">
            <v>0</v>
          </cell>
          <cell r="AI192">
            <v>0</v>
          </cell>
          <cell r="AN192">
            <v>0</v>
          </cell>
          <cell r="AS192">
            <v>0</v>
          </cell>
          <cell r="AX192">
            <v>0</v>
          </cell>
          <cell r="BC192">
            <v>0</v>
          </cell>
          <cell r="BD192">
            <v>0</v>
          </cell>
          <cell r="BE192">
            <v>0</v>
          </cell>
        </row>
        <row r="193">
          <cell r="B193" t="str">
            <v>Sales - % FX: Taiwan Dollar</v>
          </cell>
          <cell r="C193" t="str">
            <v>SALES_FX_TWD</v>
          </cell>
          <cell r="Y193">
            <v>0</v>
          </cell>
          <cell r="AD193">
            <v>0</v>
          </cell>
          <cell r="AI193">
            <v>0</v>
          </cell>
          <cell r="AN193">
            <v>0</v>
          </cell>
          <cell r="AS193">
            <v>0</v>
          </cell>
          <cell r="AX193">
            <v>0</v>
          </cell>
          <cell r="BC193">
            <v>0</v>
          </cell>
          <cell r="BD193">
            <v>0</v>
          </cell>
          <cell r="BE193">
            <v>0</v>
          </cell>
        </row>
        <row r="194">
          <cell r="B194" t="str">
            <v>Sales - % FX: Other Currency</v>
          </cell>
          <cell r="C194" t="str">
            <v>SALES_FX_OTH</v>
          </cell>
          <cell r="Y194">
            <v>0</v>
          </cell>
          <cell r="AD194">
            <v>0</v>
          </cell>
          <cell r="AI194">
            <v>0</v>
          </cell>
          <cell r="AN194">
            <v>0</v>
          </cell>
          <cell r="AS194">
            <v>0</v>
          </cell>
          <cell r="AX194">
            <v>0</v>
          </cell>
          <cell r="BC194">
            <v>0</v>
          </cell>
          <cell r="BD194">
            <v>0</v>
          </cell>
          <cell r="BE194">
            <v>0</v>
          </cell>
        </row>
        <row r="195">
          <cell r="A195" t="str">
            <v>Items to be removed</v>
          </cell>
        </row>
        <row r="196">
          <cell r="B196" t="str">
            <v>Sales - Total % Americas</v>
          </cell>
          <cell r="C196" t="str">
            <v>SALES_TOT_AM</v>
          </cell>
          <cell r="Y196">
            <v>0</v>
          </cell>
          <cell r="AD196">
            <v>0</v>
          </cell>
          <cell r="AI196">
            <v>0</v>
          </cell>
          <cell r="AN196">
            <v>0</v>
          </cell>
          <cell r="AS196">
            <v>0</v>
          </cell>
          <cell r="AX196">
            <v>0</v>
          </cell>
          <cell r="BC196">
            <v>0</v>
          </cell>
          <cell r="BD196">
            <v>0</v>
          </cell>
          <cell r="BE196">
            <v>0</v>
          </cell>
        </row>
        <row r="197">
          <cell r="B197" t="str">
            <v>Sales - % Other Americas</v>
          </cell>
          <cell r="C197" t="str">
            <v>SALES_OTH_AM</v>
          </cell>
          <cell r="Y197">
            <v>0</v>
          </cell>
          <cell r="AD197">
            <v>0</v>
          </cell>
          <cell r="AI197">
            <v>0</v>
          </cell>
          <cell r="AN197">
            <v>0</v>
          </cell>
          <cell r="AS197">
            <v>0</v>
          </cell>
          <cell r="AX197">
            <v>0</v>
          </cell>
          <cell r="BC197">
            <v>0</v>
          </cell>
          <cell r="BD197">
            <v>0</v>
          </cell>
          <cell r="BE197">
            <v>0</v>
          </cell>
        </row>
        <row r="198">
          <cell r="B198" t="str">
            <v>Sales - Total % EMEA</v>
          </cell>
          <cell r="C198" t="str">
            <v>SALES_TOT_EMEA</v>
          </cell>
          <cell r="Y198">
            <v>0</v>
          </cell>
          <cell r="AD198">
            <v>0</v>
          </cell>
          <cell r="AI198">
            <v>0</v>
          </cell>
          <cell r="AN198">
            <v>0</v>
          </cell>
          <cell r="AS198">
            <v>0</v>
          </cell>
          <cell r="AX198">
            <v>0</v>
          </cell>
          <cell r="BC198">
            <v>0</v>
          </cell>
          <cell r="BD198">
            <v>0</v>
          </cell>
          <cell r="BE198">
            <v>0</v>
          </cell>
        </row>
        <row r="199">
          <cell r="B199" t="str">
            <v>Sales - % Western Europe-Ex UK</v>
          </cell>
          <cell r="C199" t="str">
            <v>SALES_EU_EX_UK</v>
          </cell>
          <cell r="Y199">
            <v>0</v>
          </cell>
          <cell r="AD199">
            <v>0</v>
          </cell>
          <cell r="AI199">
            <v>0</v>
          </cell>
          <cell r="AN199">
            <v>0</v>
          </cell>
          <cell r="AS199">
            <v>0</v>
          </cell>
          <cell r="AX199">
            <v>0</v>
          </cell>
          <cell r="BC199">
            <v>0</v>
          </cell>
          <cell r="BD199">
            <v>0</v>
          </cell>
          <cell r="BE199">
            <v>0</v>
          </cell>
        </row>
        <row r="200">
          <cell r="B200" t="str">
            <v>Sales - % Central &amp; Eastern Europe</v>
          </cell>
          <cell r="C200" t="str">
            <v>SALES_CEE</v>
          </cell>
          <cell r="Y200">
            <v>0</v>
          </cell>
          <cell r="AD200">
            <v>0</v>
          </cell>
          <cell r="AI200">
            <v>0</v>
          </cell>
          <cell r="AN200">
            <v>0</v>
          </cell>
          <cell r="AS200">
            <v>0</v>
          </cell>
          <cell r="AX200">
            <v>0</v>
          </cell>
          <cell r="BC200">
            <v>0</v>
          </cell>
          <cell r="BD200">
            <v>0</v>
          </cell>
          <cell r="BE200">
            <v>0</v>
          </cell>
        </row>
        <row r="201">
          <cell r="B201" t="str">
            <v>Sales - % Middle East</v>
          </cell>
          <cell r="C201" t="str">
            <v>SALES_ME</v>
          </cell>
          <cell r="Y201">
            <v>0</v>
          </cell>
          <cell r="AD201">
            <v>0</v>
          </cell>
          <cell r="AI201">
            <v>0</v>
          </cell>
          <cell r="AN201">
            <v>0</v>
          </cell>
          <cell r="AS201">
            <v>0</v>
          </cell>
          <cell r="AX201">
            <v>0</v>
          </cell>
          <cell r="BC201">
            <v>0</v>
          </cell>
          <cell r="BD201">
            <v>0</v>
          </cell>
          <cell r="BE201">
            <v>0</v>
          </cell>
        </row>
        <row r="202">
          <cell r="B202" t="str">
            <v>Sales - % Total Africa</v>
          </cell>
          <cell r="C202" t="str">
            <v>SALES_TOT_AFRICA</v>
          </cell>
        </row>
        <row r="203">
          <cell r="B203" t="str">
            <v>Sales - % Other EMEA</v>
          </cell>
          <cell r="C203" t="str">
            <v>SALES_OTH_EMEA</v>
          </cell>
          <cell r="Y203">
            <v>0</v>
          </cell>
          <cell r="AD203">
            <v>0</v>
          </cell>
          <cell r="AI203">
            <v>0</v>
          </cell>
          <cell r="AN203">
            <v>0</v>
          </cell>
          <cell r="AS203">
            <v>0</v>
          </cell>
          <cell r="AX203">
            <v>0</v>
          </cell>
          <cell r="BC203">
            <v>0</v>
          </cell>
          <cell r="BD203">
            <v>0</v>
          </cell>
          <cell r="BE203">
            <v>0</v>
          </cell>
        </row>
        <row r="204">
          <cell r="B204" t="str">
            <v>Sales - Total % Asia (incl Australia &amp; New Zealand)</v>
          </cell>
          <cell r="C204" t="str">
            <v>SALES_TOT_ASIA</v>
          </cell>
          <cell r="Y204">
            <v>1</v>
          </cell>
          <cell r="AD204">
            <v>1</v>
          </cell>
          <cell r="AI204">
            <v>1</v>
          </cell>
          <cell r="AN204">
            <v>1</v>
          </cell>
          <cell r="AS204">
            <v>1</v>
          </cell>
          <cell r="AX204">
            <v>1</v>
          </cell>
          <cell r="BC204">
            <v>1</v>
          </cell>
          <cell r="BD204">
            <v>1</v>
          </cell>
          <cell r="BE204">
            <v>1</v>
          </cell>
        </row>
        <row r="205">
          <cell r="B205" t="str">
            <v>Sales - % Other Asia</v>
          </cell>
          <cell r="C205" t="str">
            <v>SALES_OTH_AEJ</v>
          </cell>
          <cell r="Y205">
            <v>0</v>
          </cell>
          <cell r="AD205">
            <v>0</v>
          </cell>
          <cell r="AI205">
            <v>0</v>
          </cell>
          <cell r="AN205">
            <v>0</v>
          </cell>
          <cell r="AS205">
            <v>0</v>
          </cell>
          <cell r="AX205">
            <v>0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 t="str">
            <v>Security: BOE Technology Group (A)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000725.SZ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BOE Technology Group (A)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</row>
        <row r="215">
          <cell r="B215" t="str">
            <v>Asia ex. Japan Investment List</v>
          </cell>
          <cell r="C215" t="str">
            <v>AEJ_LIST</v>
          </cell>
          <cell r="E215" t="str">
            <v>Buy</v>
          </cell>
        </row>
        <row r="216">
          <cell r="B216" t="str">
            <v>Asia ex. Japan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4.5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Fundamental value</v>
          </cell>
          <cell r="C220" t="str">
            <v>TARGET_PRICE_FUNDAMENTAL</v>
          </cell>
          <cell r="D220" t="str">
            <v>CNY</v>
          </cell>
        </row>
        <row r="221">
          <cell r="B221" t="str">
            <v>M&amp;A value</v>
          </cell>
          <cell r="C221" t="str">
            <v>TARGET_PRICE_MA</v>
          </cell>
          <cell r="D221" t="str">
            <v>CNY</v>
          </cell>
        </row>
        <row r="222">
          <cell r="B222" t="str">
            <v>Current shares outstanding (mn)</v>
          </cell>
          <cell r="C222" t="str">
            <v>NUM_SH</v>
          </cell>
          <cell r="E222">
            <v>34798.398762999997</v>
          </cell>
        </row>
        <row r="223">
          <cell r="B223" t="str">
            <v>Free float</v>
          </cell>
          <cell r="C223" t="str">
            <v>FREE_FLOAT</v>
          </cell>
        </row>
        <row r="224">
          <cell r="B224" t="str">
            <v>Foreign ownership</v>
          </cell>
          <cell r="C224" t="str">
            <v>FOREIGN_HOLDNG</v>
          </cell>
        </row>
        <row r="225">
          <cell r="B225" t="str">
            <v>Catalyst 1 date</v>
          </cell>
          <cell r="C225" t="str">
            <v>CATALYST1_DATE</v>
          </cell>
        </row>
        <row r="226">
          <cell r="B226" t="str">
            <v>Catalyst 1 description</v>
          </cell>
          <cell r="C226" t="str">
            <v>CATALYST1_EVENT</v>
          </cell>
        </row>
        <row r="227">
          <cell r="B227" t="str">
            <v>Catalyst 2 date</v>
          </cell>
          <cell r="C227" t="str">
            <v>CATALYST2_DATE</v>
          </cell>
        </row>
        <row r="228">
          <cell r="B228" t="str">
            <v>Catalyst 2 description</v>
          </cell>
          <cell r="C228" t="str">
            <v>CATALYST2_EVENT</v>
          </cell>
        </row>
        <row r="229">
          <cell r="B229" t="str">
            <v>Catalyst 3 date</v>
          </cell>
          <cell r="C229" t="str">
            <v>CATALYST3_DATE</v>
          </cell>
        </row>
        <row r="230">
          <cell r="B230" t="str">
            <v>Catalyst 3 description</v>
          </cell>
          <cell r="C230" t="str">
            <v>CATALYST3_EVENT</v>
          </cell>
        </row>
        <row r="231">
          <cell r="B231" t="str">
            <v>Catalyst 4 date</v>
          </cell>
          <cell r="C231" t="str">
            <v>CATALYST4_DATE</v>
          </cell>
        </row>
        <row r="232">
          <cell r="B232" t="str">
            <v>Catalyst 4 description</v>
          </cell>
          <cell r="C232" t="str">
            <v>CATALYST4_EVENT</v>
          </cell>
        </row>
        <row r="233">
          <cell r="B233" t="str">
            <v>Catalyst 5 date</v>
          </cell>
          <cell r="C233" t="str">
            <v>CATALYST5_DATE</v>
          </cell>
        </row>
        <row r="234">
          <cell r="B234" t="str">
            <v>Catalyst 5 description</v>
          </cell>
          <cell r="C234" t="str">
            <v>CATALYST5_EVENT</v>
          </cell>
        </row>
        <row r="235">
          <cell r="B235" t="str">
            <v>Target price multiple</v>
          </cell>
          <cell r="C235" t="str">
            <v>PRI_TARG_MULT</v>
          </cell>
        </row>
        <row r="236">
          <cell r="B236" t="str">
            <v>Target price methodology</v>
          </cell>
          <cell r="C236" t="str">
            <v>PRI_TARG_METH</v>
          </cell>
        </row>
        <row r="237">
          <cell r="A237" t="str">
            <v>Publishing Items</v>
          </cell>
        </row>
        <row r="238">
          <cell r="B238" t="str">
            <v>Book value per share, BVPS (Pub)</v>
          </cell>
          <cell r="C238" t="str">
            <v>BVPS_PUB</v>
          </cell>
          <cell r="D238" t="str">
            <v>CNY</v>
          </cell>
          <cell r="F238">
            <v>1.3543390019688182</v>
          </cell>
          <cell r="G238">
            <v>1.5916667535384876</v>
          </cell>
          <cell r="H238">
            <v>1.8082238591721393</v>
          </cell>
          <cell r="I238">
            <v>2.1767364536002964</v>
          </cell>
          <cell r="J238">
            <v>2.2146893379133825</v>
          </cell>
          <cell r="O238">
            <v>1.8922317897432823</v>
          </cell>
          <cell r="T238">
            <v>1.9144975474806303</v>
          </cell>
          <cell r="Y238">
            <v>2.0893929589182214</v>
          </cell>
          <cell r="AD238">
            <v>2.1580009547932568</v>
          </cell>
          <cell r="AI238">
            <v>2.2042251370630255</v>
          </cell>
          <cell r="AN238">
            <v>2.238780099317832</v>
          </cell>
          <cell r="AS238">
            <v>2.4371758296871837</v>
          </cell>
          <cell r="AX238">
            <v>2.5563119186426642</v>
          </cell>
          <cell r="BC238">
            <v>2.7673718628653892</v>
          </cell>
          <cell r="BD238">
            <v>3.0498402944932237</v>
          </cell>
          <cell r="BE238">
            <v>3.4053265490515439</v>
          </cell>
        </row>
        <row r="239">
          <cell r="B239" t="str">
            <v>DPS, dividend per share (Pub)</v>
          </cell>
          <cell r="C239" t="str">
            <v>DPS_PUB</v>
          </cell>
          <cell r="D239" t="str">
            <v>CNY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O239">
            <v>0</v>
          </cell>
          <cell r="T239">
            <v>0</v>
          </cell>
          <cell r="Y239">
            <v>0</v>
          </cell>
          <cell r="AD239">
            <v>0</v>
          </cell>
          <cell r="AI239">
            <v>0.02</v>
          </cell>
          <cell r="AN239">
            <v>2.9772032519363952E-2</v>
          </cell>
          <cell r="AS239">
            <v>0.05</v>
          </cell>
          <cell r="AX239">
            <v>3.5568504240125504E-2</v>
          </cell>
          <cell r="BC239">
            <v>6.3012699063941455E-2</v>
          </cell>
          <cell r="BD239">
            <v>8.4331957647280673E-2</v>
          </cell>
          <cell r="BE239">
            <v>0.10613168909119454</v>
          </cell>
        </row>
        <row r="240">
          <cell r="B240" t="str">
            <v>Special dividend per share</v>
          </cell>
          <cell r="C240" t="str">
            <v>DPS_SPECIAL_PUB</v>
          </cell>
          <cell r="D240" t="str">
            <v>CNY</v>
          </cell>
        </row>
        <row r="241">
          <cell r="B241" t="str">
            <v>EBITDA (Pub)</v>
          </cell>
          <cell r="C241" t="str">
            <v>EBITDA_PUB</v>
          </cell>
          <cell r="D241" t="str">
            <v>CNY</v>
          </cell>
          <cell r="F241">
            <v>-640.46253600000091</v>
          </cell>
          <cell r="G241">
            <v>2281.2070460000014</v>
          </cell>
          <cell r="H241">
            <v>802.21720800000094</v>
          </cell>
          <cell r="I241">
            <v>237.36201400000027</v>
          </cell>
          <cell r="J241">
            <v>-186.73495699999967</v>
          </cell>
          <cell r="O241">
            <v>-60.066783000000214</v>
          </cell>
          <cell r="T241">
            <v>3928.5027750000008</v>
          </cell>
          <cell r="Y241">
            <v>8175.2015440000032</v>
          </cell>
          <cell r="AD241">
            <v>9074.3263770000049</v>
          </cell>
          <cell r="AI241">
            <v>11722.309705000007</v>
          </cell>
          <cell r="AN241">
            <v>14621.411162999997</v>
          </cell>
          <cell r="AS241">
            <v>24915.664210999996</v>
          </cell>
          <cell r="AX241">
            <v>20587.5473756336</v>
          </cell>
          <cell r="BC241">
            <v>29284.908973782614</v>
          </cell>
          <cell r="BD241">
            <v>36656.472519741044</v>
          </cell>
          <cell r="BE241">
            <v>46276.442392648634</v>
          </cell>
        </row>
        <row r="242">
          <cell r="B242" t="str">
            <v>EPS (Pub)</v>
          </cell>
          <cell r="C242" t="str">
            <v>EPS_PUB</v>
          </cell>
          <cell r="D242" t="str">
            <v>CNY</v>
          </cell>
          <cell r="F242">
            <v>-0.75</v>
          </cell>
          <cell r="G242">
            <v>0.24</v>
          </cell>
          <cell r="H242">
            <v>-0.27000000000000007</v>
          </cell>
          <cell r="I242">
            <v>7.9999999999999828E-3</v>
          </cell>
          <cell r="J242">
            <v>-0.24200000000000002</v>
          </cell>
          <cell r="K242">
            <v>-0.06</v>
          </cell>
          <cell r="L242">
            <v>-0.03</v>
          </cell>
          <cell r="M242">
            <v>-7.0000000000000007E-2</v>
          </cell>
          <cell r="N242">
            <v>0.20100000000000001</v>
          </cell>
          <cell r="O242">
            <v>4.1000000000000002E-2</v>
          </cell>
          <cell r="P242">
            <v>-3.6999999999999998E-2</v>
          </cell>
          <cell r="Q242">
            <v>-2.1000000000000005E-2</v>
          </cell>
          <cell r="R242">
            <v>1.1000000000000003E-2</v>
          </cell>
          <cell r="S242">
            <v>6.6000000000000003E-2</v>
          </cell>
          <cell r="T242">
            <v>1.9090528616494313E-2</v>
          </cell>
          <cell r="U242">
            <v>2.1000000000000001E-2</v>
          </cell>
          <cell r="V242">
            <v>4.2999999999999997E-2</v>
          </cell>
          <cell r="W242">
            <v>3.7000000000000005E-2</v>
          </cell>
          <cell r="X242">
            <v>7.2999999999999982E-2</v>
          </cell>
          <cell r="Y242">
            <v>0.17404565504810274</v>
          </cell>
          <cell r="Z242">
            <v>4.2999999999999997E-2</v>
          </cell>
          <cell r="AA242">
            <v>7.0000000000000062E-3</v>
          </cell>
          <cell r="AB242">
            <v>2.1999999999999992E-2</v>
          </cell>
          <cell r="AC242">
            <v>1.4999999999999999E-2</v>
          </cell>
          <cell r="AD242">
            <v>8.699999999999998E-2</v>
          </cell>
          <cell r="AE242">
            <v>2.8000000000000001E-2</v>
          </cell>
          <cell r="AF242">
            <v>2.7E-2</v>
          </cell>
          <cell r="AG242">
            <v>2.0000000000000018E-3</v>
          </cell>
          <cell r="AH242">
            <v>-1.1000000000000003E-2</v>
          </cell>
          <cell r="AI242">
            <v>4.5999999999999985E-2</v>
          </cell>
          <cell r="AJ242">
            <v>3.0000000000000001E-3</v>
          </cell>
          <cell r="AK242">
            <v>-1.7999999999999999E-2</v>
          </cell>
          <cell r="AL242">
            <v>1.9E-2</v>
          </cell>
          <cell r="AM242">
            <v>0.05</v>
          </cell>
          <cell r="AN242">
            <v>5.3553552929242472E-2</v>
          </cell>
          <cell r="AO242">
            <v>6.9000000000000006E-2</v>
          </cell>
          <cell r="AP242">
            <v>5.3999999999999992E-2</v>
          </cell>
          <cell r="AQ242">
            <v>6.2E-2</v>
          </cell>
          <cell r="AR242">
            <v>3.2000000000000001E-2</v>
          </cell>
          <cell r="AS242">
            <v>0.217</v>
          </cell>
          <cell r="AT242">
            <v>5.8000000000000003E-2</v>
          </cell>
          <cell r="AU242">
            <v>2.7487297691899268E-2</v>
          </cell>
          <cell r="AV242">
            <v>3.776518185714782E-2</v>
          </cell>
          <cell r="AW242">
            <v>3.1441037684454595E-2</v>
          </cell>
          <cell r="AX242">
            <v>0.15470459319560592</v>
          </cell>
          <cell r="AY242">
            <v>4.1436322357083777E-2</v>
          </cell>
          <cell r="AZ242">
            <v>6.6144265007940573E-2</v>
          </cell>
          <cell r="BA242">
            <v>8.9542068445294734E-2</v>
          </cell>
          <cell r="BB242">
            <v>7.694998747634843E-2</v>
          </cell>
          <cell r="BC242">
            <v>0.27407264328666647</v>
          </cell>
          <cell r="BD242">
            <v>0.36680038927511538</v>
          </cell>
          <cell r="BE242">
            <v>0.46161794364951469</v>
          </cell>
        </row>
        <row r="243">
          <cell r="B243" t="str">
            <v>EV adjustment (Pub)</v>
          </cell>
          <cell r="C243" t="str">
            <v>EV_ADJ_PUB</v>
          </cell>
          <cell r="D243" t="str">
            <v>CNY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O243">
            <v>0</v>
          </cell>
          <cell r="T243">
            <v>0</v>
          </cell>
          <cell r="Y243">
            <v>0</v>
          </cell>
          <cell r="AD243">
            <v>0</v>
          </cell>
          <cell r="AI243">
            <v>0</v>
          </cell>
          <cell r="AN243">
            <v>0</v>
          </cell>
          <cell r="AS243">
            <v>0</v>
          </cell>
          <cell r="AX243">
            <v>0</v>
          </cell>
          <cell r="BC243">
            <v>0</v>
          </cell>
          <cell r="BD243">
            <v>0</v>
          </cell>
          <cell r="BE243">
            <v>0</v>
          </cell>
        </row>
        <row r="244">
          <cell r="B244" t="str">
            <v>Net debt (Pub)</v>
          </cell>
          <cell r="C244" t="str">
            <v>NET_DEBT_PUB</v>
          </cell>
          <cell r="D244" t="str">
            <v>CNY</v>
          </cell>
          <cell r="F244">
            <v>8175.3963120000008</v>
          </cell>
          <cell r="G244">
            <v>4163.2191159999993</v>
          </cell>
          <cell r="H244">
            <v>1923.7458209999991</v>
          </cell>
          <cell r="I244">
            <v>-9725.1641999999993</v>
          </cell>
          <cell r="J244">
            <v>-6368.6409650000023</v>
          </cell>
          <cell r="O244">
            <v>9944.4549299999962</v>
          </cell>
          <cell r="T244">
            <v>6087.9571309999974</v>
          </cell>
          <cell r="Y244">
            <v>16952.051773000003</v>
          </cell>
          <cell r="AD244">
            <v>-699.61389100000088</v>
          </cell>
          <cell r="AI244">
            <v>7533.9698710000011</v>
          </cell>
          <cell r="AN244">
            <v>19088.277773000009</v>
          </cell>
          <cell r="AS244">
            <v>53386.257864000014</v>
          </cell>
          <cell r="AX244">
            <v>61902.449590588149</v>
          </cell>
          <cell r="BC244">
            <v>67568.563471873844</v>
          </cell>
          <cell r="BD244">
            <v>67774.065184018109</v>
          </cell>
          <cell r="BE244">
            <v>44975.399453071004</v>
          </cell>
        </row>
        <row r="245">
          <cell r="B245" t="str">
            <v>Net income (Pub)</v>
          </cell>
          <cell r="C245" t="str">
            <v>NI_PUB</v>
          </cell>
          <cell r="D245" t="str">
            <v>CNY</v>
          </cell>
          <cell r="F245">
            <v>-1770.8024750000011</v>
          </cell>
          <cell r="G245">
            <v>690.94581500000118</v>
          </cell>
          <cell r="H245">
            <v>-807.52547299999969</v>
          </cell>
          <cell r="I245">
            <v>49.680328000000685</v>
          </cell>
          <cell r="J245">
            <v>-2003.8130829999998</v>
          </cell>
          <cell r="K245">
            <v>-674.78196400000013</v>
          </cell>
          <cell r="L245">
            <v>-540.70251299999984</v>
          </cell>
          <cell r="M245">
            <v>-927.60412399999871</v>
          </cell>
          <cell r="N245">
            <v>2703.9550779999986</v>
          </cell>
          <cell r="O245">
            <v>560.86647700000015</v>
          </cell>
          <cell r="P245">
            <v>-494.56277300000056</v>
          </cell>
          <cell r="Q245">
            <v>-292.3194229999994</v>
          </cell>
          <cell r="R245">
            <v>151.60928499999937</v>
          </cell>
          <cell r="S245">
            <v>893.40630200000032</v>
          </cell>
          <cell r="T245">
            <v>258.13339100000002</v>
          </cell>
          <cell r="U245">
            <v>286.90302100000031</v>
          </cell>
          <cell r="V245">
            <v>572.38587200000018</v>
          </cell>
          <cell r="W245">
            <v>499.82493799999912</v>
          </cell>
          <cell r="X245">
            <v>994.25186300000189</v>
          </cell>
          <cell r="Y245">
            <v>2353.3656940000014</v>
          </cell>
          <cell r="Z245">
            <v>587.65198900000053</v>
          </cell>
          <cell r="AA245">
            <v>453.9837249999988</v>
          </cell>
          <cell r="AB245">
            <v>813.08573699999943</v>
          </cell>
          <cell r="AC245">
            <v>707.40737800000306</v>
          </cell>
          <cell r="AD245">
            <v>2562.1288290000011</v>
          </cell>
          <cell r="AE245">
            <v>978.14097099999981</v>
          </cell>
          <cell r="AF245">
            <v>973.0298810000005</v>
          </cell>
          <cell r="AG245">
            <v>41.21671900000424</v>
          </cell>
          <cell r="AH245">
            <v>-356.11708300000112</v>
          </cell>
          <cell r="AI245">
            <v>1636.2704880000026</v>
          </cell>
          <cell r="AJ245">
            <v>108.32545399999952</v>
          </cell>
          <cell r="AK245">
            <v>-624.79787199999862</v>
          </cell>
          <cell r="AL245">
            <v>657.14037999999914</v>
          </cell>
          <cell r="AM245">
            <v>1741.9037119999969</v>
          </cell>
          <cell r="AN245">
            <v>1882.5716739999966</v>
          </cell>
          <cell r="AO245">
            <v>2413.0156500000016</v>
          </cell>
          <cell r="AP245">
            <v>1889.589949999998</v>
          </cell>
          <cell r="AQ245">
            <v>2173.0616200000086</v>
          </cell>
          <cell r="AR245">
            <v>1092.0844179999926</v>
          </cell>
          <cell r="AS245">
            <v>7567.7516379999961</v>
          </cell>
          <cell r="AT245">
            <v>2018.6925539999986</v>
          </cell>
          <cell r="AU245">
            <v>956.51394600000015</v>
          </cell>
          <cell r="AV245">
            <v>1314.1678576222425</v>
          </cell>
          <cell r="AW245">
            <v>1094.097766866161</v>
          </cell>
          <cell r="AX245">
            <v>5383.4721244883913</v>
          </cell>
          <cell r="AY245">
            <v>1441.9176686540131</v>
          </cell>
          <cell r="AZ245">
            <v>2301.7145096318632</v>
          </cell>
          <cell r="BA245">
            <v>3115.9206038232055</v>
          </cell>
          <cell r="BB245">
            <v>2677.7363490098287</v>
          </cell>
          <cell r="BC245">
            <v>9537.2891311188741</v>
          </cell>
          <cell r="BD245">
            <v>12764.066212419093</v>
          </cell>
          <cell r="BE245">
            <v>16063.565279271876</v>
          </cell>
        </row>
        <row r="246">
          <cell r="B246" t="str">
            <v>EBIT, operating profit (Pub)</v>
          </cell>
          <cell r="C246" t="str">
            <v>EBIT_PUB</v>
          </cell>
          <cell r="D246" t="str">
            <v>CNY</v>
          </cell>
          <cell r="F246">
            <v>-2284.8428569999996</v>
          </cell>
          <cell r="G246">
            <v>1132.4665460000015</v>
          </cell>
          <cell r="H246">
            <v>-350.58537099999739</v>
          </cell>
          <cell r="I246">
            <v>-1037.6070949999994</v>
          </cell>
          <cell r="J246">
            <v>-1943.2679639999997</v>
          </cell>
          <cell r="K246">
            <v>-796.97162500000013</v>
          </cell>
          <cell r="L246">
            <v>-606.39709899999991</v>
          </cell>
          <cell r="M246">
            <v>-832.06253799999877</v>
          </cell>
          <cell r="N246">
            <v>-734.20386200000166</v>
          </cell>
          <cell r="O246">
            <v>-2969.6351240000004</v>
          </cell>
          <cell r="P246">
            <v>-639.36001400000055</v>
          </cell>
          <cell r="Q246">
            <v>-473.91375099999948</v>
          </cell>
          <cell r="R246">
            <v>23.29101399999945</v>
          </cell>
          <cell r="S246">
            <v>1101.9757980000002</v>
          </cell>
          <cell r="T246">
            <v>11.993046999999933</v>
          </cell>
          <cell r="U246">
            <v>722.78521600000033</v>
          </cell>
          <cell r="V246">
            <v>1038.1231600000001</v>
          </cell>
          <cell r="W246">
            <v>1073.150977999999</v>
          </cell>
          <cell r="X246">
            <v>731.90783100000181</v>
          </cell>
          <cell r="Y246">
            <v>3565.9671850000013</v>
          </cell>
          <cell r="Z246">
            <v>586.24193400000058</v>
          </cell>
          <cell r="AA246">
            <v>678.32098399999882</v>
          </cell>
          <cell r="AB246">
            <v>930.06678799999941</v>
          </cell>
          <cell r="AC246">
            <v>1123.9676240000031</v>
          </cell>
          <cell r="AD246">
            <v>3318.5973300000041</v>
          </cell>
          <cell r="AE246">
            <v>1427.7032219999996</v>
          </cell>
          <cell r="AF246">
            <v>1134.0902720000004</v>
          </cell>
          <cell r="AG246">
            <v>879.10860500000422</v>
          </cell>
          <cell r="AH246">
            <v>186.12424599999895</v>
          </cell>
          <cell r="AI246">
            <v>3627.0263450000057</v>
          </cell>
          <cell r="AJ246">
            <v>-779.15522500000043</v>
          </cell>
          <cell r="AK246">
            <v>140.13771400000155</v>
          </cell>
          <cell r="AL246">
            <v>1484.2523399999991</v>
          </cell>
          <cell r="AM246">
            <v>3402.6585369999966</v>
          </cell>
          <cell r="AN246">
            <v>4247.8933659999966</v>
          </cell>
          <cell r="AO246">
            <v>3897.3148200000014</v>
          </cell>
          <cell r="AP246">
            <v>3835.5231559999984</v>
          </cell>
          <cell r="AQ246">
            <v>3025.9046730000077</v>
          </cell>
          <cell r="AR246">
            <v>2212.408313999993</v>
          </cell>
          <cell r="AS246">
            <v>12971.150963000007</v>
          </cell>
          <cell r="AT246">
            <v>1897.1127989999986</v>
          </cell>
          <cell r="AU246">
            <v>1090.9584150000005</v>
          </cell>
          <cell r="AV246">
            <v>2136.6766675348558</v>
          </cell>
          <cell r="AW246">
            <v>2031.139581959219</v>
          </cell>
          <cell r="AX246">
            <v>7155.887463494073</v>
          </cell>
          <cell r="AY246">
            <v>2152.8774682391686</v>
          </cell>
          <cell r="AZ246">
            <v>3218.3010630072604</v>
          </cell>
          <cell r="BA246">
            <v>4227.2305477548962</v>
          </cell>
          <cell r="BB246">
            <v>3684.2512976763628</v>
          </cell>
          <cell r="BC246">
            <v>13282.660376677653</v>
          </cell>
          <cell r="BD246">
            <v>17149.780070135312</v>
          </cell>
          <cell r="BE246">
            <v>22451.067687392642</v>
          </cell>
        </row>
        <row r="247">
          <cell r="B247" t="str">
            <v>Pre-tax profit (Pub)</v>
          </cell>
          <cell r="C247" t="str">
            <v>PTP_PUB</v>
          </cell>
          <cell r="D247" t="str">
            <v>CNY</v>
          </cell>
          <cell r="F247">
            <v>-1774.0512510000012</v>
          </cell>
          <cell r="G247">
            <v>840.79906400000118</v>
          </cell>
          <cell r="H247">
            <v>-929.35129599999971</v>
          </cell>
          <cell r="I247">
            <v>-81.947275999999306</v>
          </cell>
          <cell r="J247">
            <v>-2241.3602229999997</v>
          </cell>
          <cell r="O247">
            <v>846.08729600000015</v>
          </cell>
          <cell r="T247">
            <v>186.051963</v>
          </cell>
          <cell r="Y247">
            <v>3022.4134250000016</v>
          </cell>
          <cell r="AD247">
            <v>3175.907165000001</v>
          </cell>
          <cell r="AI247">
            <v>2013.2431170000027</v>
          </cell>
          <cell r="AN247">
            <v>2512.3990749999966</v>
          </cell>
          <cell r="AS247">
            <v>9741.1406839999963</v>
          </cell>
          <cell r="AX247">
            <v>6397.5461517810418</v>
          </cell>
          <cell r="BC247">
            <v>11587.244772068729</v>
          </cell>
          <cell r="BD247">
            <v>15409.781808609332</v>
          </cell>
          <cell r="BE247">
            <v>19732.541742995483</v>
          </cell>
        </row>
        <row r="248">
          <cell r="B248" t="str">
            <v>Sales, revenue (Pub)</v>
          </cell>
          <cell r="C248" t="str">
            <v>REVS_PUB</v>
          </cell>
          <cell r="D248" t="str">
            <v>CNY</v>
          </cell>
          <cell r="F248">
            <v>8839.6642909999991</v>
          </cell>
          <cell r="G248">
            <v>11170.448855000001</v>
          </cell>
          <cell r="H248">
            <v>8334.0157710000003</v>
          </cell>
          <cell r="I248">
            <v>6249.1941260000003</v>
          </cell>
          <cell r="J248">
            <v>8025.2908479999996</v>
          </cell>
          <cell r="K248">
            <v>1969.6462220000001</v>
          </cell>
          <cell r="L248">
            <v>2970.3877750000001</v>
          </cell>
          <cell r="M248">
            <v>3574.6025570000002</v>
          </cell>
          <cell r="N248">
            <v>4226.7770079999991</v>
          </cell>
          <cell r="O248">
            <v>12741.413562</v>
          </cell>
          <cell r="P248">
            <v>4147.6412799999998</v>
          </cell>
          <cell r="Q248">
            <v>5461.2407330000005</v>
          </cell>
          <cell r="R248">
            <v>7514.0259879999994</v>
          </cell>
          <cell r="S248">
            <v>8648.6753849999986</v>
          </cell>
          <cell r="T248">
            <v>25771.583385999998</v>
          </cell>
          <cell r="U248">
            <v>8058.663697</v>
          </cell>
          <cell r="V248">
            <v>8195.66237</v>
          </cell>
          <cell r="W248">
            <v>8519.4456469999986</v>
          </cell>
          <cell r="X248">
            <v>9000.5139060000038</v>
          </cell>
          <cell r="Y248">
            <v>33774.285620000002</v>
          </cell>
          <cell r="Z248">
            <v>8091.6793150000003</v>
          </cell>
          <cell r="AA248">
            <v>8021.4922689999994</v>
          </cell>
          <cell r="AB248">
            <v>9174.8977999999988</v>
          </cell>
          <cell r="AC248">
            <v>11528.247292000004</v>
          </cell>
          <cell r="AD248">
            <v>36816.316676000002</v>
          </cell>
          <cell r="AE248">
            <v>11582.854379</v>
          </cell>
          <cell r="AF248">
            <v>11387.993732999999</v>
          </cell>
          <cell r="AG248">
            <v>13449.597930000004</v>
          </cell>
          <cell r="AH248">
            <v>12203.286269999997</v>
          </cell>
          <cell r="AI248">
            <v>48623.732312</v>
          </cell>
          <cell r="AJ248">
            <v>12297.73883</v>
          </cell>
          <cell r="AK248">
            <v>14150.571887</v>
          </cell>
          <cell r="AL248">
            <v>19393.595018</v>
          </cell>
          <cell r="AM248">
            <v>23053.753227999994</v>
          </cell>
          <cell r="AN248">
            <v>68895.658962999994</v>
          </cell>
          <cell r="AO248">
            <v>21854.974362000001</v>
          </cell>
          <cell r="AP248">
            <v>22750.053632999996</v>
          </cell>
          <cell r="AQ248">
            <v>24803.328149000008</v>
          </cell>
          <cell r="AR248">
            <v>24392.123070999995</v>
          </cell>
          <cell r="AS248">
            <v>93800.479214999999</v>
          </cell>
          <cell r="AT248">
            <v>21566.813037</v>
          </cell>
          <cell r="AU248">
            <v>21907.091929000002</v>
          </cell>
          <cell r="AV248">
            <v>25111.748155415677</v>
          </cell>
          <cell r="AW248">
            <v>26807.015784984564</v>
          </cell>
          <cell r="AX248">
            <v>95392.668906400242</v>
          </cell>
          <cell r="AY248">
            <v>31671.191262724631</v>
          </cell>
          <cell r="AZ248">
            <v>33829.407132382701</v>
          </cell>
          <cell r="BA248">
            <v>35539.388695136025</v>
          </cell>
          <cell r="BB248">
            <v>35884.019925695437</v>
          </cell>
          <cell r="BC248">
            <v>136924.00701593878</v>
          </cell>
          <cell r="BD248">
            <v>160381.07258766334</v>
          </cell>
          <cell r="BE248">
            <v>199332.12755527135</v>
          </cell>
        </row>
        <row r="249">
          <cell r="B249" t="str">
            <v>Total shareholders' equity (Pub)</v>
          </cell>
          <cell r="C249" t="str">
            <v>EQ_PUB</v>
          </cell>
          <cell r="D249" t="str">
            <v>CNY</v>
          </cell>
          <cell r="F249">
            <v>4647.0675510000001</v>
          </cell>
          <cell r="G249">
            <v>5521.3391739999988</v>
          </cell>
          <cell r="H249">
            <v>6718.8016229999994</v>
          </cell>
          <cell r="I249">
            <v>21936.151954000001</v>
          </cell>
          <cell r="J249">
            <v>34259.808252999996</v>
          </cell>
          <cell r="O249">
            <v>35045.483906000001</v>
          </cell>
          <cell r="T249">
            <v>35264.814451999999</v>
          </cell>
          <cell r="Y249">
            <v>38154.263404000005</v>
          </cell>
          <cell r="AD249">
            <v>76959.406218999997</v>
          </cell>
          <cell r="AI249">
            <v>78350.829818999991</v>
          </cell>
          <cell r="AN249">
            <v>92016.055160000018</v>
          </cell>
          <cell r="AS249">
            <v>104284.26283299999</v>
          </cell>
          <cell r="AX249">
            <v>119241.43638074133</v>
          </cell>
          <cell r="BC249">
            <v>127492.68381692552</v>
          </cell>
          <cell r="BD249">
            <v>140848.70281499537</v>
          </cell>
          <cell r="BE249">
            <v>159485.30748881231</v>
          </cell>
        </row>
        <row r="250">
          <cell r="B250" t="str">
            <v>EPS (consensus)</v>
          </cell>
          <cell r="C250" t="str">
            <v>EPS_CONS_PUB</v>
          </cell>
          <cell r="D250" t="str">
            <v>CNY</v>
          </cell>
        </row>
        <row r="251">
          <cell r="A251" t="str">
            <v>Income Statement</v>
          </cell>
        </row>
        <row r="252">
          <cell r="B252" t="str">
            <v>Provision for income tax</v>
          </cell>
          <cell r="C252" t="str">
            <v>PROV_INC_TAX</v>
          </cell>
          <cell r="D252" t="str">
            <v>CNY</v>
          </cell>
          <cell r="F252">
            <v>-12.899609999999999</v>
          </cell>
          <cell r="G252">
            <v>56.307887999999998</v>
          </cell>
          <cell r="H252">
            <v>-67.419799999999995</v>
          </cell>
          <cell r="I252">
            <v>16.683382999999999</v>
          </cell>
          <cell r="J252">
            <v>-26.672582999999999</v>
          </cell>
          <cell r="O252">
            <v>-152.40997899999999</v>
          </cell>
          <cell r="T252">
            <v>-1.668895</v>
          </cell>
          <cell r="Y252">
            <v>-50.284233999999998</v>
          </cell>
          <cell r="AD252">
            <v>-459.99319500000001</v>
          </cell>
          <cell r="AI252">
            <v>-375.13318500000003</v>
          </cell>
          <cell r="AN252">
            <v>-467.22831600000001</v>
          </cell>
          <cell r="AS252">
            <v>-1880.6599799999999</v>
          </cell>
          <cell r="AX252">
            <v>-1214.0740272926503</v>
          </cell>
          <cell r="BC252">
            <v>-2249.9556409498546</v>
          </cell>
          <cell r="BD252">
            <v>-2945.7155961902381</v>
          </cell>
          <cell r="BE252">
            <v>-3768.9764637236067</v>
          </cell>
        </row>
        <row r="253">
          <cell r="B253" t="str">
            <v>Minority interest</v>
          </cell>
          <cell r="C253" t="str">
            <v>INC_MINORITY</v>
          </cell>
          <cell r="D253" t="str">
            <v>CNY</v>
          </cell>
          <cell r="F253">
            <v>16.148385999999999</v>
          </cell>
          <cell r="G253">
            <v>-206.161137</v>
          </cell>
          <cell r="H253">
            <v>189.24562299999999</v>
          </cell>
          <cell r="I253">
            <v>114.944221</v>
          </cell>
          <cell r="J253">
            <v>264.21972299999999</v>
          </cell>
          <cell r="O253">
            <v>-132.81084000000001</v>
          </cell>
          <cell r="T253">
            <v>73.750322999999995</v>
          </cell>
          <cell r="Y253">
            <v>-618.76349700000003</v>
          </cell>
          <cell r="AD253">
            <v>-153.78514100000001</v>
          </cell>
          <cell r="AI253">
            <v>-1.8394440000000001</v>
          </cell>
          <cell r="AN253">
            <v>-162.599085</v>
          </cell>
          <cell r="AS253">
            <v>-292.72906599999999</v>
          </cell>
          <cell r="AX253">
            <v>200</v>
          </cell>
          <cell r="BC253">
            <v>200</v>
          </cell>
          <cell r="BD253">
            <v>300</v>
          </cell>
          <cell r="BE253">
            <v>100</v>
          </cell>
        </row>
        <row r="254">
          <cell r="B254" t="str">
            <v>Net income (pre-preferred dividends)</v>
          </cell>
          <cell r="C254" t="str">
            <v>NI_PRE_PREF</v>
          </cell>
          <cell r="D254" t="str">
            <v>CNY</v>
          </cell>
          <cell r="F254">
            <v>-1770.8024750000011</v>
          </cell>
          <cell r="G254">
            <v>690.94581500000118</v>
          </cell>
          <cell r="H254">
            <v>-807.52547299999969</v>
          </cell>
          <cell r="I254">
            <v>49.680328000000685</v>
          </cell>
          <cell r="J254">
            <v>-2003.8130829999998</v>
          </cell>
          <cell r="O254">
            <v>560.86647700000015</v>
          </cell>
          <cell r="T254">
            <v>258.13339100000002</v>
          </cell>
          <cell r="Y254">
            <v>2353.3656940000014</v>
          </cell>
          <cell r="AD254">
            <v>2562.1288290000011</v>
          </cell>
          <cell r="AI254">
            <v>1636.2704880000026</v>
          </cell>
          <cell r="AN254">
            <v>1882.5716739999966</v>
          </cell>
          <cell r="AS254">
            <v>7567.7516379999961</v>
          </cell>
          <cell r="AX254">
            <v>5383.4721244883913</v>
          </cell>
          <cell r="BC254">
            <v>9537.2891311188741</v>
          </cell>
          <cell r="BD254">
            <v>12764.066212419093</v>
          </cell>
          <cell r="BE254">
            <v>16063.565279271876</v>
          </cell>
        </row>
        <row r="255">
          <cell r="B255" t="str">
            <v>Preferred dividends</v>
          </cell>
          <cell r="C255" t="str">
            <v>PREF_DIV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O255">
            <v>0</v>
          </cell>
          <cell r="T255">
            <v>0</v>
          </cell>
          <cell r="Y255">
            <v>0</v>
          </cell>
          <cell r="AD255">
            <v>0</v>
          </cell>
          <cell r="AI255">
            <v>0</v>
          </cell>
          <cell r="AN255">
            <v>0</v>
          </cell>
          <cell r="AS255">
            <v>0</v>
          </cell>
          <cell r="AX255">
            <v>0</v>
          </cell>
          <cell r="BC255">
            <v>0</v>
          </cell>
          <cell r="BD255">
            <v>0</v>
          </cell>
          <cell r="BE255">
            <v>0</v>
          </cell>
        </row>
        <row r="256">
          <cell r="B256" t="str">
            <v>Net income (pre-exceptionals)</v>
          </cell>
          <cell r="C256" t="str">
            <v>NET_EARNING</v>
          </cell>
          <cell r="D256" t="str">
            <v>CNY</v>
          </cell>
          <cell r="F256">
            <v>-1770.8024750000011</v>
          </cell>
          <cell r="G256">
            <v>690.94581500000118</v>
          </cell>
          <cell r="H256">
            <v>-807.52547299999969</v>
          </cell>
          <cell r="I256">
            <v>49.680328000000685</v>
          </cell>
          <cell r="J256">
            <v>-2003.8130829999998</v>
          </cell>
          <cell r="O256">
            <v>560.86647700000015</v>
          </cell>
          <cell r="T256">
            <v>258.13339100000002</v>
          </cell>
          <cell r="Y256">
            <v>2353.3656940000014</v>
          </cell>
          <cell r="AD256">
            <v>2562.1288290000011</v>
          </cell>
          <cell r="AI256">
            <v>1636.2704880000026</v>
          </cell>
          <cell r="AN256">
            <v>1882.5716739999966</v>
          </cell>
          <cell r="AS256">
            <v>7567.7516379999961</v>
          </cell>
          <cell r="AX256">
            <v>5383.4721244883913</v>
          </cell>
          <cell r="BC256">
            <v>9537.2891311188741</v>
          </cell>
          <cell r="BD256">
            <v>12764.066212419093</v>
          </cell>
          <cell r="BE256">
            <v>16063.565279271876</v>
          </cell>
        </row>
        <row r="257">
          <cell r="B257" t="str">
            <v>Post-tax exceptionals</v>
          </cell>
          <cell r="C257" t="str">
            <v>TAX_EXC</v>
          </cell>
          <cell r="D257" t="str">
            <v>CNY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O257">
            <v>0</v>
          </cell>
          <cell r="T257">
            <v>0</v>
          </cell>
          <cell r="Y257">
            <v>0</v>
          </cell>
          <cell r="AD257">
            <v>0</v>
          </cell>
          <cell r="AI257">
            <v>0</v>
          </cell>
          <cell r="AN257">
            <v>0</v>
          </cell>
          <cell r="AS257">
            <v>0</v>
          </cell>
          <cell r="AX257">
            <v>0</v>
          </cell>
          <cell r="BC257">
            <v>0</v>
          </cell>
          <cell r="BD257">
            <v>0</v>
          </cell>
          <cell r="BE257">
            <v>0</v>
          </cell>
        </row>
        <row r="258">
          <cell r="B258" t="str">
            <v>Net income (post-exceptionals)</v>
          </cell>
          <cell r="C258" t="str">
            <v>NET_INC</v>
          </cell>
          <cell r="D258" t="str">
            <v>CNY</v>
          </cell>
          <cell r="F258">
            <v>-1770.8024750000011</v>
          </cell>
          <cell r="G258">
            <v>690.94581500000118</v>
          </cell>
          <cell r="H258">
            <v>-807.52547299999969</v>
          </cell>
          <cell r="I258">
            <v>49.680328000000685</v>
          </cell>
          <cell r="J258">
            <v>-2003.8130829999998</v>
          </cell>
          <cell r="K258">
            <v>-674.78196400000013</v>
          </cell>
          <cell r="L258">
            <v>-540.70251299999984</v>
          </cell>
          <cell r="M258">
            <v>-927.60412399999871</v>
          </cell>
          <cell r="N258">
            <v>2703.9550779999986</v>
          </cell>
          <cell r="O258">
            <v>560.86647700000015</v>
          </cell>
          <cell r="P258">
            <v>-494.56277300000056</v>
          </cell>
          <cell r="Q258">
            <v>-292.3194229999994</v>
          </cell>
          <cell r="R258">
            <v>151.60928499999937</v>
          </cell>
          <cell r="S258">
            <v>893.40630200000032</v>
          </cell>
          <cell r="T258">
            <v>258.13339100000002</v>
          </cell>
          <cell r="U258">
            <v>286.90302100000031</v>
          </cell>
          <cell r="V258">
            <v>572.38587200000018</v>
          </cell>
          <cell r="W258">
            <v>499.82493799999912</v>
          </cell>
          <cell r="X258">
            <v>994.25186300000189</v>
          </cell>
          <cell r="Y258">
            <v>2353.3656940000014</v>
          </cell>
          <cell r="Z258">
            <v>587.65198900000053</v>
          </cell>
          <cell r="AA258">
            <v>453.9837249999988</v>
          </cell>
          <cell r="AB258">
            <v>813.08573699999943</v>
          </cell>
          <cell r="AC258">
            <v>707.40737800000306</v>
          </cell>
          <cell r="AD258">
            <v>2562.1288290000011</v>
          </cell>
          <cell r="AE258">
            <v>978.14097099999981</v>
          </cell>
          <cell r="AF258">
            <v>973.0298810000005</v>
          </cell>
          <cell r="AG258">
            <v>41.21671900000424</v>
          </cell>
          <cell r="AH258">
            <v>-356.11708300000112</v>
          </cell>
          <cell r="AI258">
            <v>1636.2704880000026</v>
          </cell>
          <cell r="AJ258">
            <v>108.32545399999952</v>
          </cell>
          <cell r="AK258">
            <v>-624.79787199999862</v>
          </cell>
          <cell r="AL258">
            <v>657.14037999999914</v>
          </cell>
          <cell r="AM258">
            <v>1741.9037119999969</v>
          </cell>
          <cell r="AN258">
            <v>1882.5716739999966</v>
          </cell>
          <cell r="AO258">
            <v>2413.0156500000016</v>
          </cell>
          <cell r="AP258">
            <v>1889.589949999998</v>
          </cell>
          <cell r="AQ258">
            <v>2173.0616200000086</v>
          </cell>
          <cell r="AR258">
            <v>1092.0844179999926</v>
          </cell>
          <cell r="AS258">
            <v>7567.7516379999961</v>
          </cell>
          <cell r="AT258">
            <v>2018.6925539999986</v>
          </cell>
          <cell r="AU258">
            <v>956.51394600000015</v>
          </cell>
          <cell r="AV258">
            <v>1314.1678576222425</v>
          </cell>
          <cell r="AW258">
            <v>1094.097766866161</v>
          </cell>
          <cell r="AX258">
            <v>5383.4721244883913</v>
          </cell>
          <cell r="AY258">
            <v>1441.9176686540131</v>
          </cell>
          <cell r="AZ258">
            <v>2301.7145096318632</v>
          </cell>
          <cell r="BA258">
            <v>3115.9206038232055</v>
          </cell>
          <cell r="BB258">
            <v>2677.7363490098287</v>
          </cell>
          <cell r="BC258">
            <v>9537.2891311188741</v>
          </cell>
          <cell r="BD258">
            <v>12764.066212419093</v>
          </cell>
          <cell r="BE258">
            <v>16063.565279271876</v>
          </cell>
        </row>
        <row r="259">
          <cell r="B259" t="str">
            <v>EPS (pre-exceptionals, basic)</v>
          </cell>
          <cell r="C259" t="str">
            <v>EPS</v>
          </cell>
          <cell r="D259" t="str">
            <v>CNY</v>
          </cell>
          <cell r="F259">
            <v>-0.75</v>
          </cell>
          <cell r="G259">
            <v>0.24</v>
          </cell>
          <cell r="H259">
            <v>-0.27000000000000007</v>
          </cell>
          <cell r="I259">
            <v>7.9999999999999828E-3</v>
          </cell>
          <cell r="J259">
            <v>-0.24200000000000002</v>
          </cell>
          <cell r="O259">
            <v>4.1000000000000002E-2</v>
          </cell>
          <cell r="T259">
            <v>1.9090528616494313E-2</v>
          </cell>
          <cell r="Y259">
            <v>0.17404565504810274</v>
          </cell>
          <cell r="AD259">
            <v>8.699999999999998E-2</v>
          </cell>
          <cell r="AI259">
            <v>4.5999999999999985E-2</v>
          </cell>
          <cell r="AN259">
            <v>5.3553552929242472E-2</v>
          </cell>
          <cell r="AS259">
            <v>0.217</v>
          </cell>
          <cell r="AX259">
            <v>0.15470459319560592</v>
          </cell>
          <cell r="BC259">
            <v>0.27407264328666647</v>
          </cell>
          <cell r="BD259">
            <v>0.36680038927511538</v>
          </cell>
          <cell r="BE259">
            <v>0.46161794364951469</v>
          </cell>
        </row>
        <row r="260">
          <cell r="B260" t="str">
            <v>EPS (pre-exceptionals, diluted)</v>
          </cell>
          <cell r="C260" t="str">
            <v>EPS_FUL_DIL</v>
          </cell>
          <cell r="D260" t="str">
            <v>CNY</v>
          </cell>
          <cell r="F260">
            <v>-0.75</v>
          </cell>
          <cell r="G260">
            <v>0.24</v>
          </cell>
          <cell r="H260">
            <v>-0.27000000000000007</v>
          </cell>
          <cell r="I260">
            <v>7.9999999999999828E-3</v>
          </cell>
          <cell r="J260">
            <v>-0.24200000000000002</v>
          </cell>
          <cell r="O260">
            <v>4.1000000000000002E-2</v>
          </cell>
          <cell r="T260">
            <v>1.9090528616494313E-2</v>
          </cell>
          <cell r="Y260">
            <v>0.17404565504810274</v>
          </cell>
          <cell r="AD260">
            <v>8.699999999999998E-2</v>
          </cell>
          <cell r="AI260">
            <v>4.5999999999999985E-2</v>
          </cell>
          <cell r="AN260">
            <v>5.3553552929242472E-2</v>
          </cell>
          <cell r="AS260">
            <v>0.217</v>
          </cell>
          <cell r="AX260">
            <v>0.15470459319560592</v>
          </cell>
          <cell r="BC260">
            <v>0.27407264328666647</v>
          </cell>
          <cell r="BD260">
            <v>0.36680038927511538</v>
          </cell>
          <cell r="BE260">
            <v>0.46161794364951469</v>
          </cell>
        </row>
        <row r="261">
          <cell r="B261" t="str">
            <v>EPS (post-exceptionals, basic)</v>
          </cell>
          <cell r="C261" t="str">
            <v>EPS_POST_BASIC</v>
          </cell>
          <cell r="D261" t="str">
            <v>CNY</v>
          </cell>
          <cell r="F261">
            <v>-0.75</v>
          </cell>
          <cell r="G261">
            <v>0.24</v>
          </cell>
          <cell r="H261">
            <v>-0.27000000000000007</v>
          </cell>
          <cell r="I261">
            <v>7.9999999999999828E-3</v>
          </cell>
          <cell r="J261">
            <v>-0.24200000000000002</v>
          </cell>
          <cell r="O261">
            <v>4.1000000000000002E-2</v>
          </cell>
          <cell r="T261">
            <v>1.9090528616494313E-2</v>
          </cell>
          <cell r="Y261">
            <v>0.17404565504810274</v>
          </cell>
          <cell r="AD261">
            <v>8.699999999999998E-2</v>
          </cell>
          <cell r="AI261">
            <v>4.5999999999999985E-2</v>
          </cell>
          <cell r="AN261">
            <v>5.3553552929242472E-2</v>
          </cell>
          <cell r="AS261">
            <v>0.217</v>
          </cell>
          <cell r="AX261">
            <v>0.15470459319560592</v>
          </cell>
          <cell r="BC261">
            <v>0.27407264328666647</v>
          </cell>
          <cell r="BD261">
            <v>0.36680038927511538</v>
          </cell>
          <cell r="BE261">
            <v>0.46161794364951469</v>
          </cell>
        </row>
        <row r="262">
          <cell r="B262" t="str">
            <v>EPS (post-exceptionals, diluted)</v>
          </cell>
          <cell r="C262" t="str">
            <v>FULLY_DIL_EPS</v>
          </cell>
          <cell r="D262" t="str">
            <v>CNY</v>
          </cell>
          <cell r="F262">
            <v>-0.75</v>
          </cell>
          <cell r="G262">
            <v>0.24</v>
          </cell>
          <cell r="H262">
            <v>-0.27000000000000007</v>
          </cell>
          <cell r="I262">
            <v>7.9999999999999828E-3</v>
          </cell>
          <cell r="J262">
            <v>-0.24200000000000002</v>
          </cell>
          <cell r="O262">
            <v>4.1000000000000002E-2</v>
          </cell>
          <cell r="T262">
            <v>1.9090528616494313E-2</v>
          </cell>
          <cell r="Y262">
            <v>0.17404565504810274</v>
          </cell>
          <cell r="AD262">
            <v>8.699999999999998E-2</v>
          </cell>
          <cell r="AI262">
            <v>4.5999999999999985E-2</v>
          </cell>
          <cell r="AN262">
            <v>5.3553552929242472E-2</v>
          </cell>
          <cell r="AS262">
            <v>0.217</v>
          </cell>
          <cell r="AX262">
            <v>0.15470459319560592</v>
          </cell>
          <cell r="BC262">
            <v>0.27407264328666647</v>
          </cell>
          <cell r="BD262">
            <v>0.36680038927511538</v>
          </cell>
          <cell r="BE262">
            <v>0.46161794364951469</v>
          </cell>
        </row>
        <row r="263">
          <cell r="B263" t="str">
            <v>Common dividends paid</v>
          </cell>
          <cell r="C263" t="str">
            <v>COMMON_DIV_PAID</v>
          </cell>
          <cell r="D263" t="str">
            <v>CNY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O263">
            <v>0</v>
          </cell>
          <cell r="T263">
            <v>0</v>
          </cell>
          <cell r="Y263">
            <v>0</v>
          </cell>
          <cell r="AD263">
            <v>0</v>
          </cell>
          <cell r="AI263">
            <v>-703.06135486000005</v>
          </cell>
          <cell r="AN263">
            <v>-1046.578276</v>
          </cell>
          <cell r="AS263">
            <v>-1739.91993815</v>
          </cell>
          <cell r="AX263">
            <v>-1237.7269939513435</v>
          </cell>
          <cell r="BC263">
            <v>-2192.7410291599513</v>
          </cell>
          <cell r="BD263">
            <v>-2934.6170906745001</v>
          </cell>
          <cell r="BE263">
            <v>-3693.2128383861245</v>
          </cell>
        </row>
        <row r="264">
          <cell r="B264" t="str">
            <v>DPS, dividend per share</v>
          </cell>
          <cell r="C264" t="str">
            <v>DPS</v>
          </cell>
          <cell r="D264" t="str">
            <v>CNY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O264">
            <v>0</v>
          </cell>
          <cell r="T264">
            <v>0</v>
          </cell>
          <cell r="Y264">
            <v>0</v>
          </cell>
          <cell r="AD264">
            <v>0</v>
          </cell>
          <cell r="AI264">
            <v>0.02</v>
          </cell>
          <cell r="AN264">
            <v>2.9772032519363952E-2</v>
          </cell>
          <cell r="AS264">
            <v>0.05</v>
          </cell>
          <cell r="AX264">
            <v>3.5568504240125504E-2</v>
          </cell>
          <cell r="BC264">
            <v>6.3012699063941455E-2</v>
          </cell>
          <cell r="BD264">
            <v>8.4331957647280673E-2</v>
          </cell>
          <cell r="BE264">
            <v>0.10613168909119454</v>
          </cell>
        </row>
        <row r="265">
          <cell r="B265" t="str">
            <v>Weighted average shares outstanding, basic</v>
          </cell>
          <cell r="C265" t="str">
            <v>SH</v>
          </cell>
          <cell r="F265">
            <v>2361.0699666666683</v>
          </cell>
          <cell r="G265">
            <v>2878.9408958333383</v>
          </cell>
          <cell r="H265">
            <v>2990.8350851851833</v>
          </cell>
          <cell r="I265">
            <v>6210.0410000000993</v>
          </cell>
          <cell r="J265">
            <v>8280.219351239668</v>
          </cell>
          <cell r="O265">
            <v>13679.67017073171</v>
          </cell>
          <cell r="T265">
            <v>13521.542341</v>
          </cell>
          <cell r="Y265">
            <v>13521.542341</v>
          </cell>
          <cell r="AD265">
            <v>29449.756655172434</v>
          </cell>
          <cell r="AI265">
            <v>35571.09756521746</v>
          </cell>
          <cell r="AN265">
            <v>35153.067743</v>
          </cell>
          <cell r="AS265">
            <v>34874.431511520721</v>
          </cell>
          <cell r="AX265">
            <v>34798.398762999997</v>
          </cell>
          <cell r="BC265">
            <v>34798.398762999997</v>
          </cell>
          <cell r="BD265">
            <v>34798.398762999997</v>
          </cell>
          <cell r="BE265">
            <v>34798.398762999997</v>
          </cell>
        </row>
        <row r="266">
          <cell r="B266" t="str">
            <v>Diluted average shares outstanding (mn)</v>
          </cell>
          <cell r="C266" t="str">
            <v>DILUTE_SHARES</v>
          </cell>
          <cell r="F266">
            <v>2361.0699666666683</v>
          </cell>
          <cell r="G266">
            <v>2878.9408958333383</v>
          </cell>
          <cell r="H266">
            <v>2990.8350851851833</v>
          </cell>
          <cell r="I266">
            <v>6210.0410000000993</v>
          </cell>
          <cell r="J266">
            <v>8280.219351239668</v>
          </cell>
          <cell r="O266">
            <v>13679.67017073171</v>
          </cell>
          <cell r="T266">
            <v>13521.542341</v>
          </cell>
          <cell r="Y266">
            <v>13521.542341</v>
          </cell>
          <cell r="AD266">
            <v>29449.756655172434</v>
          </cell>
          <cell r="AI266">
            <v>35571.09756521746</v>
          </cell>
          <cell r="AN266">
            <v>35153.067743</v>
          </cell>
          <cell r="AS266">
            <v>34874.431511520721</v>
          </cell>
          <cell r="AX266">
            <v>34798.398762999997</v>
          </cell>
          <cell r="BC266">
            <v>34798.398762999997</v>
          </cell>
          <cell r="BD266">
            <v>34798.398762999997</v>
          </cell>
          <cell r="BE266">
            <v>34798.398762999997</v>
          </cell>
        </row>
        <row r="267">
          <cell r="B267" t="str">
            <v>Period-end shares outstanding</v>
          </cell>
          <cell r="C267" t="str">
            <v>NON_OP_ADD</v>
          </cell>
          <cell r="F267">
            <v>2871.5678950000001</v>
          </cell>
          <cell r="G267">
            <v>2871.5678950000001</v>
          </cell>
          <cell r="H267">
            <v>3282.9024469999999</v>
          </cell>
          <cell r="I267">
            <v>8282.9024470000004</v>
          </cell>
          <cell r="J267">
            <v>11267.951950999999</v>
          </cell>
          <cell r="O267">
            <v>13521.542341</v>
          </cell>
          <cell r="T267">
            <v>13521.542341</v>
          </cell>
          <cell r="Y267">
            <v>13521.542341</v>
          </cell>
          <cell r="AD267">
            <v>35289.637574</v>
          </cell>
          <cell r="AI267">
            <v>35153.067743</v>
          </cell>
          <cell r="AN267">
            <v>35153.067743</v>
          </cell>
          <cell r="AS267">
            <v>34798.398762999997</v>
          </cell>
          <cell r="AX267">
            <v>34798.398762999997</v>
          </cell>
          <cell r="BC267">
            <v>34798.398762999997</v>
          </cell>
          <cell r="BD267">
            <v>34798.398762999997</v>
          </cell>
          <cell r="BE267">
            <v>34798.398762999997</v>
          </cell>
        </row>
        <row r="268">
          <cell r="A268" t="str">
            <v>Additional Income Statement Items</v>
          </cell>
        </row>
        <row r="269">
          <cell r="B269" t="str">
            <v>Marginal tax rate</v>
          </cell>
          <cell r="C269" t="str">
            <v>MARGIN_TAX_RATE</v>
          </cell>
          <cell r="F269">
            <v>5.8826274345343214E-3</v>
          </cell>
          <cell r="G269">
            <v>6.0909270165539223E-2</v>
          </cell>
          <cell r="H269">
            <v>0.10403760783961351</v>
          </cell>
          <cell r="I269">
            <v>0.13608251662518886</v>
          </cell>
          <cell r="J269">
            <v>1.1935731090777576E-2</v>
          </cell>
          <cell r="O269">
            <v>0.17903363595045707</v>
          </cell>
          <cell r="T269">
            <v>8.6916931480957443E-3</v>
          </cell>
          <cell r="Y269">
            <v>0.17903363595045707</v>
          </cell>
          <cell r="AD269">
            <v>0.14500135637693795</v>
          </cell>
          <cell r="AI269">
            <v>0.18677333086366224</v>
          </cell>
          <cell r="AN269">
            <v>0.1848563959891916</v>
          </cell>
          <cell r="AS269">
            <v>0.19306698013026255</v>
          </cell>
          <cell r="AX269">
            <v>0.18861774411162877</v>
          </cell>
          <cell r="BC269">
            <v>0.19300000000000062</v>
          </cell>
          <cell r="BD269">
            <v>0.19</v>
          </cell>
          <cell r="BE269">
            <v>0.19</v>
          </cell>
        </row>
        <row r="270">
          <cell r="B270" t="str">
            <v>Net income (consensus) (Pub)</v>
          </cell>
          <cell r="C270" t="str">
            <v>NI_CONS</v>
          </cell>
          <cell r="D270" t="str">
            <v>CNY</v>
          </cell>
        </row>
        <row r="271">
          <cell r="A271" t="str">
            <v>Balance Sheet</v>
          </cell>
        </row>
        <row r="272">
          <cell r="B272" t="str">
            <v>BVPS, book value per share</v>
          </cell>
          <cell r="C272" t="str">
            <v>BVPS</v>
          </cell>
          <cell r="D272" t="str">
            <v>CNY</v>
          </cell>
          <cell r="F272">
            <v>1.3543390019688182</v>
          </cell>
          <cell r="G272">
            <v>1.5916667535384876</v>
          </cell>
          <cell r="H272">
            <v>1.8082238591721393</v>
          </cell>
          <cell r="I272">
            <v>2.1767364536002964</v>
          </cell>
          <cell r="J272">
            <v>2.2146893379133825</v>
          </cell>
          <cell r="O272">
            <v>1.8922317897432823</v>
          </cell>
          <cell r="T272">
            <v>1.9144975474806303</v>
          </cell>
          <cell r="Y272">
            <v>2.0893929589182214</v>
          </cell>
          <cell r="AD272">
            <v>2.1580009547932568</v>
          </cell>
          <cell r="AI272">
            <v>2.2042251370630255</v>
          </cell>
          <cell r="AN272">
            <v>2.238780099317832</v>
          </cell>
          <cell r="AS272">
            <v>2.4371758296871837</v>
          </cell>
          <cell r="AX272">
            <v>2.5563119186426642</v>
          </cell>
          <cell r="BC272">
            <v>2.7673718628653892</v>
          </cell>
          <cell r="BD272">
            <v>3.0498402944932237</v>
          </cell>
          <cell r="BE272">
            <v>3.4053265490515439</v>
          </cell>
        </row>
        <row r="273">
          <cell r="A273" t="str">
            <v>Cash Flow Statement</v>
          </cell>
        </row>
        <row r="274">
          <cell r="B274" t="str">
            <v>Net income (pre-preferred dividends)</v>
          </cell>
          <cell r="C274" t="str">
            <v>CF_NI_PRE_PREF</v>
          </cell>
          <cell r="D274" t="str">
            <v>CNY</v>
          </cell>
          <cell r="F274">
            <v>-1770.8024750000011</v>
          </cell>
          <cell r="G274">
            <v>690.94581500000118</v>
          </cell>
          <cell r="H274">
            <v>-807.52547299999969</v>
          </cell>
          <cell r="I274">
            <v>49.680328000000685</v>
          </cell>
          <cell r="J274">
            <v>-2003.8130829999998</v>
          </cell>
          <cell r="O274">
            <v>560.86647700000015</v>
          </cell>
          <cell r="T274">
            <v>258.13339100000002</v>
          </cell>
          <cell r="Y274">
            <v>2353.3656940000014</v>
          </cell>
          <cell r="AD274">
            <v>2562.1288290000011</v>
          </cell>
          <cell r="AI274">
            <v>1636.2704880000026</v>
          </cell>
          <cell r="AN274">
            <v>1882.5716739999966</v>
          </cell>
          <cell r="AS274">
            <v>7567.7516379999961</v>
          </cell>
          <cell r="AX274">
            <v>5383.4721244883913</v>
          </cell>
          <cell r="BC274">
            <v>9537.2891311188741</v>
          </cell>
          <cell r="BD274">
            <v>12764.066212419093</v>
          </cell>
          <cell r="BE274">
            <v>16063.565279271876</v>
          </cell>
        </row>
        <row r="275">
          <cell r="A275" t="str">
            <v>Other Items</v>
          </cell>
        </row>
        <row r="276">
          <cell r="B276" t="str">
            <v>Beta</v>
          </cell>
          <cell r="C276" t="str">
            <v>BETA_ANALYST</v>
          </cell>
        </row>
        <row r="277">
          <cell r="B277" t="str">
            <v>Market equity risk premium</v>
          </cell>
          <cell r="C277" t="str">
            <v>MKT_EQ_RISK_PREM</v>
          </cell>
        </row>
        <row r="278">
          <cell r="B278" t="str">
            <v>Risk-free rate</v>
          </cell>
          <cell r="C278" t="str">
            <v>RISK_FR_RATE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O278">
            <v>0</v>
          </cell>
          <cell r="T278">
            <v>0</v>
          </cell>
          <cell r="Y278">
            <v>0</v>
          </cell>
          <cell r="AD278">
            <v>0</v>
          </cell>
          <cell r="AI278">
            <v>0</v>
          </cell>
          <cell r="AN278">
            <v>0</v>
          </cell>
          <cell r="AS278">
            <v>0</v>
          </cell>
          <cell r="AX278">
            <v>0</v>
          </cell>
          <cell r="BC278">
            <v>0</v>
          </cell>
          <cell r="BD278">
            <v>0</v>
          </cell>
          <cell r="BE278">
            <v>0</v>
          </cell>
        </row>
      </sheetData>
      <sheetData sheetId="11" refreshError="1"/>
      <sheetData sheetId="12">
        <row r="28">
          <cell r="AA28">
            <v>0.10296353222130306</v>
          </cell>
        </row>
      </sheetData>
      <sheetData sheetId="13">
        <row r="3">
          <cell r="C3">
            <v>0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Valuation page"/>
      <sheetName val="000063.SZ_Live_Sheet"/>
      <sheetName val="000063.SZ_Validation_Sheet"/>
      <sheetName val="000063.SZ_Annotation_Sheet"/>
      <sheetName val="000063.SZ_Exchange_Sheet"/>
      <sheetName val="Model"/>
      <sheetName val="AFOSHEET"/>
      <sheetName val="Ratios_old"/>
      <sheetName val="Raw Data"/>
      <sheetName val="Basic Data_Wind"/>
      <sheetName val="Assumptions"/>
      <sheetName val="5G TAM"/>
      <sheetName val="Raw PL annual"/>
      <sheetName val="Raw PL quarterly"/>
      <sheetName val="Raw BS"/>
      <sheetName val="Raw CF"/>
      <sheetName val="GS vs. BBG"/>
      <sheetName val="Valuation"/>
    </sheetNames>
    <sheetDataSet>
      <sheetData sheetId="0" refreshError="1"/>
      <sheetData sheetId="1" refreshError="1"/>
      <sheetData sheetId="2">
        <row r="1">
          <cell r="A1" t="str">
            <v>Issuer: ZTE Corp.</v>
          </cell>
          <cell r="C1">
            <v>2455528329</v>
          </cell>
          <cell r="F1">
            <v>2001</v>
          </cell>
          <cell r="G1">
            <v>2002</v>
          </cell>
          <cell r="H1">
            <v>2003</v>
          </cell>
          <cell r="I1">
            <v>2004</v>
          </cell>
          <cell r="J1">
            <v>2005</v>
          </cell>
          <cell r="K1">
            <v>2006</v>
          </cell>
          <cell r="L1">
            <v>2007</v>
          </cell>
          <cell r="M1">
            <v>2008</v>
          </cell>
          <cell r="N1">
            <v>2009</v>
          </cell>
          <cell r="O1">
            <v>2010</v>
          </cell>
          <cell r="P1">
            <v>2011</v>
          </cell>
          <cell r="Q1">
            <v>2012</v>
          </cell>
          <cell r="R1">
            <v>2013</v>
          </cell>
          <cell r="S1">
            <v>2014</v>
          </cell>
          <cell r="T1">
            <v>2015</v>
          </cell>
          <cell r="U1">
            <v>2016</v>
          </cell>
          <cell r="V1">
            <v>2017</v>
          </cell>
          <cell r="W1">
            <v>2018</v>
          </cell>
          <cell r="X1">
            <v>2019</v>
          </cell>
          <cell r="Y1">
            <v>2020</v>
          </cell>
          <cell r="Z1">
            <v>2021</v>
          </cell>
          <cell r="AB1" t="str">
            <v>2016 Q1</v>
          </cell>
          <cell r="AC1" t="str">
            <v>2016 Q2</v>
          </cell>
          <cell r="AD1" t="str">
            <v>2016 Q3</v>
          </cell>
          <cell r="AE1" t="str">
            <v>2016 Q4</v>
          </cell>
          <cell r="AF1" t="str">
            <v>2017 Q1</v>
          </cell>
          <cell r="AG1" t="str">
            <v>2017 Q2</v>
          </cell>
          <cell r="AH1" t="str">
            <v>2017 Q3</v>
          </cell>
          <cell r="AI1" t="str">
            <v>2017 Q4</v>
          </cell>
          <cell r="AJ1" t="str">
            <v>2018 Q1</v>
          </cell>
          <cell r="AK1" t="str">
            <v>2018 Q2</v>
          </cell>
          <cell r="AL1" t="str">
            <v>2018 Q3</v>
          </cell>
          <cell r="AM1" t="str">
            <v>2018 Q4</v>
          </cell>
          <cell r="AN1" t="str">
            <v>2019 Q1</v>
          </cell>
          <cell r="AO1" t="str">
            <v>2019 Q2</v>
          </cell>
          <cell r="AP1" t="str">
            <v>2019 Q3</v>
          </cell>
          <cell r="AQ1" t="str">
            <v>2019 Q4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Estimate</v>
          </cell>
          <cell r="X2" t="str">
            <v>Estimate</v>
          </cell>
          <cell r="Y2" t="str">
            <v>Estimate</v>
          </cell>
          <cell r="Z2" t="str">
            <v>Estimate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Estimate</v>
          </cell>
          <cell r="AN2" t="str">
            <v>Estimate</v>
          </cell>
          <cell r="AO2" t="str">
            <v>Estimate</v>
          </cell>
          <cell r="AP2" t="str">
            <v>Estimate</v>
          </cell>
          <cell r="AQ2" t="str">
            <v>Estimate</v>
          </cell>
        </row>
        <row r="3">
          <cell r="F3">
            <v>37256</v>
          </cell>
          <cell r="G3">
            <v>37621</v>
          </cell>
          <cell r="H3">
            <v>37986</v>
          </cell>
          <cell r="I3">
            <v>38352</v>
          </cell>
          <cell r="J3">
            <v>38717</v>
          </cell>
          <cell r="K3">
            <v>39082</v>
          </cell>
          <cell r="L3">
            <v>39447</v>
          </cell>
          <cell r="M3">
            <v>39813</v>
          </cell>
          <cell r="N3">
            <v>40178</v>
          </cell>
          <cell r="O3">
            <v>40543</v>
          </cell>
          <cell r="P3">
            <v>40908</v>
          </cell>
          <cell r="Q3">
            <v>41274</v>
          </cell>
          <cell r="R3">
            <v>41639</v>
          </cell>
          <cell r="S3">
            <v>42004</v>
          </cell>
          <cell r="T3">
            <v>42369</v>
          </cell>
          <cell r="U3">
            <v>42735</v>
          </cell>
          <cell r="V3">
            <v>43100</v>
          </cell>
          <cell r="W3">
            <v>43465</v>
          </cell>
          <cell r="X3">
            <v>43830</v>
          </cell>
          <cell r="Y3">
            <v>44196</v>
          </cell>
          <cell r="Z3">
            <v>44561</v>
          </cell>
          <cell r="AB3">
            <v>42460</v>
          </cell>
          <cell r="AC3">
            <v>42551</v>
          </cell>
          <cell r="AD3">
            <v>42643</v>
          </cell>
          <cell r="AE3">
            <v>42735</v>
          </cell>
          <cell r="AF3">
            <v>42825</v>
          </cell>
          <cell r="AG3">
            <v>42916</v>
          </cell>
          <cell r="AH3">
            <v>43008</v>
          </cell>
          <cell r="AI3">
            <v>43100</v>
          </cell>
          <cell r="AJ3">
            <v>43190</v>
          </cell>
          <cell r="AK3">
            <v>43281</v>
          </cell>
          <cell r="AL3">
            <v>43373</v>
          </cell>
          <cell r="AM3">
            <v>43465</v>
          </cell>
          <cell r="AN3">
            <v>43555</v>
          </cell>
          <cell r="AO3">
            <v>43646</v>
          </cell>
          <cell r="AP3">
            <v>43738</v>
          </cell>
          <cell r="AQ3">
            <v>43830</v>
          </cell>
        </row>
        <row r="4">
          <cell r="A4" t="str">
            <v>Issuer: ZTE Corp.</v>
          </cell>
          <cell r="B4" t="str">
            <v>44N1S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ZTE Corp.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F11">
            <v>9332.0207541399996</v>
          </cell>
          <cell r="G11">
            <v>11009.240726219999</v>
          </cell>
          <cell r="H11">
            <v>16036.03489703</v>
          </cell>
          <cell r="I11">
            <v>22698.152999999998</v>
          </cell>
          <cell r="J11">
            <v>21575.919999999998</v>
          </cell>
          <cell r="K11">
            <v>23214.58</v>
          </cell>
          <cell r="L11">
            <v>34777.180999999997</v>
          </cell>
          <cell r="M11">
            <v>44293.427000000003</v>
          </cell>
          <cell r="N11">
            <v>60272.563000000002</v>
          </cell>
          <cell r="O11">
            <v>70263.873999999996</v>
          </cell>
          <cell r="P11">
            <v>86254.456000000006</v>
          </cell>
          <cell r="Q11">
            <v>84219.357999999993</v>
          </cell>
          <cell r="R11">
            <v>75233.724000000002</v>
          </cell>
          <cell r="S11">
            <v>81471.274999999994</v>
          </cell>
          <cell r="T11">
            <v>100186.389</v>
          </cell>
          <cell r="U11">
            <v>101233.182</v>
          </cell>
          <cell r="V11">
            <v>108815.273</v>
          </cell>
          <cell r="W11">
            <v>86714.147714811901</v>
          </cell>
          <cell r="X11">
            <v>85796.992186257994</v>
          </cell>
          <cell r="Y11">
            <v>91771.810419709698</v>
          </cell>
          <cell r="Z11">
            <v>95895.369232231795</v>
          </cell>
          <cell r="AB11">
            <v>21858.508999999998</v>
          </cell>
          <cell r="AC11">
            <v>25898.793000000001</v>
          </cell>
          <cell r="AD11">
            <v>23806.702000000001</v>
          </cell>
          <cell r="AE11">
            <v>29669.178</v>
          </cell>
          <cell r="AF11">
            <v>25744.612000000001</v>
          </cell>
          <cell r="AG11">
            <v>28265.984</v>
          </cell>
          <cell r="AH11">
            <v>22569.143</v>
          </cell>
          <cell r="AI11">
            <v>32235.534</v>
          </cell>
          <cell r="AJ11">
            <v>27526.342000000001</v>
          </cell>
          <cell r="AK11">
            <v>11907.434999999999</v>
          </cell>
          <cell r="AL11">
            <v>19332.409</v>
          </cell>
          <cell r="AM11">
            <v>27947.9617148119</v>
          </cell>
          <cell r="AN11">
            <v>19217.843604289901</v>
          </cell>
          <cell r="AO11">
            <v>21298.657301389801</v>
          </cell>
          <cell r="AP11">
            <v>19892.614318504598</v>
          </cell>
          <cell r="AQ11">
            <v>25387.876962073598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F13">
            <v>-5742.71805511</v>
          </cell>
          <cell r="G13">
            <v>-7025.1900444800003</v>
          </cell>
          <cell r="H13">
            <v>-10115.38023223</v>
          </cell>
          <cell r="I13">
            <v>-14369.106</v>
          </cell>
          <cell r="J13">
            <v>-13944.797</v>
          </cell>
          <cell r="K13">
            <v>-15273.126</v>
          </cell>
          <cell r="L13">
            <v>-23004.541000000001</v>
          </cell>
          <cell r="M13">
            <v>-29492.53</v>
          </cell>
          <cell r="N13">
            <v>-40623.339</v>
          </cell>
          <cell r="O13">
            <v>-47335.025999999998</v>
          </cell>
          <cell r="P13">
            <v>-60157.353999999999</v>
          </cell>
          <cell r="Q13">
            <v>-64091.546000000002</v>
          </cell>
          <cell r="R13">
            <v>-53125.904000000002</v>
          </cell>
          <cell r="S13">
            <v>-55760.103999999999</v>
          </cell>
          <cell r="T13">
            <v>-69100.447</v>
          </cell>
          <cell r="U13">
            <v>-70100.657999999996</v>
          </cell>
          <cell r="V13">
            <v>-75005.817999999999</v>
          </cell>
          <cell r="W13">
            <v>-58276.391270784698</v>
          </cell>
          <cell r="X13">
            <v>-56291.494831763899</v>
          </cell>
          <cell r="Y13">
            <v>-59055.8895702722</v>
          </cell>
          <cell r="Z13">
            <v>-61079.302968629199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F14">
            <v>-2709.6316856899998</v>
          </cell>
          <cell r="G14">
            <v>-3272.39225154</v>
          </cell>
          <cell r="H14">
            <v>-4797.0035441299997</v>
          </cell>
          <cell r="I14">
            <v>-6899.0249999999996</v>
          </cell>
          <cell r="J14">
            <v>-6265.8519999999999</v>
          </cell>
          <cell r="K14">
            <v>-4496.1509999999998</v>
          </cell>
          <cell r="L14">
            <v>-6452.9449999999997</v>
          </cell>
          <cell r="M14">
            <v>-7828.085</v>
          </cell>
          <cell r="N14">
            <v>-10305.243</v>
          </cell>
          <cell r="O14">
            <v>-12314.339</v>
          </cell>
          <cell r="P14">
            <v>-14847.837</v>
          </cell>
          <cell r="Q14">
            <v>-14654.056</v>
          </cell>
          <cell r="R14">
            <v>-13285.648999999999</v>
          </cell>
          <cell r="S14">
            <v>-13621.852999999999</v>
          </cell>
          <cell r="T14">
            <v>-15458.601000000001</v>
          </cell>
          <cell r="U14">
            <v>-15814.278</v>
          </cell>
          <cell r="V14">
            <v>-16103.682000000001</v>
          </cell>
          <cell r="W14">
            <v>-12739.5536748821</v>
          </cell>
          <cell r="X14">
            <v>-12604.810355687499</v>
          </cell>
          <cell r="Y14">
            <v>-13482.596963624301</v>
          </cell>
          <cell r="Z14">
            <v>-14088.406975116701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F15">
            <v>-8452.3497408000003</v>
          </cell>
          <cell r="G15">
            <v>-10297.58229602</v>
          </cell>
          <cell r="H15">
            <v>-14912.38377636</v>
          </cell>
          <cell r="I15">
            <v>-21268.131000000001</v>
          </cell>
          <cell r="J15">
            <v>-20210.649000000001</v>
          </cell>
          <cell r="K15">
            <v>-19769.276999999998</v>
          </cell>
          <cell r="L15">
            <v>-29457.486000000001</v>
          </cell>
          <cell r="M15">
            <v>-37320.614999999998</v>
          </cell>
          <cell r="N15">
            <v>-50928.582000000002</v>
          </cell>
          <cell r="O15">
            <v>-59649.364999999998</v>
          </cell>
          <cell r="P15">
            <v>-75005.191000000006</v>
          </cell>
          <cell r="Q15">
            <v>-78745.601999999999</v>
          </cell>
          <cell r="R15">
            <v>-66411.553</v>
          </cell>
          <cell r="S15">
            <v>-69381.956999999995</v>
          </cell>
          <cell r="T15">
            <v>-84559.047999999995</v>
          </cell>
          <cell r="U15">
            <v>-85914.936000000002</v>
          </cell>
          <cell r="V15">
            <v>-91109.5</v>
          </cell>
          <cell r="W15">
            <v>-71015.944945666794</v>
          </cell>
          <cell r="X15">
            <v>-68896.305187451406</v>
          </cell>
          <cell r="Y15">
            <v>-72538.486533896503</v>
          </cell>
          <cell r="Z15">
            <v>-75167.709943745896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-2832.6860000000001</v>
          </cell>
          <cell r="L16">
            <v>-3210.433</v>
          </cell>
          <cell r="M16">
            <v>-3994.145</v>
          </cell>
          <cell r="N16">
            <v>-5781.5829999999996</v>
          </cell>
          <cell r="O16">
            <v>-7091.9709999999995</v>
          </cell>
          <cell r="P16">
            <v>-8492.6229999999996</v>
          </cell>
          <cell r="Q16">
            <v>-8829.1939999999995</v>
          </cell>
          <cell r="R16">
            <v>-7383.8919999999998</v>
          </cell>
          <cell r="S16">
            <v>-9008.5370000000003</v>
          </cell>
          <cell r="T16">
            <v>-12200.541999999999</v>
          </cell>
          <cell r="U16">
            <v>-12762.055</v>
          </cell>
          <cell r="V16">
            <v>-12962.245000000001</v>
          </cell>
          <cell r="W16">
            <v>-14188.137000000001</v>
          </cell>
          <cell r="X16">
            <v>-13212.736796683699</v>
          </cell>
          <cell r="Y16">
            <v>-14132.8588046353</v>
          </cell>
          <cell r="Z16">
            <v>-14767.8868617637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3019.1379999999999</v>
          </cell>
          <cell r="W17">
            <v>2759.8969999999999</v>
          </cell>
          <cell r="X17">
            <v>2730.7062063579501</v>
          </cell>
          <cell r="Y17">
            <v>2920.8699034317101</v>
          </cell>
          <cell r="Z17">
            <v>3052.1125886903201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F18">
            <v>-8452.3497408000003</v>
          </cell>
          <cell r="G18">
            <v>-10297.58229602</v>
          </cell>
          <cell r="H18">
            <v>-14912.38377636</v>
          </cell>
          <cell r="I18">
            <v>-21268.131000000001</v>
          </cell>
          <cell r="J18">
            <v>-20210.649000000001</v>
          </cell>
          <cell r="K18">
            <v>-22601.963</v>
          </cell>
          <cell r="L18">
            <v>-32667.919000000002</v>
          </cell>
          <cell r="M18">
            <v>-41314.76</v>
          </cell>
          <cell r="N18">
            <v>-56710.165000000001</v>
          </cell>
          <cell r="O18">
            <v>-66741.335999999996</v>
          </cell>
          <cell r="P18">
            <v>-83497.813999999998</v>
          </cell>
          <cell r="Q18">
            <v>-87574.796000000002</v>
          </cell>
          <cell r="R18">
            <v>-73795.445000000007</v>
          </cell>
          <cell r="S18">
            <v>-78390.494000000006</v>
          </cell>
          <cell r="T18">
            <v>-96759.59</v>
          </cell>
          <cell r="U18">
            <v>-98676.990999999995</v>
          </cell>
          <cell r="V18">
            <v>-101052.607</v>
          </cell>
          <cell r="W18">
            <v>-82444.184945666799</v>
          </cell>
          <cell r="X18">
            <v>-79378.335777777203</v>
          </cell>
          <cell r="Y18">
            <v>-83750.475435100103</v>
          </cell>
          <cell r="Z18">
            <v>-86883.484216819299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F19">
            <v>-8350.8697328100006</v>
          </cell>
          <cell r="G19">
            <v>-10072.14645323</v>
          </cell>
          <cell r="H19">
            <v>-14616.8825328</v>
          </cell>
          <cell r="I19">
            <v>-20906.511999999999</v>
          </cell>
          <cell r="J19">
            <v>-19764.655999999999</v>
          </cell>
          <cell r="K19">
            <v>-22049.098000000002</v>
          </cell>
          <cell r="L19">
            <v>-32057.998</v>
          </cell>
          <cell r="M19">
            <v>-40614.690999999999</v>
          </cell>
          <cell r="N19">
            <v>-55772.044999999998</v>
          </cell>
          <cell r="O19">
            <v>-65678.345000000001</v>
          </cell>
          <cell r="P19">
            <v>-82091.414000000004</v>
          </cell>
          <cell r="Q19">
            <v>-86036.277000000002</v>
          </cell>
          <cell r="R19">
            <v>-72073.48</v>
          </cell>
          <cell r="S19">
            <v>-76585.475999999995</v>
          </cell>
          <cell r="T19">
            <v>-94687.592999999993</v>
          </cell>
          <cell r="U19">
            <v>-96246.623999999996</v>
          </cell>
          <cell r="V19">
            <v>-98449.467999999993</v>
          </cell>
          <cell r="W19">
            <v>-79864.164595284601</v>
          </cell>
          <cell r="X19">
            <v>-76519.431069551807</v>
          </cell>
          <cell r="Y19">
            <v>-80608.774639252704</v>
          </cell>
          <cell r="Z19">
            <v>-83463.398784016405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F20">
            <v>981.15102132999903</v>
          </cell>
          <cell r="G20">
            <v>937.09427299000095</v>
          </cell>
          <cell r="H20">
            <v>1419.1523642300001</v>
          </cell>
          <cell r="I20">
            <v>1791.6410000000001</v>
          </cell>
          <cell r="J20">
            <v>1811.2639999999999</v>
          </cell>
          <cell r="K20">
            <v>1165.482</v>
          </cell>
          <cell r="L20">
            <v>2719.183</v>
          </cell>
          <cell r="M20">
            <v>3678.7359999999899</v>
          </cell>
          <cell r="N20">
            <v>4500.51800000001</v>
          </cell>
          <cell r="O20">
            <v>4585.5289999999904</v>
          </cell>
          <cell r="P20">
            <v>4163.0420000000104</v>
          </cell>
          <cell r="Q20">
            <v>-1816.9189999999901</v>
          </cell>
          <cell r="R20">
            <v>3160.2440000000101</v>
          </cell>
          <cell r="S20">
            <v>4885.79900000002</v>
          </cell>
          <cell r="T20">
            <v>5498.7960000000003</v>
          </cell>
          <cell r="U20">
            <v>4986.55799999999</v>
          </cell>
          <cell r="V20">
            <v>10365.805</v>
          </cell>
          <cell r="W20">
            <v>6849.98311952732</v>
          </cell>
          <cell r="X20">
            <v>9277.5611167061797</v>
          </cell>
          <cell r="Y20">
            <v>11163.035780456899</v>
          </cell>
          <cell r="Z20">
            <v>12431.970448215499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F21">
            <v>-93.904572599999995</v>
          </cell>
          <cell r="G21">
            <v>-201.02593157999999</v>
          </cell>
          <cell r="H21">
            <v>-262.84017045000002</v>
          </cell>
          <cell r="I21">
            <v>-307.69099999999997</v>
          </cell>
          <cell r="J21">
            <v>-394.98399999999998</v>
          </cell>
          <cell r="K21">
            <v>-503.30099999999999</v>
          </cell>
          <cell r="L21">
            <v>-506.87</v>
          </cell>
          <cell r="M21">
            <v>-584.68899999999996</v>
          </cell>
          <cell r="N21">
            <v>-762.83799999999997</v>
          </cell>
          <cell r="O21">
            <v>-859.53800000000001</v>
          </cell>
          <cell r="P21">
            <v>-1008.63</v>
          </cell>
          <cell r="Q21">
            <v>-1032.556</v>
          </cell>
          <cell r="R21">
            <v>-944.34199999999998</v>
          </cell>
          <cell r="S21">
            <v>-954.91300000000001</v>
          </cell>
          <cell r="T21">
            <v>-1089.681</v>
          </cell>
          <cell r="U21">
            <v>-1249.2190000000001</v>
          </cell>
          <cell r="V21">
            <v>-1199.048</v>
          </cell>
          <cell r="W21">
            <v>-1175.92935038216</v>
          </cell>
          <cell r="X21">
            <v>-1454.81370822537</v>
          </cell>
          <cell r="Y21">
            <v>-1737.6097958473699</v>
          </cell>
          <cell r="Z21">
            <v>-2015.9944328029101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F22">
            <v>-7.57543539</v>
          </cell>
          <cell r="G22">
            <v>-24.409911210000001</v>
          </cell>
          <cell r="H22">
            <v>-32.661073109999997</v>
          </cell>
          <cell r="I22">
            <v>-53.927999999999997</v>
          </cell>
          <cell r="J22">
            <v>-51.009</v>
          </cell>
          <cell r="K22">
            <v>-49.564</v>
          </cell>
          <cell r="L22">
            <v>-103.051</v>
          </cell>
          <cell r="M22">
            <v>-115.38</v>
          </cell>
          <cell r="N22">
            <v>-175.28200000000001</v>
          </cell>
          <cell r="O22">
            <v>-203.453</v>
          </cell>
          <cell r="P22">
            <v>-397.77</v>
          </cell>
          <cell r="Q22">
            <v>-505.96300000000002</v>
          </cell>
          <cell r="R22">
            <v>-777.62300000000005</v>
          </cell>
          <cell r="S22">
            <v>-850.10500000000002</v>
          </cell>
          <cell r="T22">
            <v>-982.31600000000003</v>
          </cell>
          <cell r="U22">
            <v>-1181.1479999999999</v>
          </cell>
          <cell r="V22">
            <v>-1404.0909999999999</v>
          </cell>
          <cell r="W22">
            <v>-1404.0909999999999</v>
          </cell>
          <cell r="X22">
            <v>-1404.0909999999999</v>
          </cell>
          <cell r="Y22">
            <v>-1404.0909999999999</v>
          </cell>
          <cell r="Z22">
            <v>-1404.0909999999999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F23">
            <v>879.67101333999904</v>
          </cell>
          <cell r="G23">
            <v>711.65843020000102</v>
          </cell>
          <cell r="H23">
            <v>1123.65112067</v>
          </cell>
          <cell r="I23">
            <v>1430.0219999999999</v>
          </cell>
          <cell r="J23">
            <v>1365.271</v>
          </cell>
          <cell r="K23">
            <v>612.61699999999803</v>
          </cell>
          <cell r="L23">
            <v>2109.2620000000002</v>
          </cell>
          <cell r="M23">
            <v>2978.6669999999899</v>
          </cell>
          <cell r="N23">
            <v>3562.3980000000101</v>
          </cell>
          <cell r="O23">
            <v>3522.53799999999</v>
          </cell>
          <cell r="P23">
            <v>2756.6420000000098</v>
          </cell>
          <cell r="Q23">
            <v>-3355.4380000000001</v>
          </cell>
          <cell r="R23">
            <v>1438.27900000001</v>
          </cell>
          <cell r="S23">
            <v>3080.78100000002</v>
          </cell>
          <cell r="T23">
            <v>3426.799</v>
          </cell>
          <cell r="U23">
            <v>2556.1909999999898</v>
          </cell>
          <cell r="V23">
            <v>7762.6660000000002</v>
          </cell>
          <cell r="W23">
            <v>4269.9627691451597</v>
          </cell>
          <cell r="X23">
            <v>6418.6564084808097</v>
          </cell>
          <cell r="Y23">
            <v>8021.3349846095698</v>
          </cell>
          <cell r="Z23">
            <v>9011.8850154125503</v>
          </cell>
          <cell r="AB23">
            <v>771.70499999999902</v>
          </cell>
          <cell r="AC23">
            <v>358.25600000000998</v>
          </cell>
          <cell r="AD23">
            <v>319.45499999999601</v>
          </cell>
          <cell r="AE23">
            <v>1106.7749999999901</v>
          </cell>
          <cell r="AF23">
            <v>1259.3019999999999</v>
          </cell>
          <cell r="AG23">
            <v>3358.2910000000102</v>
          </cell>
          <cell r="AH23">
            <v>643.58100000000604</v>
          </cell>
          <cell r="AI23">
            <v>2501.4919999999802</v>
          </cell>
          <cell r="AJ23">
            <v>2213.44</v>
          </cell>
          <cell r="AK23">
            <v>-2180.0079999999898</v>
          </cell>
          <cell r="AL23">
            <v>1491.6990000000001</v>
          </cell>
          <cell r="AM23">
            <v>2744.8317691451698</v>
          </cell>
          <cell r="AN23">
            <v>1437.7279653355299</v>
          </cell>
          <cell r="AO23">
            <v>1593.3980865298799</v>
          </cell>
          <cell r="AP23">
            <v>1488.20900503966</v>
          </cell>
          <cell r="AQ23">
            <v>1899.32135157573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F25">
            <v>-202.39301287000001</v>
          </cell>
          <cell r="G25">
            <v>-196.44331305</v>
          </cell>
          <cell r="H25">
            <v>-292.59453374999998</v>
          </cell>
          <cell r="I25">
            <v>-284.97800000000001</v>
          </cell>
          <cell r="J25">
            <v>-288.75099999999998</v>
          </cell>
          <cell r="K25">
            <v>-239.61699999999999</v>
          </cell>
          <cell r="L25">
            <v>-494.37099999999998</v>
          </cell>
          <cell r="M25">
            <v>-1308.2539999999999</v>
          </cell>
          <cell r="N25">
            <v>-784.726</v>
          </cell>
          <cell r="O25">
            <v>-1198.4770000000001</v>
          </cell>
          <cell r="P25">
            <v>-2356.319</v>
          </cell>
          <cell r="Q25">
            <v>-2331.1640000000002</v>
          </cell>
          <cell r="R25">
            <v>-2460.3029999999999</v>
          </cell>
          <cell r="S25">
            <v>-2100.9769999999999</v>
          </cell>
          <cell r="T25">
            <v>-1430.7940000000001</v>
          </cell>
          <cell r="U25">
            <v>-207.773</v>
          </cell>
          <cell r="V25">
            <v>-1043.482</v>
          </cell>
          <cell r="W25">
            <v>-266.50898826983001</v>
          </cell>
          <cell r="X25">
            <v>-787.72864184916898</v>
          </cell>
          <cell r="Y25">
            <v>-726.58345619025499</v>
          </cell>
          <cell r="Z25">
            <v>-667.33986699824197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F26">
            <v>-202.39301287000001</v>
          </cell>
          <cell r="G26">
            <v>-196.44331305</v>
          </cell>
          <cell r="H26">
            <v>-292.59453374999998</v>
          </cell>
          <cell r="I26">
            <v>-284.97800000000001</v>
          </cell>
          <cell r="J26">
            <v>-288.75099999999998</v>
          </cell>
          <cell r="K26">
            <v>-239.61699999999999</v>
          </cell>
          <cell r="L26">
            <v>-494.37099999999998</v>
          </cell>
          <cell r="M26">
            <v>-1308.2539999999999</v>
          </cell>
          <cell r="N26">
            <v>-784.726</v>
          </cell>
          <cell r="O26">
            <v>-1198.4770000000001</v>
          </cell>
          <cell r="P26">
            <v>-2356.319</v>
          </cell>
          <cell r="Q26">
            <v>-2331.1640000000002</v>
          </cell>
          <cell r="R26">
            <v>-2460.3029999999999</v>
          </cell>
          <cell r="S26">
            <v>-2100.9769999999999</v>
          </cell>
          <cell r="T26">
            <v>-1430.7940000000001</v>
          </cell>
          <cell r="U26">
            <v>-207.773</v>
          </cell>
          <cell r="V26">
            <v>-1043.482</v>
          </cell>
          <cell r="W26">
            <v>-266.50898826983001</v>
          </cell>
          <cell r="X26">
            <v>-787.72864184916898</v>
          </cell>
          <cell r="Y26">
            <v>-726.58345619025499</v>
          </cell>
          <cell r="Z26">
            <v>-667.33986699824197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F29">
            <v>3.6031371600009998</v>
          </cell>
          <cell r="G29">
            <v>222.98047162999899</v>
          </cell>
          <cell r="H29">
            <v>143.57355705999899</v>
          </cell>
          <cell r="I29">
            <v>273.77200000000101</v>
          </cell>
          <cell r="J29">
            <v>425.34400000000102</v>
          </cell>
          <cell r="K29">
            <v>657.69000000000199</v>
          </cell>
          <cell r="L29">
            <v>112.843000000001</v>
          </cell>
          <cell r="M29">
            <v>592.13</v>
          </cell>
          <cell r="N29">
            <v>547.06999999999596</v>
          </cell>
          <cell r="O29">
            <v>2036.1400000000101</v>
          </cell>
          <cell r="P29">
            <v>2234.8129999999901</v>
          </cell>
          <cell r="Q29">
            <v>3703.402</v>
          </cell>
          <cell r="R29">
            <v>2849.8670000000002</v>
          </cell>
          <cell r="S29">
            <v>2558.4179999999901</v>
          </cell>
          <cell r="T29">
            <v>2307.527</v>
          </cell>
          <cell r="U29">
            <v>-3116.1689999999899</v>
          </cell>
          <cell r="V29">
            <v>-0.26110000001</v>
          </cell>
          <cell r="W29">
            <v>-10193.701999999999</v>
          </cell>
          <cell r="X29">
            <v>-0.205868110631</v>
          </cell>
          <cell r="Y29">
            <v>-0.22020456357199999</v>
          </cell>
          <cell r="Z29">
            <v>-0.23009895776100001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F30">
            <v>680.88113763000001</v>
          </cell>
          <cell r="G30">
            <v>738.19558877999998</v>
          </cell>
          <cell r="H30">
            <v>974.63014398000098</v>
          </cell>
          <cell r="I30">
            <v>1418.816</v>
          </cell>
          <cell r="J30">
            <v>1501.864</v>
          </cell>
          <cell r="K30">
            <v>1030.69</v>
          </cell>
          <cell r="L30">
            <v>1727.7339999999999</v>
          </cell>
          <cell r="M30">
            <v>2262.5430000000001</v>
          </cell>
          <cell r="N30">
            <v>3324.7420000000002</v>
          </cell>
          <cell r="O30">
            <v>4360.201</v>
          </cell>
          <cell r="P30">
            <v>2635.13600000001</v>
          </cell>
          <cell r="Q30">
            <v>-1983.20000000001</v>
          </cell>
          <cell r="R30">
            <v>1827.8430000000101</v>
          </cell>
          <cell r="S30">
            <v>3538.2219999999902</v>
          </cell>
          <cell r="T30">
            <v>4303.5320000000002</v>
          </cell>
          <cell r="U30">
            <v>-767.751000000001</v>
          </cell>
          <cell r="V30">
            <v>6718.9228999999896</v>
          </cell>
          <cell r="W30">
            <v>-6190.2482191246499</v>
          </cell>
          <cell r="X30">
            <v>5630.7218985210102</v>
          </cell>
          <cell r="Y30">
            <v>7294.5313238557401</v>
          </cell>
          <cell r="Z30">
            <v>8344.3150494565507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</row>
        <row r="33">
          <cell r="B33" t="str">
            <v>Lease payments</v>
          </cell>
          <cell r="C33" t="str">
            <v>LEASE_PAY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  <cell r="F36">
            <v>-202.39301287000001</v>
          </cell>
          <cell r="G36">
            <v>-196.44331305</v>
          </cell>
          <cell r="H36">
            <v>-292.59453374999998</v>
          </cell>
          <cell r="I36">
            <v>-284.97800000000001</v>
          </cell>
          <cell r="J36">
            <v>-288.75099999999998</v>
          </cell>
          <cell r="K36">
            <v>-239.61699999999999</v>
          </cell>
          <cell r="L36">
            <v>-494.37099999999998</v>
          </cell>
          <cell r="M36">
            <v>-1308.2539999999999</v>
          </cell>
          <cell r="N36">
            <v>-784.726</v>
          </cell>
          <cell r="O36">
            <v>-1198.4770000000001</v>
          </cell>
          <cell r="P36">
            <v>-2356.319</v>
          </cell>
          <cell r="Q36">
            <v>-2331.1640000000002</v>
          </cell>
          <cell r="R36">
            <v>-2460.3029999999999</v>
          </cell>
          <cell r="S36">
            <v>-2100.9769999999999</v>
          </cell>
          <cell r="T36">
            <v>-1430.7940000000001</v>
          </cell>
          <cell r="U36">
            <v>-207.773</v>
          </cell>
          <cell r="V36">
            <v>-1043.482</v>
          </cell>
          <cell r="W36">
            <v>-266.50898826983001</v>
          </cell>
          <cell r="X36">
            <v>-787.72864184916898</v>
          </cell>
          <cell r="Y36">
            <v>-726.58345619025499</v>
          </cell>
          <cell r="Z36">
            <v>-667.33986699824197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CNY</v>
          </cell>
          <cell r="F39">
            <v>1733.59158542</v>
          </cell>
          <cell r="G39">
            <v>2939.0675676800001</v>
          </cell>
          <cell r="H39">
            <v>3785.0218300800002</v>
          </cell>
          <cell r="I39">
            <v>7598.223</v>
          </cell>
          <cell r="J39">
            <v>5573.1319999999996</v>
          </cell>
          <cell r="K39">
            <v>4311.0600000000004</v>
          </cell>
          <cell r="L39">
            <v>6483.17</v>
          </cell>
          <cell r="M39">
            <v>11480.406000000001</v>
          </cell>
          <cell r="N39">
            <v>14496.808000000001</v>
          </cell>
          <cell r="O39">
            <v>15383.207</v>
          </cell>
          <cell r="P39">
            <v>21471.967000000001</v>
          </cell>
          <cell r="Q39">
            <v>24126.422999999999</v>
          </cell>
          <cell r="R39">
            <v>20903.035</v>
          </cell>
          <cell r="S39">
            <v>18115.874</v>
          </cell>
          <cell r="T39">
            <v>28025.008999999998</v>
          </cell>
          <cell r="U39">
            <v>32349.914000000001</v>
          </cell>
          <cell r="V39">
            <v>33407.879000000001</v>
          </cell>
          <cell r="W39">
            <v>23739.729803309801</v>
          </cell>
          <cell r="X39">
            <v>26244.303633047701</v>
          </cell>
          <cell r="Y39">
            <v>28670.9859870398</v>
          </cell>
          <cell r="Z39">
            <v>32037.9136192361</v>
          </cell>
        </row>
        <row r="40">
          <cell r="B40" t="str">
            <v>Accounts receivable</v>
          </cell>
          <cell r="C40" t="str">
            <v>DEBTORS</v>
          </cell>
          <cell r="D40" t="str">
            <v>CNY</v>
          </cell>
          <cell r="F40">
            <v>1998.63483443</v>
          </cell>
          <cell r="G40">
            <v>4298.4390112999999</v>
          </cell>
          <cell r="H40">
            <v>5163.4220041999997</v>
          </cell>
          <cell r="I40">
            <v>6168.1890000000003</v>
          </cell>
          <cell r="J40">
            <v>4966.75</v>
          </cell>
          <cell r="K40">
            <v>7429.0730000000003</v>
          </cell>
          <cell r="L40">
            <v>9445.0959999999995</v>
          </cell>
          <cell r="M40">
            <v>12308.815000000001</v>
          </cell>
          <cell r="N40">
            <v>17158.155999999999</v>
          </cell>
          <cell r="O40">
            <v>20243.584999999999</v>
          </cell>
          <cell r="P40">
            <v>29215.653999999999</v>
          </cell>
          <cell r="Q40">
            <v>28369.737000000001</v>
          </cell>
          <cell r="R40">
            <v>26623.091</v>
          </cell>
          <cell r="S40">
            <v>29399.411</v>
          </cell>
          <cell r="T40">
            <v>31684.902999999998</v>
          </cell>
          <cell r="U40">
            <v>32412.753000000001</v>
          </cell>
          <cell r="V40">
            <v>30028.161</v>
          </cell>
          <cell r="W40">
            <v>23929.236372527899</v>
          </cell>
          <cell r="X40">
            <v>23676.142361786799</v>
          </cell>
          <cell r="Y40">
            <v>25324.9256521602</v>
          </cell>
          <cell r="Z40">
            <v>26462.843928718601</v>
          </cell>
        </row>
        <row r="41">
          <cell r="B41" t="str">
            <v>Inventory</v>
          </cell>
          <cell r="C41" t="str">
            <v>STOCKS</v>
          </cell>
          <cell r="D41" t="str">
            <v>CNY</v>
          </cell>
          <cell r="F41">
            <v>3837.61479676</v>
          </cell>
          <cell r="G41">
            <v>3241.4541636399999</v>
          </cell>
          <cell r="H41">
            <v>4704.3959738200001</v>
          </cell>
          <cell r="I41">
            <v>4643.7579999999998</v>
          </cell>
          <cell r="J41">
            <v>2519.547</v>
          </cell>
          <cell r="K41">
            <v>2481.1550000000002</v>
          </cell>
          <cell r="L41">
            <v>5363.43</v>
          </cell>
          <cell r="M41">
            <v>8978.0360000000001</v>
          </cell>
          <cell r="N41">
            <v>9324.7999999999993</v>
          </cell>
          <cell r="O41">
            <v>12103.67</v>
          </cell>
          <cell r="P41">
            <v>14988.379000000001</v>
          </cell>
          <cell r="Q41">
            <v>11442.388999999999</v>
          </cell>
          <cell r="R41">
            <v>12434.352000000001</v>
          </cell>
          <cell r="S41">
            <v>19592.297999999999</v>
          </cell>
          <cell r="T41">
            <v>19731.741000000002</v>
          </cell>
          <cell r="U41">
            <v>26810.567999999999</v>
          </cell>
          <cell r="V41">
            <v>26234.138999999999</v>
          </cell>
          <cell r="W41">
            <v>20382.831489367301</v>
          </cell>
          <cell r="X41">
            <v>19688.5913561302</v>
          </cell>
          <cell r="Y41">
            <v>20655.4698964175</v>
          </cell>
          <cell r="Z41">
            <v>21363.181774807501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CNY</v>
          </cell>
          <cell r="F42">
            <v>202.64790966999999</v>
          </cell>
          <cell r="G42">
            <v>148.128809319998</v>
          </cell>
          <cell r="H42">
            <v>149.52789896000101</v>
          </cell>
          <cell r="I42">
            <v>145.87599999999799</v>
          </cell>
          <cell r="J42">
            <v>4876.7470000000003</v>
          </cell>
          <cell r="K42">
            <v>6071.3729999999996</v>
          </cell>
          <cell r="L42">
            <v>9194.9650000000001</v>
          </cell>
          <cell r="M42">
            <v>9908.8379999999997</v>
          </cell>
          <cell r="N42">
            <v>14614.138999999999</v>
          </cell>
          <cell r="O42">
            <v>17797.636999999999</v>
          </cell>
          <cell r="P42">
            <v>18801.368999999999</v>
          </cell>
          <cell r="Q42">
            <v>18680.462</v>
          </cell>
          <cell r="R42">
            <v>16444.804</v>
          </cell>
          <cell r="S42">
            <v>15117.924000000001</v>
          </cell>
          <cell r="T42">
            <v>15850.736999999999</v>
          </cell>
          <cell r="U42">
            <v>21278.825000000001</v>
          </cell>
          <cell r="V42">
            <v>18560.41</v>
          </cell>
          <cell r="W42">
            <v>18560.41</v>
          </cell>
          <cell r="X42">
            <v>18560.41</v>
          </cell>
          <cell r="Y42">
            <v>18560.41</v>
          </cell>
          <cell r="Z42">
            <v>18560.41</v>
          </cell>
        </row>
        <row r="43">
          <cell r="B43" t="str">
            <v>Total current assets</v>
          </cell>
          <cell r="C43" t="str">
            <v>CUR_ASS</v>
          </cell>
          <cell r="D43" t="str">
            <v>CNY</v>
          </cell>
          <cell r="F43">
            <v>7772.4891262800002</v>
          </cell>
          <cell r="G43">
            <v>10627.08955194</v>
          </cell>
          <cell r="H43">
            <v>13802.367707060001</v>
          </cell>
          <cell r="I43">
            <v>18556.045999999998</v>
          </cell>
          <cell r="J43">
            <v>17936.175999999999</v>
          </cell>
          <cell r="K43">
            <v>20292.661</v>
          </cell>
          <cell r="L43">
            <v>30486.661</v>
          </cell>
          <cell r="M43">
            <v>42676.095000000001</v>
          </cell>
          <cell r="N43">
            <v>55593.902999999998</v>
          </cell>
          <cell r="O43">
            <v>65528.099000000002</v>
          </cell>
          <cell r="P43">
            <v>84477.369000000006</v>
          </cell>
          <cell r="Q43">
            <v>82619.010999999999</v>
          </cell>
          <cell r="R43">
            <v>76405.282000000007</v>
          </cell>
          <cell r="S43">
            <v>82225.506999999998</v>
          </cell>
          <cell r="T43">
            <v>95292.39</v>
          </cell>
          <cell r="U43">
            <v>112852.06</v>
          </cell>
          <cell r="V43">
            <v>108230.58900000001</v>
          </cell>
          <cell r="W43">
            <v>86612.207665205002</v>
          </cell>
          <cell r="X43">
            <v>88169.447350964707</v>
          </cell>
          <cell r="Y43">
            <v>93211.791535617594</v>
          </cell>
          <cell r="Z43">
            <v>98424.349322762297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CNY</v>
          </cell>
          <cell r="F44">
            <v>1311.4997003399999</v>
          </cell>
          <cell r="G44">
            <v>1948.73425963</v>
          </cell>
          <cell r="H44">
            <v>2432.2894753099999</v>
          </cell>
          <cell r="I44">
            <v>2918.8694875299998</v>
          </cell>
          <cell r="J44">
            <v>3868.6224875299999</v>
          </cell>
          <cell r="K44">
            <v>4926.5054875300002</v>
          </cell>
          <cell r="L44">
            <v>6341.0344875299998</v>
          </cell>
          <cell r="M44">
            <v>7876.7324875300001</v>
          </cell>
          <cell r="N44">
            <v>9766.6764875299996</v>
          </cell>
          <cell r="O44">
            <v>12249.190487530001</v>
          </cell>
          <cell r="P44">
            <v>14171.862487529999</v>
          </cell>
          <cell r="Q44">
            <v>14541.14348753</v>
          </cell>
          <cell r="R44">
            <v>15191.37348753</v>
          </cell>
          <cell r="S44">
            <v>16130.54248753</v>
          </cell>
          <cell r="T44">
            <v>17945.032487529999</v>
          </cell>
          <cell r="U44">
            <v>20103.978487529999</v>
          </cell>
          <cell r="V44">
            <v>22224.777487529998</v>
          </cell>
          <cell r="W44">
            <v>26993.3901940953</v>
          </cell>
          <cell r="X44">
            <v>31711.566384560101</v>
          </cell>
          <cell r="Y44">
            <v>36758.311728943903</v>
          </cell>
          <cell r="Z44">
            <v>42031.821165091897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CNY</v>
          </cell>
          <cell r="F45">
            <v>-195.1693855</v>
          </cell>
          <cell r="G45">
            <v>-396.19531708</v>
          </cell>
          <cell r="H45">
            <v>-659.03548752999995</v>
          </cell>
          <cell r="I45">
            <v>-966.72648752999999</v>
          </cell>
          <cell r="J45">
            <v>-1361.7104875299999</v>
          </cell>
          <cell r="K45">
            <v>-1865.0114875300001</v>
          </cell>
          <cell r="L45">
            <v>-2371.88148753</v>
          </cell>
          <cell r="M45">
            <v>-2956.5704875299998</v>
          </cell>
          <cell r="N45">
            <v>-3719.40848753</v>
          </cell>
          <cell r="O45">
            <v>-4578.94648753</v>
          </cell>
          <cell r="P45">
            <v>-5587.5764875300001</v>
          </cell>
          <cell r="Q45">
            <v>-6620.1324875299997</v>
          </cell>
          <cell r="R45">
            <v>-7564.4744875300003</v>
          </cell>
          <cell r="S45">
            <v>-8519.3874875300007</v>
          </cell>
          <cell r="T45">
            <v>-9609.0684875299994</v>
          </cell>
          <cell r="U45">
            <v>-10858.28748753</v>
          </cell>
          <cell r="V45">
            <v>-12057.335487529999</v>
          </cell>
          <cell r="W45">
            <v>-13233.2648379122</v>
          </cell>
          <cell r="X45">
            <v>-14688.0785461375</v>
          </cell>
          <cell r="Y45">
            <v>-16425.6883419849</v>
          </cell>
          <cell r="Z45">
            <v>-18441.682774787801</v>
          </cell>
        </row>
        <row r="46">
          <cell r="B46" t="str">
            <v>Net PP&amp;E</v>
          </cell>
          <cell r="C46" t="str">
            <v>NET_FIX_ASS</v>
          </cell>
          <cell r="D46" t="str">
            <v>CNY</v>
          </cell>
          <cell r="F46">
            <v>1116.33031484</v>
          </cell>
          <cell r="G46">
            <v>1552.53894255</v>
          </cell>
          <cell r="H46">
            <v>1773.25398778</v>
          </cell>
          <cell r="I46">
            <v>1952.143</v>
          </cell>
          <cell r="J46">
            <v>2506.9119999999998</v>
          </cell>
          <cell r="K46">
            <v>3061.4940000000001</v>
          </cell>
          <cell r="L46">
            <v>3969.1529999999998</v>
          </cell>
          <cell r="M46">
            <v>4920.1620000000003</v>
          </cell>
          <cell r="N46">
            <v>6047.268</v>
          </cell>
          <cell r="O46">
            <v>7670.2439999999997</v>
          </cell>
          <cell r="P46">
            <v>8584.2860000000001</v>
          </cell>
          <cell r="Q46">
            <v>7921.0110000000004</v>
          </cell>
          <cell r="R46">
            <v>7626.8990000000003</v>
          </cell>
          <cell r="S46">
            <v>7611.1549999999997</v>
          </cell>
          <cell r="T46">
            <v>8335.9639999999999</v>
          </cell>
          <cell r="U46">
            <v>9245.6910000000007</v>
          </cell>
          <cell r="V46">
            <v>10167.441999999999</v>
          </cell>
          <cell r="W46">
            <v>13760.1253561832</v>
          </cell>
          <cell r="X46">
            <v>17023.487838422599</v>
          </cell>
          <cell r="Y46">
            <v>20332.623386959</v>
          </cell>
          <cell r="Z46">
            <v>23590.138390304099</v>
          </cell>
        </row>
        <row r="47">
          <cell r="B47" t="str">
            <v>Gross intangibles</v>
          </cell>
          <cell r="C47" t="str">
            <v>GR_INTANG</v>
          </cell>
          <cell r="D47" t="str">
            <v>CNY</v>
          </cell>
          <cell r="F47">
            <v>107.69603472</v>
          </cell>
          <cell r="G47">
            <v>192.6740351</v>
          </cell>
          <cell r="H47">
            <v>233.54101854000001</v>
          </cell>
          <cell r="I47">
            <v>300.12063534999999</v>
          </cell>
          <cell r="J47">
            <v>341.39463534999999</v>
          </cell>
          <cell r="K47">
            <v>513.30463535000001</v>
          </cell>
          <cell r="L47">
            <v>817.58463534999999</v>
          </cell>
          <cell r="M47">
            <v>1514.2296353500001</v>
          </cell>
          <cell r="N47">
            <v>2016.5556353500001</v>
          </cell>
          <cell r="O47">
            <v>3185.6546353499998</v>
          </cell>
          <cell r="P47">
            <v>4346.18663535</v>
          </cell>
          <cell r="Q47">
            <v>5265.5656353499999</v>
          </cell>
          <cell r="R47">
            <v>6678.11963535</v>
          </cell>
          <cell r="S47">
            <v>8207.52163535</v>
          </cell>
          <cell r="T47">
            <v>9355.8986353500004</v>
          </cell>
          <cell r="U47">
            <v>11428.97763535</v>
          </cell>
          <cell r="V47">
            <v>13914.357635349999</v>
          </cell>
          <cell r="W47">
            <v>13914.357635349999</v>
          </cell>
          <cell r="X47">
            <v>13914.357635349999</v>
          </cell>
          <cell r="Y47">
            <v>13914.357635349999</v>
          </cell>
          <cell r="Z47">
            <v>13914.357635349999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CNY</v>
          </cell>
          <cell r="F48">
            <v>-19.12265103</v>
          </cell>
          <cell r="G48">
            <v>-43.532562239999997</v>
          </cell>
          <cell r="H48">
            <v>-76.193635349999994</v>
          </cell>
          <cell r="I48">
            <v>-130.12163534999999</v>
          </cell>
          <cell r="J48">
            <v>-181.13063535000001</v>
          </cell>
          <cell r="K48">
            <v>-230.69463535</v>
          </cell>
          <cell r="L48">
            <v>-333.74563534999999</v>
          </cell>
          <cell r="M48">
            <v>-449.12563534999998</v>
          </cell>
          <cell r="N48">
            <v>-624.40763534999996</v>
          </cell>
          <cell r="O48">
            <v>-827.86063535000005</v>
          </cell>
          <cell r="P48">
            <v>-1225.6306353499999</v>
          </cell>
          <cell r="Q48">
            <v>-1731.5936353500001</v>
          </cell>
          <cell r="R48">
            <v>-2509.2166353500002</v>
          </cell>
          <cell r="S48">
            <v>-3359.3216353500002</v>
          </cell>
          <cell r="T48">
            <v>-4341.63763535</v>
          </cell>
          <cell r="U48">
            <v>-5522.7856353500001</v>
          </cell>
          <cell r="V48">
            <v>-6926.8766353499996</v>
          </cell>
          <cell r="W48">
            <v>-8330.9676353499999</v>
          </cell>
          <cell r="X48">
            <v>-9735.0586353500003</v>
          </cell>
          <cell r="Y48">
            <v>-11139.149635350001</v>
          </cell>
          <cell r="Z48">
            <v>-12543.240635349999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CNY</v>
          </cell>
          <cell r="F49">
            <v>88.57338369</v>
          </cell>
          <cell r="G49">
            <v>149.14147285999999</v>
          </cell>
          <cell r="H49">
            <v>157.34738318999999</v>
          </cell>
          <cell r="I49">
            <v>169.999</v>
          </cell>
          <cell r="J49">
            <v>160.26400000000001</v>
          </cell>
          <cell r="K49">
            <v>282.61</v>
          </cell>
          <cell r="L49">
            <v>483.839</v>
          </cell>
          <cell r="M49">
            <v>1065.104</v>
          </cell>
          <cell r="N49">
            <v>1392.1479999999999</v>
          </cell>
          <cell r="O49">
            <v>2357.7939999999999</v>
          </cell>
          <cell r="P49">
            <v>3120.556</v>
          </cell>
          <cell r="Q49">
            <v>3533.9720000000002</v>
          </cell>
          <cell r="R49">
            <v>4168.9030000000002</v>
          </cell>
          <cell r="S49">
            <v>4848.2</v>
          </cell>
          <cell r="T49">
            <v>5014.2610000000004</v>
          </cell>
          <cell r="U49">
            <v>5906.192</v>
          </cell>
          <cell r="V49">
            <v>6987.4809999999998</v>
          </cell>
          <cell r="W49">
            <v>5583.39</v>
          </cell>
          <cell r="X49">
            <v>4179.299</v>
          </cell>
          <cell r="Y49">
            <v>2775.2080000000001</v>
          </cell>
          <cell r="Z49">
            <v>1371.117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CNY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CNY</v>
          </cell>
          <cell r="F51">
            <v>76.102360200000007</v>
          </cell>
          <cell r="G51">
            <v>77.000138460000002</v>
          </cell>
          <cell r="H51">
            <v>33.985805640000002</v>
          </cell>
          <cell r="I51">
            <v>67.176000000000002</v>
          </cell>
          <cell r="J51">
            <v>85.459000000000003</v>
          </cell>
          <cell r="K51">
            <v>473.38400000000001</v>
          </cell>
          <cell r="L51">
            <v>761.49</v>
          </cell>
          <cell r="M51">
            <v>1031.5889999999999</v>
          </cell>
          <cell r="N51">
            <v>1077.7909999999999</v>
          </cell>
          <cell r="O51">
            <v>1828.1389999999999</v>
          </cell>
          <cell r="P51">
            <v>2198.337</v>
          </cell>
          <cell r="Q51">
            <v>4440.9030000000002</v>
          </cell>
          <cell r="R51">
            <v>4330.3159999999998</v>
          </cell>
          <cell r="S51">
            <v>4471.9459999999999</v>
          </cell>
          <cell r="T51">
            <v>5315.6329999999998</v>
          </cell>
          <cell r="U51">
            <v>6718.576</v>
          </cell>
          <cell r="V51">
            <v>10410.834000000001</v>
          </cell>
          <cell r="W51">
            <v>10410.834000000001</v>
          </cell>
          <cell r="X51">
            <v>10410.834000000001</v>
          </cell>
          <cell r="Y51">
            <v>10410.834000000001</v>
          </cell>
          <cell r="Z51">
            <v>10410.834000000001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CNY</v>
          </cell>
          <cell r="F52">
            <v>1.0542439700020001</v>
          </cell>
          <cell r="G52">
            <v>-8.8107300000000002E-13</v>
          </cell>
          <cell r="H52">
            <v>-9.7344400000000003E-13</v>
          </cell>
          <cell r="I52">
            <v>104.625</v>
          </cell>
          <cell r="J52">
            <v>1090.32</v>
          </cell>
          <cell r="K52">
            <v>1650.5440000000001</v>
          </cell>
          <cell r="L52">
            <v>3471.953</v>
          </cell>
          <cell r="M52">
            <v>1172.97099999999</v>
          </cell>
          <cell r="N52">
            <v>4231.2120000000004</v>
          </cell>
          <cell r="O52">
            <v>6768.0810000000001</v>
          </cell>
          <cell r="P52">
            <v>6987.5659999999998</v>
          </cell>
          <cell r="Q52">
            <v>8931.4089999999997</v>
          </cell>
          <cell r="R52">
            <v>7548.0970000000098</v>
          </cell>
          <cell r="S52">
            <v>7057.3879999999999</v>
          </cell>
          <cell r="T52">
            <v>6935.6490000000103</v>
          </cell>
          <cell r="U52">
            <v>6918.3909999999996</v>
          </cell>
          <cell r="V52">
            <v>8165.8689999999897</v>
          </cell>
          <cell r="W52">
            <v>8165.8690000000197</v>
          </cell>
          <cell r="X52">
            <v>8165.8690000000197</v>
          </cell>
          <cell r="Y52">
            <v>8165.8689999999997</v>
          </cell>
          <cell r="Z52">
            <v>8165.8690000000097</v>
          </cell>
        </row>
        <row r="53">
          <cell r="B53" t="str">
            <v>Total assets</v>
          </cell>
          <cell r="C53" t="str">
            <v>TOT_ASSET</v>
          </cell>
          <cell r="D53" t="str">
            <v>CNY</v>
          </cell>
          <cell r="F53">
            <v>9054.5494289800008</v>
          </cell>
          <cell r="G53">
            <v>12405.770105809999</v>
          </cell>
          <cell r="H53">
            <v>15766.95488367</v>
          </cell>
          <cell r="I53">
            <v>20849.989000000001</v>
          </cell>
          <cell r="J53">
            <v>21779.131000000001</v>
          </cell>
          <cell r="K53">
            <v>25760.692999999999</v>
          </cell>
          <cell r="L53">
            <v>39173.095999999998</v>
          </cell>
          <cell r="M53">
            <v>50865.921000000002</v>
          </cell>
          <cell r="N53">
            <v>68342.322</v>
          </cell>
          <cell r="O53">
            <v>84152.357000000004</v>
          </cell>
          <cell r="P53">
            <v>105368.114</v>
          </cell>
          <cell r="Q53">
            <v>107446.306</v>
          </cell>
          <cell r="R53">
            <v>100079.497</v>
          </cell>
          <cell r="S53">
            <v>106214.196</v>
          </cell>
          <cell r="T53">
            <v>120893.897</v>
          </cell>
          <cell r="U53">
            <v>141640.91</v>
          </cell>
          <cell r="V53">
            <v>143962.215</v>
          </cell>
          <cell r="W53">
            <v>124532.426021388</v>
          </cell>
          <cell r="X53">
            <v>127948.937189387</v>
          </cell>
          <cell r="Y53">
            <v>134896.325922577</v>
          </cell>
          <cell r="Z53">
            <v>141962.30771306599</v>
          </cell>
        </row>
        <row r="54">
          <cell r="B54" t="str">
            <v>Accounts payable</v>
          </cell>
          <cell r="C54" t="str">
            <v>ACC_PAY_GQ</v>
          </cell>
          <cell r="D54" t="str">
            <v>CNY</v>
          </cell>
          <cell r="F54">
            <v>3093.0774823299998</v>
          </cell>
          <cell r="G54">
            <v>4909.3643346999997</v>
          </cell>
          <cell r="H54">
            <v>7169.1659602999998</v>
          </cell>
          <cell r="I54">
            <v>7671.3320000000003</v>
          </cell>
          <cell r="J54">
            <v>7756.8819999999996</v>
          </cell>
          <cell r="K54">
            <v>8335.7279999999992</v>
          </cell>
          <cell r="L54">
            <v>14607.945</v>
          </cell>
          <cell r="M54">
            <v>18759.878000000001</v>
          </cell>
          <cell r="N54">
            <v>26082.77</v>
          </cell>
          <cell r="O54">
            <v>31218.702000000001</v>
          </cell>
          <cell r="P54">
            <v>42677.156999999999</v>
          </cell>
          <cell r="Q54">
            <v>40827.81</v>
          </cell>
          <cell r="R54">
            <v>36245.065000000002</v>
          </cell>
          <cell r="S54">
            <v>40463.578000000001</v>
          </cell>
          <cell r="T54">
            <v>42858.762999999999</v>
          </cell>
          <cell r="U54">
            <v>58686.42</v>
          </cell>
          <cell r="V54">
            <v>50235.517</v>
          </cell>
          <cell r="W54">
            <v>39030.900834681299</v>
          </cell>
          <cell r="X54">
            <v>37701.506642811197</v>
          </cell>
          <cell r="Y54">
            <v>39552.973670089603</v>
          </cell>
          <cell r="Z54">
            <v>40908.164785679997</v>
          </cell>
        </row>
        <row r="55">
          <cell r="B55" t="str">
            <v>Short-term debt</v>
          </cell>
          <cell r="C55" t="str">
            <v>SHORT_T_DEBT</v>
          </cell>
          <cell r="D55" t="str">
            <v>CNY</v>
          </cell>
          <cell r="F55">
            <v>44.885731999999997</v>
          </cell>
          <cell r="G55">
            <v>345.50775160000001</v>
          </cell>
          <cell r="H55">
            <v>1149.8114426499999</v>
          </cell>
          <cell r="I55">
            <v>422.59500000000003</v>
          </cell>
          <cell r="J55">
            <v>599.69500000000005</v>
          </cell>
          <cell r="K55">
            <v>945.726</v>
          </cell>
          <cell r="L55">
            <v>4403.424</v>
          </cell>
          <cell r="M55">
            <v>5664.4849999999997</v>
          </cell>
          <cell r="N55">
            <v>6846.4679999999998</v>
          </cell>
          <cell r="O55">
            <v>7901.23</v>
          </cell>
          <cell r="P55">
            <v>11876.448</v>
          </cell>
          <cell r="Q55">
            <v>22448.026999999998</v>
          </cell>
          <cell r="R55">
            <v>15342.957</v>
          </cell>
          <cell r="S55">
            <v>17172.333999999999</v>
          </cell>
          <cell r="T55">
            <v>12525.175999999999</v>
          </cell>
          <cell r="U55">
            <v>17064.145</v>
          </cell>
          <cell r="V55">
            <v>18535.866999999998</v>
          </cell>
          <cell r="W55">
            <v>18276.039000000001</v>
          </cell>
          <cell r="X55">
            <v>18276.039000000001</v>
          </cell>
          <cell r="Y55">
            <v>18276.039000000001</v>
          </cell>
          <cell r="Z55">
            <v>18276.039000000001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CNY</v>
          </cell>
          <cell r="F56">
            <v>578.43269290000001</v>
          </cell>
          <cell r="G56">
            <v>1396.3235554299999</v>
          </cell>
          <cell r="H56">
            <v>1288.02807497</v>
          </cell>
          <cell r="I56">
            <v>1844.3610000000001</v>
          </cell>
          <cell r="J56">
            <v>1633.4190000000001</v>
          </cell>
          <cell r="K56">
            <v>1959.2070000000001</v>
          </cell>
          <cell r="L56">
            <v>1927.2840000000001</v>
          </cell>
          <cell r="M56">
            <v>5572.473</v>
          </cell>
          <cell r="N56">
            <v>8165.8220000000001</v>
          </cell>
          <cell r="O56">
            <v>9094.2099999999991</v>
          </cell>
          <cell r="P56">
            <v>8921.2059999999892</v>
          </cell>
          <cell r="Q56">
            <v>9683.09</v>
          </cell>
          <cell r="R56">
            <v>9382.7829999999904</v>
          </cell>
          <cell r="S56">
            <v>8288.8199999999906</v>
          </cell>
          <cell r="T56">
            <v>12254.117</v>
          </cell>
          <cell r="U56">
            <v>15996.532999999999</v>
          </cell>
          <cell r="V56">
            <v>18823.562999999998</v>
          </cell>
          <cell r="W56">
            <v>17775.817380733901</v>
          </cell>
          <cell r="X56">
            <v>18976.286015438902</v>
          </cell>
          <cell r="Y56">
            <v>19339.698497914502</v>
          </cell>
          <cell r="Z56">
            <v>19569.455892935999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CNY</v>
          </cell>
          <cell r="F57">
            <v>3716.3959072299999</v>
          </cell>
          <cell r="G57">
            <v>6651.1956417299998</v>
          </cell>
          <cell r="H57">
            <v>9607.00547792</v>
          </cell>
          <cell r="I57">
            <v>9938.2880000000005</v>
          </cell>
          <cell r="J57">
            <v>9989.9959999999992</v>
          </cell>
          <cell r="K57">
            <v>11240.661</v>
          </cell>
          <cell r="L57">
            <v>20938.652999999998</v>
          </cell>
          <cell r="M57">
            <v>29996.835999999999</v>
          </cell>
          <cell r="N57">
            <v>41095.06</v>
          </cell>
          <cell r="O57">
            <v>48214.142</v>
          </cell>
          <cell r="P57">
            <v>63474.811000000002</v>
          </cell>
          <cell r="Q57">
            <v>72958.926999999996</v>
          </cell>
          <cell r="R57">
            <v>60970.805</v>
          </cell>
          <cell r="S57">
            <v>65924.732000000004</v>
          </cell>
          <cell r="T57">
            <v>67638.055999999997</v>
          </cell>
          <cell r="U57">
            <v>91747.097999999998</v>
          </cell>
          <cell r="V57">
            <v>87594.947</v>
          </cell>
          <cell r="W57">
            <v>75082.757215415302</v>
          </cell>
          <cell r="X57">
            <v>74953.831658250099</v>
          </cell>
          <cell r="Y57">
            <v>77168.711168004098</v>
          </cell>
          <cell r="Z57">
            <v>78753.659678615993</v>
          </cell>
        </row>
        <row r="58">
          <cell r="B58" t="str">
            <v>Long-term  debt</v>
          </cell>
          <cell r="C58" t="str">
            <v>LT_DEBT</v>
          </cell>
          <cell r="D58" t="str">
            <v>CNY</v>
          </cell>
          <cell r="F58">
            <v>1130</v>
          </cell>
          <cell r="G58">
            <v>1103.84857412</v>
          </cell>
          <cell r="H58">
            <v>759.9</v>
          </cell>
          <cell r="I58">
            <v>1025.2629999999999</v>
          </cell>
          <cell r="J58">
            <v>80</v>
          </cell>
          <cell r="K58">
            <v>1679.242</v>
          </cell>
          <cell r="L58">
            <v>2085.2289999999998</v>
          </cell>
          <cell r="M58">
            <v>1292.547</v>
          </cell>
          <cell r="N58">
            <v>2396.393</v>
          </cell>
          <cell r="O58">
            <v>1719.31</v>
          </cell>
          <cell r="P58">
            <v>6940.7020000000002</v>
          </cell>
          <cell r="Q58">
            <v>989.99</v>
          </cell>
          <cell r="R58">
            <v>5385.6729999999998</v>
          </cell>
          <cell r="S58">
            <v>10039.687</v>
          </cell>
          <cell r="T58">
            <v>6016.2539999999999</v>
          </cell>
          <cell r="U58">
            <v>5018.2759999999998</v>
          </cell>
          <cell r="V58">
            <v>3002.1460000000002</v>
          </cell>
          <cell r="W58">
            <v>2768.165</v>
          </cell>
          <cell r="X58">
            <v>2768.165</v>
          </cell>
          <cell r="Y58">
            <v>2768.165</v>
          </cell>
          <cell r="Z58">
            <v>2768.165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CNY</v>
          </cell>
          <cell r="F59">
            <v>245.70249999999999</v>
          </cell>
          <cell r="G59">
            <v>157.52000000000001</v>
          </cell>
          <cell r="H59">
            <v>123.47499999999999</v>
          </cell>
          <cell r="I59">
            <v>247.32</v>
          </cell>
          <cell r="J59">
            <v>1113.3109999999999</v>
          </cell>
          <cell r="K59">
            <v>1514.953</v>
          </cell>
          <cell r="L59">
            <v>3260.806</v>
          </cell>
          <cell r="M59">
            <v>4392.991</v>
          </cell>
          <cell r="N59">
            <v>6902.0029999999997</v>
          </cell>
          <cell r="O59">
            <v>9256.9069999999992</v>
          </cell>
          <cell r="P59">
            <v>8663.8259999999991</v>
          </cell>
          <cell r="Q59">
            <v>10858.659</v>
          </cell>
          <cell r="R59">
            <v>10097.33</v>
          </cell>
          <cell r="S59">
            <v>3957.2730000000001</v>
          </cell>
          <cell r="T59">
            <v>3890.982</v>
          </cell>
          <cell r="U59">
            <v>3990.4459999999999</v>
          </cell>
          <cell r="V59">
            <v>7984.9750000000004</v>
          </cell>
          <cell r="W59">
            <v>7984.9750000000004</v>
          </cell>
          <cell r="X59">
            <v>7984.9750000000004</v>
          </cell>
          <cell r="Y59">
            <v>7984.9750000000004</v>
          </cell>
          <cell r="Z59">
            <v>7984.9750000000004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CNY</v>
          </cell>
          <cell r="F60">
            <v>1375.7025000000001</v>
          </cell>
          <cell r="G60">
            <v>1261.3685741199999</v>
          </cell>
          <cell r="H60">
            <v>883.375</v>
          </cell>
          <cell r="I60">
            <v>1272.5830000000001</v>
          </cell>
          <cell r="J60">
            <v>1193.3109999999999</v>
          </cell>
          <cell r="K60">
            <v>3194.1950000000002</v>
          </cell>
          <cell r="L60">
            <v>5346.0349999999999</v>
          </cell>
          <cell r="M60">
            <v>5685.5379999999996</v>
          </cell>
          <cell r="N60">
            <v>9298.3960000000006</v>
          </cell>
          <cell r="O60">
            <v>10976.217000000001</v>
          </cell>
          <cell r="P60">
            <v>15604.528</v>
          </cell>
          <cell r="Q60">
            <v>11848.648999999999</v>
          </cell>
          <cell r="R60">
            <v>15483.003000000001</v>
          </cell>
          <cell r="S60">
            <v>13996.96</v>
          </cell>
          <cell r="T60">
            <v>9907.2360000000008</v>
          </cell>
          <cell r="U60">
            <v>9008.7219999999998</v>
          </cell>
          <cell r="V60">
            <v>10987.120999999999</v>
          </cell>
          <cell r="W60">
            <v>10753.14</v>
          </cell>
          <cell r="X60">
            <v>10753.14</v>
          </cell>
          <cell r="Y60">
            <v>10753.14</v>
          </cell>
          <cell r="Z60">
            <v>10753.14</v>
          </cell>
        </row>
        <row r="61">
          <cell r="B61" t="str">
            <v>Total liabilities</v>
          </cell>
          <cell r="C61" t="str">
            <v>TOT_LIAB</v>
          </cell>
          <cell r="D61" t="str">
            <v>CNY</v>
          </cell>
          <cell r="F61">
            <v>5092.0984072299998</v>
          </cell>
          <cell r="G61">
            <v>7912.5642158500004</v>
          </cell>
          <cell r="H61">
            <v>10490.38047792</v>
          </cell>
          <cell r="I61">
            <v>11210.870999999999</v>
          </cell>
          <cell r="J61">
            <v>11183.307000000001</v>
          </cell>
          <cell r="K61">
            <v>14434.856</v>
          </cell>
          <cell r="L61">
            <v>26284.687999999998</v>
          </cell>
          <cell r="M61">
            <v>35682.374000000003</v>
          </cell>
          <cell r="N61">
            <v>50393.455999999998</v>
          </cell>
          <cell r="O61">
            <v>59190.358999999997</v>
          </cell>
          <cell r="P61">
            <v>79079.339000000007</v>
          </cell>
          <cell r="Q61">
            <v>84807.576000000001</v>
          </cell>
          <cell r="R61">
            <v>76453.808000000005</v>
          </cell>
          <cell r="S61">
            <v>79921.691999999995</v>
          </cell>
          <cell r="T61">
            <v>77545.292000000001</v>
          </cell>
          <cell r="U61">
            <v>100755.82</v>
          </cell>
          <cell r="V61">
            <v>98582.067999999999</v>
          </cell>
          <cell r="W61">
            <v>85835.897215415302</v>
          </cell>
          <cell r="X61">
            <v>85706.971658250099</v>
          </cell>
          <cell r="Y61">
            <v>87921.851168004097</v>
          </cell>
          <cell r="Z61">
            <v>89506.799678615993</v>
          </cell>
        </row>
        <row r="62">
          <cell r="B62" t="str">
            <v>Preferred shares</v>
          </cell>
          <cell r="C62" t="str">
            <v>PREF_SH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B63" t="str">
            <v>Total common equity</v>
          </cell>
          <cell r="C63" t="str">
            <v>ORD_SH_FUND</v>
          </cell>
          <cell r="D63" t="str">
            <v>CNY</v>
          </cell>
          <cell r="F63">
            <v>3863.3447128299999</v>
          </cell>
          <cell r="G63">
            <v>4276.4129477200004</v>
          </cell>
          <cell r="H63">
            <v>4843.7418786899998</v>
          </cell>
          <cell r="I63">
            <v>8934.5589999999993</v>
          </cell>
          <cell r="J63">
            <v>9885.2150000000001</v>
          </cell>
          <cell r="K63">
            <v>10620.017</v>
          </cell>
          <cell r="L63">
            <v>11897.281000000001</v>
          </cell>
          <cell r="M63">
            <v>13846.545</v>
          </cell>
          <cell r="N63">
            <v>16720.077000000001</v>
          </cell>
          <cell r="O63">
            <v>22528.841</v>
          </cell>
          <cell r="P63">
            <v>23586.063999999998</v>
          </cell>
          <cell r="Q63">
            <v>21502.473999999998</v>
          </cell>
          <cell r="R63">
            <v>22429.522000000001</v>
          </cell>
          <cell r="S63">
            <v>24191.065999999999</v>
          </cell>
          <cell r="T63">
            <v>29660.094000000001</v>
          </cell>
          <cell r="U63">
            <v>26401.151000000002</v>
          </cell>
          <cell r="V63">
            <v>40968.201999999997</v>
          </cell>
          <cell r="W63">
            <v>34777.939805972797</v>
          </cell>
          <cell r="X63">
            <v>38811.514418581501</v>
          </cell>
          <cell r="Y63">
            <v>44066.154972308199</v>
          </cell>
          <cell r="Z63">
            <v>50092.7803733072</v>
          </cell>
        </row>
        <row r="64">
          <cell r="B64" t="str">
            <v>Minority interest</v>
          </cell>
          <cell r="C64" t="str">
            <v>MINORITIES</v>
          </cell>
          <cell r="D64" t="str">
            <v>CNY</v>
          </cell>
          <cell r="F64">
            <v>99.106308920000004</v>
          </cell>
          <cell r="G64">
            <v>216.79294224</v>
          </cell>
          <cell r="H64">
            <v>432.83252706000002</v>
          </cell>
          <cell r="I64">
            <v>704.55899999999997</v>
          </cell>
          <cell r="J64">
            <v>710.60900000000004</v>
          </cell>
          <cell r="K64">
            <v>705.82</v>
          </cell>
          <cell r="L64">
            <v>991.12699999999995</v>
          </cell>
          <cell r="M64">
            <v>1337.002</v>
          </cell>
          <cell r="N64">
            <v>1228.789</v>
          </cell>
          <cell r="O64">
            <v>2433.1570000000002</v>
          </cell>
          <cell r="P64">
            <v>2702.7109999999998</v>
          </cell>
          <cell r="Q64">
            <v>1136.2560000000001</v>
          </cell>
          <cell r="R64">
            <v>1196.1669999999999</v>
          </cell>
          <cell r="S64">
            <v>2101.4380000000001</v>
          </cell>
          <cell r="T64">
            <v>13688.511</v>
          </cell>
          <cell r="U64">
            <v>14483.939</v>
          </cell>
          <cell r="V64">
            <v>4411.9449999999997</v>
          </cell>
          <cell r="W64">
            <v>3918.5889999999999</v>
          </cell>
          <cell r="X64">
            <v>3430.4511125556701</v>
          </cell>
          <cell r="Y64">
            <v>2908.3197822642001</v>
          </cell>
          <cell r="Z64">
            <v>2362.7276611430502</v>
          </cell>
        </row>
        <row r="65">
          <cell r="B65" t="str">
            <v>Total shareholders' equity</v>
          </cell>
          <cell r="C65" t="str">
            <v>EQ</v>
          </cell>
          <cell r="D65" t="str">
            <v>CNY</v>
          </cell>
          <cell r="F65">
            <v>3962.4510217500001</v>
          </cell>
          <cell r="G65">
            <v>4493.2058899599997</v>
          </cell>
          <cell r="H65">
            <v>5276.5744057499996</v>
          </cell>
          <cell r="I65">
            <v>9639.1180000000004</v>
          </cell>
          <cell r="J65">
            <v>10595.824000000001</v>
          </cell>
          <cell r="K65">
            <v>11325.837</v>
          </cell>
          <cell r="L65">
            <v>12888.407999999999</v>
          </cell>
          <cell r="M65">
            <v>15183.547</v>
          </cell>
          <cell r="N65">
            <v>17948.866000000002</v>
          </cell>
          <cell r="O65">
            <v>24961.998</v>
          </cell>
          <cell r="P65">
            <v>26288.775000000001</v>
          </cell>
          <cell r="Q65">
            <v>22638.73</v>
          </cell>
          <cell r="R65">
            <v>23625.688999999998</v>
          </cell>
          <cell r="S65">
            <v>26292.504000000001</v>
          </cell>
          <cell r="T65">
            <v>43348.605000000003</v>
          </cell>
          <cell r="U65">
            <v>40885.089999999997</v>
          </cell>
          <cell r="V65">
            <v>45380.146999999997</v>
          </cell>
          <cell r="W65">
            <v>38696.528805972797</v>
          </cell>
          <cell r="X65">
            <v>42241.965531137197</v>
          </cell>
          <cell r="Y65">
            <v>46974.474754572402</v>
          </cell>
          <cell r="Z65">
            <v>52455.5080344503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CNY</v>
          </cell>
          <cell r="F66">
            <v>9054.5494289800008</v>
          </cell>
          <cell r="G66">
            <v>12405.770105809999</v>
          </cell>
          <cell r="H66">
            <v>15766.95488367</v>
          </cell>
          <cell r="I66">
            <v>20849.989000000001</v>
          </cell>
          <cell r="J66">
            <v>21779.131000000001</v>
          </cell>
          <cell r="K66">
            <v>25760.692999999999</v>
          </cell>
          <cell r="L66">
            <v>39173.095999999998</v>
          </cell>
          <cell r="M66">
            <v>50865.921000000002</v>
          </cell>
          <cell r="N66">
            <v>68342.322</v>
          </cell>
          <cell r="O66">
            <v>84152.357000000004</v>
          </cell>
          <cell r="P66">
            <v>105368.114</v>
          </cell>
          <cell r="Q66">
            <v>107446.306</v>
          </cell>
          <cell r="R66">
            <v>100079.497</v>
          </cell>
          <cell r="S66">
            <v>106214.196</v>
          </cell>
          <cell r="T66">
            <v>120893.897</v>
          </cell>
          <cell r="U66">
            <v>141640.91</v>
          </cell>
          <cell r="V66">
            <v>143962.215</v>
          </cell>
          <cell r="W66">
            <v>124532.426021388</v>
          </cell>
          <cell r="X66">
            <v>127948.937189387</v>
          </cell>
          <cell r="Y66">
            <v>134896.325922577</v>
          </cell>
          <cell r="Z66">
            <v>141962.30771306599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  <cell r="T68">
            <v>900</v>
          </cell>
          <cell r="V68">
            <v>655</v>
          </cell>
        </row>
        <row r="69">
          <cell r="B69" t="str">
            <v>% US$ debt hedged (principal)</v>
          </cell>
          <cell r="C69" t="str">
            <v>TOT_PCT_USD_DEBT_HEDGED</v>
          </cell>
          <cell r="T69">
            <v>0.36</v>
          </cell>
          <cell r="V69">
            <v>0.5</v>
          </cell>
        </row>
        <row r="70">
          <cell r="B70" t="str">
            <v>% Floating debt (local currency debt)</v>
          </cell>
          <cell r="C70" t="str">
            <v>FLOATING_PCT_LOCAL_DEBT</v>
          </cell>
          <cell r="T70">
            <v>0</v>
          </cell>
          <cell r="V70">
            <v>0.53</v>
          </cell>
        </row>
        <row r="71">
          <cell r="B71" t="str">
            <v>% floating debt hedged (rates)</v>
          </cell>
          <cell r="C71" t="str">
            <v>FLOATING_PCT_LOCAL_DEBT_HEDGED</v>
          </cell>
          <cell r="T71">
            <v>0</v>
          </cell>
          <cell r="V71">
            <v>0.5</v>
          </cell>
        </row>
        <row r="72">
          <cell r="B72" t="str">
            <v>Net debt</v>
          </cell>
          <cell r="C72" t="str">
            <v>NET_DEBT</v>
          </cell>
          <cell r="D72" t="str">
            <v>CNY</v>
          </cell>
          <cell r="F72">
            <v>-558.70585342000004</v>
          </cell>
          <cell r="G72">
            <v>-1489.7112419600001</v>
          </cell>
          <cell r="H72">
            <v>-1875.31038743</v>
          </cell>
          <cell r="I72">
            <v>-6150.3649999999998</v>
          </cell>
          <cell r="J72">
            <v>-4893.4369999999999</v>
          </cell>
          <cell r="K72">
            <v>-1686.0920000000001</v>
          </cell>
          <cell r="L72">
            <v>5.4829999999999997</v>
          </cell>
          <cell r="M72">
            <v>-4523.3739999999998</v>
          </cell>
          <cell r="N72">
            <v>-5253.9470000000001</v>
          </cell>
          <cell r="O72">
            <v>-5762.6670000000004</v>
          </cell>
          <cell r="P72">
            <v>-2654.817</v>
          </cell>
          <cell r="Q72">
            <v>-688.40599999999495</v>
          </cell>
          <cell r="R72">
            <v>-174.40500000000199</v>
          </cell>
          <cell r="S72">
            <v>9096.1470000000008</v>
          </cell>
          <cell r="T72">
            <v>-9483.5789999999997</v>
          </cell>
          <cell r="U72">
            <v>-10267.493</v>
          </cell>
          <cell r="V72">
            <v>-11869.866</v>
          </cell>
          <cell r="W72">
            <v>-2695.5258033097598</v>
          </cell>
          <cell r="X72">
            <v>-5200.0996330476501</v>
          </cell>
          <cell r="Y72">
            <v>-7626.7819870397798</v>
          </cell>
          <cell r="Z72">
            <v>-10993.7096192361</v>
          </cell>
        </row>
        <row r="73">
          <cell r="B73" t="str">
            <v>Capitalized leases</v>
          </cell>
          <cell r="C73" t="str">
            <v>CAP_LEASES</v>
          </cell>
          <cell r="D73" t="str">
            <v>CNY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B74" t="str">
            <v>Deferred income taxes</v>
          </cell>
          <cell r="C74" t="str">
            <v>DEF_INC_TAX</v>
          </cell>
          <cell r="D74" t="str">
            <v>CNY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B76" t="str">
            <v>Net debt adjustment</v>
          </cell>
          <cell r="C76" t="str">
            <v>NET_DEBT_ADJ</v>
          </cell>
          <cell r="D76" t="str">
            <v>CNY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B77" t="str">
            <v>Company borrowing margin</v>
          </cell>
          <cell r="C77" t="str">
            <v>CO_BOR_MARGIN</v>
          </cell>
          <cell r="F77">
            <v>0.17226612542600001</v>
          </cell>
          <cell r="G77">
            <v>0.13553831419099999</v>
          </cell>
          <cell r="H77">
            <v>0.15321400250100001</v>
          </cell>
          <cell r="I77">
            <v>0.196827313176</v>
          </cell>
          <cell r="J77">
            <v>0.42482436975400001</v>
          </cell>
          <cell r="K77">
            <v>9.1283779459E-2</v>
          </cell>
          <cell r="L77">
            <v>7.6190081362000006E-2</v>
          </cell>
          <cell r="M77">
            <v>0.18804771919999999</v>
          </cell>
          <cell r="N77">
            <v>8.4900768279000005E-2</v>
          </cell>
          <cell r="O77">
            <v>0.124574815967</v>
          </cell>
          <cell r="P77">
            <v>0.12522188535500001</v>
          </cell>
          <cell r="Q77">
            <v>9.9460803360999994E-2</v>
          </cell>
          <cell r="R77">
            <v>0.118691056765</v>
          </cell>
          <cell r="S77">
            <v>7.720767965E-2</v>
          </cell>
          <cell r="T77">
            <v>7.7167402945999997E-2</v>
          </cell>
          <cell r="U77">
            <v>9.408977394E-3</v>
          </cell>
          <cell r="V77">
            <v>4.8448387508999997E-2</v>
          </cell>
          <cell r="W77">
            <v>1.2664246567E-2</v>
          </cell>
          <cell r="X77">
            <v>3.743209493E-2</v>
          </cell>
          <cell r="Y77">
            <v>3.4526535486000001E-2</v>
          </cell>
          <cell r="Z77">
            <v>3.1711338047999998E-2</v>
          </cell>
        </row>
        <row r="78">
          <cell r="B78" t="str">
            <v>Unfunded pensions &amp; other provisions</v>
          </cell>
          <cell r="C78" t="str">
            <v>UNF_PENS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str">
            <v>CNY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str">
            <v>CNY</v>
          </cell>
          <cell r="F81">
            <v>-88.57338369</v>
          </cell>
          <cell r="G81">
            <v>-149.14147285999999</v>
          </cell>
          <cell r="H81">
            <v>-157.34738318999999</v>
          </cell>
          <cell r="I81">
            <v>-169.999</v>
          </cell>
          <cell r="J81">
            <v>-160.26400000000001</v>
          </cell>
          <cell r="K81">
            <v>-282.61</v>
          </cell>
          <cell r="L81">
            <v>-483.839</v>
          </cell>
          <cell r="M81">
            <v>-1065.104</v>
          </cell>
          <cell r="N81">
            <v>-1392.1479999999999</v>
          </cell>
          <cell r="O81">
            <v>-2357.7939999999999</v>
          </cell>
          <cell r="P81">
            <v>-3120.556</v>
          </cell>
          <cell r="Q81">
            <v>-3533.9720000000002</v>
          </cell>
          <cell r="R81">
            <v>-4168.9030000000002</v>
          </cell>
          <cell r="S81">
            <v>-4848.2</v>
          </cell>
          <cell r="T81">
            <v>-5014.2610000000004</v>
          </cell>
          <cell r="U81">
            <v>-5906.192</v>
          </cell>
          <cell r="V81">
            <v>-6987.4809999999998</v>
          </cell>
          <cell r="W81">
            <v>-5583.39</v>
          </cell>
          <cell r="X81">
            <v>-4179.299</v>
          </cell>
          <cell r="Y81">
            <v>-2775.2080000000001</v>
          </cell>
          <cell r="Z81">
            <v>-1371.117</v>
          </cell>
        </row>
        <row r="82">
          <cell r="B82" t="str">
            <v>Other GCI adjustments</v>
          </cell>
          <cell r="C82" t="str">
            <v>OTH_GCI_ADJ</v>
          </cell>
          <cell r="D82" t="str">
            <v>CNY</v>
          </cell>
        </row>
        <row r="83">
          <cell r="B83" t="str">
            <v>GCI inflator</v>
          </cell>
          <cell r="C83" t="str">
            <v>GCI_INFL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1</v>
          </cell>
          <cell r="K83">
            <v>1</v>
          </cell>
          <cell r="L83">
            <v>1</v>
          </cell>
          <cell r="M83">
            <v>1</v>
          </cell>
          <cell r="N83">
            <v>1</v>
          </cell>
          <cell r="O83">
            <v>1</v>
          </cell>
          <cell r="P83">
            <v>1</v>
          </cell>
          <cell r="Q83">
            <v>1</v>
          </cell>
          <cell r="R83">
            <v>1</v>
          </cell>
          <cell r="S83">
            <v>1</v>
          </cell>
        </row>
        <row r="84">
          <cell r="B84" t="str">
            <v>Minority interest</v>
          </cell>
          <cell r="C84" t="str">
            <v>BAL_MINO_INT</v>
          </cell>
          <cell r="D84" t="str">
            <v>CNY</v>
          </cell>
          <cell r="F84">
            <v>99.106308920000004</v>
          </cell>
          <cell r="G84">
            <v>216.79294224</v>
          </cell>
          <cell r="H84">
            <v>432.83252706000002</v>
          </cell>
          <cell r="I84">
            <v>704.55899999999997</v>
          </cell>
          <cell r="J84">
            <v>710.60900000000004</v>
          </cell>
          <cell r="K84">
            <v>705.82</v>
          </cell>
          <cell r="L84">
            <v>991.12699999999995</v>
          </cell>
          <cell r="M84">
            <v>1337.002</v>
          </cell>
          <cell r="N84">
            <v>1228.789</v>
          </cell>
          <cell r="O84">
            <v>2433.1570000000002</v>
          </cell>
          <cell r="P84">
            <v>2702.7109999999998</v>
          </cell>
          <cell r="Q84">
            <v>1136.2560000000001</v>
          </cell>
          <cell r="R84">
            <v>1196.1669999999999</v>
          </cell>
          <cell r="S84">
            <v>2101.4380000000001</v>
          </cell>
          <cell r="T84">
            <v>13688.511</v>
          </cell>
          <cell r="U84">
            <v>14483.939</v>
          </cell>
          <cell r="V84">
            <v>4411.9449999999997</v>
          </cell>
          <cell r="W84">
            <v>3918.5889999999999</v>
          </cell>
          <cell r="X84">
            <v>3430.4511125556701</v>
          </cell>
          <cell r="Y84">
            <v>2908.3197822642001</v>
          </cell>
          <cell r="Z84">
            <v>2362.7276611430502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CNY</v>
          </cell>
          <cell r="F86">
            <v>34.816400760000001</v>
          </cell>
          <cell r="G86">
            <v>49.537263729999999</v>
          </cell>
          <cell r="H86">
            <v>62.697705749999997</v>
          </cell>
          <cell r="I86">
            <v>202.011</v>
          </cell>
          <cell r="J86">
            <v>148.976</v>
          </cell>
          <cell r="K86">
            <v>136.63999999999999</v>
          </cell>
          <cell r="L86">
            <v>199.29300000000001</v>
          </cell>
          <cell r="M86">
            <v>251.73599999999999</v>
          </cell>
          <cell r="N86">
            <v>237.54</v>
          </cell>
          <cell r="O86">
            <v>226.23500000000001</v>
          </cell>
          <cell r="P86">
            <v>182.92699999999999</v>
          </cell>
          <cell r="Q86">
            <v>236.34100000000001</v>
          </cell>
          <cell r="R86">
            <v>75.978999999999999</v>
          </cell>
          <cell r="S86">
            <v>94.159000000000006</v>
          </cell>
          <cell r="T86">
            <v>115.758</v>
          </cell>
          <cell r="U86">
            <v>448.24900000000002</v>
          </cell>
          <cell r="V86">
            <v>316.87</v>
          </cell>
          <cell r="W86">
            <v>-493.35599999999999</v>
          </cell>
          <cell r="X86">
            <v>-488.13788744432497</v>
          </cell>
          <cell r="Y86">
            <v>-522.13133029147605</v>
          </cell>
          <cell r="Z86">
            <v>-545.59212112114994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CNY</v>
          </cell>
          <cell r="F87">
            <v>101.48000799</v>
          </cell>
          <cell r="G87">
            <v>225.43584279000001</v>
          </cell>
          <cell r="H87">
            <v>295.50124355999998</v>
          </cell>
          <cell r="I87">
            <v>361.61900000000003</v>
          </cell>
          <cell r="J87">
            <v>445.99299999999999</v>
          </cell>
          <cell r="K87">
            <v>552.86500000000001</v>
          </cell>
          <cell r="L87">
            <v>609.92100000000005</v>
          </cell>
          <cell r="M87">
            <v>700.06899999999996</v>
          </cell>
          <cell r="N87">
            <v>938.12</v>
          </cell>
          <cell r="O87">
            <v>1062.991</v>
          </cell>
          <cell r="P87">
            <v>1406.4</v>
          </cell>
          <cell r="Q87">
            <v>1538.519</v>
          </cell>
          <cell r="R87">
            <v>1721.9649999999999</v>
          </cell>
          <cell r="S87">
            <v>1805.018</v>
          </cell>
          <cell r="T87">
            <v>2071.9969999999998</v>
          </cell>
          <cell r="U87">
            <v>2430.3670000000002</v>
          </cell>
          <cell r="V87">
            <v>2603.1390000000001</v>
          </cell>
          <cell r="W87">
            <v>2580.0203503821599</v>
          </cell>
          <cell r="X87">
            <v>2858.9047082253701</v>
          </cell>
          <cell r="Y87">
            <v>3141.70079584737</v>
          </cell>
          <cell r="Z87">
            <v>3420.08543280291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CNY</v>
          </cell>
          <cell r="F88">
            <v>-1894.20311113</v>
          </cell>
          <cell r="G88">
            <v>112.643308620002</v>
          </cell>
          <cell r="H88">
            <v>-68.123177480001004</v>
          </cell>
          <cell r="I88">
            <v>-441.96298228000097</v>
          </cell>
          <cell r="J88">
            <v>3411.2</v>
          </cell>
          <cell r="K88">
            <v>-1845.085</v>
          </cell>
          <cell r="L88">
            <v>1373.9190000000001</v>
          </cell>
          <cell r="M88">
            <v>-2326.3919999999998</v>
          </cell>
          <cell r="N88">
            <v>2126.7869999999998</v>
          </cell>
          <cell r="O88">
            <v>-728.36699999999996</v>
          </cell>
          <cell r="P88">
            <v>-398.32300000000203</v>
          </cell>
          <cell r="Q88">
            <v>2542.56</v>
          </cell>
          <cell r="R88">
            <v>-3828.0619999999999</v>
          </cell>
          <cell r="S88">
            <v>-5715.7529999999997</v>
          </cell>
          <cell r="T88">
            <v>-29.750000000004</v>
          </cell>
          <cell r="U88">
            <v>8020.98</v>
          </cell>
          <cell r="V88">
            <v>-5489.8819999999896</v>
          </cell>
          <cell r="W88">
            <v>745.61597278611202</v>
          </cell>
          <cell r="X88">
            <v>-382.06004789193003</v>
          </cell>
          <cell r="Y88">
            <v>-764.19480338235701</v>
          </cell>
          <cell r="Z88">
            <v>-490.43903935793799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CNY</v>
          </cell>
          <cell r="F89">
            <v>1515.3274645399999</v>
          </cell>
          <cell r="G89">
            <v>464.11265962999801</v>
          </cell>
          <cell r="H89">
            <v>99.224211100000005</v>
          </cell>
          <cell r="I89">
            <v>514.08198228000299</v>
          </cell>
          <cell r="J89">
            <v>-5023.2070000000003</v>
          </cell>
          <cell r="K89">
            <v>-1159.4760000000001</v>
          </cell>
          <cell r="L89">
            <v>-3346.9009999999998</v>
          </cell>
          <cell r="M89">
            <v>3362.3010000000099</v>
          </cell>
          <cell r="N89">
            <v>-2031.2960000000101</v>
          </cell>
          <cell r="O89">
            <v>-2869.1959999999899</v>
          </cell>
          <cell r="P89">
            <v>-5063.3869999999997</v>
          </cell>
          <cell r="Q89">
            <v>73.558000000001002</v>
          </cell>
          <cell r="R89">
            <v>3247.0389999999902</v>
          </cell>
          <cell r="S89">
            <v>3695.6399999999899</v>
          </cell>
          <cell r="T89">
            <v>2038.7750000000101</v>
          </cell>
          <cell r="U89">
            <v>-3281.9720000000002</v>
          </cell>
          <cell r="V89">
            <v>5221.6761000000097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CNY</v>
          </cell>
          <cell r="F90">
            <v>327.68970278</v>
          </cell>
          <cell r="G90">
            <v>1418.7290163299999</v>
          </cell>
          <cell r="H90">
            <v>1141.7984627200001</v>
          </cell>
          <cell r="I90">
            <v>1644.6189999999999</v>
          </cell>
          <cell r="J90">
            <v>177.30500000000001</v>
          </cell>
          <cell r="K90">
            <v>-1548.0840000000001</v>
          </cell>
          <cell r="L90">
            <v>88.39</v>
          </cell>
          <cell r="M90">
            <v>3647.913</v>
          </cell>
          <cell r="N90">
            <v>3729.2719999999999</v>
          </cell>
          <cell r="O90">
            <v>941.91</v>
          </cell>
          <cell r="P90">
            <v>-1812.2170000000001</v>
          </cell>
          <cell r="Q90">
            <v>1550.0160000000001</v>
          </cell>
          <cell r="R90">
            <v>2574.578</v>
          </cell>
          <cell r="S90">
            <v>2512.6350000000002</v>
          </cell>
          <cell r="T90">
            <v>7404.665</v>
          </cell>
          <cell r="U90">
            <v>5260.2060000000001</v>
          </cell>
          <cell r="V90">
            <v>7219.9740000000002</v>
          </cell>
          <cell r="W90">
            <v>-3638.5928708588799</v>
          </cell>
          <cell r="X90">
            <v>7222.7500202027104</v>
          </cell>
          <cell r="Y90">
            <v>8673.8963330808092</v>
          </cell>
          <cell r="Z90">
            <v>10204.3181855249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CNY</v>
          </cell>
          <cell r="F91">
            <v>-567.11160131999998</v>
          </cell>
          <cell r="G91">
            <v>-437.03858917999997</v>
          </cell>
          <cell r="H91">
            <v>-639.29047290000005</v>
          </cell>
          <cell r="I91">
            <v>-542.178</v>
          </cell>
          <cell r="J91">
            <v>-921.46299999999997</v>
          </cell>
          <cell r="K91">
            <v>-1181.162</v>
          </cell>
          <cell r="L91">
            <v>-1777.223</v>
          </cell>
          <cell r="M91">
            <v>-1911.923</v>
          </cell>
          <cell r="N91">
            <v>-2053.8240000000001</v>
          </cell>
          <cell r="O91">
            <v>-3067.1640000000002</v>
          </cell>
          <cell r="P91">
            <v>-4065.0360000000001</v>
          </cell>
          <cell r="Q91">
            <v>-2377.654</v>
          </cell>
          <cell r="R91">
            <v>-2336.9259999999999</v>
          </cell>
          <cell r="S91">
            <v>-2067.6039999999998</v>
          </cell>
          <cell r="T91">
            <v>-2469.11</v>
          </cell>
          <cell r="U91">
            <v>-4002.46</v>
          </cell>
          <cell r="V91">
            <v>-5984.0050000000001</v>
          </cell>
          <cell r="W91">
            <v>-4768.61270656531</v>
          </cell>
          <cell r="X91">
            <v>-4718.1761904648101</v>
          </cell>
          <cell r="Y91">
            <v>-5046.7453443837303</v>
          </cell>
          <cell r="Z91">
            <v>-5273.5094361480096</v>
          </cell>
        </row>
        <row r="92">
          <cell r="B92" t="str">
            <v>Acquisitions</v>
          </cell>
          <cell r="C92" t="str">
            <v>ACQ</v>
          </cell>
          <cell r="D92" t="str">
            <v>CNY</v>
          </cell>
          <cell r="F92">
            <v>-0.84406985000000001</v>
          </cell>
          <cell r="G92">
            <v>-13.1221061</v>
          </cell>
          <cell r="H92">
            <v>-3.1997499999999998E-2</v>
          </cell>
          <cell r="I92">
            <v>-0.99</v>
          </cell>
          <cell r="J92">
            <v>-41.372</v>
          </cell>
          <cell r="K92">
            <v>-20.850999999999999</v>
          </cell>
          <cell r="L92">
            <v>-18.295000000000002</v>
          </cell>
          <cell r="M92">
            <v>-52.554000000000002</v>
          </cell>
          <cell r="N92">
            <v>-1.0109999999999999</v>
          </cell>
          <cell r="O92">
            <v>-29.48</v>
          </cell>
          <cell r="P92">
            <v>-90.614999999999995</v>
          </cell>
          <cell r="Q92">
            <v>-41.844999999999999</v>
          </cell>
          <cell r="R92">
            <v>-5.9550000000000001</v>
          </cell>
          <cell r="S92">
            <v>-72.015000000000001</v>
          </cell>
          <cell r="T92">
            <v>-23.734000000000002</v>
          </cell>
          <cell r="U92">
            <v>-98.62</v>
          </cell>
          <cell r="V92">
            <v>-128.71600000000001</v>
          </cell>
        </row>
        <row r="93">
          <cell r="B93" t="str">
            <v>Divestitures</v>
          </cell>
          <cell r="C93" t="str">
            <v>DIVEST</v>
          </cell>
          <cell r="D93" t="str">
            <v>CNY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CNY</v>
          </cell>
          <cell r="F94">
            <v>-40.445316499999997</v>
          </cell>
          <cell r="G94">
            <v>49.407208560000001</v>
          </cell>
          <cell r="H94">
            <v>25.91978198</v>
          </cell>
          <cell r="I94">
            <v>-23.248999999999999</v>
          </cell>
          <cell r="J94">
            <v>-21.434999999999999</v>
          </cell>
          <cell r="K94">
            <v>38.450000000000003</v>
          </cell>
          <cell r="L94">
            <v>37.872</v>
          </cell>
          <cell r="M94">
            <v>-23.173999999999999</v>
          </cell>
          <cell r="N94">
            <v>-246.26</v>
          </cell>
          <cell r="O94">
            <v>-15.941000000000001</v>
          </cell>
          <cell r="P94">
            <v>736.94600000000003</v>
          </cell>
          <cell r="Q94">
            <v>816.36900000000003</v>
          </cell>
          <cell r="R94">
            <v>680.71</v>
          </cell>
          <cell r="S94">
            <v>516.88900000000001</v>
          </cell>
          <cell r="T94">
            <v>917.48900000000003</v>
          </cell>
          <cell r="U94">
            <v>1082.106</v>
          </cell>
          <cell r="V94">
            <v>1178.114</v>
          </cell>
        </row>
        <row r="95">
          <cell r="B95" t="str">
            <v>Cash flow from investing</v>
          </cell>
          <cell r="C95" t="str">
            <v>CF_INV</v>
          </cell>
          <cell r="D95" t="str">
            <v>CNY</v>
          </cell>
          <cell r="F95">
            <v>-608.40098766999995</v>
          </cell>
          <cell r="G95">
            <v>-400.75348672000001</v>
          </cell>
          <cell r="H95">
            <v>-613.40268842</v>
          </cell>
          <cell r="I95">
            <v>-566.41700000000003</v>
          </cell>
          <cell r="J95">
            <v>-984.27</v>
          </cell>
          <cell r="K95">
            <v>-1163.5630000000001</v>
          </cell>
          <cell r="L95">
            <v>-1757.646</v>
          </cell>
          <cell r="M95">
            <v>-1987.6510000000001</v>
          </cell>
          <cell r="N95">
            <v>-2301.0949999999998</v>
          </cell>
          <cell r="O95">
            <v>-3112.585</v>
          </cell>
          <cell r="P95">
            <v>-3418.7049999999999</v>
          </cell>
          <cell r="Q95">
            <v>-1603.13</v>
          </cell>
          <cell r="R95">
            <v>-1662.171</v>
          </cell>
          <cell r="S95">
            <v>-1622.73</v>
          </cell>
          <cell r="T95">
            <v>-1575.355</v>
          </cell>
          <cell r="U95">
            <v>-3018.9740000000002</v>
          </cell>
          <cell r="V95">
            <v>-4934.607</v>
          </cell>
          <cell r="W95">
            <v>-4768.61270656531</v>
          </cell>
          <cell r="X95">
            <v>-4718.1761904648101</v>
          </cell>
          <cell r="Y95">
            <v>-5046.7453443837303</v>
          </cell>
          <cell r="Z95">
            <v>-5273.5094361480096</v>
          </cell>
        </row>
        <row r="96">
          <cell r="B96" t="str">
            <v>Dividends paid</v>
          </cell>
          <cell r="C96" t="str">
            <v>DIV_PAID</v>
          </cell>
          <cell r="D96" t="str">
            <v>CNY</v>
          </cell>
          <cell r="F96">
            <v>-226.06534293000001</v>
          </cell>
          <cell r="G96">
            <v>-184.84713194</v>
          </cell>
          <cell r="H96">
            <v>-232.63363347000001</v>
          </cell>
          <cell r="I96">
            <v>-344.04199999999997</v>
          </cell>
          <cell r="J96">
            <v>-459.553</v>
          </cell>
          <cell r="K96">
            <v>-509.88600000000002</v>
          </cell>
          <cell r="L96">
            <v>-143.80725000000001</v>
          </cell>
          <cell r="M96">
            <v>-240.79961538461399</v>
          </cell>
          <cell r="N96">
            <v>-401.66104838709498</v>
          </cell>
          <cell r="O96">
            <v>-526.74021428571496</v>
          </cell>
          <cell r="P96">
            <v>-833.39666666666506</v>
          </cell>
          <cell r="Q96">
            <v>-675.46426229508199</v>
          </cell>
          <cell r="R96">
            <v>0</v>
          </cell>
          <cell r="S96">
            <v>-104.43515384615399</v>
          </cell>
          <cell r="T96">
            <v>-684.04441558441897</v>
          </cell>
          <cell r="U96">
            <v>-1028.16826923077</v>
          </cell>
          <cell r="V96">
            <v>-1033.9552631578999</v>
          </cell>
          <cell r="W96">
            <v>-1047.74561926605</v>
          </cell>
          <cell r="X96">
            <v>0</v>
          </cell>
          <cell r="Y96">
            <v>-1200.4686347049501</v>
          </cell>
          <cell r="Z96">
            <v>-1563.8811171805701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CNY</v>
          </cell>
          <cell r="F97">
            <v>1600.4741926199999</v>
          </cell>
          <cell r="G97">
            <v>6</v>
          </cell>
          <cell r="H97">
            <v>46.128682040000001</v>
          </cell>
          <cell r="I97">
            <v>3540.4169999999999</v>
          </cell>
          <cell r="J97">
            <v>25.227</v>
          </cell>
          <cell r="K97">
            <v>30.366</v>
          </cell>
          <cell r="L97">
            <v>503.13799999999998</v>
          </cell>
          <cell r="M97">
            <v>43.341999999999999</v>
          </cell>
          <cell r="N97">
            <v>46.371000000000002</v>
          </cell>
          <cell r="O97">
            <v>3913.0189999999998</v>
          </cell>
          <cell r="P97">
            <v>7.1369999999999996</v>
          </cell>
          <cell r="Q97">
            <v>8.1</v>
          </cell>
          <cell r="R97">
            <v>18.895</v>
          </cell>
          <cell r="S97">
            <v>253.5</v>
          </cell>
          <cell r="T97">
            <v>3008.502</v>
          </cell>
          <cell r="U97">
            <v>2532.627</v>
          </cell>
          <cell r="V97">
            <v>102.43899999999999</v>
          </cell>
          <cell r="W97">
            <v>280.61099999999999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CNY</v>
          </cell>
          <cell r="F98">
            <v>-314.72826800000001</v>
          </cell>
          <cell r="G98">
            <v>274.47059372000001</v>
          </cell>
          <cell r="H98">
            <v>460.35511693000001</v>
          </cell>
          <cell r="I98">
            <v>-461.85344264999998</v>
          </cell>
          <cell r="J98">
            <v>-768.16300000000001</v>
          </cell>
          <cell r="K98">
            <v>1945.2729999999999</v>
          </cell>
          <cell r="L98">
            <v>3863.6849999999999</v>
          </cell>
          <cell r="M98">
            <v>468.37900000000002</v>
          </cell>
          <cell r="N98">
            <v>2285.8290000000002</v>
          </cell>
          <cell r="O98">
            <v>377.67899999999997</v>
          </cell>
          <cell r="P98">
            <v>9196.61</v>
          </cell>
          <cell r="Q98">
            <v>4620.8670000000002</v>
          </cell>
          <cell r="R98">
            <v>-2709.3870000000002</v>
          </cell>
          <cell r="S98">
            <v>6483.3909999999996</v>
          </cell>
          <cell r="T98">
            <v>-8670.5910000000003</v>
          </cell>
          <cell r="U98">
            <v>3540.991</v>
          </cell>
          <cell r="V98">
            <v>-544.40800000000195</v>
          </cell>
          <cell r="W98">
            <v>-493.80899999999798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CNY</v>
          </cell>
          <cell r="F99">
            <v>81.716937549999997</v>
          </cell>
          <cell r="G99">
            <v>91.87699087</v>
          </cell>
          <cell r="H99">
            <v>43.708322600000002</v>
          </cell>
          <cell r="I99">
            <v>0.47744265000000002</v>
          </cell>
          <cell r="J99">
            <v>-15.637</v>
          </cell>
          <cell r="K99">
            <v>-9.2759999999999998</v>
          </cell>
          <cell r="L99">
            <v>-386.07375000000002</v>
          </cell>
          <cell r="M99">
            <v>3103.2276153846101</v>
          </cell>
          <cell r="N99">
            <v>-627.05395161290505</v>
          </cell>
          <cell r="O99">
            <v>-764.005785714284</v>
          </cell>
          <cell r="P99">
            <v>2617.5616666666601</v>
          </cell>
          <cell r="Q99">
            <v>-1902.84273770492</v>
          </cell>
          <cell r="R99">
            <v>-763.275999999997</v>
          </cell>
          <cell r="S99">
            <v>-10410.494846153801</v>
          </cell>
          <cell r="T99">
            <v>9903.67941558442</v>
          </cell>
          <cell r="U99">
            <v>-3853.8867307692299</v>
          </cell>
          <cell r="V99">
            <v>-749.96473684210196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CNY</v>
          </cell>
          <cell r="F100">
            <v>1141.3975192400001</v>
          </cell>
          <cell r="G100">
            <v>187.50045265</v>
          </cell>
          <cell r="H100">
            <v>317.55848809999998</v>
          </cell>
          <cell r="I100">
            <v>2734.9989999999998</v>
          </cell>
          <cell r="J100">
            <v>-1218.126</v>
          </cell>
          <cell r="K100">
            <v>1456.4770000000001</v>
          </cell>
          <cell r="L100">
            <v>3836.942</v>
          </cell>
          <cell r="M100">
            <v>3374.1489999999999</v>
          </cell>
          <cell r="N100">
            <v>1303.4849999999999</v>
          </cell>
          <cell r="O100">
            <v>2999.9520000000002</v>
          </cell>
          <cell r="P100">
            <v>10987.912</v>
          </cell>
          <cell r="Q100">
            <v>2050.66</v>
          </cell>
          <cell r="R100">
            <v>-3453.768</v>
          </cell>
          <cell r="S100">
            <v>-3778.0390000000002</v>
          </cell>
          <cell r="T100">
            <v>3557.5459999999998</v>
          </cell>
          <cell r="U100">
            <v>1191.5630000000001</v>
          </cell>
          <cell r="V100">
            <v>-2225.8890000000001</v>
          </cell>
          <cell r="W100">
            <v>-1260.9436192660501</v>
          </cell>
          <cell r="X100">
            <v>0</v>
          </cell>
          <cell r="Y100">
            <v>-1200.4686347049501</v>
          </cell>
          <cell r="Z100">
            <v>-1563.8811171805701</v>
          </cell>
        </row>
        <row r="101">
          <cell r="B101" t="str">
            <v>Total cash flow</v>
          </cell>
          <cell r="C101" t="str">
            <v>TOT_CF</v>
          </cell>
          <cell r="D101" t="str">
            <v>CNY</v>
          </cell>
          <cell r="F101">
            <v>860.68623434999995</v>
          </cell>
          <cell r="G101">
            <v>1205.4759822599999</v>
          </cell>
          <cell r="H101">
            <v>845.95426239999995</v>
          </cell>
          <cell r="I101">
            <v>3813.201</v>
          </cell>
          <cell r="J101">
            <v>-2025.0909999999999</v>
          </cell>
          <cell r="K101">
            <v>-1255.17</v>
          </cell>
          <cell r="L101">
            <v>2167.6860000000001</v>
          </cell>
          <cell r="M101">
            <v>5034.4110000000001</v>
          </cell>
          <cell r="N101">
            <v>2731.6619999999998</v>
          </cell>
          <cell r="O101">
            <v>829.27700000000004</v>
          </cell>
          <cell r="P101">
            <v>5756.99</v>
          </cell>
          <cell r="Q101">
            <v>1997.546</v>
          </cell>
          <cell r="R101">
            <v>-2541.3609999999999</v>
          </cell>
          <cell r="S101">
            <v>-2888.134</v>
          </cell>
          <cell r="T101">
            <v>9386.8559999999998</v>
          </cell>
          <cell r="U101">
            <v>3432.7950000000001</v>
          </cell>
          <cell r="V101">
            <v>59.478000000000002</v>
          </cell>
          <cell r="W101">
            <v>-9668.1491966902395</v>
          </cell>
          <cell r="X101">
            <v>2504.5738297378998</v>
          </cell>
          <cell r="Y101">
            <v>2426.6823539921302</v>
          </cell>
          <cell r="Z101">
            <v>3366.9276321963498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CNY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CNY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CNY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CNY</v>
          </cell>
        </row>
        <row r="107">
          <cell r="B107" t="str">
            <v>Cash interest expense</v>
          </cell>
          <cell r="C107" t="str">
            <v>CASH_INT_EXP</v>
          </cell>
          <cell r="D107" t="str">
            <v>CNY</v>
          </cell>
        </row>
        <row r="108">
          <cell r="B108" t="str">
            <v>Cash tax expense</v>
          </cell>
          <cell r="C108" t="str">
            <v>CASH_TAX_EXP</v>
          </cell>
          <cell r="D108" t="str">
            <v>CNY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str">
            <v>CNY</v>
          </cell>
        </row>
        <row r="110">
          <cell r="B110" t="str">
            <v>Capex maintenance</v>
          </cell>
          <cell r="C110" t="str">
            <v>CAPEX_MAINTENANCE</v>
          </cell>
          <cell r="D110" t="str">
            <v>CNY</v>
          </cell>
        </row>
        <row r="111">
          <cell r="B111" t="str">
            <v>Capex expansion</v>
          </cell>
          <cell r="C111" t="str">
            <v>CAPEX_EXPANSION</v>
          </cell>
          <cell r="D111" t="str">
            <v>CNY</v>
          </cell>
        </row>
        <row r="112">
          <cell r="B112" t="str">
            <v>Non-PP&amp;E capex</v>
          </cell>
          <cell r="C112" t="str">
            <v>NONPPE_CAPEX</v>
          </cell>
          <cell r="D112" t="str">
            <v>CNY</v>
          </cell>
        </row>
        <row r="113">
          <cell r="B113" t="str">
            <v>Dividends paid to minorities</v>
          </cell>
          <cell r="C113" t="str">
            <v>DIVDS_PD_MINORITIES</v>
          </cell>
          <cell r="D113" t="str">
            <v>CNY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  <cell r="O115">
            <v>85.231999999999999</v>
          </cell>
          <cell r="P115">
            <v>89.786000000000001</v>
          </cell>
          <cell r="Q115">
            <v>78.402000000000001</v>
          </cell>
          <cell r="R115">
            <v>69.093000000000004</v>
          </cell>
          <cell r="S115">
            <v>75.608999999999995</v>
          </cell>
          <cell r="T115">
            <v>84.622</v>
          </cell>
          <cell r="U115">
            <v>81.468000000000004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  <cell r="R118">
            <v>0.1</v>
          </cell>
          <cell r="S118">
            <v>0.1</v>
          </cell>
          <cell r="T118">
            <v>0.1</v>
          </cell>
          <cell r="U118">
            <v>0.1</v>
          </cell>
          <cell r="V118">
            <v>0.1</v>
          </cell>
          <cell r="W118">
            <v>0.1</v>
          </cell>
          <cell r="X118">
            <v>0.1</v>
          </cell>
          <cell r="Y118">
            <v>0.1</v>
          </cell>
          <cell r="Z118">
            <v>0.1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  <cell r="R140">
            <v>0.05</v>
          </cell>
          <cell r="S140">
            <v>0.05</v>
          </cell>
          <cell r="T140">
            <v>0.05</v>
          </cell>
          <cell r="U140">
            <v>0.05</v>
          </cell>
          <cell r="V140">
            <v>0.05</v>
          </cell>
          <cell r="W140">
            <v>0.05</v>
          </cell>
          <cell r="X140">
            <v>0.05</v>
          </cell>
          <cell r="Y140">
            <v>0.05</v>
          </cell>
          <cell r="Z140">
            <v>0.05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  <cell r="R150">
            <v>0.04</v>
          </cell>
          <cell r="S150">
            <v>0.04</v>
          </cell>
          <cell r="T150">
            <v>0.04</v>
          </cell>
          <cell r="U150">
            <v>0.04</v>
          </cell>
          <cell r="V150">
            <v>0.04</v>
          </cell>
          <cell r="W150">
            <v>0.04</v>
          </cell>
          <cell r="X150">
            <v>0.04</v>
          </cell>
          <cell r="Y150">
            <v>0.04</v>
          </cell>
          <cell r="Z150">
            <v>0.04</v>
          </cell>
        </row>
        <row r="151">
          <cell r="B151" t="str">
            <v>Sales - % Other Africa</v>
          </cell>
          <cell r="C151" t="str">
            <v>SALES_OTH_AFRICA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3.7999999999999999E-2</v>
          </cell>
          <cell r="S151">
            <v>0.03</v>
          </cell>
          <cell r="T151">
            <v>0.03</v>
          </cell>
          <cell r="U151">
            <v>0.03</v>
          </cell>
          <cell r="V151">
            <v>0.03</v>
          </cell>
          <cell r="W151">
            <v>0.03</v>
          </cell>
          <cell r="X151">
            <v>0.03</v>
          </cell>
          <cell r="Y151">
            <v>0.03</v>
          </cell>
          <cell r="Z151">
            <v>0.03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  <cell r="R153">
            <v>0.06</v>
          </cell>
          <cell r="S153">
            <v>0.05</v>
          </cell>
          <cell r="T153">
            <v>0.05</v>
          </cell>
          <cell r="U153">
            <v>0.05</v>
          </cell>
          <cell r="V153">
            <v>0.05</v>
          </cell>
          <cell r="W153">
            <v>0.05</v>
          </cell>
          <cell r="X153">
            <v>0.05</v>
          </cell>
          <cell r="Y153">
            <v>0.05</v>
          </cell>
          <cell r="Z153">
            <v>0.05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  <cell r="R155">
            <v>0.03</v>
          </cell>
          <cell r="S155">
            <v>2.5000000000000001E-2</v>
          </cell>
          <cell r="T155">
            <v>2.5000000000000001E-2</v>
          </cell>
          <cell r="U155">
            <v>2.5000000000000001E-2</v>
          </cell>
          <cell r="V155">
            <v>2.5000000000000001E-2</v>
          </cell>
          <cell r="W155">
            <v>2.5000000000000001E-2</v>
          </cell>
          <cell r="X155">
            <v>2.5000000000000001E-2</v>
          </cell>
          <cell r="Y155">
            <v>2.5000000000000001E-2</v>
          </cell>
          <cell r="Z155">
            <v>2.5000000000000001E-2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  <cell r="R157">
            <v>0.03</v>
          </cell>
          <cell r="S157">
            <v>2.5000000000000001E-2</v>
          </cell>
          <cell r="T157">
            <v>2.5000000000000001E-2</v>
          </cell>
          <cell r="U157">
            <v>2.5000000000000001E-2</v>
          </cell>
          <cell r="V157">
            <v>2.5000000000000001E-2</v>
          </cell>
          <cell r="W157">
            <v>2.5000000000000001E-2</v>
          </cell>
          <cell r="X157">
            <v>2.5000000000000001E-2</v>
          </cell>
          <cell r="Y157">
            <v>2.5000000000000001E-2</v>
          </cell>
          <cell r="Z157">
            <v>2.5000000000000001E-2</v>
          </cell>
        </row>
        <row r="158">
          <cell r="B158" t="str">
            <v>Sales - % China</v>
          </cell>
          <cell r="C158" t="str">
            <v>SALES_CHINA</v>
          </cell>
          <cell r="K158">
            <v>0.55600000000000005</v>
          </cell>
          <cell r="L158">
            <v>0.42199999999999999</v>
          </cell>
          <cell r="M158">
            <v>0.39400000000000002</v>
          </cell>
          <cell r="N158">
            <v>0.374</v>
          </cell>
          <cell r="O158">
            <v>0.35399999999999998</v>
          </cell>
          <cell r="P158">
            <v>0.33400000000000002</v>
          </cell>
          <cell r="Q158">
            <v>0.314</v>
          </cell>
          <cell r="R158">
            <v>0.47367055763400001</v>
          </cell>
          <cell r="S158">
            <v>0.49813262404399999</v>
          </cell>
          <cell r="T158">
            <v>0.53009695758200004</v>
          </cell>
          <cell r="U158">
            <v>0.53009695758200004</v>
          </cell>
          <cell r="V158">
            <v>0.53009695758200004</v>
          </cell>
          <cell r="W158">
            <v>0.51009695758200002</v>
          </cell>
          <cell r="X158">
            <v>0.490096957582</v>
          </cell>
          <cell r="Y158">
            <v>0.47009695758199999</v>
          </cell>
          <cell r="Z158">
            <v>0.45009695758200002</v>
          </cell>
        </row>
        <row r="159">
          <cell r="B159" t="str">
            <v>Sales - % India</v>
          </cell>
          <cell r="C159" t="str">
            <v>SALES_INDIA</v>
          </cell>
          <cell r="R159">
            <v>0.03</v>
          </cell>
          <cell r="S159">
            <v>2.5000000000000001E-2</v>
          </cell>
          <cell r="T159">
            <v>2.5000000000000001E-2</v>
          </cell>
          <cell r="U159">
            <v>2.5000000000000001E-2</v>
          </cell>
          <cell r="V159">
            <v>2.5000000000000001E-2</v>
          </cell>
          <cell r="W159">
            <v>2.5000000000000001E-2</v>
          </cell>
          <cell r="X159">
            <v>2.5000000000000001E-2</v>
          </cell>
          <cell r="Y159">
            <v>2.5000000000000001E-2</v>
          </cell>
          <cell r="Z159">
            <v>2.5000000000000001E-2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  <cell r="Q165">
            <v>0.68600000000000005</v>
          </cell>
          <cell r="R165">
            <v>0.14832944236600001</v>
          </cell>
          <cell r="S165">
            <v>0.156867375956</v>
          </cell>
          <cell r="T165">
            <v>0.124903042418</v>
          </cell>
          <cell r="U165">
            <v>0.124903042418</v>
          </cell>
          <cell r="V165">
            <v>0.124903042418</v>
          </cell>
          <cell r="W165">
            <v>0.14490304241800001</v>
          </cell>
          <cell r="X165">
            <v>0.164903042418</v>
          </cell>
          <cell r="Y165">
            <v>0.18490304241800001</v>
          </cell>
          <cell r="Z165">
            <v>0.204903042418</v>
          </cell>
        </row>
        <row r="166">
          <cell r="B166" t="str">
            <v>% of CoGS from U.S. (GS estimate)</v>
          </cell>
          <cell r="C166" t="str">
            <v>COGS_PCT_US</v>
          </cell>
          <cell r="T166">
            <v>0.5</v>
          </cell>
          <cell r="V166">
            <v>0.35</v>
          </cell>
        </row>
        <row r="167">
          <cell r="B167" t="str">
            <v>% of CoGS from non-U.S. (GS estimate)</v>
          </cell>
          <cell r="C167" t="str">
            <v>COGS_PCT_ROW</v>
          </cell>
          <cell r="T167">
            <v>0.5</v>
          </cell>
          <cell r="V167">
            <v>0.65</v>
          </cell>
        </row>
        <row r="168">
          <cell r="B168" t="str">
            <v>% of SG&amp;A from U.S. (GS estimate)</v>
          </cell>
          <cell r="C168" t="str">
            <v>SGA_PCT_US</v>
          </cell>
          <cell r="T168">
            <v>0.1</v>
          </cell>
          <cell r="V168">
            <v>0.05</v>
          </cell>
        </row>
        <row r="169">
          <cell r="B169" t="str">
            <v>% of SG&amp;A from non-U.S. (GS estimate)</v>
          </cell>
          <cell r="C169" t="str">
            <v>SGA_PCT_ROW</v>
          </cell>
          <cell r="T169">
            <v>0.9</v>
          </cell>
          <cell r="V169">
            <v>0.95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1</v>
          </cell>
          <cell r="S171">
            <v>1</v>
          </cell>
          <cell r="T171">
            <v>1</v>
          </cell>
          <cell r="U171">
            <v>1</v>
          </cell>
          <cell r="V171">
            <v>1</v>
          </cell>
          <cell r="W171">
            <v>1</v>
          </cell>
          <cell r="X171">
            <v>1</v>
          </cell>
          <cell r="Y171">
            <v>1</v>
          </cell>
          <cell r="Z171">
            <v>1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4">
          <cell r="B174" t="str">
            <v>Sales - % Industry Sub-Segment: Oil &amp; Gas</v>
          </cell>
          <cell r="C174" t="str">
            <v>SALES_OIL_GAS</v>
          </cell>
        </row>
        <row r="175">
          <cell r="A175" t="str">
            <v>Commodities Exposure - Sales</v>
          </cell>
        </row>
        <row r="176">
          <cell r="B176" t="str">
            <v>Sales - % Glass</v>
          </cell>
          <cell r="C176" t="str">
            <v>SALES_GLASS</v>
          </cell>
        </row>
        <row r="177">
          <cell r="B177" t="str">
            <v>Sales - % Other (Non-Commodity) sales sources</v>
          </cell>
          <cell r="C177" t="str">
            <v>SALES_OTH_SALES_SOURCES</v>
          </cell>
        </row>
        <row r="178">
          <cell r="A178" t="str">
            <v>Commodities Exposure - Expense</v>
          </cell>
        </row>
        <row r="179">
          <cell r="B179" t="str">
            <v>Expense - % Oil/Petrol/Fuel</v>
          </cell>
          <cell r="C179" t="str">
            <v>EXP_OIL_PETRO_FUEL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B180" t="str">
            <v>Expense - % Oil derivatives/NGLs/plastics</v>
          </cell>
          <cell r="C180" t="str">
            <v>EXP_OIL_DERIV_NGLS_PLASTICS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B181" t="str">
            <v>Expense - % Gold</v>
          </cell>
          <cell r="C181" t="str">
            <v>EXP_GOLD</v>
          </cell>
        </row>
        <row r="182">
          <cell r="B182" t="str">
            <v>Expense - % Copper</v>
          </cell>
          <cell r="C182" t="str">
            <v>EXP_COPPER</v>
          </cell>
        </row>
        <row r="183">
          <cell r="B183" t="str">
            <v>Expense - % Silver</v>
          </cell>
          <cell r="C183" t="str">
            <v>EXP_SILVER</v>
          </cell>
        </row>
        <row r="184">
          <cell r="B184" t="str">
            <v>Expense - % Platinum</v>
          </cell>
          <cell r="C184" t="str">
            <v>EXP_PLATINUM</v>
          </cell>
        </row>
        <row r="185">
          <cell r="B185" t="str">
            <v>Expense - % Palladium</v>
          </cell>
          <cell r="C185" t="str">
            <v>EXP_PALLADIUM</v>
          </cell>
        </row>
        <row r="186">
          <cell r="B186" t="str">
            <v>Expense - % Aluminium</v>
          </cell>
          <cell r="C186" t="str">
            <v>EXP_ALUMINIUM</v>
          </cell>
        </row>
        <row r="187">
          <cell r="B187" t="str">
            <v>Expense - % Nickel</v>
          </cell>
          <cell r="C187" t="str">
            <v>EXP_NICKEL</v>
          </cell>
        </row>
        <row r="188">
          <cell r="B188" t="str">
            <v>Expense - % Zinc</v>
          </cell>
          <cell r="C188" t="str">
            <v>EXP_ZINC</v>
          </cell>
        </row>
        <row r="189">
          <cell r="B189" t="str">
            <v>Expense - % Paper/pulp</v>
          </cell>
          <cell r="C189" t="str">
            <v>EXP_PAPER_PULP</v>
          </cell>
        </row>
        <row r="190">
          <cell r="B190" t="str">
            <v>Expense - % Glass</v>
          </cell>
          <cell r="C190" t="str">
            <v>EXP_GLASS</v>
          </cell>
        </row>
        <row r="191">
          <cell r="B191" t="str">
            <v>Expense - % Water</v>
          </cell>
          <cell r="C191" t="str">
            <v>EXP_WATER</v>
          </cell>
        </row>
        <row r="192">
          <cell r="B192" t="str">
            <v>Expense - % Other commodity</v>
          </cell>
          <cell r="C192" t="str">
            <v>EXP_OTH_COMMODITY</v>
          </cell>
        </row>
        <row r="193">
          <cell r="B193" t="str">
            <v>Expense - % Other (Non-Commodity) cost</v>
          </cell>
          <cell r="C193" t="str">
            <v>EXP_OTH_COST</v>
          </cell>
        </row>
        <row r="194">
          <cell r="A194" t="str">
            <v>FX Exposure - Sales</v>
          </cell>
        </row>
        <row r="195">
          <cell r="B195" t="str">
            <v>Sales - % FX: British Pounds/Pence</v>
          </cell>
          <cell r="C195" t="str">
            <v>SALES_FX_GPB</v>
          </cell>
        </row>
        <row r="196">
          <cell r="B196" t="str">
            <v>Sales - % FX: Euro</v>
          </cell>
          <cell r="C196" t="str">
            <v>SALES_FX_EUR</v>
          </cell>
        </row>
        <row r="197">
          <cell r="B197" t="str">
            <v>Sales - % FX: New Russian Ruble</v>
          </cell>
          <cell r="C197" t="str">
            <v>SALES_FX_RUB</v>
          </cell>
        </row>
        <row r="198">
          <cell r="B198" t="str">
            <v>Sales - % FX: U.S. Dollar</v>
          </cell>
          <cell r="C198" t="str">
            <v>SALES_FX_USD</v>
          </cell>
          <cell r="J198">
            <v>0.163662759869</v>
          </cell>
          <cell r="K198">
            <v>0.351089722494</v>
          </cell>
          <cell r="M198">
            <v>0.60589125334600002</v>
          </cell>
          <cell r="N198">
            <v>0.49555353510599998</v>
          </cell>
          <cell r="O198">
            <v>0.54176326676999997</v>
          </cell>
          <cell r="P198">
            <v>0.54209257316500004</v>
          </cell>
          <cell r="Q198">
            <v>0.530320804945</v>
          </cell>
          <cell r="R198">
            <v>0.52632929126200001</v>
          </cell>
          <cell r="S198">
            <v>0.50186752881100005</v>
          </cell>
          <cell r="T198">
            <v>0.46990315221399998</v>
          </cell>
          <cell r="U198">
            <v>0.45654637074900001</v>
          </cell>
          <cell r="V198">
            <v>0.480238215365</v>
          </cell>
          <cell r="W198">
            <v>0.39899991067200002</v>
          </cell>
          <cell r="X198">
            <v>0.35085279726000002</v>
          </cell>
          <cell r="Y198">
            <v>0.310086877692</v>
          </cell>
          <cell r="Z198">
            <v>0.288134031741</v>
          </cell>
        </row>
        <row r="199">
          <cell r="B199" t="str">
            <v>Sales - % FX: Brazilian Real</v>
          </cell>
          <cell r="C199" t="str">
            <v>SALES_FX_BRL</v>
          </cell>
        </row>
        <row r="200">
          <cell r="B200" t="str">
            <v>Sales - % FX: Japanese Yen</v>
          </cell>
          <cell r="C200" t="str">
            <v>SALES_FX_YEN</v>
          </cell>
        </row>
        <row r="201">
          <cell r="B201" t="str">
            <v>Sales - % FX: Chinese Renminbi</v>
          </cell>
          <cell r="C201" t="str">
            <v>SALES_FX_CNY</v>
          </cell>
          <cell r="J201">
            <v>0.31386023799200002</v>
          </cell>
          <cell r="K201">
            <v>0.58640089762500003</v>
          </cell>
          <cell r="L201">
            <v>0.38927798552699999</v>
          </cell>
          <cell r="M201">
            <v>0.39433390421600001</v>
          </cell>
          <cell r="N201">
            <v>0.50444677456300002</v>
          </cell>
          <cell r="O201">
            <v>0.45823673323000003</v>
          </cell>
          <cell r="P201">
            <v>0.45790770336600001</v>
          </cell>
          <cell r="Q201">
            <v>0.469679195055</v>
          </cell>
          <cell r="R201">
            <v>0.47367070873799999</v>
          </cell>
          <cell r="S201">
            <v>0.49813262404399999</v>
          </cell>
          <cell r="T201">
            <v>0.53009695758200004</v>
          </cell>
          <cell r="U201">
            <v>0.54345362925100005</v>
          </cell>
          <cell r="V201">
            <v>0.519761784635</v>
          </cell>
          <cell r="W201">
            <v>0.60100008932799998</v>
          </cell>
          <cell r="X201">
            <v>0.64914720274000004</v>
          </cell>
          <cell r="Y201">
            <v>0.68991312230799995</v>
          </cell>
          <cell r="Z201">
            <v>0.71186596825899995</v>
          </cell>
        </row>
        <row r="202">
          <cell r="B202" t="str">
            <v>Sales - % FX: Indian Rupee</v>
          </cell>
          <cell r="C202" t="str">
            <v>SALES_FX_INR</v>
          </cell>
        </row>
        <row r="203">
          <cell r="B203" t="str">
            <v>Sales - % FX: South Korean Won</v>
          </cell>
          <cell r="C203" t="str">
            <v>SALES_FX_KRW</v>
          </cell>
        </row>
        <row r="204">
          <cell r="B204" t="str">
            <v>Sales - % FX: Taiwan Dollar</v>
          </cell>
          <cell r="C204" t="str">
            <v>SALES_FX_TWD</v>
          </cell>
        </row>
        <row r="205">
          <cell r="B205" t="str">
            <v>Sales - % FX: Other Currency</v>
          </cell>
          <cell r="C205" t="str">
            <v>SALES_FX_OTH</v>
          </cell>
        </row>
        <row r="206">
          <cell r="A206" t="str">
            <v>Items to be removed</v>
          </cell>
        </row>
        <row r="207">
          <cell r="B207" t="str">
            <v>Sales - Total % Americas</v>
          </cell>
          <cell r="C207" t="str">
            <v>SALES_TOT_AM</v>
          </cell>
          <cell r="K207">
            <v>8.3000000000000004E-2</v>
          </cell>
          <cell r="L207">
            <v>0.14199999999999999</v>
          </cell>
          <cell r="M207">
            <v>0.16</v>
          </cell>
          <cell r="N207">
            <v>0.17</v>
          </cell>
          <cell r="O207">
            <v>0.18</v>
          </cell>
          <cell r="P207">
            <v>0.19</v>
          </cell>
          <cell r="Q207">
            <v>0.2</v>
          </cell>
          <cell r="R207">
            <v>0.31</v>
          </cell>
          <cell r="S207">
            <v>0.32</v>
          </cell>
          <cell r="T207">
            <v>0.33</v>
          </cell>
          <cell r="U207">
            <v>0.34</v>
          </cell>
          <cell r="V207">
            <v>0.35</v>
          </cell>
          <cell r="W207">
            <v>0.36</v>
          </cell>
          <cell r="X207">
            <v>0.37</v>
          </cell>
          <cell r="Y207">
            <v>0.38</v>
          </cell>
          <cell r="Z207">
            <v>0.39</v>
          </cell>
        </row>
        <row r="208">
          <cell r="B208" t="str">
            <v>Sales - % Other Americas</v>
          </cell>
          <cell r="C208" t="str">
            <v>SALES_OTH_AM</v>
          </cell>
          <cell r="K208">
            <v>8.3000000000000004E-2</v>
          </cell>
          <cell r="L208">
            <v>0.14199999999999999</v>
          </cell>
          <cell r="M208">
            <v>0.16</v>
          </cell>
          <cell r="N208">
            <v>0.17</v>
          </cell>
          <cell r="O208">
            <v>0.18</v>
          </cell>
          <cell r="P208">
            <v>0.19</v>
          </cell>
          <cell r="Q208">
            <v>0.2</v>
          </cell>
          <cell r="R208">
            <v>0.21</v>
          </cell>
          <cell r="S208">
            <v>0.22</v>
          </cell>
          <cell r="T208">
            <v>0.23</v>
          </cell>
          <cell r="U208">
            <v>0.24</v>
          </cell>
          <cell r="V208">
            <v>0.25</v>
          </cell>
          <cell r="W208">
            <v>0.26</v>
          </cell>
          <cell r="X208">
            <v>0.27</v>
          </cell>
          <cell r="Y208">
            <v>0.28000000000000003</v>
          </cell>
          <cell r="Z208">
            <v>0.28999999999999998</v>
          </cell>
        </row>
        <row r="209">
          <cell r="B209" t="str">
            <v>Sales - Total % EMEA</v>
          </cell>
          <cell r="C209" t="str">
            <v>SALES_TOT_EMEA</v>
          </cell>
          <cell r="K209">
            <v>0.111</v>
          </cell>
          <cell r="L209">
            <v>0.158</v>
          </cell>
          <cell r="M209">
            <v>0.21</v>
          </cell>
          <cell r="N209">
            <v>0.22</v>
          </cell>
          <cell r="O209">
            <v>0.23</v>
          </cell>
          <cell r="P209">
            <v>0.24</v>
          </cell>
          <cell r="Q209">
            <v>0.25</v>
          </cell>
          <cell r="R209">
            <v>0.31</v>
          </cell>
          <cell r="S209">
            <v>0.32</v>
          </cell>
          <cell r="T209">
            <v>0.33</v>
          </cell>
          <cell r="U209">
            <v>0.34</v>
          </cell>
          <cell r="V209">
            <v>0.35</v>
          </cell>
          <cell r="W209">
            <v>0.36</v>
          </cell>
          <cell r="X209">
            <v>0.37</v>
          </cell>
          <cell r="Y209">
            <v>0.38</v>
          </cell>
          <cell r="Z209">
            <v>0.39</v>
          </cell>
        </row>
        <row r="210">
          <cell r="B210" t="str">
            <v>Sales - % Western Europe-Ex UK</v>
          </cell>
          <cell r="C210" t="str">
            <v>SALES_EU_EX_UK</v>
          </cell>
        </row>
        <row r="211">
          <cell r="B211" t="str">
            <v>Sales - % Central &amp; Eastern Europe</v>
          </cell>
          <cell r="C211" t="str">
            <v>SALES_CEE</v>
          </cell>
        </row>
        <row r="212">
          <cell r="B212" t="str">
            <v>Sales - % Middle East</v>
          </cell>
          <cell r="C212" t="str">
            <v>SALES_ME</v>
          </cell>
        </row>
        <row r="213">
          <cell r="B213" t="str">
            <v>Sales - % Total Africa</v>
          </cell>
          <cell r="C213" t="str">
            <v>SALES_TOT_AFRICA</v>
          </cell>
        </row>
        <row r="214">
          <cell r="B214" t="str">
            <v>Sales - % Other EMEA</v>
          </cell>
          <cell r="C214" t="str">
            <v>SALES_OTH_EMEA</v>
          </cell>
          <cell r="K214">
            <v>0.111</v>
          </cell>
          <cell r="L214">
            <v>0.158</v>
          </cell>
          <cell r="M214">
            <v>0.21</v>
          </cell>
          <cell r="N214">
            <v>0.22</v>
          </cell>
          <cell r="O214">
            <v>0.23</v>
          </cell>
          <cell r="P214">
            <v>0.24</v>
          </cell>
          <cell r="Q214">
            <v>0.25</v>
          </cell>
          <cell r="R214">
            <v>0.26</v>
          </cell>
          <cell r="S214">
            <v>0.27</v>
          </cell>
          <cell r="T214">
            <v>0.28000000000000003</v>
          </cell>
          <cell r="U214">
            <v>0.28999999999999998</v>
          </cell>
          <cell r="V214">
            <v>0.3</v>
          </cell>
          <cell r="W214">
            <v>0.31</v>
          </cell>
          <cell r="X214">
            <v>0.32</v>
          </cell>
          <cell r="Y214">
            <v>0.33</v>
          </cell>
          <cell r="Z214">
            <v>0.34</v>
          </cell>
        </row>
        <row r="215">
          <cell r="B215" t="str">
            <v>Sales - Total % Asia (incl Australia &amp; New Zealand)</v>
          </cell>
          <cell r="C215" t="str">
            <v>SALES_TOT_ASIA</v>
          </cell>
          <cell r="K215">
            <v>0.80600000000000005</v>
          </cell>
          <cell r="L215">
            <v>0.7</v>
          </cell>
          <cell r="M215">
            <v>0.63</v>
          </cell>
          <cell r="N215">
            <v>0.61</v>
          </cell>
          <cell r="O215">
            <v>0.59</v>
          </cell>
          <cell r="P215">
            <v>0.56999999999999995</v>
          </cell>
          <cell r="Q215">
            <v>0.55000000000000004</v>
          </cell>
          <cell r="R215">
            <v>0.82967055763399999</v>
          </cell>
          <cell r="S215">
            <v>0.83413262404400002</v>
          </cell>
          <cell r="T215">
            <v>0.866096957582</v>
          </cell>
          <cell r="U215">
            <v>0.866096957582</v>
          </cell>
          <cell r="V215">
            <v>0.866096957582</v>
          </cell>
          <cell r="W215">
            <v>0.84609695758199999</v>
          </cell>
          <cell r="X215">
            <v>0.82609695758199997</v>
          </cell>
          <cell r="Y215">
            <v>0.80609695758199995</v>
          </cell>
          <cell r="Z215">
            <v>0.78609695758200004</v>
          </cell>
        </row>
        <row r="216">
          <cell r="B216" t="str">
            <v>Sales - % Other Asia</v>
          </cell>
          <cell r="C216" t="str">
            <v>SALES_OTH_AEJ</v>
          </cell>
          <cell r="K216">
            <v>0.25</v>
          </cell>
          <cell r="L216">
            <v>0.27800000000000002</v>
          </cell>
          <cell r="M216">
            <v>0.23599999999999999</v>
          </cell>
          <cell r="N216">
            <v>0.23599999999999999</v>
          </cell>
          <cell r="O216">
            <v>0.23599999999999999</v>
          </cell>
          <cell r="P216">
            <v>0.23599999999999999</v>
          </cell>
          <cell r="Q216">
            <v>0.23599999999999999</v>
          </cell>
          <cell r="R216">
            <v>0.23599999999999999</v>
          </cell>
          <cell r="S216">
            <v>0.23599999999999999</v>
          </cell>
          <cell r="T216">
            <v>0.23599999999999999</v>
          </cell>
          <cell r="U216">
            <v>0.23599999999999999</v>
          </cell>
          <cell r="V216">
            <v>0.23599999999999999</v>
          </cell>
          <cell r="W216">
            <v>0.23599999999999999</v>
          </cell>
          <cell r="X216">
            <v>0.23599999999999999</v>
          </cell>
          <cell r="Y216">
            <v>0.23599999999999999</v>
          </cell>
          <cell r="Z216">
            <v>0.23599999999999999</v>
          </cell>
        </row>
        <row r="217">
          <cell r="A217" t="str">
            <v>Security: ZTE Corp. (H)</v>
          </cell>
          <cell r="B217" t="str">
            <v>44N1S</v>
          </cell>
        </row>
        <row r="218">
          <cell r="A218" t="str">
            <v>Reference Data</v>
          </cell>
        </row>
        <row r="219">
          <cell r="B219" t="str">
            <v>Ticker</v>
          </cell>
          <cell r="C219" t="str">
            <v>Ticker</v>
          </cell>
          <cell r="E219" t="str">
            <v>0763.HK</v>
          </cell>
        </row>
        <row r="220">
          <cell r="B220" t="str">
            <v>Security Name</v>
          </cell>
          <cell r="C220" t="str">
            <v>Security Name</v>
          </cell>
          <cell r="E220" t="str">
            <v>ZTE Corp. (H)</v>
          </cell>
        </row>
        <row r="221">
          <cell r="B221" t="str">
            <v>Interim Type</v>
          </cell>
          <cell r="C221" t="str">
            <v>Interim Type</v>
          </cell>
          <cell r="E221" t="str">
            <v>Q</v>
          </cell>
        </row>
        <row r="222">
          <cell r="B222" t="str">
            <v>Publishing Currency</v>
          </cell>
          <cell r="C222" t="str">
            <v>PUB_CURRENCY_ISO</v>
          </cell>
          <cell r="E222" t="str">
            <v>CNY</v>
          </cell>
        </row>
        <row r="223">
          <cell r="B223" t="str">
            <v>Pricing Currency</v>
          </cell>
          <cell r="C223" t="str">
            <v>PRICE_CURRENCY_ISO</v>
          </cell>
          <cell r="E223" t="str">
            <v>HKD</v>
          </cell>
        </row>
        <row r="224">
          <cell r="B224" t="str">
            <v>Reporting Currency</v>
          </cell>
          <cell r="C224" t="str">
            <v>CURRENCY_ISO</v>
          </cell>
          <cell r="E224" t="str">
            <v>CNY</v>
          </cell>
        </row>
        <row r="225">
          <cell r="A225" t="str">
            <v>General Information</v>
          </cell>
        </row>
        <row r="226">
          <cell r="B226" t="str">
            <v>Asia ex. Japan Investment List</v>
          </cell>
          <cell r="C226" t="str">
            <v>AEJ_LIST</v>
          </cell>
        </row>
        <row r="227">
          <cell r="B227" t="str">
            <v>Asia ex. Japan Conviction List</v>
          </cell>
          <cell r="C227" t="str">
            <v>AEJ_CONVICTION</v>
          </cell>
        </row>
        <row r="228">
          <cell r="B228" t="str">
            <v>Legal rating</v>
          </cell>
          <cell r="C228" t="str">
            <v>LEGAL_RATING</v>
          </cell>
        </row>
        <row r="229">
          <cell r="B229" t="str">
            <v>Target price</v>
          </cell>
          <cell r="C229" t="str">
            <v>TARGET_PRICE</v>
          </cell>
          <cell r="D229" t="str">
            <v>HKD</v>
          </cell>
          <cell r="E229">
            <v>14</v>
          </cell>
        </row>
        <row r="230">
          <cell r="B230" t="str">
            <v>Target price period</v>
          </cell>
          <cell r="C230" t="str">
            <v>TP_PERIOD</v>
          </cell>
          <cell r="E230" t="str">
            <v>12 months</v>
          </cell>
        </row>
        <row r="231">
          <cell r="B231" t="str">
            <v>Fundamental value</v>
          </cell>
          <cell r="C231" t="str">
            <v>TARGET_PRICE_FUNDAMENTAL</v>
          </cell>
          <cell r="D231" t="str">
            <v>HKD</v>
          </cell>
        </row>
        <row r="232">
          <cell r="B232" t="str">
            <v>M&amp;A value</v>
          </cell>
          <cell r="C232" t="str">
            <v>TARGET_PRICE_MA</v>
          </cell>
          <cell r="D232" t="str">
            <v>HKD</v>
          </cell>
        </row>
        <row r="233">
          <cell r="B233" t="str">
            <v>Current shares outstanding (mn)</v>
          </cell>
          <cell r="C233" t="str">
            <v>NUM_SH</v>
          </cell>
          <cell r="E233">
            <v>4150.7910000000002</v>
          </cell>
        </row>
        <row r="234">
          <cell r="B234" t="str">
            <v>Free float</v>
          </cell>
          <cell r="C234" t="str">
            <v>FREE_FLOAT</v>
          </cell>
          <cell r="E234">
            <v>0.90152399999999999</v>
          </cell>
        </row>
        <row r="235">
          <cell r="B235" t="str">
            <v>Foreign ownership</v>
          </cell>
          <cell r="C235" t="str">
            <v>FOREIGN_HOLDNG</v>
          </cell>
        </row>
        <row r="236">
          <cell r="B236" t="str">
            <v>Zhongxingxiin</v>
          </cell>
          <cell r="C236" t="str">
            <v>ACT1</v>
          </cell>
          <cell r="E236">
            <v>0.3508</v>
          </cell>
        </row>
        <row r="237">
          <cell r="B237" t="str">
            <v>Fortune Trust &amp; Investment Co., Ltd</v>
          </cell>
          <cell r="C237" t="str">
            <v>ACT2</v>
          </cell>
          <cell r="E237">
            <v>0.1666</v>
          </cell>
        </row>
        <row r="238">
          <cell r="B238" t="str">
            <v>Deutsche Bank Aktiengesellschaft</v>
          </cell>
          <cell r="C238" t="str">
            <v>ACT3</v>
          </cell>
          <cell r="E238">
            <v>1.8800000000000001E-2</v>
          </cell>
        </row>
        <row r="239">
          <cell r="B239" t="str">
            <v>Hunan Nantian</v>
          </cell>
          <cell r="C239" t="str">
            <v>ACT4</v>
          </cell>
          <cell r="E239">
            <v>1.6E-2</v>
          </cell>
        </row>
        <row r="240">
          <cell r="B240" t="str">
            <v>Catalyst 1 date</v>
          </cell>
          <cell r="C240" t="str">
            <v>CATALYST1_DATE</v>
          </cell>
        </row>
        <row r="241">
          <cell r="B241" t="str">
            <v>Catalyst 1 description</v>
          </cell>
          <cell r="C241" t="str">
            <v>CATALYST1_EVENT</v>
          </cell>
        </row>
        <row r="242">
          <cell r="B242" t="str">
            <v>Catalyst 2 date</v>
          </cell>
          <cell r="C242" t="str">
            <v>CATALYST2_DATE</v>
          </cell>
        </row>
        <row r="243">
          <cell r="B243" t="str">
            <v>Catalyst 2 description</v>
          </cell>
          <cell r="C243" t="str">
            <v>CATALYST2_EVENT</v>
          </cell>
        </row>
        <row r="244">
          <cell r="B244" t="str">
            <v>Catalyst 3 date</v>
          </cell>
          <cell r="C244" t="str">
            <v>CATALYST3_DATE</v>
          </cell>
        </row>
        <row r="245">
          <cell r="B245" t="str">
            <v>Catalyst 3 description</v>
          </cell>
          <cell r="C245" t="str">
            <v>CATALYST3_EVENT</v>
          </cell>
        </row>
        <row r="246">
          <cell r="B246" t="str">
            <v>Catalyst 4 date</v>
          </cell>
          <cell r="C246" t="str">
            <v>CATALYST4_DATE</v>
          </cell>
        </row>
        <row r="247">
          <cell r="B247" t="str">
            <v>Catalyst 4 description</v>
          </cell>
          <cell r="C247" t="str">
            <v>CATALYST4_EVENT</v>
          </cell>
        </row>
        <row r="248">
          <cell r="B248" t="str">
            <v>Catalyst 5 date</v>
          </cell>
          <cell r="C248" t="str">
            <v>CATALYST5_DATE</v>
          </cell>
        </row>
        <row r="249">
          <cell r="B249" t="str">
            <v>Catalyst 5 description</v>
          </cell>
          <cell r="C249" t="str">
            <v>CATALYST5_EVENT</v>
          </cell>
        </row>
        <row r="250">
          <cell r="B250" t="str">
            <v>Target price multiple</v>
          </cell>
          <cell r="C250" t="str">
            <v>PRI_TARG_MULT</v>
          </cell>
          <cell r="E250">
            <v>10</v>
          </cell>
        </row>
        <row r="251">
          <cell r="B251" t="str">
            <v>Target price methodology</v>
          </cell>
          <cell r="C251" t="str">
            <v>PRI_TARG_METH</v>
          </cell>
          <cell r="E251" t="str">
            <v>P/E</v>
          </cell>
        </row>
        <row r="252">
          <cell r="A252" t="str">
            <v>Publishing Items</v>
          </cell>
        </row>
        <row r="253">
          <cell r="B253" t="str">
            <v>Book value per share, BVPS (Pub)</v>
          </cell>
          <cell r="C253" t="str">
            <v>BVPS_PUB</v>
          </cell>
          <cell r="D253" t="str">
            <v>CNY</v>
          </cell>
          <cell r="F253">
            <v>6.9474620788920003</v>
          </cell>
          <cell r="G253">
            <v>7.6902836781039996</v>
          </cell>
          <cell r="H253">
            <v>7.2587605480780004</v>
          </cell>
          <cell r="I253">
            <v>9.3114686270870006</v>
          </cell>
          <cell r="J253">
            <v>10.302228609662</v>
          </cell>
          <cell r="K253">
            <v>11.068028664271999</v>
          </cell>
          <cell r="L253">
            <v>12.399174797451</v>
          </cell>
          <cell r="M253">
            <v>10.307627314212001</v>
          </cell>
          <cell r="N253">
            <v>9.1299887076980006</v>
          </cell>
          <cell r="O253">
            <v>7.858718917569</v>
          </cell>
          <cell r="P253">
            <v>6.8562584918129996</v>
          </cell>
          <cell r="Q253">
            <v>6.2505774578370001</v>
          </cell>
          <cell r="R253">
            <v>6.5248740305929998</v>
          </cell>
          <cell r="S253">
            <v>7.0373170821819997</v>
          </cell>
          <cell r="T253">
            <v>7.145648624563</v>
          </cell>
          <cell r="U253">
            <v>6.3090795645400002</v>
          </cell>
          <cell r="V253">
            <v>9.7713825455460004</v>
          </cell>
          <cell r="W253">
            <v>8.2949345443600002</v>
          </cell>
          <cell r="X253">
            <v>9.2569880063549999</v>
          </cell>
          <cell r="Y253">
            <v>10.51027959552</v>
          </cell>
          <cell r="Z253">
            <v>11.947698358781</v>
          </cell>
        </row>
        <row r="254">
          <cell r="B254" t="str">
            <v>DPS, dividend per share (Pub)</v>
          </cell>
          <cell r="C254" t="str">
            <v>DPS_PUB</v>
          </cell>
          <cell r="D254" t="str">
            <v>CNY</v>
          </cell>
          <cell r="K254">
            <v>0.15</v>
          </cell>
          <cell r="L254">
            <v>0.25</v>
          </cell>
          <cell r="M254">
            <v>0.3</v>
          </cell>
          <cell r="N254">
            <v>0.3</v>
          </cell>
          <cell r="O254">
            <v>0.3</v>
          </cell>
          <cell r="P254">
            <v>0.2</v>
          </cell>
          <cell r="Q254">
            <v>0</v>
          </cell>
          <cell r="R254">
            <v>2.9999933092000001E-2</v>
          </cell>
          <cell r="S254">
            <v>0.2</v>
          </cell>
          <cell r="T254">
            <v>0.25</v>
          </cell>
          <cell r="U254">
            <v>0.25</v>
          </cell>
          <cell r="V254">
            <v>0.25</v>
          </cell>
          <cell r="W254">
            <v>0</v>
          </cell>
          <cell r="X254">
            <v>0.28632543511699998</v>
          </cell>
          <cell r="Y254">
            <v>0.37300344915599998</v>
          </cell>
          <cell r="Z254">
            <v>0.42780320335100003</v>
          </cell>
        </row>
        <row r="255">
          <cell r="B255" t="str">
            <v>Special dividend per share</v>
          </cell>
          <cell r="C255" t="str">
            <v>DPS_SPECIAL_PUB</v>
          </cell>
          <cell r="D255" t="str">
            <v>CNY</v>
          </cell>
        </row>
        <row r="256">
          <cell r="B256" t="str">
            <v>EBITDA (Pub)</v>
          </cell>
          <cell r="C256" t="str">
            <v>EBITDA_PUB</v>
          </cell>
          <cell r="D256" t="str">
            <v>CNY</v>
          </cell>
          <cell r="F256">
            <v>981.15102132999903</v>
          </cell>
          <cell r="G256">
            <v>937.09427299000095</v>
          </cell>
          <cell r="H256">
            <v>1419.1523642300001</v>
          </cell>
          <cell r="I256">
            <v>1791.6410000000001</v>
          </cell>
          <cell r="J256">
            <v>1811.2639999999999</v>
          </cell>
          <cell r="K256">
            <v>1165.482</v>
          </cell>
          <cell r="L256">
            <v>2719.183</v>
          </cell>
          <cell r="M256">
            <v>3678.7359999999899</v>
          </cell>
          <cell r="N256">
            <v>4500.51800000001</v>
          </cell>
          <cell r="O256">
            <v>4585.5289999999904</v>
          </cell>
          <cell r="P256">
            <v>4163.0420000000104</v>
          </cell>
          <cell r="Q256">
            <v>-1816.9189999999901</v>
          </cell>
          <cell r="R256">
            <v>3160.2440000000101</v>
          </cell>
          <cell r="S256">
            <v>4885.79900000002</v>
          </cell>
          <cell r="T256">
            <v>5498.7960000000003</v>
          </cell>
          <cell r="U256">
            <v>4986.55799999999</v>
          </cell>
          <cell r="V256">
            <v>10365.805</v>
          </cell>
          <cell r="W256">
            <v>6849.98311952732</v>
          </cell>
          <cell r="X256">
            <v>9277.5611167061797</v>
          </cell>
          <cell r="Y256">
            <v>11163.035780456899</v>
          </cell>
          <cell r="Z256">
            <v>12431.970448215499</v>
          </cell>
        </row>
        <row r="257">
          <cell r="B257" t="str">
            <v>EPS (Pub)</v>
          </cell>
          <cell r="C257" t="str">
            <v>EPS_PUB</v>
          </cell>
          <cell r="D257" t="str">
            <v>CNY</v>
          </cell>
          <cell r="K257">
            <v>0.8</v>
          </cell>
          <cell r="L257">
            <v>1.3</v>
          </cell>
          <cell r="M257">
            <v>1.24</v>
          </cell>
          <cell r="N257">
            <v>1.4</v>
          </cell>
          <cell r="O257">
            <v>1.17</v>
          </cell>
          <cell r="P257">
            <v>0.61</v>
          </cell>
          <cell r="Q257">
            <v>-0.83</v>
          </cell>
          <cell r="R257">
            <v>0.39</v>
          </cell>
          <cell r="S257">
            <v>0.77</v>
          </cell>
          <cell r="T257">
            <v>0.78</v>
          </cell>
          <cell r="U257">
            <v>-0.56999999999999995</v>
          </cell>
          <cell r="V257">
            <v>1.0900000000000001</v>
          </cell>
          <cell r="W257">
            <v>-1.5433769190690001</v>
          </cell>
          <cell r="X257">
            <v>1.248378897112</v>
          </cell>
          <cell r="Y257">
            <v>1.626295038321</v>
          </cell>
          <cell r="Z257">
            <v>1.865221966612</v>
          </cell>
          <cell r="AB257">
            <v>0.23</v>
          </cell>
          <cell r="AC257">
            <v>0.2</v>
          </cell>
          <cell r="AD257">
            <v>0.26</v>
          </cell>
          <cell r="AE257">
            <v>-1.26</v>
          </cell>
          <cell r="AF257">
            <v>0.28999999999999998</v>
          </cell>
          <cell r="AG257">
            <v>0.26</v>
          </cell>
          <cell r="AH257">
            <v>0.38</v>
          </cell>
          <cell r="AI257">
            <v>0.16</v>
          </cell>
          <cell r="AJ257">
            <v>-1.29</v>
          </cell>
          <cell r="AK257">
            <v>-0.57999999999999996</v>
          </cell>
          <cell r="AL257">
            <v>0.14000000000000001</v>
          </cell>
          <cell r="AM257">
            <v>0.186623080931</v>
          </cell>
          <cell r="AN257">
            <v>0.33277874061500001</v>
          </cell>
          <cell r="AO257">
            <v>0.28246420699699998</v>
          </cell>
          <cell r="AP257">
            <v>0.39388678437699998</v>
          </cell>
          <cell r="AQ257">
            <v>0.23924916512300001</v>
          </cell>
        </row>
        <row r="258">
          <cell r="B258" t="str">
            <v>EV adjustment (Pub)</v>
          </cell>
          <cell r="C258" t="str">
            <v>EV_ADJ_PUB</v>
          </cell>
          <cell r="D258" t="str">
            <v>CNY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 t="str">
            <v>Net debt (Pub)</v>
          </cell>
          <cell r="C259" t="str">
            <v>NET_DEBT_PUB</v>
          </cell>
          <cell r="D259" t="str">
            <v>CNY</v>
          </cell>
          <cell r="F259">
            <v>-558.70585342000004</v>
          </cell>
          <cell r="G259">
            <v>-1489.7112419600001</v>
          </cell>
          <cell r="H259">
            <v>-1875.31038743</v>
          </cell>
          <cell r="I259">
            <v>-6150.3649999999998</v>
          </cell>
          <cell r="J259">
            <v>-4893.4369999999999</v>
          </cell>
          <cell r="K259">
            <v>-1686.0920000000001</v>
          </cell>
          <cell r="L259">
            <v>5.4829999999999997</v>
          </cell>
          <cell r="M259">
            <v>-4523.3739999999998</v>
          </cell>
          <cell r="N259">
            <v>-5253.9470000000001</v>
          </cell>
          <cell r="O259">
            <v>-5762.6670000000004</v>
          </cell>
          <cell r="P259">
            <v>-2654.817</v>
          </cell>
          <cell r="Q259">
            <v>-688.40599999999495</v>
          </cell>
          <cell r="R259">
            <v>-174.40500000000199</v>
          </cell>
          <cell r="S259">
            <v>9096.1470000000008</v>
          </cell>
          <cell r="T259">
            <v>-9483.5789999999997</v>
          </cell>
          <cell r="U259">
            <v>-10267.493</v>
          </cell>
          <cell r="V259">
            <v>-11869.866</v>
          </cell>
          <cell r="W259">
            <v>-2695.5258033097598</v>
          </cell>
          <cell r="X259">
            <v>-5200.0996330476501</v>
          </cell>
          <cell r="Y259">
            <v>-7626.7819870397798</v>
          </cell>
          <cell r="Z259">
            <v>-10993.7096192361</v>
          </cell>
        </row>
        <row r="260">
          <cell r="B260" t="str">
            <v>Net income (Pub)</v>
          </cell>
          <cell r="C260" t="str">
            <v>NI_PUB</v>
          </cell>
          <cell r="D260" t="str">
            <v>CNY</v>
          </cell>
          <cell r="F260">
            <v>570.26894061999997</v>
          </cell>
          <cell r="G260">
            <v>566.99994156000002</v>
          </cell>
          <cell r="H260">
            <v>752.49847979000106</v>
          </cell>
          <cell r="I260">
            <v>1008.87</v>
          </cell>
          <cell r="J260">
            <v>1194.3430000000001</v>
          </cell>
          <cell r="K260">
            <v>766.97199999999998</v>
          </cell>
          <cell r="L260">
            <v>1252.1579999999999</v>
          </cell>
          <cell r="M260">
            <v>1660.1990000000001</v>
          </cell>
          <cell r="N260">
            <v>2458.1210000000001</v>
          </cell>
          <cell r="O260">
            <v>3250.2469999999998</v>
          </cell>
          <cell r="P260">
            <v>2060.1660000000102</v>
          </cell>
          <cell r="Q260">
            <v>-2840.96200000001</v>
          </cell>
          <cell r="R260">
            <v>1357.6570000000099</v>
          </cell>
          <cell r="S260">
            <v>2633.5709999999899</v>
          </cell>
          <cell r="T260">
            <v>3207.8850000000002</v>
          </cell>
          <cell r="U260">
            <v>-2357.4180000000001</v>
          </cell>
          <cell r="V260">
            <v>4568.1708999999901</v>
          </cell>
          <cell r="W260">
            <v>-6470.87319402715</v>
          </cell>
          <cell r="X260">
            <v>5234.0432473135897</v>
          </cell>
          <cell r="Y260">
            <v>6818.5216709072702</v>
          </cell>
          <cell r="Z260">
            <v>7820.2639132011</v>
          </cell>
          <cell r="AB260">
            <v>949.50999999999897</v>
          </cell>
          <cell r="AC260">
            <v>816.88700000000995</v>
          </cell>
          <cell r="AD260">
            <v>1092.49</v>
          </cell>
          <cell r="AE260">
            <v>-5216.3050000000103</v>
          </cell>
          <cell r="AF260">
            <v>1213.607</v>
          </cell>
          <cell r="AG260">
            <v>1079.26000000001</v>
          </cell>
          <cell r="AH260">
            <v>1611.7850000000101</v>
          </cell>
          <cell r="AI260">
            <v>663.51889999997502</v>
          </cell>
          <cell r="AJ260">
            <v>-5407.2370000000001</v>
          </cell>
          <cell r="AK260">
            <v>-2416.95299999999</v>
          </cell>
          <cell r="AL260">
            <v>564.46699999999805</v>
          </cell>
          <cell r="AM260">
            <v>788.84980597284596</v>
          </cell>
          <cell r="AN260">
            <v>1341.7329812748701</v>
          </cell>
          <cell r="AO260">
            <v>1138.8694537937799</v>
          </cell>
          <cell r="AP260">
            <v>1588.11493940679</v>
          </cell>
          <cell r="AQ260">
            <v>1165.32587283815</v>
          </cell>
        </row>
        <row r="261">
          <cell r="B261" t="str">
            <v>EBIT, operating profit (Pub)</v>
          </cell>
          <cell r="C261" t="str">
            <v>EBIT_PUB</v>
          </cell>
          <cell r="D261" t="str">
            <v>CNY</v>
          </cell>
          <cell r="F261">
            <v>879.67101333999904</v>
          </cell>
          <cell r="G261">
            <v>711.65843020000102</v>
          </cell>
          <cell r="H261">
            <v>1123.65112067</v>
          </cell>
          <cell r="I261">
            <v>1430.0219999999999</v>
          </cell>
          <cell r="J261">
            <v>1365.271</v>
          </cell>
          <cell r="K261">
            <v>612.61699999999803</v>
          </cell>
          <cell r="L261">
            <v>2109.2620000000002</v>
          </cell>
          <cell r="M261">
            <v>2978.6669999999899</v>
          </cell>
          <cell r="N261">
            <v>3562.3980000000101</v>
          </cell>
          <cell r="O261">
            <v>3522.53799999999</v>
          </cell>
          <cell r="P261">
            <v>2756.6420000000098</v>
          </cell>
          <cell r="Q261">
            <v>-3355.4380000000001</v>
          </cell>
          <cell r="R261">
            <v>1438.27900000001</v>
          </cell>
          <cell r="S261">
            <v>3080.78100000002</v>
          </cell>
          <cell r="T261">
            <v>3426.799</v>
          </cell>
          <cell r="U261">
            <v>2556.1909999999898</v>
          </cell>
          <cell r="V261">
            <v>7762.6660000000002</v>
          </cell>
          <cell r="W261">
            <v>4269.9627691451597</v>
          </cell>
          <cell r="X261">
            <v>6418.6564084808097</v>
          </cell>
          <cell r="Y261">
            <v>8021.3349846095698</v>
          </cell>
          <cell r="Z261">
            <v>9011.8850154125503</v>
          </cell>
          <cell r="AB261">
            <v>771.70499999999902</v>
          </cell>
          <cell r="AC261">
            <v>358.25600000000998</v>
          </cell>
          <cell r="AD261">
            <v>319.45499999999601</v>
          </cell>
          <cell r="AE261">
            <v>1106.7749999999901</v>
          </cell>
          <cell r="AF261">
            <v>1259.3019999999999</v>
          </cell>
          <cell r="AG261">
            <v>3358.2910000000102</v>
          </cell>
          <cell r="AH261">
            <v>643.58100000000604</v>
          </cell>
          <cell r="AI261">
            <v>2501.4919999999802</v>
          </cell>
          <cell r="AJ261">
            <v>2213.44</v>
          </cell>
          <cell r="AK261">
            <v>-2180.0079999999898</v>
          </cell>
          <cell r="AL261">
            <v>1491.6990000000001</v>
          </cell>
          <cell r="AM261">
            <v>2744.8317691451698</v>
          </cell>
          <cell r="AN261">
            <v>1437.7279653355299</v>
          </cell>
          <cell r="AO261">
            <v>1593.3980865298799</v>
          </cell>
          <cell r="AP261">
            <v>1488.20900503966</v>
          </cell>
          <cell r="AQ261">
            <v>1899.32135157573</v>
          </cell>
        </row>
        <row r="262">
          <cell r="B262" t="str">
            <v>Pre-tax profit (Pub)</v>
          </cell>
          <cell r="C262" t="str">
            <v>PTP_PUB</v>
          </cell>
          <cell r="D262" t="str">
            <v>CNY</v>
          </cell>
          <cell r="F262">
            <v>680.88113763000001</v>
          </cell>
          <cell r="G262">
            <v>738.19558877999998</v>
          </cell>
          <cell r="H262">
            <v>974.63014398000098</v>
          </cell>
          <cell r="I262">
            <v>1418.816</v>
          </cell>
          <cell r="J262">
            <v>1501.864</v>
          </cell>
          <cell r="K262">
            <v>1030.69</v>
          </cell>
          <cell r="L262">
            <v>1727.7339999999999</v>
          </cell>
          <cell r="M262">
            <v>2262.5430000000001</v>
          </cell>
          <cell r="N262">
            <v>3324.7420000000002</v>
          </cell>
          <cell r="O262">
            <v>4360.201</v>
          </cell>
          <cell r="P262">
            <v>2635.13600000001</v>
          </cell>
          <cell r="Q262">
            <v>-1983.20000000001</v>
          </cell>
          <cell r="R262">
            <v>1827.8430000000101</v>
          </cell>
          <cell r="S262">
            <v>3538.2219999999902</v>
          </cell>
          <cell r="T262">
            <v>4303.5320000000002</v>
          </cell>
          <cell r="U262">
            <v>-767.751000000001</v>
          </cell>
          <cell r="V262">
            <v>6718.9228999999896</v>
          </cell>
          <cell r="W262">
            <v>-6190.2482191246499</v>
          </cell>
          <cell r="X262">
            <v>5630.7218985210102</v>
          </cell>
          <cell r="Y262">
            <v>7294.5313238557401</v>
          </cell>
          <cell r="Z262">
            <v>8344.3150494565507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</row>
        <row r="263">
          <cell r="B263" t="str">
            <v>Sales, revenue (Pub)</v>
          </cell>
          <cell r="C263" t="str">
            <v>REVS_PUB</v>
          </cell>
          <cell r="D263" t="str">
            <v>CNY</v>
          </cell>
          <cell r="F263">
            <v>9332.0207541399996</v>
          </cell>
          <cell r="G263">
            <v>11009.240726219999</v>
          </cell>
          <cell r="H263">
            <v>16036.03489703</v>
          </cell>
          <cell r="I263">
            <v>22698.152999999998</v>
          </cell>
          <cell r="J263">
            <v>21575.919999999998</v>
          </cell>
          <cell r="K263">
            <v>23214.58</v>
          </cell>
          <cell r="L263">
            <v>34777.180999999997</v>
          </cell>
          <cell r="M263">
            <v>44293.427000000003</v>
          </cell>
          <cell r="N263">
            <v>60272.563000000002</v>
          </cell>
          <cell r="O263">
            <v>70263.873999999996</v>
          </cell>
          <cell r="P263">
            <v>86254.456000000006</v>
          </cell>
          <cell r="Q263">
            <v>84219.357999999993</v>
          </cell>
          <cell r="R263">
            <v>75233.724000000002</v>
          </cell>
          <cell r="S263">
            <v>81471.274999999994</v>
          </cell>
          <cell r="T263">
            <v>100186.389</v>
          </cell>
          <cell r="U263">
            <v>101233.182</v>
          </cell>
          <cell r="V263">
            <v>108815.273</v>
          </cell>
          <cell r="W263">
            <v>86714.147714811901</v>
          </cell>
          <cell r="X263">
            <v>85796.992186257994</v>
          </cell>
          <cell r="Y263">
            <v>91771.810419709698</v>
          </cell>
          <cell r="Z263">
            <v>95895.369232231795</v>
          </cell>
          <cell r="AB263">
            <v>21858.508999999998</v>
          </cell>
          <cell r="AC263">
            <v>25898.793000000001</v>
          </cell>
          <cell r="AD263">
            <v>23806.702000000001</v>
          </cell>
          <cell r="AE263">
            <v>29669.178</v>
          </cell>
          <cell r="AF263">
            <v>25744.612000000001</v>
          </cell>
          <cell r="AG263">
            <v>28265.984</v>
          </cell>
          <cell r="AH263">
            <v>22569.143</v>
          </cell>
          <cell r="AI263">
            <v>32235.534</v>
          </cell>
          <cell r="AJ263">
            <v>27526.342000000001</v>
          </cell>
          <cell r="AK263">
            <v>11907.434999999999</v>
          </cell>
          <cell r="AL263">
            <v>19332.409</v>
          </cell>
          <cell r="AM263">
            <v>27947.9617148119</v>
          </cell>
          <cell r="AN263">
            <v>19217.843604289901</v>
          </cell>
          <cell r="AO263">
            <v>21298.657301389801</v>
          </cell>
          <cell r="AP263">
            <v>19892.614318504598</v>
          </cell>
          <cell r="AQ263">
            <v>25387.876962073598</v>
          </cell>
        </row>
        <row r="264">
          <cell r="B264" t="str">
            <v>Total shareholders' equity (Pub)</v>
          </cell>
          <cell r="C264" t="str">
            <v>EQ_PUB</v>
          </cell>
          <cell r="D264" t="str">
            <v>CNY</v>
          </cell>
          <cell r="F264">
            <v>3962.4510217500001</v>
          </cell>
          <cell r="G264">
            <v>4493.2058899599997</v>
          </cell>
          <cell r="H264">
            <v>5276.5744057499996</v>
          </cell>
          <cell r="I264">
            <v>9639.1180000000004</v>
          </cell>
          <cell r="J264">
            <v>10595.824000000001</v>
          </cell>
          <cell r="K264">
            <v>11325.837</v>
          </cell>
          <cell r="L264">
            <v>12888.407999999999</v>
          </cell>
          <cell r="M264">
            <v>15183.547</v>
          </cell>
          <cell r="N264">
            <v>17948.866000000002</v>
          </cell>
          <cell r="O264">
            <v>24961.998</v>
          </cell>
          <cell r="P264">
            <v>26288.775000000001</v>
          </cell>
          <cell r="Q264">
            <v>22638.73</v>
          </cell>
          <cell r="R264">
            <v>23625.688999999998</v>
          </cell>
          <cell r="S264">
            <v>26292.504000000001</v>
          </cell>
          <cell r="T264">
            <v>43348.605000000003</v>
          </cell>
          <cell r="U264">
            <v>40885.089999999997</v>
          </cell>
          <cell r="V264">
            <v>45380.146999999997</v>
          </cell>
          <cell r="W264">
            <v>38696.528805972797</v>
          </cell>
          <cell r="X264">
            <v>42241.965531137197</v>
          </cell>
          <cell r="Y264">
            <v>46974.474754572402</v>
          </cell>
          <cell r="Z264">
            <v>52455.5080344503</v>
          </cell>
        </row>
        <row r="265">
          <cell r="B265" t="str">
            <v>EPS (consensus)</v>
          </cell>
          <cell r="C265" t="str">
            <v>EPS_CONS_PUB</v>
          </cell>
          <cell r="D265" t="str">
            <v>CNY</v>
          </cell>
        </row>
        <row r="266">
          <cell r="A266" t="str">
            <v>Income Statement</v>
          </cell>
        </row>
        <row r="267">
          <cell r="B267" t="str">
            <v>Provision for income tax</v>
          </cell>
          <cell r="C267" t="str">
            <v>PROV_INC_TAX</v>
          </cell>
          <cell r="D267" t="str">
            <v>CNY</v>
          </cell>
          <cell r="F267">
            <v>-75.795796249999995</v>
          </cell>
          <cell r="G267">
            <v>-121.65838349000001</v>
          </cell>
          <cell r="H267">
            <v>-159.43395844</v>
          </cell>
          <cell r="I267">
            <v>-207.935</v>
          </cell>
          <cell r="J267">
            <v>-158.54499999999999</v>
          </cell>
          <cell r="K267">
            <v>-127.078</v>
          </cell>
          <cell r="L267">
            <v>-276.28300000000002</v>
          </cell>
          <cell r="M267">
            <v>-350.608</v>
          </cell>
          <cell r="N267">
            <v>-629.08100000000002</v>
          </cell>
          <cell r="O267">
            <v>-883.71900000000005</v>
          </cell>
          <cell r="P267">
            <v>-392.04300000000001</v>
          </cell>
          <cell r="Q267">
            <v>-621.42100000000005</v>
          </cell>
          <cell r="R267">
            <v>-394.20699999999999</v>
          </cell>
          <cell r="S267">
            <v>-810.49199999999996</v>
          </cell>
          <cell r="T267">
            <v>-563.26199999999994</v>
          </cell>
          <cell r="U267">
            <v>-640.11800000000005</v>
          </cell>
          <cell r="V267">
            <v>-1332.5820000000001</v>
          </cell>
          <cell r="W267">
            <v>-272.680974902495</v>
          </cell>
          <cell r="X267">
            <v>-383.51653865174001</v>
          </cell>
          <cell r="Y267">
            <v>-496.84098323994198</v>
          </cell>
          <cell r="Z267">
            <v>-568.34325737660299</v>
          </cell>
        </row>
        <row r="268">
          <cell r="B268" t="str">
            <v>Minority interest</v>
          </cell>
          <cell r="C268" t="str">
            <v>INC_MINORITY</v>
          </cell>
          <cell r="D268" t="str">
            <v>CNY</v>
          </cell>
          <cell r="F268">
            <v>-34.816400760000001</v>
          </cell>
          <cell r="G268">
            <v>-49.537263729999999</v>
          </cell>
          <cell r="H268">
            <v>-62.697705749999997</v>
          </cell>
          <cell r="I268">
            <v>-202.011</v>
          </cell>
          <cell r="J268">
            <v>-148.976</v>
          </cell>
          <cell r="K268">
            <v>-136.63999999999999</v>
          </cell>
          <cell r="L268">
            <v>-199.29300000000001</v>
          </cell>
          <cell r="M268">
            <v>-251.73599999999999</v>
          </cell>
          <cell r="N268">
            <v>-237.54</v>
          </cell>
          <cell r="O268">
            <v>-226.23500000000001</v>
          </cell>
          <cell r="P268">
            <v>-182.92699999999999</v>
          </cell>
          <cell r="Q268">
            <v>-236.34100000000001</v>
          </cell>
          <cell r="R268">
            <v>-75.978999999999999</v>
          </cell>
          <cell r="S268">
            <v>-94.159000000000006</v>
          </cell>
          <cell r="T268">
            <v>-115.758</v>
          </cell>
          <cell r="U268">
            <v>-448.24900000000002</v>
          </cell>
          <cell r="V268">
            <v>-316.87</v>
          </cell>
          <cell r="W268">
            <v>493.35599999999999</v>
          </cell>
          <cell r="X268">
            <v>488.13788744432497</v>
          </cell>
          <cell r="Y268">
            <v>522.13133029147605</v>
          </cell>
          <cell r="Z268">
            <v>545.59212112114994</v>
          </cell>
        </row>
        <row r="269">
          <cell r="B269" t="str">
            <v>Net income (pre-preferred dividends)</v>
          </cell>
          <cell r="C269" t="str">
            <v>NI_PRE_PREF</v>
          </cell>
          <cell r="D269" t="str">
            <v>CNY</v>
          </cell>
          <cell r="F269">
            <v>570.26894061999997</v>
          </cell>
          <cell r="G269">
            <v>566.99994156000002</v>
          </cell>
          <cell r="H269">
            <v>752.49847979000106</v>
          </cell>
          <cell r="I269">
            <v>1008.87</v>
          </cell>
          <cell r="J269">
            <v>1194.3430000000001</v>
          </cell>
          <cell r="K269">
            <v>766.97199999999998</v>
          </cell>
          <cell r="L269">
            <v>1252.1579999999999</v>
          </cell>
          <cell r="M269">
            <v>1660.1990000000001</v>
          </cell>
          <cell r="N269">
            <v>2458.1210000000001</v>
          </cell>
          <cell r="O269">
            <v>3250.2469999999998</v>
          </cell>
          <cell r="P269">
            <v>2060.1660000000102</v>
          </cell>
          <cell r="Q269">
            <v>-2840.96200000001</v>
          </cell>
          <cell r="R269">
            <v>1357.6570000000099</v>
          </cell>
          <cell r="S269">
            <v>2633.5709999999899</v>
          </cell>
          <cell r="T269">
            <v>3624.5120000000002</v>
          </cell>
          <cell r="U269">
            <v>-1856.1179999999999</v>
          </cell>
          <cell r="V269">
            <v>5069.4708999999903</v>
          </cell>
          <cell r="W269">
            <v>-5969.5731940271498</v>
          </cell>
          <cell r="X269">
            <v>5735.3432473135899</v>
          </cell>
          <cell r="Y269">
            <v>7319.8216709072703</v>
          </cell>
          <cell r="Z269">
            <v>8321.5639132011001</v>
          </cell>
        </row>
        <row r="270">
          <cell r="B270" t="str">
            <v>Preferred dividends</v>
          </cell>
          <cell r="C270" t="str">
            <v>PREF_DIV</v>
          </cell>
          <cell r="D270" t="str">
            <v>CNY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</row>
        <row r="271">
          <cell r="B271" t="str">
            <v>Net income (pre-exceptionals)</v>
          </cell>
          <cell r="C271" t="str">
            <v>NET_EARNING</v>
          </cell>
          <cell r="D271" t="str">
            <v>CNY</v>
          </cell>
          <cell r="F271">
            <v>570.26894061999997</v>
          </cell>
          <cell r="G271">
            <v>566.99994156000002</v>
          </cell>
          <cell r="H271">
            <v>752.49847979000106</v>
          </cell>
          <cell r="I271">
            <v>1008.87</v>
          </cell>
          <cell r="J271">
            <v>1194.3430000000001</v>
          </cell>
          <cell r="K271">
            <v>766.97199999999998</v>
          </cell>
          <cell r="L271">
            <v>1252.1579999999999</v>
          </cell>
          <cell r="M271">
            <v>1660.1990000000001</v>
          </cell>
          <cell r="N271">
            <v>2458.1210000000001</v>
          </cell>
          <cell r="O271">
            <v>3250.2469999999998</v>
          </cell>
          <cell r="P271">
            <v>2060.1660000000102</v>
          </cell>
          <cell r="Q271">
            <v>-2840.96200000001</v>
          </cell>
          <cell r="R271">
            <v>1357.6570000000099</v>
          </cell>
          <cell r="S271">
            <v>2633.5709999999899</v>
          </cell>
          <cell r="T271">
            <v>3624.5120000000002</v>
          </cell>
          <cell r="U271">
            <v>-1856.1179999999999</v>
          </cell>
          <cell r="V271">
            <v>5069.4708999999903</v>
          </cell>
          <cell r="W271">
            <v>-5969.5731940271498</v>
          </cell>
          <cell r="X271">
            <v>5735.3432473135899</v>
          </cell>
          <cell r="Y271">
            <v>7319.8216709072703</v>
          </cell>
          <cell r="Z271">
            <v>8321.5639132011001</v>
          </cell>
        </row>
        <row r="272">
          <cell r="B272" t="str">
            <v>Post-tax exceptionals</v>
          </cell>
          <cell r="C272" t="str">
            <v>TAX_EXC</v>
          </cell>
          <cell r="D272" t="str">
            <v>CNY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-416.62700000000001</v>
          </cell>
          <cell r="U272">
            <v>-501.3</v>
          </cell>
          <cell r="V272">
            <v>-501.3</v>
          </cell>
          <cell r="W272">
            <v>-501.3</v>
          </cell>
          <cell r="X272">
            <v>-501.3</v>
          </cell>
          <cell r="Y272">
            <v>-501.3</v>
          </cell>
          <cell r="Z272">
            <v>-501.3</v>
          </cell>
        </row>
        <row r="273">
          <cell r="B273" t="str">
            <v>Net income (post-exceptionals)</v>
          </cell>
          <cell r="C273" t="str">
            <v>NET_INC</v>
          </cell>
          <cell r="D273" t="str">
            <v>CNY</v>
          </cell>
          <cell r="F273">
            <v>570.26894061999997</v>
          </cell>
          <cell r="G273">
            <v>566.99994156000002</v>
          </cell>
          <cell r="H273">
            <v>752.49847979000106</v>
          </cell>
          <cell r="I273">
            <v>1008.87</v>
          </cell>
          <cell r="J273">
            <v>1194.3430000000001</v>
          </cell>
          <cell r="K273">
            <v>766.97199999999998</v>
          </cell>
          <cell r="L273">
            <v>1252.1579999999999</v>
          </cell>
          <cell r="M273">
            <v>1660.1990000000001</v>
          </cell>
          <cell r="N273">
            <v>2458.1210000000001</v>
          </cell>
          <cell r="O273">
            <v>3250.2469999999998</v>
          </cell>
          <cell r="P273">
            <v>2060.1660000000102</v>
          </cell>
          <cell r="Q273">
            <v>-2840.96200000001</v>
          </cell>
          <cell r="R273">
            <v>1357.6570000000099</v>
          </cell>
          <cell r="S273">
            <v>2633.5709999999899</v>
          </cell>
          <cell r="T273">
            <v>3207.8850000000002</v>
          </cell>
          <cell r="U273">
            <v>-2357.4180000000001</v>
          </cell>
          <cell r="V273">
            <v>4568.1708999999901</v>
          </cell>
          <cell r="W273">
            <v>-6470.87319402715</v>
          </cell>
          <cell r="X273">
            <v>5234.0432473135897</v>
          </cell>
          <cell r="Y273">
            <v>6818.5216709072702</v>
          </cell>
          <cell r="Z273">
            <v>7820.2639132011</v>
          </cell>
          <cell r="AB273">
            <v>949.50999999999897</v>
          </cell>
          <cell r="AC273">
            <v>816.88700000000995</v>
          </cell>
          <cell r="AD273">
            <v>1092.49</v>
          </cell>
          <cell r="AE273">
            <v>-5216.3050000000103</v>
          </cell>
          <cell r="AF273">
            <v>1213.607</v>
          </cell>
          <cell r="AG273">
            <v>1079.26000000001</v>
          </cell>
          <cell r="AH273">
            <v>1611.7850000000101</v>
          </cell>
          <cell r="AI273">
            <v>663.51889999997502</v>
          </cell>
          <cell r="AJ273">
            <v>-5407.2370000000001</v>
          </cell>
          <cell r="AK273">
            <v>-2416.95299999999</v>
          </cell>
          <cell r="AL273">
            <v>564.46699999999805</v>
          </cell>
          <cell r="AM273">
            <v>788.84980597284596</v>
          </cell>
          <cell r="AN273">
            <v>1341.7329812748701</v>
          </cell>
          <cell r="AO273">
            <v>1138.8694537937799</v>
          </cell>
          <cell r="AP273">
            <v>1588.11493940679</v>
          </cell>
          <cell r="AQ273">
            <v>1165.32587283815</v>
          </cell>
        </row>
        <row r="274">
          <cell r="B274" t="str">
            <v>EPS (pre-exceptionals, basic)</v>
          </cell>
          <cell r="C274" t="str">
            <v>EPS</v>
          </cell>
          <cell r="D274" t="str">
            <v>CNY</v>
          </cell>
          <cell r="K274">
            <v>0.8</v>
          </cell>
          <cell r="L274">
            <v>1.3</v>
          </cell>
          <cell r="M274">
            <v>1.24</v>
          </cell>
          <cell r="N274">
            <v>1.4</v>
          </cell>
          <cell r="O274">
            <v>1.17</v>
          </cell>
          <cell r="P274">
            <v>0.61</v>
          </cell>
          <cell r="Q274">
            <v>-0.83</v>
          </cell>
          <cell r="R274">
            <v>0.39</v>
          </cell>
          <cell r="S274">
            <v>0.77</v>
          </cell>
          <cell r="T274">
            <v>0.88130321379999998</v>
          </cell>
          <cell r="U274">
            <v>-0.44879069388600001</v>
          </cell>
          <cell r="V274">
            <v>1.209613957525</v>
          </cell>
          <cell r="W274">
            <v>-1.4238111624350001</v>
          </cell>
          <cell r="X274">
            <v>1.3679446537469999</v>
          </cell>
          <cell r="Y274">
            <v>1.745860794955</v>
          </cell>
          <cell r="Z274">
            <v>1.9847877232469999</v>
          </cell>
        </row>
        <row r="275">
          <cell r="B275" t="str">
            <v>EPS (pre-exceptionals, diluted)</v>
          </cell>
          <cell r="C275" t="str">
            <v>EPS_FUL_DIL</v>
          </cell>
          <cell r="D275" t="str">
            <v>CNY</v>
          </cell>
          <cell r="K275">
            <v>0.8</v>
          </cell>
          <cell r="L275">
            <v>1.29</v>
          </cell>
          <cell r="M275">
            <v>1.2</v>
          </cell>
          <cell r="N275">
            <v>1.35</v>
          </cell>
          <cell r="O275">
            <v>1.1499999999999999</v>
          </cell>
          <cell r="P275">
            <v>0.61</v>
          </cell>
          <cell r="Q275">
            <v>-0.83</v>
          </cell>
          <cell r="R275">
            <v>0.39</v>
          </cell>
          <cell r="S275">
            <v>0.77</v>
          </cell>
          <cell r="T275">
            <v>0.87000445464800003</v>
          </cell>
          <cell r="U275">
            <v>-0.44879069388600001</v>
          </cell>
          <cell r="V275">
            <v>1.1985165817679999</v>
          </cell>
          <cell r="W275">
            <v>-1.4238111624350001</v>
          </cell>
          <cell r="X275">
            <v>1.3679446537469999</v>
          </cell>
          <cell r="Y275">
            <v>1.745860794955</v>
          </cell>
          <cell r="Z275">
            <v>1.9847877232469999</v>
          </cell>
        </row>
        <row r="276">
          <cell r="B276" t="str">
            <v>EPS (post-exceptionals, basic)</v>
          </cell>
          <cell r="C276" t="str">
            <v>EPS_POST_BASIC</v>
          </cell>
          <cell r="D276" t="str">
            <v>CNY</v>
          </cell>
          <cell r="K276">
            <v>0.8</v>
          </cell>
          <cell r="L276">
            <v>1.3</v>
          </cell>
          <cell r="M276">
            <v>1.24</v>
          </cell>
          <cell r="N276">
            <v>1.4</v>
          </cell>
          <cell r="O276">
            <v>1.17</v>
          </cell>
          <cell r="P276">
            <v>0.61</v>
          </cell>
          <cell r="Q276">
            <v>-0.83</v>
          </cell>
          <cell r="R276">
            <v>0.39</v>
          </cell>
          <cell r="S276">
            <v>0.77</v>
          </cell>
          <cell r="T276">
            <v>0.78</v>
          </cell>
          <cell r="U276">
            <v>-0.56999999999999995</v>
          </cell>
          <cell r="V276">
            <v>1.0900000000000001</v>
          </cell>
          <cell r="W276">
            <v>-1.5433769190690001</v>
          </cell>
          <cell r="X276">
            <v>1.248378897112</v>
          </cell>
          <cell r="Y276">
            <v>1.626295038321</v>
          </cell>
          <cell r="Z276">
            <v>1.865221966612</v>
          </cell>
          <cell r="AB276">
            <v>0.23</v>
          </cell>
          <cell r="AC276">
            <v>0.2</v>
          </cell>
          <cell r="AD276">
            <v>0.26</v>
          </cell>
          <cell r="AE276">
            <v>-1.26</v>
          </cell>
          <cell r="AF276">
            <v>0.28999999999999998</v>
          </cell>
          <cell r="AG276">
            <v>0.26</v>
          </cell>
          <cell r="AH276">
            <v>0.38</v>
          </cell>
          <cell r="AI276">
            <v>0.16</v>
          </cell>
          <cell r="AJ276">
            <v>-1.29</v>
          </cell>
          <cell r="AK276">
            <v>-0.57999999999999996</v>
          </cell>
          <cell r="AL276">
            <v>0.14000000000000001</v>
          </cell>
          <cell r="AM276">
            <v>0.186623080931</v>
          </cell>
          <cell r="AN276">
            <v>0.33277874061500001</v>
          </cell>
          <cell r="AO276">
            <v>0.28246420699699998</v>
          </cell>
          <cell r="AP276">
            <v>0.39388678437699998</v>
          </cell>
          <cell r="AQ276">
            <v>0.23924916512300001</v>
          </cell>
        </row>
        <row r="277">
          <cell r="B277" t="str">
            <v>EPS (post-exceptionals, diluted)</v>
          </cell>
          <cell r="C277" t="str">
            <v>FULLY_DIL_EPS</v>
          </cell>
          <cell r="D277" t="str">
            <v>CNY</v>
          </cell>
          <cell r="K277">
            <v>0.8</v>
          </cell>
          <cell r="L277">
            <v>1.29</v>
          </cell>
          <cell r="M277">
            <v>1.2</v>
          </cell>
          <cell r="N277">
            <v>1.35</v>
          </cell>
          <cell r="O277">
            <v>1.1499999999999999</v>
          </cell>
          <cell r="P277">
            <v>0.61</v>
          </cell>
          <cell r="Q277">
            <v>-0.83</v>
          </cell>
          <cell r="R277">
            <v>0.39</v>
          </cell>
          <cell r="S277">
            <v>0.77</v>
          </cell>
          <cell r="T277">
            <v>0.77</v>
          </cell>
          <cell r="U277">
            <v>-0.56999999999999995</v>
          </cell>
          <cell r="V277">
            <v>1.08</v>
          </cell>
          <cell r="W277">
            <v>-1.5433769190690001</v>
          </cell>
          <cell r="X277">
            <v>1.248378897112</v>
          </cell>
          <cell r="Y277">
            <v>1.626295038321</v>
          </cell>
          <cell r="Z277">
            <v>1.865221966612</v>
          </cell>
        </row>
        <row r="278">
          <cell r="B278" t="str">
            <v>Common dividends paid</v>
          </cell>
          <cell r="C278" t="str">
            <v>COMMON_DIV_PAID</v>
          </cell>
          <cell r="D278" t="str">
            <v>CNY</v>
          </cell>
          <cell r="F278">
            <v>-184.84713194</v>
          </cell>
          <cell r="G278">
            <v>-232.63363347000001</v>
          </cell>
          <cell r="H278">
            <v>-344.04199999999997</v>
          </cell>
          <cell r="I278">
            <v>-459.553</v>
          </cell>
          <cell r="J278">
            <v>-509.88600000000002</v>
          </cell>
          <cell r="K278">
            <v>-143.80725000000001</v>
          </cell>
          <cell r="L278">
            <v>-240.79961538461399</v>
          </cell>
          <cell r="M278">
            <v>-401.66104838709498</v>
          </cell>
          <cell r="N278">
            <v>-526.74021428571496</v>
          </cell>
          <cell r="O278">
            <v>-833.39666666666506</v>
          </cell>
          <cell r="P278">
            <v>-675.46426229508199</v>
          </cell>
          <cell r="Q278">
            <v>0</v>
          </cell>
          <cell r="R278">
            <v>-104.43515384615399</v>
          </cell>
          <cell r="S278">
            <v>-684.04441558441897</v>
          </cell>
          <cell r="T278">
            <v>-1028.16826923077</v>
          </cell>
          <cell r="U278">
            <v>-1033.9552631578999</v>
          </cell>
          <cell r="V278">
            <v>-1047.74561926605</v>
          </cell>
          <cell r="W278">
            <v>0</v>
          </cell>
          <cell r="X278">
            <v>-1200.4686347049501</v>
          </cell>
          <cell r="Y278">
            <v>-1563.8811171805701</v>
          </cell>
          <cell r="Z278">
            <v>-1793.6385122020899</v>
          </cell>
        </row>
        <row r="279">
          <cell r="B279" t="str">
            <v>DPS, dividend per share</v>
          </cell>
          <cell r="C279" t="str">
            <v>DPS</v>
          </cell>
          <cell r="D279" t="str">
            <v>CNY</v>
          </cell>
          <cell r="K279">
            <v>0.15</v>
          </cell>
          <cell r="L279">
            <v>0.25</v>
          </cell>
          <cell r="M279">
            <v>0.3</v>
          </cell>
          <cell r="N279">
            <v>0.3</v>
          </cell>
          <cell r="O279">
            <v>0.3</v>
          </cell>
          <cell r="P279">
            <v>0.2</v>
          </cell>
          <cell r="Q279">
            <v>0</v>
          </cell>
          <cell r="R279">
            <v>2.9999933092000001E-2</v>
          </cell>
          <cell r="S279">
            <v>0.2</v>
          </cell>
          <cell r="T279">
            <v>0.25</v>
          </cell>
          <cell r="U279">
            <v>0.25</v>
          </cell>
          <cell r="V279">
            <v>0.25</v>
          </cell>
          <cell r="W279">
            <v>0</v>
          </cell>
          <cell r="X279">
            <v>0.28632543511699998</v>
          </cell>
          <cell r="Y279">
            <v>0.37300344915599998</v>
          </cell>
          <cell r="Z279">
            <v>0.42780320335100003</v>
          </cell>
        </row>
        <row r="280">
          <cell r="B280" t="str">
            <v>Weighted average shares outstanding, basic</v>
          </cell>
          <cell r="C280" t="str">
            <v>SH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958.71500000000003</v>
          </cell>
          <cell r="L280">
            <v>963.19846153845799</v>
          </cell>
          <cell r="M280">
            <v>1338.8701612903201</v>
          </cell>
          <cell r="N280">
            <v>1755.80071428572</v>
          </cell>
          <cell r="O280">
            <v>2777.98888888888</v>
          </cell>
          <cell r="P280">
            <v>3377.3213114754099</v>
          </cell>
          <cell r="Q280">
            <v>3422.84578313253</v>
          </cell>
          <cell r="R280">
            <v>3481.1717948718101</v>
          </cell>
          <cell r="S280">
            <v>3420.2220779220902</v>
          </cell>
          <cell r="T280">
            <v>4112.6730769230699</v>
          </cell>
          <cell r="U280">
            <v>4135.8210526315897</v>
          </cell>
          <cell r="V280">
            <v>4190.9824770642099</v>
          </cell>
          <cell r="W280">
            <v>4192.6719999999996</v>
          </cell>
          <cell r="X280">
            <v>4192.6719999999996</v>
          </cell>
          <cell r="Y280">
            <v>4192.6719999999996</v>
          </cell>
          <cell r="Z280">
            <v>4192.6719999999996</v>
          </cell>
        </row>
        <row r="281">
          <cell r="B281" t="str">
            <v>Diluted average shares outstanding (mn)</v>
          </cell>
          <cell r="C281" t="str">
            <v>DILUTE_SHARES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958.71500000000003</v>
          </cell>
          <cell r="L281">
            <v>970.66511627906596</v>
          </cell>
          <cell r="M281">
            <v>1383.4991666666599</v>
          </cell>
          <cell r="N281">
            <v>1820.83037037037</v>
          </cell>
          <cell r="O281">
            <v>2826.3017391304302</v>
          </cell>
          <cell r="P281">
            <v>3377.3213114754099</v>
          </cell>
          <cell r="Q281">
            <v>3422.84578313253</v>
          </cell>
          <cell r="R281">
            <v>3481.1717948718101</v>
          </cell>
          <cell r="S281">
            <v>3420.2220779220902</v>
          </cell>
          <cell r="T281">
            <v>4166.0844155844097</v>
          </cell>
          <cell r="U281">
            <v>4135.8210526315897</v>
          </cell>
          <cell r="V281">
            <v>4229.78787037036</v>
          </cell>
          <cell r="W281">
            <v>4192.6719999999996</v>
          </cell>
          <cell r="X281">
            <v>4192.6719999999996</v>
          </cell>
          <cell r="Y281">
            <v>4192.6719999999996</v>
          </cell>
          <cell r="Z281">
            <v>4192.6719999999996</v>
          </cell>
        </row>
        <row r="282">
          <cell r="B282" t="str">
            <v>Period-end shares outstanding</v>
          </cell>
          <cell r="C282" t="str">
            <v>NON_OP_ADD</v>
          </cell>
          <cell r="F282">
            <v>556.08000000000004</v>
          </cell>
          <cell r="G282">
            <v>556.08000000000004</v>
          </cell>
          <cell r="H282">
            <v>667.29600000000005</v>
          </cell>
          <cell r="I282">
            <v>959.52200000000005</v>
          </cell>
          <cell r="J282">
            <v>959.52200000000005</v>
          </cell>
          <cell r="K282">
            <v>959.52200000000005</v>
          </cell>
          <cell r="L282">
            <v>959.52200000000005</v>
          </cell>
          <cell r="M282">
            <v>1343.33</v>
          </cell>
          <cell r="N282">
            <v>1831.336</v>
          </cell>
          <cell r="O282">
            <v>2866.732</v>
          </cell>
          <cell r="P282">
            <v>3440.078</v>
          </cell>
          <cell r="Q282">
            <v>3440.078</v>
          </cell>
          <cell r="R282">
            <v>3437.5410000000002</v>
          </cell>
          <cell r="S282">
            <v>3437.5410000000002</v>
          </cell>
          <cell r="T282">
            <v>4150.7910000000002</v>
          </cell>
          <cell r="U282">
            <v>4184.6279999999997</v>
          </cell>
          <cell r="V282">
            <v>4192.6719999999996</v>
          </cell>
          <cell r="W282">
            <v>4192.6719999999996</v>
          </cell>
          <cell r="X282">
            <v>4192.6719999999996</v>
          </cell>
          <cell r="Y282">
            <v>4192.6719999999996</v>
          </cell>
          <cell r="Z282">
            <v>4192.6719999999996</v>
          </cell>
        </row>
        <row r="283">
          <cell r="A283" t="str">
            <v>Additional Income Statement Items</v>
          </cell>
        </row>
        <row r="284">
          <cell r="B284" t="str">
            <v>Marginal tax rate</v>
          </cell>
          <cell r="C284" t="str">
            <v>MARGIN_TAX_RATE</v>
          </cell>
          <cell r="F284">
            <v>0.111320158631</v>
          </cell>
          <cell r="G284">
            <v>0.16480508057599999</v>
          </cell>
          <cell r="H284">
            <v>0.16358406255399999</v>
          </cell>
          <cell r="I284">
            <v>0.14655529681099999</v>
          </cell>
          <cell r="J284">
            <v>0.10556548395900001</v>
          </cell>
          <cell r="K284">
            <v>0.123294</v>
          </cell>
          <cell r="L284">
            <v>0.15991061124</v>
          </cell>
          <cell r="M284">
            <v>0.15496191674599999</v>
          </cell>
          <cell r="N284">
            <v>0.18921197494399999</v>
          </cell>
          <cell r="O284">
            <v>0.202678500372</v>
          </cell>
          <cell r="P284">
            <v>0.14877524347900001</v>
          </cell>
          <cell r="R284">
            <v>0.215667866441</v>
          </cell>
          <cell r="S284">
            <v>0.22906759383700001</v>
          </cell>
          <cell r="T284">
            <v>0.13088365556500001</v>
          </cell>
          <cell r="U284">
            <v>0</v>
          </cell>
          <cell r="V284">
            <v>0.19833268216200001</v>
          </cell>
          <cell r="W284">
            <v>6.8111433233999999E-2</v>
          </cell>
          <cell r="X284">
            <v>6.8111433233999999E-2</v>
          </cell>
          <cell r="Y284">
            <v>6.8111433233999999E-2</v>
          </cell>
          <cell r="Z284">
            <v>6.8111433233999999E-2</v>
          </cell>
        </row>
        <row r="285">
          <cell r="B285" t="str">
            <v>Net income (consensus) (Pub)</v>
          </cell>
          <cell r="C285" t="str">
            <v>NI_CONS</v>
          </cell>
          <cell r="D285" t="str">
            <v>CNY</v>
          </cell>
        </row>
        <row r="286">
          <cell r="A286" t="str">
            <v>Balance Sheet</v>
          </cell>
        </row>
        <row r="287">
          <cell r="B287" t="str">
            <v>BVPS, book value per share</v>
          </cell>
          <cell r="C287" t="str">
            <v>BVPS</v>
          </cell>
          <cell r="D287" t="str">
            <v>CNY</v>
          </cell>
          <cell r="F287">
            <v>6.9474620788920003</v>
          </cell>
          <cell r="G287">
            <v>7.6902836781039996</v>
          </cell>
          <cell r="H287">
            <v>7.2587605480780004</v>
          </cell>
          <cell r="I287">
            <v>9.3114686270870006</v>
          </cell>
          <cell r="J287">
            <v>10.302228609662</v>
          </cell>
          <cell r="K287">
            <v>11.068028664271999</v>
          </cell>
          <cell r="L287">
            <v>12.399174797451</v>
          </cell>
          <cell r="M287">
            <v>10.307627314212001</v>
          </cell>
          <cell r="N287">
            <v>9.1299887076980006</v>
          </cell>
          <cell r="O287">
            <v>7.858718917569</v>
          </cell>
          <cell r="P287">
            <v>6.8562584918129996</v>
          </cell>
          <cell r="Q287">
            <v>6.2505774578370001</v>
          </cell>
          <cell r="R287">
            <v>6.5248740305929998</v>
          </cell>
          <cell r="S287">
            <v>7.0373170821819997</v>
          </cell>
          <cell r="T287">
            <v>7.145648624563</v>
          </cell>
          <cell r="U287">
            <v>6.3090795645400002</v>
          </cell>
          <cell r="V287">
            <v>9.7713825455460004</v>
          </cell>
          <cell r="W287">
            <v>8.2949345443600002</v>
          </cell>
          <cell r="X287">
            <v>9.2569880063549999</v>
          </cell>
          <cell r="Y287">
            <v>10.51027959552</v>
          </cell>
          <cell r="Z287">
            <v>11.947698358781</v>
          </cell>
        </row>
        <row r="288">
          <cell r="A288" t="str">
            <v>Cash Flow Statement</v>
          </cell>
        </row>
        <row r="289">
          <cell r="B289" t="str">
            <v>Net income (pre-preferred dividends)</v>
          </cell>
          <cell r="C289" t="str">
            <v>CF_NI_PRE_PREF</v>
          </cell>
          <cell r="D289" t="str">
            <v>CNY</v>
          </cell>
          <cell r="F289">
            <v>570.26894061999997</v>
          </cell>
          <cell r="G289">
            <v>566.99994156000002</v>
          </cell>
          <cell r="H289">
            <v>752.49847979000106</v>
          </cell>
          <cell r="I289">
            <v>1008.87</v>
          </cell>
          <cell r="J289">
            <v>1194.3430000000001</v>
          </cell>
          <cell r="K289">
            <v>766.97199999999998</v>
          </cell>
          <cell r="L289">
            <v>1252.1579999999999</v>
          </cell>
          <cell r="M289">
            <v>1660.1990000000001</v>
          </cell>
          <cell r="N289">
            <v>2458.1210000000001</v>
          </cell>
          <cell r="O289">
            <v>3250.2469999999998</v>
          </cell>
          <cell r="P289">
            <v>2060.1660000000102</v>
          </cell>
          <cell r="Q289">
            <v>-2840.96200000001</v>
          </cell>
          <cell r="R289">
            <v>1357.6570000000099</v>
          </cell>
          <cell r="S289">
            <v>2633.5709999999899</v>
          </cell>
          <cell r="T289">
            <v>3207.8850000000002</v>
          </cell>
          <cell r="U289">
            <v>-2357.4180000000001</v>
          </cell>
          <cell r="V289">
            <v>4568.1708999999901</v>
          </cell>
          <cell r="W289">
            <v>-6470.87319402715</v>
          </cell>
          <cell r="X289">
            <v>5234.0432473135897</v>
          </cell>
          <cell r="Y289">
            <v>6818.5216709072702</v>
          </cell>
          <cell r="Z289">
            <v>7820.2639132011</v>
          </cell>
        </row>
        <row r="290">
          <cell r="A290" t="str">
            <v>Other Items</v>
          </cell>
        </row>
        <row r="291">
          <cell r="B291" t="str">
            <v>Beta</v>
          </cell>
          <cell r="C291" t="str">
            <v>BETA_ANALYST</v>
          </cell>
        </row>
        <row r="292">
          <cell r="B292" t="str">
            <v>Market equity risk premium</v>
          </cell>
          <cell r="C292" t="str">
            <v>MKT_EQ_RISK_PREM</v>
          </cell>
        </row>
        <row r="293">
          <cell r="B293" t="str">
            <v>Risk-free rate</v>
          </cell>
          <cell r="C293" t="str">
            <v>RISK_FR_RATE</v>
          </cell>
        </row>
        <row r="294">
          <cell r="A294" t="str">
            <v>Security: ZTE Corp. (A)</v>
          </cell>
          <cell r="B294" t="str">
            <v>44N1S</v>
          </cell>
        </row>
        <row r="295">
          <cell r="A295" t="str">
            <v>Reference Data</v>
          </cell>
        </row>
        <row r="296">
          <cell r="B296" t="str">
            <v>Ticker</v>
          </cell>
          <cell r="C296" t="str">
            <v>Ticker</v>
          </cell>
          <cell r="E296" t="str">
            <v>000063.SZ</v>
          </cell>
        </row>
        <row r="297">
          <cell r="B297" t="str">
            <v>Security Name</v>
          </cell>
          <cell r="C297" t="str">
            <v>Security Name</v>
          </cell>
          <cell r="E297" t="str">
            <v>ZTE Corp. (A)</v>
          </cell>
        </row>
        <row r="298">
          <cell r="B298" t="str">
            <v>Interim Type</v>
          </cell>
          <cell r="C298" t="str">
            <v>Interim Type</v>
          </cell>
          <cell r="E298" t="str">
            <v>Q</v>
          </cell>
        </row>
        <row r="299">
          <cell r="B299" t="str">
            <v>Publishing Currency</v>
          </cell>
          <cell r="C299" t="str">
            <v>PUB_CURRENCY_ISO</v>
          </cell>
          <cell r="E299" t="str">
            <v>CNY</v>
          </cell>
        </row>
        <row r="300">
          <cell r="B300" t="str">
            <v>Pricing Currency</v>
          </cell>
          <cell r="C300" t="str">
            <v>PRICE_CURRENCY_ISO</v>
          </cell>
          <cell r="E300" t="str">
            <v>CNY</v>
          </cell>
        </row>
        <row r="301">
          <cell r="B301" t="str">
            <v>Reporting Currency</v>
          </cell>
          <cell r="C301" t="str">
            <v>CURRENCY_ISO</v>
          </cell>
          <cell r="E301" t="str">
            <v>CNY</v>
          </cell>
        </row>
        <row r="302">
          <cell r="A302" t="str">
            <v>General Information</v>
          </cell>
        </row>
        <row r="303">
          <cell r="B303" t="str">
            <v>Asia ex. Japan Investment List</v>
          </cell>
          <cell r="C303" t="str">
            <v>AEJ_LIST</v>
          </cell>
        </row>
        <row r="304">
          <cell r="B304" t="str">
            <v>Asia ex. Japan Conviction List</v>
          </cell>
          <cell r="C304" t="str">
            <v>AEJ_CONVICTION</v>
          </cell>
        </row>
        <row r="305">
          <cell r="B305" t="str">
            <v>Legal rating</v>
          </cell>
          <cell r="C305" t="str">
            <v>LEGAL_RATING</v>
          </cell>
        </row>
        <row r="306">
          <cell r="B306" t="str">
            <v>Target price</v>
          </cell>
          <cell r="C306" t="str">
            <v>TARGET_PRICE</v>
          </cell>
          <cell r="D306" t="str">
            <v>CNY</v>
          </cell>
          <cell r="E306">
            <v>19</v>
          </cell>
        </row>
        <row r="307">
          <cell r="B307" t="str">
            <v>Target price period</v>
          </cell>
          <cell r="C307" t="str">
            <v>TP_PERIOD</v>
          </cell>
          <cell r="E307" t="str">
            <v>12 months</v>
          </cell>
        </row>
        <row r="308">
          <cell r="B308" t="str">
            <v>Fundamental value</v>
          </cell>
          <cell r="C308" t="str">
            <v>TARGET_PRICE_FUNDAMENTAL</v>
          </cell>
          <cell r="D308" t="str">
            <v>CNY</v>
          </cell>
        </row>
        <row r="309">
          <cell r="B309" t="str">
            <v>M&amp;A value</v>
          </cell>
          <cell r="C309" t="str">
            <v>TARGET_PRICE_MA</v>
          </cell>
          <cell r="D309" t="str">
            <v>CNY</v>
          </cell>
        </row>
        <row r="310">
          <cell r="B310" t="str">
            <v>Current shares outstanding (mn)</v>
          </cell>
          <cell r="C310" t="str">
            <v>NUM_SH</v>
          </cell>
          <cell r="E310">
            <v>4150.7910000000002</v>
          </cell>
        </row>
        <row r="311">
          <cell r="B311" t="str">
            <v>Free float</v>
          </cell>
          <cell r="C311" t="str">
            <v>FREE_FLOAT</v>
          </cell>
        </row>
        <row r="312">
          <cell r="B312" t="str">
            <v>Foreign ownership</v>
          </cell>
          <cell r="C312" t="str">
            <v>FOREIGN_HOLDNG</v>
          </cell>
        </row>
        <row r="313">
          <cell r="B313" t="str">
            <v>Zhongxingxiin</v>
          </cell>
          <cell r="C313" t="str">
            <v>ACT1</v>
          </cell>
          <cell r="E313">
            <v>0.3508</v>
          </cell>
        </row>
        <row r="314">
          <cell r="B314" t="str">
            <v>H-shares</v>
          </cell>
          <cell r="C314" t="str">
            <v>ACT2</v>
          </cell>
          <cell r="E314">
            <v>0.1666</v>
          </cell>
        </row>
        <row r="315">
          <cell r="B315" t="str">
            <v>Deutsche Bank Aktiengesellschaft</v>
          </cell>
          <cell r="C315" t="str">
            <v>ACT3</v>
          </cell>
          <cell r="E315">
            <v>1.8800000000000001E-2</v>
          </cell>
        </row>
        <row r="316">
          <cell r="B316" t="str">
            <v>Hunan Nantian</v>
          </cell>
          <cell r="C316" t="str">
            <v>ACT4</v>
          </cell>
          <cell r="E316">
            <v>1.6E-2</v>
          </cell>
        </row>
        <row r="317">
          <cell r="B317" t="str">
            <v>Catalyst 1 date</v>
          </cell>
          <cell r="C317" t="str">
            <v>CATALYST1_DATE</v>
          </cell>
        </row>
        <row r="318">
          <cell r="B318" t="str">
            <v>Catalyst 1 description</v>
          </cell>
          <cell r="C318" t="str">
            <v>CATALYST1_EVENT</v>
          </cell>
        </row>
        <row r="319">
          <cell r="B319" t="str">
            <v>Catalyst 2 date</v>
          </cell>
          <cell r="C319" t="str">
            <v>CATALYST2_DATE</v>
          </cell>
        </row>
        <row r="320">
          <cell r="B320" t="str">
            <v>Catalyst 2 description</v>
          </cell>
          <cell r="C320" t="str">
            <v>CATALYST2_EVENT</v>
          </cell>
        </row>
        <row r="321">
          <cell r="B321" t="str">
            <v>Catalyst 3 date</v>
          </cell>
          <cell r="C321" t="str">
            <v>CATALYST3_DATE</v>
          </cell>
        </row>
        <row r="322">
          <cell r="B322" t="str">
            <v>Catalyst 3 description</v>
          </cell>
          <cell r="C322" t="str">
            <v>CATALYST3_EVENT</v>
          </cell>
        </row>
        <row r="323">
          <cell r="B323" t="str">
            <v>Catalyst 4 date</v>
          </cell>
          <cell r="C323" t="str">
            <v>CATALYST4_DATE</v>
          </cell>
        </row>
        <row r="324">
          <cell r="B324" t="str">
            <v>Catalyst 4 description</v>
          </cell>
          <cell r="C324" t="str">
            <v>CATALYST4_EVENT</v>
          </cell>
        </row>
        <row r="325">
          <cell r="B325" t="str">
            <v>Catalyst 5 date</v>
          </cell>
          <cell r="C325" t="str">
            <v>CATALYST5_DATE</v>
          </cell>
        </row>
        <row r="326">
          <cell r="B326" t="str">
            <v>Catalyst 5 description</v>
          </cell>
          <cell r="C326" t="str">
            <v>CATALYST5_EVENT</v>
          </cell>
        </row>
        <row r="327">
          <cell r="B327" t="str">
            <v>Target price multiple</v>
          </cell>
          <cell r="C327" t="str">
            <v>PRI_TARG_MULT</v>
          </cell>
          <cell r="E327">
            <v>15</v>
          </cell>
        </row>
        <row r="328">
          <cell r="B328" t="str">
            <v>Target price methodology</v>
          </cell>
          <cell r="C328" t="str">
            <v>PRI_TARG_METH</v>
          </cell>
          <cell r="E328" t="str">
            <v>P/E</v>
          </cell>
        </row>
        <row r="329">
          <cell r="A329" t="str">
            <v>Publishing Items</v>
          </cell>
        </row>
        <row r="330">
          <cell r="B330" t="str">
            <v>Book value per share, BVPS (Pub)</v>
          </cell>
          <cell r="C330" t="str">
            <v>BVPS_PUB</v>
          </cell>
          <cell r="D330" t="str">
            <v>CNY</v>
          </cell>
          <cell r="F330">
            <v>6.9474620788920003</v>
          </cell>
          <cell r="G330">
            <v>7.6902836781039996</v>
          </cell>
          <cell r="H330">
            <v>7.2587605480780004</v>
          </cell>
          <cell r="I330">
            <v>9.3114686270870006</v>
          </cell>
          <cell r="J330">
            <v>10.302228609662</v>
          </cell>
          <cell r="K330">
            <v>11.068028664271999</v>
          </cell>
          <cell r="L330">
            <v>12.399174797451</v>
          </cell>
          <cell r="M330">
            <v>10.307627314212001</v>
          </cell>
          <cell r="N330">
            <v>9.1299887076980006</v>
          </cell>
          <cell r="O330">
            <v>7.858718917569</v>
          </cell>
          <cell r="P330">
            <v>6.8562584918129996</v>
          </cell>
          <cell r="Q330">
            <v>6.2505774578370001</v>
          </cell>
          <cell r="R330">
            <v>6.5248740305929998</v>
          </cell>
          <cell r="S330">
            <v>7.0373170821819997</v>
          </cell>
          <cell r="T330">
            <v>7.145648624563</v>
          </cell>
          <cell r="U330">
            <v>6.3090795645400002</v>
          </cell>
          <cell r="V330">
            <v>9.7713825455460004</v>
          </cell>
          <cell r="W330">
            <v>8.2949345443600002</v>
          </cell>
          <cell r="X330">
            <v>9.2569880063549999</v>
          </cell>
          <cell r="Y330">
            <v>10.51027959552</v>
          </cell>
          <cell r="Z330">
            <v>11.947698358781</v>
          </cell>
        </row>
        <row r="331">
          <cell r="B331" t="str">
            <v>DPS, dividend per share (Pub)</v>
          </cell>
          <cell r="C331" t="str">
            <v>DPS_PUB</v>
          </cell>
          <cell r="D331" t="str">
            <v>CNY</v>
          </cell>
          <cell r="K331">
            <v>0.15</v>
          </cell>
          <cell r="L331">
            <v>0.25</v>
          </cell>
          <cell r="M331">
            <v>0.3</v>
          </cell>
          <cell r="N331">
            <v>0.3</v>
          </cell>
          <cell r="O331">
            <v>0.3</v>
          </cell>
          <cell r="P331">
            <v>0.2</v>
          </cell>
          <cell r="Q331">
            <v>0</v>
          </cell>
          <cell r="R331">
            <v>2.9999933092000001E-2</v>
          </cell>
          <cell r="S331">
            <v>0.2</v>
          </cell>
          <cell r="T331">
            <v>0.25</v>
          </cell>
          <cell r="U331">
            <v>0.25</v>
          </cell>
          <cell r="V331">
            <v>0.25</v>
          </cell>
          <cell r="W331">
            <v>0</v>
          </cell>
          <cell r="X331">
            <v>0.28632543511699998</v>
          </cell>
          <cell r="Y331">
            <v>0.37300344915599998</v>
          </cell>
          <cell r="Z331">
            <v>0.42780320335100003</v>
          </cell>
        </row>
        <row r="332">
          <cell r="B332" t="str">
            <v>Special dividend per share</v>
          </cell>
          <cell r="C332" t="str">
            <v>DPS_SPECIAL_PUB</v>
          </cell>
          <cell r="D332" t="str">
            <v>CNY</v>
          </cell>
        </row>
        <row r="333">
          <cell r="B333" t="str">
            <v>EBITDA (Pub)</v>
          </cell>
          <cell r="C333" t="str">
            <v>EBITDA_PUB</v>
          </cell>
          <cell r="D333" t="str">
            <v>CNY</v>
          </cell>
          <cell r="F333">
            <v>981.15102132999903</v>
          </cell>
          <cell r="G333">
            <v>937.09427299000095</v>
          </cell>
          <cell r="H333">
            <v>1419.1523642300001</v>
          </cell>
          <cell r="I333">
            <v>1791.6410000000001</v>
          </cell>
          <cell r="J333">
            <v>1811.2639999999999</v>
          </cell>
          <cell r="K333">
            <v>1165.482</v>
          </cell>
          <cell r="L333">
            <v>2719.183</v>
          </cell>
          <cell r="M333">
            <v>3678.7359999999899</v>
          </cell>
          <cell r="N333">
            <v>4500.51800000001</v>
          </cell>
          <cell r="O333">
            <v>4585.5289999999904</v>
          </cell>
          <cell r="P333">
            <v>4163.0420000000104</v>
          </cell>
          <cell r="Q333">
            <v>-1816.9189999999901</v>
          </cell>
          <cell r="R333">
            <v>3160.2440000000101</v>
          </cell>
          <cell r="S333">
            <v>4885.79900000002</v>
          </cell>
          <cell r="T333">
            <v>5498.7960000000003</v>
          </cell>
          <cell r="U333">
            <v>4986.55799999999</v>
          </cell>
          <cell r="V333">
            <v>10365.805</v>
          </cell>
          <cell r="W333">
            <v>6849.98311952732</v>
          </cell>
          <cell r="X333">
            <v>9277.5611167061797</v>
          </cell>
          <cell r="Y333">
            <v>11163.035780456899</v>
          </cell>
          <cell r="Z333">
            <v>12431.970448215499</v>
          </cell>
        </row>
        <row r="334">
          <cell r="B334" t="str">
            <v>EPS (Pub)</v>
          </cell>
          <cell r="C334" t="str">
            <v>EPS_PUB</v>
          </cell>
          <cell r="D334" t="str">
            <v>CNY</v>
          </cell>
          <cell r="K334">
            <v>0.8</v>
          </cell>
          <cell r="L334">
            <v>1.3</v>
          </cell>
          <cell r="M334">
            <v>1.24</v>
          </cell>
          <cell r="N334">
            <v>1.4</v>
          </cell>
          <cell r="O334">
            <v>1.17</v>
          </cell>
          <cell r="P334">
            <v>0.61</v>
          </cell>
          <cell r="Q334">
            <v>-0.83</v>
          </cell>
          <cell r="R334">
            <v>0.39</v>
          </cell>
          <cell r="S334">
            <v>0.77</v>
          </cell>
          <cell r="T334">
            <v>0.78</v>
          </cell>
          <cell r="U334">
            <v>-0.56999999999999995</v>
          </cell>
          <cell r="V334">
            <v>1.0900000000000001</v>
          </cell>
          <cell r="W334">
            <v>-1.5433769190690001</v>
          </cell>
          <cell r="X334">
            <v>1.248378897112</v>
          </cell>
          <cell r="Y334">
            <v>1.626295038321</v>
          </cell>
          <cell r="Z334">
            <v>1.865221966612</v>
          </cell>
          <cell r="AB334">
            <v>0.23</v>
          </cell>
          <cell r="AC334">
            <v>0.2</v>
          </cell>
          <cell r="AD334">
            <v>0.26</v>
          </cell>
          <cell r="AE334">
            <v>-1.26</v>
          </cell>
          <cell r="AF334">
            <v>0.28999999999999998</v>
          </cell>
          <cell r="AG334">
            <v>0.26</v>
          </cell>
          <cell r="AH334">
            <v>0.38</v>
          </cell>
          <cell r="AI334">
            <v>0.16</v>
          </cell>
          <cell r="AJ334">
            <v>-1.29</v>
          </cell>
          <cell r="AK334">
            <v>-0.57999999999999996</v>
          </cell>
          <cell r="AL334">
            <v>0.14000000000000001</v>
          </cell>
          <cell r="AM334">
            <v>0.186623080931</v>
          </cell>
          <cell r="AN334">
            <v>0.33277874061500001</v>
          </cell>
          <cell r="AO334">
            <v>0.28246420699699998</v>
          </cell>
          <cell r="AP334">
            <v>0.39388678437699998</v>
          </cell>
          <cell r="AQ334">
            <v>0.23924916512300001</v>
          </cell>
        </row>
        <row r="335">
          <cell r="B335" t="str">
            <v>EV adjustment (Pub)</v>
          </cell>
          <cell r="C335" t="str">
            <v>EV_ADJ_PUB</v>
          </cell>
          <cell r="D335" t="str">
            <v>CNY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-4.6153846153999999E-2</v>
          </cell>
          <cell r="N335">
            <v>0.12903225806499999</v>
          </cell>
          <cell r="O335">
            <v>-0.164285714286</v>
          </cell>
          <cell r="P335">
            <v>-0.47863247863199998</v>
          </cell>
          <cell r="Q335">
            <v>-2.3606557377050001</v>
          </cell>
          <cell r="R335">
            <v>-1.4698795180719999</v>
          </cell>
          <cell r="S335">
            <v>0.97435897435899999</v>
          </cell>
          <cell r="T335">
            <v>1.2987012987E-2</v>
          </cell>
          <cell r="U335">
            <v>-1.7307692307689999</v>
          </cell>
          <cell r="V335">
            <v>-2.9122807017539998</v>
          </cell>
          <cell r="W335">
            <v>-2.4159421275859998</v>
          </cell>
          <cell r="X335">
            <v>-1.808861971232</v>
          </cell>
          <cell r="Y335">
            <v>0.30272551232900002</v>
          </cell>
          <cell r="Z335">
            <v>0.14691487255499999</v>
          </cell>
        </row>
        <row r="336">
          <cell r="B336" t="str">
            <v>Net debt (Pub)</v>
          </cell>
          <cell r="C336" t="str">
            <v>NET_DEBT_PUB</v>
          </cell>
          <cell r="D336" t="str">
            <v>CNY</v>
          </cell>
          <cell r="F336">
            <v>-558.70585342000004</v>
          </cell>
          <cell r="G336">
            <v>-1489.7112419600001</v>
          </cell>
          <cell r="H336">
            <v>-1875.31038743</v>
          </cell>
          <cell r="I336">
            <v>-6150.3649999999998</v>
          </cell>
          <cell r="J336">
            <v>-4893.4369999999999</v>
          </cell>
          <cell r="K336">
            <v>-1686.0920000000001</v>
          </cell>
          <cell r="L336">
            <v>5.4829999999999997</v>
          </cell>
          <cell r="M336">
            <v>-4523.3739999999998</v>
          </cell>
          <cell r="N336">
            <v>-5253.9470000000001</v>
          </cell>
          <cell r="O336">
            <v>-5762.6670000000004</v>
          </cell>
          <cell r="P336">
            <v>-2654.817</v>
          </cell>
          <cell r="Q336">
            <v>-688.40599999999495</v>
          </cell>
          <cell r="R336">
            <v>-174.40500000000199</v>
          </cell>
          <cell r="S336">
            <v>9096.1470000000008</v>
          </cell>
          <cell r="T336">
            <v>-9483.5789999999997</v>
          </cell>
          <cell r="U336">
            <v>-10267.493</v>
          </cell>
          <cell r="V336">
            <v>-11869.866</v>
          </cell>
          <cell r="W336">
            <v>-2695.5258033097598</v>
          </cell>
          <cell r="X336">
            <v>-5200.0996330476501</v>
          </cell>
          <cell r="Y336">
            <v>-7626.7819870397798</v>
          </cell>
          <cell r="Z336">
            <v>-10993.7096192361</v>
          </cell>
        </row>
        <row r="337">
          <cell r="B337" t="str">
            <v>Net income (Pub)</v>
          </cell>
          <cell r="C337" t="str">
            <v>NI_PUB</v>
          </cell>
          <cell r="D337" t="str">
            <v>CNY</v>
          </cell>
          <cell r="F337">
            <v>570.26894061999997</v>
          </cell>
          <cell r="G337">
            <v>566.99994156000002</v>
          </cell>
          <cell r="H337">
            <v>752.49847979000106</v>
          </cell>
          <cell r="I337">
            <v>1008.87</v>
          </cell>
          <cell r="J337">
            <v>1194.3430000000001</v>
          </cell>
          <cell r="K337">
            <v>766.97199999999998</v>
          </cell>
          <cell r="L337">
            <v>1252.1579999999999</v>
          </cell>
          <cell r="M337">
            <v>1660.1990000000001</v>
          </cell>
          <cell r="N337">
            <v>2458.1210000000001</v>
          </cell>
          <cell r="O337">
            <v>3250.2469999999998</v>
          </cell>
          <cell r="P337">
            <v>2060.1660000000102</v>
          </cell>
          <cell r="Q337">
            <v>-2840.96200000001</v>
          </cell>
          <cell r="R337">
            <v>1357.6570000000099</v>
          </cell>
          <cell r="S337">
            <v>2633.5709999999899</v>
          </cell>
          <cell r="T337">
            <v>3207.8850000000002</v>
          </cell>
          <cell r="U337">
            <v>-2357.4180000000001</v>
          </cell>
          <cell r="V337">
            <v>4568.1708999999901</v>
          </cell>
          <cell r="W337">
            <v>-6470.87319402715</v>
          </cell>
          <cell r="X337">
            <v>5234.0432473135897</v>
          </cell>
          <cell r="Y337">
            <v>6818.5216709072702</v>
          </cell>
          <cell r="Z337">
            <v>7820.2639132011</v>
          </cell>
          <cell r="AB337">
            <v>949.50999999999897</v>
          </cell>
          <cell r="AC337">
            <v>816.88700000000995</v>
          </cell>
          <cell r="AD337">
            <v>1092.49</v>
          </cell>
          <cell r="AE337">
            <v>-5216.3050000000103</v>
          </cell>
          <cell r="AF337">
            <v>1213.607</v>
          </cell>
          <cell r="AG337">
            <v>1079.26000000001</v>
          </cell>
          <cell r="AH337">
            <v>1611.7850000000101</v>
          </cell>
          <cell r="AI337">
            <v>663.51889999997502</v>
          </cell>
          <cell r="AJ337">
            <v>-5407.2370000000001</v>
          </cell>
          <cell r="AK337">
            <v>-2416.95299999999</v>
          </cell>
          <cell r="AL337">
            <v>564.46699999999805</v>
          </cell>
          <cell r="AM337">
            <v>788.84980597284596</v>
          </cell>
          <cell r="AN337">
            <v>1341.7329812748701</v>
          </cell>
          <cell r="AO337">
            <v>1138.8694537937799</v>
          </cell>
          <cell r="AP337">
            <v>1588.11493940679</v>
          </cell>
          <cell r="AQ337">
            <v>1165.32587283815</v>
          </cell>
        </row>
        <row r="338">
          <cell r="B338" t="str">
            <v>EBIT, operating profit (Pub)</v>
          </cell>
          <cell r="C338" t="str">
            <v>EBIT_PUB</v>
          </cell>
          <cell r="D338" t="str">
            <v>CNY</v>
          </cell>
          <cell r="F338">
            <v>879.67101333999904</v>
          </cell>
          <cell r="G338">
            <v>711.65843020000102</v>
          </cell>
          <cell r="H338">
            <v>1123.65112067</v>
          </cell>
          <cell r="I338">
            <v>1430.0219999999999</v>
          </cell>
          <cell r="J338">
            <v>1365.271</v>
          </cell>
          <cell r="K338">
            <v>612.61699999999803</v>
          </cell>
          <cell r="L338">
            <v>2109.2620000000002</v>
          </cell>
          <cell r="M338">
            <v>2978.6669999999899</v>
          </cell>
          <cell r="N338">
            <v>3562.3980000000101</v>
          </cell>
          <cell r="O338">
            <v>3522.53799999999</v>
          </cell>
          <cell r="P338">
            <v>2756.6420000000098</v>
          </cell>
          <cell r="Q338">
            <v>-3355.4380000000001</v>
          </cell>
          <cell r="R338">
            <v>1438.27900000001</v>
          </cell>
          <cell r="S338">
            <v>3080.78100000002</v>
          </cell>
          <cell r="T338">
            <v>3426.799</v>
          </cell>
          <cell r="U338">
            <v>2556.1909999999898</v>
          </cell>
          <cell r="V338">
            <v>7762.6660000000002</v>
          </cell>
          <cell r="W338">
            <v>4269.9627691451597</v>
          </cell>
          <cell r="X338">
            <v>6418.6564084808097</v>
          </cell>
          <cell r="Y338">
            <v>8021.3349846095698</v>
          </cell>
          <cell r="Z338">
            <v>9011.8850154125503</v>
          </cell>
          <cell r="AB338">
            <v>771.70499999999902</v>
          </cell>
          <cell r="AC338">
            <v>358.25600000000998</v>
          </cell>
          <cell r="AD338">
            <v>319.45499999999601</v>
          </cell>
          <cell r="AE338">
            <v>1106.7749999999901</v>
          </cell>
          <cell r="AF338">
            <v>1259.3019999999999</v>
          </cell>
          <cell r="AG338">
            <v>3358.2910000000102</v>
          </cell>
          <cell r="AH338">
            <v>643.58100000000604</v>
          </cell>
          <cell r="AI338">
            <v>2501.4919999999802</v>
          </cell>
          <cell r="AJ338">
            <v>2213.44</v>
          </cell>
          <cell r="AK338">
            <v>-2180.0079999999898</v>
          </cell>
          <cell r="AL338">
            <v>1491.6990000000001</v>
          </cell>
          <cell r="AM338">
            <v>2744.8317691451698</v>
          </cell>
          <cell r="AN338">
            <v>1437.7279653355299</v>
          </cell>
          <cell r="AO338">
            <v>1593.3980865298799</v>
          </cell>
          <cell r="AP338">
            <v>1488.20900503966</v>
          </cell>
          <cell r="AQ338">
            <v>1899.32135157573</v>
          </cell>
        </row>
        <row r="339">
          <cell r="B339" t="str">
            <v>Pre-tax profit (Pub)</v>
          </cell>
          <cell r="C339" t="str">
            <v>PTP_PUB</v>
          </cell>
          <cell r="D339" t="str">
            <v>CNY</v>
          </cell>
          <cell r="F339">
            <v>680.88113763000001</v>
          </cell>
          <cell r="G339">
            <v>738.19558877999998</v>
          </cell>
          <cell r="H339">
            <v>974.63014398000098</v>
          </cell>
          <cell r="I339">
            <v>1418.816</v>
          </cell>
          <cell r="J339">
            <v>1501.864</v>
          </cell>
          <cell r="K339">
            <v>1030.69</v>
          </cell>
          <cell r="L339">
            <v>1727.7339999999999</v>
          </cell>
          <cell r="M339">
            <v>2262.5430000000001</v>
          </cell>
          <cell r="N339">
            <v>3324.7420000000002</v>
          </cell>
          <cell r="O339">
            <v>4360.201</v>
          </cell>
          <cell r="P339">
            <v>2635.13600000001</v>
          </cell>
          <cell r="Q339">
            <v>-1983.20000000001</v>
          </cell>
          <cell r="R339">
            <v>1827.8430000000101</v>
          </cell>
          <cell r="S339">
            <v>3538.2219999999902</v>
          </cell>
          <cell r="T339">
            <v>4303.5320000000002</v>
          </cell>
          <cell r="U339">
            <v>-767.751000000001</v>
          </cell>
          <cell r="V339">
            <v>6718.9228999999896</v>
          </cell>
          <cell r="W339">
            <v>-6190.2482191246499</v>
          </cell>
          <cell r="X339">
            <v>5630.7218985210102</v>
          </cell>
          <cell r="Y339">
            <v>7294.5313238557401</v>
          </cell>
          <cell r="Z339">
            <v>8344.3150494565507</v>
          </cell>
        </row>
        <row r="340">
          <cell r="B340" t="str">
            <v>Sales, revenue (Pub)</v>
          </cell>
          <cell r="C340" t="str">
            <v>REVS_PUB</v>
          </cell>
          <cell r="D340" t="str">
            <v>CNY</v>
          </cell>
          <cell r="F340">
            <v>9332.0207541399996</v>
          </cell>
          <cell r="G340">
            <v>11009.240726219999</v>
          </cell>
          <cell r="H340">
            <v>16036.03489703</v>
          </cell>
          <cell r="I340">
            <v>22698.152999999998</v>
          </cell>
          <cell r="J340">
            <v>21575.919999999998</v>
          </cell>
          <cell r="K340">
            <v>23214.58</v>
          </cell>
          <cell r="L340">
            <v>34777.180999999997</v>
          </cell>
          <cell r="M340">
            <v>44293.427000000003</v>
          </cell>
          <cell r="N340">
            <v>60272.563000000002</v>
          </cell>
          <cell r="O340">
            <v>70263.873999999996</v>
          </cell>
          <cell r="P340">
            <v>86254.456000000006</v>
          </cell>
          <cell r="Q340">
            <v>84219.357999999993</v>
          </cell>
          <cell r="R340">
            <v>75233.724000000002</v>
          </cell>
          <cell r="S340">
            <v>81471.274999999994</v>
          </cell>
          <cell r="T340">
            <v>100186.389</v>
          </cell>
          <cell r="U340">
            <v>101233.182</v>
          </cell>
          <cell r="V340">
            <v>108815.273</v>
          </cell>
          <cell r="W340">
            <v>86714.147714811901</v>
          </cell>
          <cell r="X340">
            <v>85796.992186257994</v>
          </cell>
          <cell r="Y340">
            <v>91771.810419709698</v>
          </cell>
          <cell r="Z340">
            <v>95895.369232231795</v>
          </cell>
          <cell r="AB340">
            <v>21858.508999999998</v>
          </cell>
          <cell r="AC340">
            <v>25898.793000000001</v>
          </cell>
          <cell r="AD340">
            <v>23806.702000000001</v>
          </cell>
          <cell r="AE340">
            <v>29669.178</v>
          </cell>
          <cell r="AF340">
            <v>25744.612000000001</v>
          </cell>
          <cell r="AG340">
            <v>28265.984</v>
          </cell>
          <cell r="AH340">
            <v>22569.143</v>
          </cell>
          <cell r="AI340">
            <v>32235.534</v>
          </cell>
          <cell r="AJ340">
            <v>27526.342000000001</v>
          </cell>
          <cell r="AK340">
            <v>11907.434999999999</v>
          </cell>
          <cell r="AL340">
            <v>19332.409</v>
          </cell>
          <cell r="AM340">
            <v>27947.9617148119</v>
          </cell>
          <cell r="AN340">
            <v>19217.843604289901</v>
          </cell>
          <cell r="AO340">
            <v>21298.657301389801</v>
          </cell>
          <cell r="AP340">
            <v>19892.614318504598</v>
          </cell>
          <cell r="AQ340">
            <v>25387.876962073598</v>
          </cell>
        </row>
        <row r="341">
          <cell r="B341" t="str">
            <v>Total shareholders' equity (Pub)</v>
          </cell>
          <cell r="C341" t="str">
            <v>EQ_PUB</v>
          </cell>
          <cell r="D341" t="str">
            <v>CNY</v>
          </cell>
          <cell r="F341">
            <v>3962.4510217500001</v>
          </cell>
          <cell r="G341">
            <v>4493.2058899599997</v>
          </cell>
          <cell r="H341">
            <v>5276.5744057499996</v>
          </cell>
          <cell r="I341">
            <v>9639.1180000000004</v>
          </cell>
          <cell r="J341">
            <v>10595.824000000001</v>
          </cell>
          <cell r="K341">
            <v>11325.837</v>
          </cell>
          <cell r="L341">
            <v>12888.407999999999</v>
          </cell>
          <cell r="M341">
            <v>15183.547</v>
          </cell>
          <cell r="N341">
            <v>17948.866000000002</v>
          </cell>
          <cell r="O341">
            <v>24961.998</v>
          </cell>
          <cell r="P341">
            <v>26288.775000000001</v>
          </cell>
          <cell r="Q341">
            <v>22638.73</v>
          </cell>
          <cell r="R341">
            <v>23625.688999999998</v>
          </cell>
          <cell r="S341">
            <v>26292.504000000001</v>
          </cell>
          <cell r="T341">
            <v>43348.605000000003</v>
          </cell>
          <cell r="U341">
            <v>40885.089999999997</v>
          </cell>
          <cell r="V341">
            <v>45380.146999999997</v>
          </cell>
          <cell r="W341">
            <v>38696.528805972797</v>
          </cell>
          <cell r="X341">
            <v>42241.965531137197</v>
          </cell>
          <cell r="Y341">
            <v>46974.474754572402</v>
          </cell>
          <cell r="Z341">
            <v>52455.5080344503</v>
          </cell>
        </row>
        <row r="342">
          <cell r="B342" t="str">
            <v>EPS (consensus)</v>
          </cell>
          <cell r="C342" t="str">
            <v>EPS_CONS_PUB</v>
          </cell>
          <cell r="D342" t="str">
            <v>CNY</v>
          </cell>
        </row>
        <row r="343">
          <cell r="A343" t="str">
            <v>Income Statement</v>
          </cell>
        </row>
        <row r="344">
          <cell r="B344" t="str">
            <v>Provision for income tax</v>
          </cell>
          <cell r="C344" t="str">
            <v>PROV_INC_TAX</v>
          </cell>
          <cell r="D344" t="str">
            <v>CNY</v>
          </cell>
          <cell r="F344">
            <v>-75.795796249999995</v>
          </cell>
          <cell r="G344">
            <v>-121.65838349000001</v>
          </cell>
          <cell r="H344">
            <v>-159.43395844</v>
          </cell>
          <cell r="I344">
            <v>-207.935</v>
          </cell>
          <cell r="J344">
            <v>-158.54499999999999</v>
          </cell>
          <cell r="K344">
            <v>-127.078</v>
          </cell>
          <cell r="L344">
            <v>-276.28300000000002</v>
          </cell>
          <cell r="M344">
            <v>-350.608</v>
          </cell>
          <cell r="N344">
            <v>-629.08100000000002</v>
          </cell>
          <cell r="O344">
            <v>-883.71900000000005</v>
          </cell>
          <cell r="P344">
            <v>-392.04300000000001</v>
          </cell>
          <cell r="Q344">
            <v>-621.42100000000005</v>
          </cell>
          <cell r="R344">
            <v>-394.20699999999999</v>
          </cell>
          <cell r="S344">
            <v>-810.49199999999996</v>
          </cell>
          <cell r="T344">
            <v>-563.26199999999994</v>
          </cell>
          <cell r="U344">
            <v>-640.11800000000005</v>
          </cell>
          <cell r="V344">
            <v>-1332.5820000000001</v>
          </cell>
          <cell r="W344">
            <v>-272.680974902495</v>
          </cell>
          <cell r="X344">
            <v>-383.51653865174001</v>
          </cell>
          <cell r="Y344">
            <v>-496.84098323994198</v>
          </cell>
          <cell r="Z344">
            <v>-568.34325737660299</v>
          </cell>
        </row>
        <row r="345">
          <cell r="B345" t="str">
            <v>Minority interest</v>
          </cell>
          <cell r="C345" t="str">
            <v>INC_MINORITY</v>
          </cell>
          <cell r="D345" t="str">
            <v>CNY</v>
          </cell>
          <cell r="F345">
            <v>-34.816400760000001</v>
          </cell>
          <cell r="G345">
            <v>-49.537263729999999</v>
          </cell>
          <cell r="H345">
            <v>-62.697705749999997</v>
          </cell>
          <cell r="I345">
            <v>-202.011</v>
          </cell>
          <cell r="J345">
            <v>-148.976</v>
          </cell>
          <cell r="K345">
            <v>-136.63999999999999</v>
          </cell>
          <cell r="L345">
            <v>-199.29300000000001</v>
          </cell>
          <cell r="M345">
            <v>-251.73599999999999</v>
          </cell>
          <cell r="N345">
            <v>-237.54</v>
          </cell>
          <cell r="O345">
            <v>-226.23500000000001</v>
          </cell>
          <cell r="P345">
            <v>-182.92699999999999</v>
          </cell>
          <cell r="Q345">
            <v>-236.34100000000001</v>
          </cell>
          <cell r="R345">
            <v>-75.978999999999999</v>
          </cell>
          <cell r="S345">
            <v>-94.159000000000006</v>
          </cell>
          <cell r="T345">
            <v>-115.758</v>
          </cell>
          <cell r="U345">
            <v>-448.24900000000002</v>
          </cell>
          <cell r="V345">
            <v>-316.87</v>
          </cell>
          <cell r="W345">
            <v>493.35599999999999</v>
          </cell>
          <cell r="X345">
            <v>488.13788744432497</v>
          </cell>
          <cell r="Y345">
            <v>522.13133029147605</v>
          </cell>
          <cell r="Z345">
            <v>545.59212112114994</v>
          </cell>
        </row>
        <row r="346">
          <cell r="B346" t="str">
            <v>Net income (pre-preferred dividends)</v>
          </cell>
          <cell r="C346" t="str">
            <v>NI_PRE_PREF</v>
          </cell>
          <cell r="D346" t="str">
            <v>CNY</v>
          </cell>
          <cell r="F346">
            <v>570.26894061999997</v>
          </cell>
          <cell r="G346">
            <v>566.99994156000002</v>
          </cell>
          <cell r="H346">
            <v>752.49847979000106</v>
          </cell>
          <cell r="I346">
            <v>1008.87</v>
          </cell>
          <cell r="J346">
            <v>1194.3430000000001</v>
          </cell>
          <cell r="K346">
            <v>766.97199999999998</v>
          </cell>
          <cell r="L346">
            <v>1252.1579999999999</v>
          </cell>
          <cell r="M346">
            <v>1660.1990000000001</v>
          </cell>
          <cell r="N346">
            <v>2458.1210000000001</v>
          </cell>
          <cell r="O346">
            <v>3250.2469999999998</v>
          </cell>
          <cell r="P346">
            <v>2060.1660000000102</v>
          </cell>
          <cell r="Q346">
            <v>-2840.96200000001</v>
          </cell>
          <cell r="R346">
            <v>1357.6570000000099</v>
          </cell>
          <cell r="S346">
            <v>2633.5709999999899</v>
          </cell>
          <cell r="T346">
            <v>3624.5120000000002</v>
          </cell>
          <cell r="U346">
            <v>-1856.1179999999999</v>
          </cell>
          <cell r="V346">
            <v>5069.4708999999903</v>
          </cell>
          <cell r="W346">
            <v>-5969.5731940271498</v>
          </cell>
          <cell r="X346">
            <v>5735.3432473135899</v>
          </cell>
          <cell r="Y346">
            <v>7319.8216709072703</v>
          </cell>
          <cell r="Z346">
            <v>8321.5639132011001</v>
          </cell>
        </row>
        <row r="347">
          <cell r="B347" t="str">
            <v>Preferred dividends</v>
          </cell>
          <cell r="C347" t="str">
            <v>PREF_DIV</v>
          </cell>
          <cell r="D347" t="str">
            <v>CNY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B348" t="str">
            <v>Net income (pre-exceptionals)</v>
          </cell>
          <cell r="C348" t="str">
            <v>NET_EARNING</v>
          </cell>
          <cell r="D348" t="str">
            <v>CNY</v>
          </cell>
          <cell r="F348">
            <v>570.26894061999997</v>
          </cell>
          <cell r="G348">
            <v>566.99994156000002</v>
          </cell>
          <cell r="H348">
            <v>752.49847979000106</v>
          </cell>
          <cell r="I348">
            <v>1008.87</v>
          </cell>
          <cell r="J348">
            <v>1194.3430000000001</v>
          </cell>
          <cell r="K348">
            <v>766.97199999999998</v>
          </cell>
          <cell r="L348">
            <v>1252.1579999999999</v>
          </cell>
          <cell r="M348">
            <v>1660.1990000000001</v>
          </cell>
          <cell r="N348">
            <v>2458.1210000000001</v>
          </cell>
          <cell r="O348">
            <v>3250.2469999999998</v>
          </cell>
          <cell r="P348">
            <v>2060.1660000000102</v>
          </cell>
          <cell r="Q348">
            <v>-2840.96200000001</v>
          </cell>
          <cell r="R348">
            <v>1357.6570000000099</v>
          </cell>
          <cell r="S348">
            <v>2633.5709999999899</v>
          </cell>
          <cell r="T348">
            <v>3624.5120000000002</v>
          </cell>
          <cell r="U348">
            <v>-1856.1179999999999</v>
          </cell>
          <cell r="V348">
            <v>5069.4708999999903</v>
          </cell>
          <cell r="W348">
            <v>-5969.5731940271498</v>
          </cell>
          <cell r="X348">
            <v>5735.3432473135899</v>
          </cell>
          <cell r="Y348">
            <v>7319.8216709072703</v>
          </cell>
          <cell r="Z348">
            <v>8321.5639132011001</v>
          </cell>
        </row>
        <row r="349">
          <cell r="B349" t="str">
            <v>Post-tax exceptionals</v>
          </cell>
          <cell r="C349" t="str">
            <v>TAX_EXC</v>
          </cell>
          <cell r="D349" t="str">
            <v>CNY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-416.62700000000001</v>
          </cell>
          <cell r="U349">
            <v>-501.3</v>
          </cell>
          <cell r="V349">
            <v>-501.3</v>
          </cell>
          <cell r="W349">
            <v>-501.3</v>
          </cell>
          <cell r="X349">
            <v>-501.3</v>
          </cell>
          <cell r="Y349">
            <v>-501.3</v>
          </cell>
          <cell r="Z349">
            <v>-501.3</v>
          </cell>
        </row>
        <row r="350">
          <cell r="B350" t="str">
            <v>Net income (post-exceptionals)</v>
          </cell>
          <cell r="C350" t="str">
            <v>NET_INC</v>
          </cell>
          <cell r="D350" t="str">
            <v>CNY</v>
          </cell>
          <cell r="F350">
            <v>570.26894061999997</v>
          </cell>
          <cell r="G350">
            <v>566.99994156000002</v>
          </cell>
          <cell r="H350">
            <v>752.49847979000106</v>
          </cell>
          <cell r="I350">
            <v>1008.87</v>
          </cell>
          <cell r="J350">
            <v>1194.3430000000001</v>
          </cell>
          <cell r="K350">
            <v>766.97199999999998</v>
          </cell>
          <cell r="L350">
            <v>1252.1579999999999</v>
          </cell>
          <cell r="M350">
            <v>1660.1990000000001</v>
          </cell>
          <cell r="N350">
            <v>2458.1210000000001</v>
          </cell>
          <cell r="O350">
            <v>3250.2469999999998</v>
          </cell>
          <cell r="P350">
            <v>2060.1660000000102</v>
          </cell>
          <cell r="Q350">
            <v>-2840.96200000001</v>
          </cell>
          <cell r="R350">
            <v>1357.6570000000099</v>
          </cell>
          <cell r="S350">
            <v>2633.5709999999899</v>
          </cell>
          <cell r="T350">
            <v>3207.8850000000002</v>
          </cell>
          <cell r="U350">
            <v>-2357.4180000000001</v>
          </cell>
          <cell r="V350">
            <v>4568.1708999999901</v>
          </cell>
          <cell r="W350">
            <v>-6470.87319402715</v>
          </cell>
          <cell r="X350">
            <v>5234.0432473135897</v>
          </cell>
          <cell r="Y350">
            <v>6818.5216709072702</v>
          </cell>
          <cell r="Z350">
            <v>7820.2639132011</v>
          </cell>
        </row>
        <row r="351">
          <cell r="B351" t="str">
            <v>EPS (pre-exceptionals, basic)</v>
          </cell>
          <cell r="C351" t="str">
            <v>EPS</v>
          </cell>
          <cell r="D351" t="str">
            <v>CNY</v>
          </cell>
          <cell r="K351">
            <v>0.8</v>
          </cell>
          <cell r="L351">
            <v>1.3</v>
          </cell>
          <cell r="M351">
            <v>1.24</v>
          </cell>
          <cell r="N351">
            <v>1.4</v>
          </cell>
          <cell r="O351">
            <v>1.17</v>
          </cell>
          <cell r="P351">
            <v>0.61</v>
          </cell>
          <cell r="Q351">
            <v>-0.83</v>
          </cell>
          <cell r="R351">
            <v>0.39</v>
          </cell>
          <cell r="S351">
            <v>0.77</v>
          </cell>
          <cell r="T351">
            <v>0.88130321379999998</v>
          </cell>
          <cell r="U351">
            <v>-0.44879069388600001</v>
          </cell>
          <cell r="V351">
            <v>1.209613957525</v>
          </cell>
          <cell r="W351">
            <v>-1.4238111624350001</v>
          </cell>
          <cell r="X351">
            <v>1.3679446537469999</v>
          </cell>
          <cell r="Y351">
            <v>1.745860794955</v>
          </cell>
          <cell r="Z351">
            <v>1.9847877232469999</v>
          </cell>
        </row>
        <row r="352">
          <cell r="B352" t="str">
            <v>EPS (pre-exceptionals, diluted)</v>
          </cell>
          <cell r="C352" t="str">
            <v>EPS_FUL_DIL</v>
          </cell>
          <cell r="D352" t="str">
            <v>CNY</v>
          </cell>
          <cell r="K352">
            <v>0.8</v>
          </cell>
          <cell r="L352">
            <v>1.29</v>
          </cell>
          <cell r="M352">
            <v>1.2</v>
          </cell>
          <cell r="N352">
            <v>1.35</v>
          </cell>
          <cell r="O352">
            <v>1.1499999999999999</v>
          </cell>
          <cell r="P352">
            <v>0.61</v>
          </cell>
          <cell r="Q352">
            <v>-0.83</v>
          </cell>
          <cell r="R352">
            <v>0.39</v>
          </cell>
          <cell r="S352">
            <v>0.77</v>
          </cell>
          <cell r="T352">
            <v>0.87000445464800003</v>
          </cell>
          <cell r="U352">
            <v>-0.44879069388600001</v>
          </cell>
          <cell r="V352">
            <v>1.1985165817679999</v>
          </cell>
          <cell r="W352">
            <v>-1.4238111624350001</v>
          </cell>
          <cell r="X352">
            <v>1.3679446537469999</v>
          </cell>
          <cell r="Y352">
            <v>1.745860794955</v>
          </cell>
          <cell r="Z352">
            <v>1.9847877232469999</v>
          </cell>
        </row>
        <row r="353">
          <cell r="B353" t="str">
            <v>EPS (post-exceptionals, basic)</v>
          </cell>
          <cell r="C353" t="str">
            <v>EPS_POST_BASIC</v>
          </cell>
          <cell r="D353" t="str">
            <v>CNY</v>
          </cell>
          <cell r="K353">
            <v>0.8</v>
          </cell>
          <cell r="L353">
            <v>1.3</v>
          </cell>
          <cell r="M353">
            <v>1.24</v>
          </cell>
          <cell r="N353">
            <v>1.4</v>
          </cell>
          <cell r="O353">
            <v>1.17</v>
          </cell>
          <cell r="P353">
            <v>0.61</v>
          </cell>
          <cell r="Q353">
            <v>-0.83</v>
          </cell>
          <cell r="R353">
            <v>0.39</v>
          </cell>
          <cell r="S353">
            <v>0.77</v>
          </cell>
          <cell r="T353">
            <v>0.78</v>
          </cell>
          <cell r="U353">
            <v>-0.56999999999999995</v>
          </cell>
          <cell r="V353">
            <v>1.0900000000000001</v>
          </cell>
          <cell r="W353">
            <v>-1.5433769190690001</v>
          </cell>
          <cell r="X353">
            <v>1.248378897112</v>
          </cell>
          <cell r="Y353">
            <v>1.626295038321</v>
          </cell>
          <cell r="Z353">
            <v>1.865221966612</v>
          </cell>
        </row>
        <row r="354">
          <cell r="B354" t="str">
            <v>EPS (post-exceptionals, diluted)</v>
          </cell>
          <cell r="C354" t="str">
            <v>FULLY_DIL_EPS</v>
          </cell>
          <cell r="D354" t="str">
            <v>CNY</v>
          </cell>
          <cell r="K354">
            <v>0.8</v>
          </cell>
          <cell r="L354">
            <v>1.29</v>
          </cell>
          <cell r="M354">
            <v>1.2</v>
          </cell>
          <cell r="N354">
            <v>1.35</v>
          </cell>
          <cell r="O354">
            <v>1.1499999999999999</v>
          </cell>
          <cell r="P354">
            <v>0.61</v>
          </cell>
          <cell r="Q354">
            <v>-0.83</v>
          </cell>
          <cell r="R354">
            <v>0.39</v>
          </cell>
          <cell r="S354">
            <v>0.77</v>
          </cell>
          <cell r="T354">
            <v>0.77</v>
          </cell>
          <cell r="U354">
            <v>-0.56999999999999995</v>
          </cell>
          <cell r="V354">
            <v>1.08</v>
          </cell>
          <cell r="W354">
            <v>-1.5433769190690001</v>
          </cell>
          <cell r="X354">
            <v>1.248378897112</v>
          </cell>
          <cell r="Y354">
            <v>1.626295038321</v>
          </cell>
          <cell r="Z354">
            <v>1.865221966612</v>
          </cell>
        </row>
        <row r="355">
          <cell r="B355" t="str">
            <v>Common dividends paid</v>
          </cell>
          <cell r="C355" t="str">
            <v>COMMON_DIV_PAID</v>
          </cell>
          <cell r="D355" t="str">
            <v>CNY</v>
          </cell>
          <cell r="F355">
            <v>-184.84713194</v>
          </cell>
          <cell r="G355">
            <v>-232.63363347000001</v>
          </cell>
          <cell r="H355">
            <v>-344.04199999999997</v>
          </cell>
          <cell r="I355">
            <v>-459.553</v>
          </cell>
          <cell r="J355">
            <v>-509.88600000000002</v>
          </cell>
          <cell r="K355">
            <v>-143.80725000000001</v>
          </cell>
          <cell r="L355">
            <v>-240.79961538461399</v>
          </cell>
          <cell r="M355">
            <v>-401.66104838709498</v>
          </cell>
          <cell r="N355">
            <v>-526.74021428571496</v>
          </cell>
          <cell r="O355">
            <v>-833.39666666666506</v>
          </cell>
          <cell r="P355">
            <v>-675.46426229508199</v>
          </cell>
          <cell r="Q355">
            <v>0</v>
          </cell>
          <cell r="R355">
            <v>-104.43515384615399</v>
          </cell>
          <cell r="S355">
            <v>-684.04441558441897</v>
          </cell>
          <cell r="T355">
            <v>-1028.16826923077</v>
          </cell>
          <cell r="U355">
            <v>-1033.9552631578999</v>
          </cell>
          <cell r="V355">
            <v>-1047.74561926605</v>
          </cell>
          <cell r="W355">
            <v>0</v>
          </cell>
          <cell r="X355">
            <v>-1200.4686347049501</v>
          </cell>
          <cell r="Y355">
            <v>-1563.8811171805701</v>
          </cell>
          <cell r="Z355">
            <v>-1793.6385122020899</v>
          </cell>
        </row>
        <row r="356">
          <cell r="B356" t="str">
            <v>DPS, dividend per share</v>
          </cell>
          <cell r="C356" t="str">
            <v>DPS</v>
          </cell>
          <cell r="D356" t="str">
            <v>CNY</v>
          </cell>
          <cell r="K356">
            <v>0.15</v>
          </cell>
          <cell r="L356">
            <v>0.25</v>
          </cell>
          <cell r="M356">
            <v>0.3</v>
          </cell>
          <cell r="N356">
            <v>0.3</v>
          </cell>
          <cell r="O356">
            <v>0.3</v>
          </cell>
          <cell r="P356">
            <v>0.2</v>
          </cell>
          <cell r="Q356">
            <v>0</v>
          </cell>
          <cell r="R356">
            <v>2.9999933092000001E-2</v>
          </cell>
          <cell r="S356">
            <v>0.2</v>
          </cell>
          <cell r="T356">
            <v>0.25</v>
          </cell>
          <cell r="U356">
            <v>0.25</v>
          </cell>
          <cell r="V356">
            <v>0.25</v>
          </cell>
          <cell r="W356">
            <v>0</v>
          </cell>
          <cell r="X356">
            <v>0.28632543511699998</v>
          </cell>
          <cell r="Y356">
            <v>0.37300344915599998</v>
          </cell>
          <cell r="Z356">
            <v>0.42780320335100003</v>
          </cell>
        </row>
        <row r="357">
          <cell r="B357" t="str">
            <v>Weighted average shares outstanding, basic</v>
          </cell>
          <cell r="C357" t="str">
            <v>SH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958.71500000000003</v>
          </cell>
          <cell r="L357">
            <v>963.19846153845799</v>
          </cell>
          <cell r="M357">
            <v>1338.8701612903201</v>
          </cell>
          <cell r="N357">
            <v>1755.80071428572</v>
          </cell>
          <cell r="O357">
            <v>2777.98888888888</v>
          </cell>
          <cell r="P357">
            <v>3377.3213114754099</v>
          </cell>
          <cell r="Q357">
            <v>3422.84578313253</v>
          </cell>
          <cell r="R357">
            <v>3481.1717948718101</v>
          </cell>
          <cell r="S357">
            <v>3420.2220779220902</v>
          </cell>
          <cell r="T357">
            <v>4112.6730769230699</v>
          </cell>
          <cell r="U357">
            <v>4135.8210526315897</v>
          </cell>
          <cell r="V357">
            <v>4190.9824770642099</v>
          </cell>
          <cell r="W357">
            <v>4192.6719999999996</v>
          </cell>
          <cell r="X357">
            <v>4192.6719999999996</v>
          </cell>
          <cell r="Y357">
            <v>4192.6719999999996</v>
          </cell>
          <cell r="Z357">
            <v>4192.6719999999996</v>
          </cell>
        </row>
        <row r="358">
          <cell r="B358" t="str">
            <v>Diluted average shares outstanding (mn)</v>
          </cell>
          <cell r="C358" t="str">
            <v>DILUTE_SHARES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958.71500000000003</v>
          </cell>
          <cell r="L358">
            <v>970.66511627906596</v>
          </cell>
          <cell r="M358">
            <v>1383.4991666666599</v>
          </cell>
          <cell r="N358">
            <v>1820.83037037037</v>
          </cell>
          <cell r="O358">
            <v>2826.3017391304302</v>
          </cell>
          <cell r="P358">
            <v>3377.3213114754099</v>
          </cell>
          <cell r="Q358">
            <v>3422.84578313253</v>
          </cell>
          <cell r="R358">
            <v>3481.1717948718101</v>
          </cell>
          <cell r="S358">
            <v>3420.2220779220902</v>
          </cell>
          <cell r="T358">
            <v>4166.0844155844097</v>
          </cell>
          <cell r="U358">
            <v>4135.8210526315897</v>
          </cell>
          <cell r="V358">
            <v>4229.78787037036</v>
          </cell>
          <cell r="W358">
            <v>4192.6719999999996</v>
          </cell>
          <cell r="X358">
            <v>4192.6719999999996</v>
          </cell>
          <cell r="Y358">
            <v>4192.6719999999996</v>
          </cell>
          <cell r="Z358">
            <v>4192.6719999999996</v>
          </cell>
        </row>
        <row r="359">
          <cell r="B359" t="str">
            <v>Period-end shares outstanding</v>
          </cell>
          <cell r="C359" t="str">
            <v>NON_OP_ADD</v>
          </cell>
          <cell r="F359">
            <v>556.08000000000004</v>
          </cell>
          <cell r="G359">
            <v>556.08000000000004</v>
          </cell>
          <cell r="H359">
            <v>667.29600000000005</v>
          </cell>
          <cell r="I359">
            <v>959.52200000000005</v>
          </cell>
          <cell r="J359">
            <v>959.52200000000005</v>
          </cell>
          <cell r="K359">
            <v>959.52200000000005</v>
          </cell>
          <cell r="L359">
            <v>959.52200000000005</v>
          </cell>
          <cell r="M359">
            <v>1343.33</v>
          </cell>
          <cell r="N359">
            <v>1831.336</v>
          </cell>
          <cell r="O359">
            <v>2866.732</v>
          </cell>
          <cell r="P359">
            <v>3440.078</v>
          </cell>
          <cell r="Q359">
            <v>3440.078</v>
          </cell>
          <cell r="R359">
            <v>3437.5410000000002</v>
          </cell>
          <cell r="S359">
            <v>3437.5410000000002</v>
          </cell>
          <cell r="T359">
            <v>4150.7910000000002</v>
          </cell>
          <cell r="U359">
            <v>4184.6279999999997</v>
          </cell>
          <cell r="V359">
            <v>4192.6719999999996</v>
          </cell>
          <cell r="W359">
            <v>4192.6719999999996</v>
          </cell>
          <cell r="X359">
            <v>4192.6719999999996</v>
          </cell>
          <cell r="Y359">
            <v>4192.6719999999996</v>
          </cell>
          <cell r="Z359">
            <v>4192.6719999999996</v>
          </cell>
        </row>
        <row r="360">
          <cell r="A360" t="str">
            <v>Additional Income Statement Items</v>
          </cell>
        </row>
        <row r="361">
          <cell r="B361" t="str">
            <v>Marginal tax rate</v>
          </cell>
          <cell r="C361" t="str">
            <v>MARGIN_TAX_RATE</v>
          </cell>
          <cell r="F361">
            <v>0.111320158631</v>
          </cell>
          <cell r="G361">
            <v>0.16480508057599999</v>
          </cell>
          <cell r="H361">
            <v>0.16358406255399999</v>
          </cell>
          <cell r="I361">
            <v>0.14655529681099999</v>
          </cell>
          <cell r="J361">
            <v>0.10556548395900001</v>
          </cell>
          <cell r="K361">
            <v>0.123294</v>
          </cell>
          <cell r="L361">
            <v>0.15991061124</v>
          </cell>
          <cell r="M361">
            <v>0.15496191674599999</v>
          </cell>
          <cell r="N361">
            <v>0.18921197494399999</v>
          </cell>
          <cell r="O361">
            <v>0.202678500372</v>
          </cell>
          <cell r="P361">
            <v>0.14877524347900001</v>
          </cell>
          <cell r="R361">
            <v>0.215667866441</v>
          </cell>
          <cell r="S361">
            <v>0.22906759383700001</v>
          </cell>
          <cell r="T361">
            <v>0.13088365556500001</v>
          </cell>
          <cell r="U361">
            <v>0</v>
          </cell>
          <cell r="V361">
            <v>0.19833268216200001</v>
          </cell>
          <cell r="W361">
            <v>6.8111433233999999E-2</v>
          </cell>
          <cell r="X361">
            <v>6.8111433233999999E-2</v>
          </cell>
          <cell r="Y361">
            <v>6.8111433233999999E-2</v>
          </cell>
          <cell r="Z361">
            <v>6.8111433233999999E-2</v>
          </cell>
        </row>
        <row r="362">
          <cell r="B362" t="str">
            <v>Net income (consensus) (Pub)</v>
          </cell>
          <cell r="C362" t="str">
            <v>NI_CONS</v>
          </cell>
          <cell r="D362" t="str">
            <v>CNY</v>
          </cell>
        </row>
        <row r="363">
          <cell r="A363" t="str">
            <v>Balance Sheet</v>
          </cell>
        </row>
        <row r="364">
          <cell r="B364" t="str">
            <v>BVPS, book value per share</v>
          </cell>
          <cell r="C364" t="str">
            <v>BVPS</v>
          </cell>
          <cell r="D364" t="str">
            <v>CNY</v>
          </cell>
          <cell r="F364">
            <v>6.9474620788920003</v>
          </cell>
          <cell r="G364">
            <v>7.6902836781039996</v>
          </cell>
          <cell r="H364">
            <v>7.2587605480780004</v>
          </cell>
          <cell r="I364">
            <v>9.3114686270870006</v>
          </cell>
          <cell r="J364">
            <v>10.302228609662</v>
          </cell>
          <cell r="K364">
            <v>11.068028664271999</v>
          </cell>
          <cell r="L364">
            <v>12.399174797451</v>
          </cell>
          <cell r="M364">
            <v>10.307627314212001</v>
          </cell>
          <cell r="N364">
            <v>9.1299887076980006</v>
          </cell>
          <cell r="O364">
            <v>7.858718917569</v>
          </cell>
          <cell r="P364">
            <v>6.8562584918129996</v>
          </cell>
          <cell r="Q364">
            <v>6.2505774578370001</v>
          </cell>
          <cell r="R364">
            <v>6.5248740305929998</v>
          </cell>
          <cell r="S364">
            <v>7.0373170821819997</v>
          </cell>
          <cell r="T364">
            <v>7.145648624563</v>
          </cell>
          <cell r="U364">
            <v>6.3090795645400002</v>
          </cell>
          <cell r="V364">
            <v>9.7713825455460004</v>
          </cell>
          <cell r="W364">
            <v>8.2949345443600002</v>
          </cell>
          <cell r="X364">
            <v>9.2569880063549999</v>
          </cell>
          <cell r="Y364">
            <v>10.51027959552</v>
          </cell>
          <cell r="Z364">
            <v>11.947698358781</v>
          </cell>
        </row>
        <row r="365">
          <cell r="A365" t="str">
            <v>Cash Flow Statement</v>
          </cell>
        </row>
        <row r="366">
          <cell r="B366" t="str">
            <v>Net income (pre-preferred dividends)</v>
          </cell>
          <cell r="C366" t="str">
            <v>CF_NI_PRE_PREF</v>
          </cell>
          <cell r="D366" t="str">
            <v>CNY</v>
          </cell>
          <cell r="F366">
            <v>570.26894061999997</v>
          </cell>
          <cell r="G366">
            <v>566.99994156000002</v>
          </cell>
          <cell r="H366">
            <v>752.49847979000106</v>
          </cell>
          <cell r="I366">
            <v>1008.87</v>
          </cell>
          <cell r="J366">
            <v>1194.3430000000001</v>
          </cell>
          <cell r="K366">
            <v>766.97199999999998</v>
          </cell>
          <cell r="L366">
            <v>1252.1579999999999</v>
          </cell>
          <cell r="M366">
            <v>1660.1990000000001</v>
          </cell>
          <cell r="N366">
            <v>2458.1210000000001</v>
          </cell>
          <cell r="O366">
            <v>3250.2469999999998</v>
          </cell>
          <cell r="P366">
            <v>2060.1660000000102</v>
          </cell>
          <cell r="Q366">
            <v>-2840.96200000001</v>
          </cell>
          <cell r="R366">
            <v>1357.6570000000099</v>
          </cell>
          <cell r="S366">
            <v>2633.5709999999899</v>
          </cell>
          <cell r="T366">
            <v>3207.8850000000002</v>
          </cell>
          <cell r="U366">
            <v>-2357.4180000000001</v>
          </cell>
          <cell r="V366">
            <v>4568.1708999999901</v>
          </cell>
          <cell r="W366">
            <v>-6470.87319402715</v>
          </cell>
          <cell r="X366">
            <v>5234.0432473135897</v>
          </cell>
          <cell r="Y366">
            <v>6818.5216709072702</v>
          </cell>
          <cell r="Z366">
            <v>7820.2639132011</v>
          </cell>
        </row>
        <row r="367">
          <cell r="A367" t="str">
            <v>Other Items</v>
          </cell>
        </row>
        <row r="368">
          <cell r="B368" t="str">
            <v>Beta</v>
          </cell>
          <cell r="C368" t="str">
            <v>BETA_ANALYST</v>
          </cell>
        </row>
        <row r="369">
          <cell r="B369" t="str">
            <v>Market equity risk premium</v>
          </cell>
          <cell r="C369" t="str">
            <v>MKT_EQ_RISK_PREM</v>
          </cell>
        </row>
        <row r="370">
          <cell r="B370" t="str">
            <v>Risk-free rate</v>
          </cell>
          <cell r="C370" t="str">
            <v>RISK_FR_RATE</v>
          </cell>
        </row>
      </sheetData>
      <sheetData sheetId="3">
        <row r="1">
          <cell r="A1" t="str">
            <v>3e0074d2-21b5-452c-828b-80414d24e80e</v>
          </cell>
        </row>
        <row r="2">
          <cell r="A2" t="str">
            <v>\\firmwide.corp.gs.com\irroot\Projects\worldshare\Quantum\Exchange Sheet Linking\Greater China Telecoms and Technology\000063.SZ\[GS_ZTE 000063.SZ 20190328_V1.xlsm]000063.SZ_Validation_Sheet</v>
          </cell>
        </row>
        <row r="3">
          <cell r="W3" t="str">
            <v>ERROR</v>
          </cell>
          <cell r="AM3" t="str">
            <v>ERROR</v>
          </cell>
        </row>
        <row r="7">
          <cell r="A7" t="str">
            <v>Scalar|||208002549|||ISSR|||CURRENCY_ISO|||False|||</v>
          </cell>
          <cell r="C7" t="str">
            <v>V_KEYWORD_ISSR_208002549_CURRENCY_ISO</v>
          </cell>
        </row>
        <row r="9">
          <cell r="A9" t="str">
            <v>Scalar|||208002549|||ISSR|||MA_PROB|||False|||</v>
          </cell>
          <cell r="C9" t="str">
            <v>V_KEYWORD_ISSR_208002549_MA_PROB</v>
          </cell>
          <cell r="E9" t="str">
            <v>ERROR</v>
          </cell>
        </row>
        <row r="11">
          <cell r="A11" t="str">
            <v>Vector|||208002549|||ISSR|||SALES|||False|||</v>
          </cell>
          <cell r="C11" t="str">
            <v>V_KEYWORD_ISSR_208002549_SALES</v>
          </cell>
        </row>
        <row r="12">
          <cell r="A12" t="str">
            <v>Vector|||208002549|||ISSR|||PERSONNEL|||False|||</v>
          </cell>
          <cell r="C12" t="str">
            <v>V_KEYWORD_ISSR_208002549_PERSONNEL</v>
          </cell>
        </row>
        <row r="13">
          <cell r="A13" t="str">
            <v>Vector|||208002549|||ISSR|||COST_GD_SD|||False|||</v>
          </cell>
          <cell r="C13" t="str">
            <v>V_KEYWORD_ISSR_208002549_COST_GD_SD</v>
          </cell>
        </row>
        <row r="14">
          <cell r="A14" t="str">
            <v>Vector|||208002549|||ISSR|||SEL_GL_AD|||False|||</v>
          </cell>
          <cell r="C14" t="str">
            <v>V_KEYWORD_ISSR_208002549_SEL_GL_AD</v>
          </cell>
        </row>
        <row r="15">
          <cell r="A15" t="str">
            <v>Vector|||208002549|||ISSR|||OP_COST|||False|||</v>
          </cell>
          <cell r="C15" t="str">
            <v>V_KEYWORD_ISSR_208002549_OP_COST</v>
          </cell>
        </row>
        <row r="16">
          <cell r="A16" t="str">
            <v>Vector|||208002549|||ISSR|||RD_EXP|||False|||</v>
          </cell>
          <cell r="C16" t="str">
            <v>V_KEYWORD_ISSR_208002549_RD_EXP</v>
          </cell>
        </row>
        <row r="17">
          <cell r="A17" t="str">
            <v>Vector|||208002549|||ISSR|||OTH_OP_INC_EXP|||False|||</v>
          </cell>
          <cell r="C17" t="str">
            <v>V_KEYWORD_ISSR_208002549_OTH_OP_INC_EXP</v>
          </cell>
        </row>
        <row r="18">
          <cell r="A18" t="str">
            <v>Vector|||208002549|||ISSR|||TOT_OPS_EXP_DDA|||False|||</v>
          </cell>
          <cell r="C18" t="str">
            <v>V_KEYWORD_ISSR_208002549_TOT_OPS_EXP_DDA</v>
          </cell>
        </row>
        <row r="19">
          <cell r="A19" t="str">
            <v>Vector|||208002549|||ISSR|||TOT_OPS_EXP|||False|||</v>
          </cell>
          <cell r="C19" t="str">
            <v>V_KEYWORD_ISSR_208002549_TOT_OPS_EXP</v>
          </cell>
        </row>
        <row r="20">
          <cell r="A20" t="str">
            <v>Vector|||208002549|||ISSR|||EBITDA_CALC|||False|||</v>
          </cell>
          <cell r="C20" t="str">
            <v>V_KEYWORD_ISSR_208002549_EBITDA_CALC</v>
          </cell>
        </row>
        <row r="21">
          <cell r="A21" t="str">
            <v>Vector|||208002549|||ISSR|||DEPREC|||False|||</v>
          </cell>
          <cell r="C21" t="str">
            <v>V_KEYWORD_ISSR_208002549_DEPREC</v>
          </cell>
        </row>
        <row r="22">
          <cell r="A22" t="str">
            <v>Vector|||208002549|||ISSR|||GOODWILL_AMORT|||False|||</v>
          </cell>
          <cell r="C22" t="str">
            <v>V_KEYWORD_ISSR_208002549_GOODWILL_AMORT</v>
          </cell>
        </row>
        <row r="23">
          <cell r="A23" t="str">
            <v>Vector|||208002549|||ISSR|||EBIT|||False|||</v>
          </cell>
          <cell r="C23" t="str">
            <v>V_KEYWORD_ISSR_208002549_EBIT</v>
          </cell>
        </row>
        <row r="24">
          <cell r="A24" t="str">
            <v>Vector|||208002549|||ISSR|||INT_INC_IND|||False|||</v>
          </cell>
          <cell r="C24" t="str">
            <v>V_KEYWORD_ISSR_208002549_INT_INC_IND</v>
          </cell>
        </row>
        <row r="25">
          <cell r="A25" t="str">
            <v>Vector|||208002549|||ISSR|||INT_EXP_IND|||False|||</v>
          </cell>
          <cell r="C25" t="str">
            <v>V_KEYWORD_ISSR_208002549_INT_EXP_IND</v>
          </cell>
        </row>
        <row r="26">
          <cell r="A26" t="str">
            <v>Vector|||208002549|||ISSR|||NET_INT_EXP|||False|||</v>
          </cell>
          <cell r="C26" t="str">
            <v>V_KEYWORD_ISSR_208002549_NET_INT_EXP</v>
          </cell>
        </row>
        <row r="27">
          <cell r="A27" t="str">
            <v>Vector|||208002549|||ISSR|||ASSOCIATE|||False|||</v>
          </cell>
          <cell r="C27" t="str">
            <v>V_KEYWORD_ISSR_208002549_ASSOCIATE</v>
          </cell>
        </row>
        <row r="28">
          <cell r="A28" t="str">
            <v>Vector|||208002549|||ISSR|||PROFIT_ON_DISP|||False|||</v>
          </cell>
          <cell r="C28" t="str">
            <v>V_KEYWORD_ISSR_208002549_PROFIT_ON_DISP</v>
          </cell>
        </row>
        <row r="29">
          <cell r="A29" t="str">
            <v>Vector|||208002549|||ISSR|||OTH_COST_INC|||False|||</v>
          </cell>
          <cell r="C29" t="str">
            <v>V_KEYWORD_ISSR_208002549_OTH_COST_INC</v>
          </cell>
        </row>
        <row r="30">
          <cell r="A30" t="str">
            <v>Vector|||208002549|||ISSR|||PT_PROF|||False|||</v>
          </cell>
          <cell r="C30" t="str">
            <v>V_KEYWORD_ISSR_208002549_PT_PROF</v>
          </cell>
        </row>
        <row r="32">
          <cell r="A32" t="str">
            <v>Vector|||208002549|||ISSR|||CONTRIB_MARGIN_RATIO|||False|||</v>
          </cell>
          <cell r="C32" t="str">
            <v>V_KEYWORD_ISSR_208002549_CONTRIB_MARGIN_RATIO</v>
          </cell>
        </row>
        <row r="33">
          <cell r="A33" t="str">
            <v>Vector|||208002549|||ISSR|||LEASE_PAY|||False|||</v>
          </cell>
          <cell r="C33" t="str">
            <v>V_KEYWORD_ISSR_208002549_LEASE_PAY</v>
          </cell>
        </row>
        <row r="34">
          <cell r="A34" t="str">
            <v>Vector|||208002549|||ISSR|||LEASE_DEEM_INT|||False|||</v>
          </cell>
          <cell r="C34" t="str">
            <v>V_KEYWORD_ISSR_208002549_LEASE_DEEM_INT</v>
          </cell>
        </row>
        <row r="35">
          <cell r="A35" t="str">
            <v>Vector|||208002549|||ISSR|||LEASE_DEEM_DEPR|||False|||</v>
          </cell>
          <cell r="C35" t="str">
            <v>V_KEYWORD_ISSR_208002549_LEASE_DEEM_DEPR</v>
          </cell>
        </row>
        <row r="36">
          <cell r="A36" t="str">
            <v>Vector|||208002549|||ISSR|||NET_INT_CH|||False|||</v>
          </cell>
          <cell r="C36" t="str">
            <v>V_KEYWORD_ISSR_208002549_NET_INT_CH</v>
          </cell>
        </row>
        <row r="37">
          <cell r="A37" t="str">
            <v>Vector|||208002549|||ISSR|||ASSOCIATE_OP|||False|||</v>
          </cell>
          <cell r="C37" t="str">
            <v>V_KEYWORD_ISSR_208002549_ASSOCIATE_OP</v>
          </cell>
        </row>
        <row r="39">
          <cell r="A39" t="str">
            <v>Vector|||208002549|||ISSR|||CASH_EQ|||False|||</v>
          </cell>
          <cell r="C39" t="str">
            <v>V_KEYWORD_ISSR_208002549_CASH_EQ</v>
          </cell>
        </row>
        <row r="40">
          <cell r="A40" t="str">
            <v>Vector|||208002549|||ISSR|||DEBTORS|||False|||</v>
          </cell>
          <cell r="C40" t="str">
            <v>V_KEYWORD_ISSR_208002549_DEBTORS</v>
          </cell>
        </row>
        <row r="41">
          <cell r="A41" t="str">
            <v>Vector|||208002549|||ISSR|||STOCKS|||False|||</v>
          </cell>
          <cell r="C41" t="str">
            <v>V_KEYWORD_ISSR_208002549_STOCKS</v>
          </cell>
        </row>
        <row r="42">
          <cell r="A42" t="str">
            <v>Vector|||208002549|||ISSR|||OTH_CUR_ASS|||False|||</v>
          </cell>
          <cell r="C42" t="str">
            <v>V_KEYWORD_ISSR_208002549_OTH_CUR_ASS</v>
          </cell>
        </row>
        <row r="43">
          <cell r="A43" t="str">
            <v>Vector|||208002549|||ISSR|||CUR_ASS|||False|||</v>
          </cell>
          <cell r="C43" t="str">
            <v>V_KEYWORD_ISSR_208002549_CUR_ASS</v>
          </cell>
        </row>
        <row r="44">
          <cell r="A44" t="str">
            <v>Vector|||208002549|||ISSR|||GR_FIX_ASS|||False|||</v>
          </cell>
          <cell r="C44" t="str">
            <v>V_KEYWORD_ISSR_208002549_GR_FIX_ASS</v>
          </cell>
        </row>
        <row r="45">
          <cell r="A45" t="str">
            <v>Vector|||208002549|||ISSR|||ACC_DDA|||False|||</v>
          </cell>
          <cell r="C45" t="str">
            <v>V_KEYWORD_ISSR_208002549_ACC_DDA</v>
          </cell>
        </row>
        <row r="46">
          <cell r="A46" t="str">
            <v>Vector|||208002549|||ISSR|||NET_FIX_ASS|||False|||</v>
          </cell>
          <cell r="C46" t="str">
            <v>V_KEYWORD_ISSR_208002549_NET_FIX_ASS</v>
          </cell>
        </row>
        <row r="47">
          <cell r="A47" t="str">
            <v>Vector|||208002549|||ISSR|||GR_INTANG|||False|||</v>
          </cell>
          <cell r="C47" t="str">
            <v>V_KEYWORD_ISSR_208002549_GR_INTANG</v>
          </cell>
        </row>
        <row r="48">
          <cell r="A48" t="str">
            <v>Vector|||208002549|||ISSR|||ACC_AMORT|||False|||</v>
          </cell>
          <cell r="C48" t="str">
            <v>V_KEYWORD_ISSR_208002549_ACC_AMORT</v>
          </cell>
        </row>
        <row r="49">
          <cell r="A49" t="str">
            <v>Vector|||208002549|||ISSR|||NET_INTANG|||False|||</v>
          </cell>
          <cell r="C49" t="str">
            <v>V_KEYWORD_ISSR_208002549_NET_INTANG</v>
          </cell>
        </row>
        <row r="50">
          <cell r="A50" t="str">
            <v>Vector|||208002549|||ISSR|||FIX_ASS_INV|||False|||</v>
          </cell>
          <cell r="C50" t="str">
            <v>V_KEYWORD_ISSR_208002549_FIX_ASS_INV</v>
          </cell>
        </row>
        <row r="51">
          <cell r="A51" t="str">
            <v>Vector|||208002549|||ISSR|||INV_SECUR|||False|||</v>
          </cell>
          <cell r="C51" t="str">
            <v>V_KEYWORD_ISSR_208002549_INV_SECUR</v>
          </cell>
        </row>
        <row r="52">
          <cell r="A52" t="str">
            <v>Vector|||208002549|||ISSR|||OTH_LT_ASS|||False|||</v>
          </cell>
          <cell r="C52" t="str">
            <v>V_KEYWORD_ISSR_208002549_OTH_LT_ASS</v>
          </cell>
        </row>
        <row r="53">
          <cell r="A53" t="str">
            <v>Vector|||208002549|||ISSR|||TOT_ASSET|||False|||</v>
          </cell>
          <cell r="C53" t="str">
            <v>V_KEYWORD_ISSR_208002549_TOT_ASSET</v>
          </cell>
        </row>
        <row r="54">
          <cell r="A54" t="str">
            <v>Vector|||208002549|||ISSR|||ACC_PAY_GQ|||False|||</v>
          </cell>
          <cell r="C54" t="str">
            <v>V_KEYWORD_ISSR_208002549_ACC_PAY_GQ</v>
          </cell>
        </row>
        <row r="55">
          <cell r="A55" t="str">
            <v>Vector|||208002549|||ISSR|||SHORT_T_DEBT|||False|||</v>
          </cell>
          <cell r="C55" t="str">
            <v>V_KEYWORD_ISSR_208002549_SHORT_T_DEBT</v>
          </cell>
        </row>
        <row r="56">
          <cell r="A56" t="str">
            <v>Vector|||208002549|||ISSR|||OTH_CUR_LIABS|||False|||</v>
          </cell>
          <cell r="C56" t="str">
            <v>V_KEYWORD_ISSR_208002549_OTH_CUR_LIABS</v>
          </cell>
        </row>
        <row r="57">
          <cell r="A57" t="str">
            <v>Vector|||208002549|||ISSR|||SHORT_TERM_LIABS|||False|||</v>
          </cell>
          <cell r="C57" t="str">
            <v>V_KEYWORD_ISSR_208002549_SHORT_TERM_LIABS</v>
          </cell>
        </row>
        <row r="58">
          <cell r="A58" t="str">
            <v>Vector|||208002549|||ISSR|||LT_DEBT|||False|||</v>
          </cell>
          <cell r="C58" t="str">
            <v>V_KEYWORD_ISSR_208002549_LT_DEBT</v>
          </cell>
        </row>
        <row r="59">
          <cell r="A59" t="str">
            <v>Vector|||208002549|||ISSR|||OTH_LT_CRED_GQ|||False|||</v>
          </cell>
          <cell r="C59" t="str">
            <v>V_KEYWORD_ISSR_208002549_OTH_LT_CRED_GQ</v>
          </cell>
        </row>
        <row r="60">
          <cell r="A60" t="str">
            <v>Vector|||208002549|||ISSR|||TOT_LT_LIAB|||False|||</v>
          </cell>
          <cell r="C60" t="str">
            <v>V_KEYWORD_ISSR_208002549_TOT_LT_LIAB</v>
          </cell>
        </row>
        <row r="61">
          <cell r="A61" t="str">
            <v>Vector|||208002549|||ISSR|||TOT_LIAB|||False|||</v>
          </cell>
          <cell r="C61" t="str">
            <v>V_KEYWORD_ISSR_208002549_TOT_LIAB</v>
          </cell>
        </row>
        <row r="62">
          <cell r="A62" t="str">
            <v>Vector|||208002549|||ISSR|||PREF_SH|||False|||</v>
          </cell>
          <cell r="C62" t="str">
            <v>V_KEYWORD_ISSR_208002549_PREF_SH</v>
          </cell>
        </row>
        <row r="63">
          <cell r="A63" t="str">
            <v>Vector|||208002549|||ISSR|||ORD_SH_FUND|||False|||</v>
          </cell>
          <cell r="C63" t="str">
            <v>V_KEYWORD_ISSR_208002549_ORD_SH_FUND</v>
          </cell>
        </row>
        <row r="64">
          <cell r="A64" t="str">
            <v>Vector|||208002549|||ISSR|||MINORITIES|||False|||</v>
          </cell>
          <cell r="C64" t="str">
            <v>V_KEYWORD_ISSR_208002549_MINORITIES</v>
          </cell>
        </row>
        <row r="65">
          <cell r="A65" t="str">
            <v>Vector|||208002549|||ISSR|||EQ|||False|||</v>
          </cell>
          <cell r="C65" t="str">
            <v>V_KEYWORD_ISSR_208002549_EQ</v>
          </cell>
        </row>
        <row r="66">
          <cell r="A66" t="str">
            <v>Vector|||208002549|||ISSR|||TOT_LIAB_EQ|||False|||</v>
          </cell>
          <cell r="C66" t="str">
            <v>V_KEYWORD_ISSR_208002549_TOT_LIAB_EQ</v>
          </cell>
        </row>
        <row r="68">
          <cell r="A68" t="str">
            <v>Vector|||208002549|||ISSR|||TOT_USD_DEBT|||False|||</v>
          </cell>
          <cell r="C68" t="str">
            <v>V_KEYWORD_ISSR_208002549_TOT_USD_DEBT</v>
          </cell>
        </row>
        <row r="69">
          <cell r="A69" t="str">
            <v>Vector|||208002549|||ISSR|||TOT_PCT_USD_DEBT_HEDGED|||False|||</v>
          </cell>
          <cell r="C69" t="str">
            <v>V_KEYWORD_ISSR_208002549_TOT_PCT_USD_DEBT_HEDGED</v>
          </cell>
        </row>
        <row r="70">
          <cell r="A70" t="str">
            <v>Vector|||208002549|||ISSR|||FLOATING_PCT_LOCAL_DEBT|||False|||</v>
          </cell>
          <cell r="C70" t="str">
            <v>V_KEYWORD_ISSR_208002549_FLOATING_PCT_LOCAL_DEBT</v>
          </cell>
        </row>
        <row r="71">
          <cell r="A71" t="str">
            <v>Vector|||208002549|||ISSR|||FLOATING_PCT_LOCAL_DEBT_HEDGED|||False|||</v>
          </cell>
          <cell r="C71" t="str">
            <v>V_KEYWORD_ISSR_208002549_FLOATING_PCT_LOCAL_DEBT_HEDGED</v>
          </cell>
        </row>
        <row r="72">
          <cell r="A72" t="str">
            <v>Vector|||208002549|||ISSR|||NET_DEBT|||False|||</v>
          </cell>
          <cell r="C72" t="str">
            <v>V_KEYWORD_ISSR_208002549_NET_DEBT</v>
          </cell>
        </row>
        <row r="73">
          <cell r="A73" t="str">
            <v>Vector|||208002549|||ISSR|||CAP_LEASES|||False|||</v>
          </cell>
          <cell r="C73" t="str">
            <v>V_KEYWORD_ISSR_208002549_CAP_LEASES</v>
          </cell>
        </row>
        <row r="74">
          <cell r="A74" t="str">
            <v>Vector|||208002549|||ISSR|||DEF_INC_TAX|||False|||</v>
          </cell>
          <cell r="C74" t="str">
            <v>V_KEYWORD_ISSR_208002549_DEF_INC_TAX</v>
          </cell>
        </row>
        <row r="75">
          <cell r="A75" t="str">
            <v>Vector|||208002549|||ISSR|||MV_ASSOCIATES|||False|||</v>
          </cell>
          <cell r="C75" t="str">
            <v>V_KEYWORD_ISSR_208002549_MV_ASSOCIATES</v>
          </cell>
        </row>
        <row r="76">
          <cell r="A76" t="str">
            <v>Vector|||208002549|||ISSR|||NET_DEBT_ADJ|||False|||</v>
          </cell>
          <cell r="C76" t="str">
            <v>V_KEYWORD_ISSR_208002549_NET_DEBT_ADJ</v>
          </cell>
        </row>
        <row r="77">
          <cell r="A77" t="str">
            <v>Vector|||208002549|||ISSR|||CO_BOR_MARGIN|||False|||</v>
          </cell>
          <cell r="C77" t="str">
            <v>V_KEYWORD_ISSR_208002549_CO_BOR_MARGIN</v>
          </cell>
        </row>
        <row r="78">
          <cell r="A78" t="str">
            <v>Vector|||208002549|||ISSR|||UNF_PENS|||False|||</v>
          </cell>
          <cell r="C78" t="str">
            <v>V_KEYWORD_ISSR_208002549_UNF_PENS</v>
          </cell>
        </row>
        <row r="79">
          <cell r="A79" t="str">
            <v>Vector|||208002549|||ISSR|||UNF_PENS_OFF|||False|||</v>
          </cell>
          <cell r="C79" t="str">
            <v>V_KEYWORD_ISSR_208002549_UNF_PENS_OFF</v>
          </cell>
        </row>
        <row r="80">
          <cell r="A80" t="str">
            <v>Vector|||208002549|||ISSR|||UNF_PENS_LIAB_OTH|||False|||</v>
          </cell>
          <cell r="C80" t="str">
            <v>V_KEYWORD_ISSR_208002549_UNF_PENS_LIAB_OTH</v>
          </cell>
        </row>
        <row r="81">
          <cell r="A81" t="str">
            <v>Vector|||208002549|||ISSR|||ADJ_UNF_PENS_GOOD|||False|||</v>
          </cell>
          <cell r="C81" t="str">
            <v>V_KEYWORD_ISSR_208002549_ADJ_UNF_PENS_GOOD</v>
          </cell>
        </row>
        <row r="82">
          <cell r="A82" t="str">
            <v>Vector|||208002549|||ISSR|||OTH_GCI_ADJ|||False|||</v>
          </cell>
          <cell r="C82" t="str">
            <v>V_KEYWORD_ISSR_208002549_OTH_GCI_ADJ</v>
          </cell>
        </row>
        <row r="83">
          <cell r="A83" t="str">
            <v>Vector|||208002549|||ISSR|||GCI_INFL|||False|||</v>
          </cell>
          <cell r="C83" t="str">
            <v>V_KEYWORD_ISSR_208002549_GCI_INFL</v>
          </cell>
        </row>
        <row r="84">
          <cell r="A84" t="str">
            <v>Vector|||208002549|||ISSR|||BAL_MINO_INT|||False|||</v>
          </cell>
          <cell r="C84" t="str">
            <v>V_KEYWORD_ISSR_208002549_BAL_MINO_INT</v>
          </cell>
        </row>
        <row r="86">
          <cell r="A86" t="str">
            <v>Vector|||208002549|||ISSR|||CF_INC_MINORITY|||False|||</v>
          </cell>
          <cell r="C86" t="str">
            <v>V_KEYWORD_ISSR_208002549_CF_INC_MINORITY</v>
          </cell>
        </row>
        <row r="87">
          <cell r="A87" t="str">
            <v>Vector|||208002549|||ISSR|||DEPR_AMORT|||False|||</v>
          </cell>
          <cell r="C87" t="str">
            <v>V_KEYWORD_ISSR_208002549_DEPR_AMORT</v>
          </cell>
        </row>
        <row r="88">
          <cell r="A88" t="str">
            <v>Vector|||208002549|||ISSR|||WORK_CAP|||False|||</v>
          </cell>
          <cell r="C88" t="str">
            <v>V_KEYWORD_ISSR_208002549_WORK_CAP</v>
          </cell>
        </row>
        <row r="89">
          <cell r="A89" t="str">
            <v>Vector|||208002549|||ISSR|||OTH_OP_CF|||False|||</v>
          </cell>
          <cell r="C89" t="str">
            <v>V_KEYWORD_ISSR_208002549_OTH_OP_CF</v>
          </cell>
        </row>
        <row r="90">
          <cell r="A90" t="str">
            <v>Vector|||208002549|||ISSR|||CF_OPS|||False|||</v>
          </cell>
          <cell r="C90" t="str">
            <v>V_KEYWORD_ISSR_208002549_CF_OPS</v>
          </cell>
        </row>
        <row r="91">
          <cell r="A91" t="str">
            <v>Vector|||208002549|||ISSR|||CAPEX|||False|||</v>
          </cell>
          <cell r="C91" t="str">
            <v>V_KEYWORD_ISSR_208002549_CAPEX</v>
          </cell>
        </row>
        <row r="92">
          <cell r="A92" t="str">
            <v>Vector|||208002549|||ISSR|||ACQ|||False|||</v>
          </cell>
          <cell r="C92" t="str">
            <v>V_KEYWORD_ISSR_208002549_ACQ</v>
          </cell>
        </row>
        <row r="93">
          <cell r="A93" t="str">
            <v>Vector|||208002549|||ISSR|||DIVEST|||False|||</v>
          </cell>
          <cell r="C93" t="str">
            <v>V_KEYWORD_ISSR_208002549_DIVEST</v>
          </cell>
        </row>
        <row r="94">
          <cell r="A94" t="str">
            <v>Vector|||208002549|||ISSR|||OTH_INV_CF|||False|||</v>
          </cell>
          <cell r="C94" t="str">
            <v>V_KEYWORD_ISSR_208002549_OTH_INV_CF</v>
          </cell>
        </row>
        <row r="95">
          <cell r="A95" t="str">
            <v>Vector|||208002549|||ISSR|||CF_INV|||False|||</v>
          </cell>
          <cell r="C95" t="str">
            <v>V_KEYWORD_ISSR_208002549_CF_INV</v>
          </cell>
        </row>
        <row r="96">
          <cell r="A96" t="str">
            <v>Vector|||208002549|||ISSR|||DIV_PAID|||False|||</v>
          </cell>
          <cell r="C96" t="str">
            <v>V_KEYWORD_ISSR_208002549_DIV_PAID</v>
          </cell>
        </row>
        <row r="97">
          <cell r="A97" t="str">
            <v>Vector|||208002549|||ISSR|||SH_REPUR|||False|||</v>
          </cell>
          <cell r="C97" t="str">
            <v>V_KEYWORD_ISSR_208002549_SH_REPUR</v>
          </cell>
        </row>
        <row r="98">
          <cell r="A98" t="str">
            <v>Vector|||208002549|||ISSR|||CHG_LT_DEBT|||False|||</v>
          </cell>
          <cell r="C98" t="str">
            <v>V_KEYWORD_ISSR_208002549_CHG_LT_DEBT</v>
          </cell>
        </row>
        <row r="99">
          <cell r="A99" t="str">
            <v>Vector|||208002549|||ISSR|||OTH_FIN_CF|||False|||</v>
          </cell>
          <cell r="C99" t="str">
            <v>V_KEYWORD_ISSR_208002549_OTH_FIN_CF</v>
          </cell>
        </row>
        <row r="100">
          <cell r="A100" t="str">
            <v>Vector|||208002549|||ISSR|||CF_FIN|||False|||</v>
          </cell>
          <cell r="C100" t="str">
            <v>V_KEYWORD_ISSR_208002549_CF_FIN</v>
          </cell>
        </row>
        <row r="101">
          <cell r="A101" t="str">
            <v>Vector|||208002549|||ISSR|||TOT_CF|||False|||</v>
          </cell>
          <cell r="C101" t="str">
            <v>V_KEYWORD_ISSR_208002549_TOT_CF</v>
          </cell>
        </row>
        <row r="103">
          <cell r="A103" t="str">
            <v>Vector|||208002549|||ISSR|||ASSOC_JV_ADDBK|||False|||</v>
          </cell>
          <cell r="C103" t="str">
            <v>V_KEYWORD_ISSR_208002549_ASSOC_JV_ADDBK</v>
          </cell>
        </row>
        <row r="104">
          <cell r="A104" t="str">
            <v>Vector|||208002549|||ISSR|||PL_SALE_ASSETS|||False|||</v>
          </cell>
          <cell r="C104" t="str">
            <v>V_KEYWORD_ISSR_208002549_PL_SALE_ASSETS</v>
          </cell>
        </row>
        <row r="105">
          <cell r="A105" t="str">
            <v>Vector|||208002549|||ISSR|||OTH_NONCASH_ADJ|||False|||</v>
          </cell>
          <cell r="C105" t="str">
            <v>V_KEYWORD_ISSR_208002549_OTH_NONCASH_ADJ</v>
          </cell>
        </row>
        <row r="106">
          <cell r="A106" t="str">
            <v>Vector|||208002549|||ISSR|||OTH_DACF_ADJ|||False|||</v>
          </cell>
          <cell r="C106" t="str">
            <v>V_KEYWORD_ISSR_208002549_OTH_DACF_ADJ</v>
          </cell>
        </row>
        <row r="107">
          <cell r="A107" t="str">
            <v>Vector|||208002549|||ISSR|||CASH_INT_EXP|||False|||</v>
          </cell>
          <cell r="C107" t="str">
            <v>V_KEYWORD_ISSR_208002549_CASH_INT_EXP</v>
          </cell>
        </row>
        <row r="108">
          <cell r="A108" t="str">
            <v>Vector|||208002549|||ISSR|||CASH_TAX_EXP|||False|||</v>
          </cell>
          <cell r="C108" t="str">
            <v>V_KEYWORD_ISSR_208002549_CASH_TAX_EXP</v>
          </cell>
        </row>
        <row r="109">
          <cell r="A109" t="str">
            <v>Vector|||208002549|||ISSR|||DIVDS_ASSOC_JV|||False|||</v>
          </cell>
          <cell r="C109" t="str">
            <v>V_KEYWORD_ISSR_208002549_DIVDS_ASSOC_JV</v>
          </cell>
        </row>
        <row r="110">
          <cell r="A110" t="str">
            <v>Vector|||208002549|||ISSR|||CAPEX_MAINTENANCE|||False|||</v>
          </cell>
          <cell r="C110" t="str">
            <v>V_KEYWORD_ISSR_208002549_CAPEX_MAINTENANCE</v>
          </cell>
        </row>
        <row r="111">
          <cell r="A111" t="str">
            <v>Vector|||208002549|||ISSR|||CAPEX_EXPANSION|||False|||</v>
          </cell>
          <cell r="C111" t="str">
            <v>V_KEYWORD_ISSR_208002549_CAPEX_EXPANSION</v>
          </cell>
        </row>
        <row r="112">
          <cell r="A112" t="str">
            <v>Vector|||208002549|||ISSR|||NONPPE_CAPEX|||False|||</v>
          </cell>
          <cell r="C112" t="str">
            <v>V_KEYWORD_ISSR_208002549_NONPPE_CAPEX</v>
          </cell>
        </row>
        <row r="113">
          <cell r="A113" t="str">
            <v>Vector|||208002549|||ISSR|||DIVDS_PD_MINORITIES|||False|||</v>
          </cell>
          <cell r="C113" t="str">
            <v>V_KEYWORD_ISSR_208002549_DIVDS_PD_MINORITIES</v>
          </cell>
        </row>
        <row r="115">
          <cell r="A115" t="str">
            <v>Vector|||208002549|||ISSR|||EMPLOYEES|||False|||</v>
          </cell>
          <cell r="C115" t="str">
            <v>V_KEYWORD_ISSR_208002549_EMPLOYEES</v>
          </cell>
        </row>
        <row r="117">
          <cell r="A117" t="str">
            <v>Vector|||208002549|||ISSR|||SALES_CANADA|||False|||</v>
          </cell>
          <cell r="C117" t="str">
            <v>V_KEYWORD_ISSR_208002549_SALES_CANADA</v>
          </cell>
        </row>
        <row r="118">
          <cell r="A118" t="str">
            <v>Vector|||208002549|||ISSR|||SALES_US|||False|||</v>
          </cell>
          <cell r="C118" t="str">
            <v>V_KEYWORD_ISSR_208002549_SALES_US</v>
          </cell>
        </row>
        <row r="119">
          <cell r="A119" t="str">
            <v>Vector|||208002549|||ISSR|||SALES_OTH_NO_AMER|||False|||</v>
          </cell>
          <cell r="C119" t="str">
            <v>V_KEYWORD_ISSR_208002549_SALES_OTH_NO_AMER</v>
          </cell>
        </row>
        <row r="120">
          <cell r="A120" t="str">
            <v>Vector|||208002549|||ISSR|||SALES_ARGENTINA|||False|||</v>
          </cell>
          <cell r="C120" t="str">
            <v>V_KEYWORD_ISSR_208002549_SALES_ARGENTINA</v>
          </cell>
        </row>
        <row r="121">
          <cell r="A121" t="str">
            <v>Vector|||208002549|||ISSR|||SALES_BRAZIL|||False|||</v>
          </cell>
          <cell r="C121" t="str">
            <v>V_KEYWORD_ISSR_208002549_SALES_BRAZIL</v>
          </cell>
        </row>
        <row r="122">
          <cell r="A122" t="str">
            <v>Vector|||208002549|||ISSR|||SALES_CHILE|||False|||</v>
          </cell>
          <cell r="C122" t="str">
            <v>V_KEYWORD_ISSR_208002549_SALES_CHILE</v>
          </cell>
        </row>
        <row r="123">
          <cell r="A123" t="str">
            <v>Vector|||208002549|||ISSR|||SALES_COLOMBIA|||False|||</v>
          </cell>
          <cell r="C123" t="str">
            <v>V_KEYWORD_ISSR_208002549_SALES_COLOMBIA</v>
          </cell>
        </row>
        <row r="124">
          <cell r="A124" t="str">
            <v>Vector|||208002549|||ISSR|||SALES_MEXICO|||False|||</v>
          </cell>
          <cell r="C124" t="str">
            <v>V_KEYWORD_ISSR_208002549_SALES_MEXICO</v>
          </cell>
        </row>
        <row r="125">
          <cell r="A125" t="str">
            <v>Vector|||208002549|||ISSR|||SALES_VENEZUELA|||False|||</v>
          </cell>
          <cell r="C125" t="str">
            <v>V_KEYWORD_ISSR_208002549_SALES_VENEZUELA</v>
          </cell>
        </row>
        <row r="126">
          <cell r="A126" t="str">
            <v>Vector|||208002549|||ISSR|||SALES_OTH_LATAM|||False|||</v>
          </cell>
          <cell r="C126" t="str">
            <v>V_KEYWORD_ISSR_208002549_SALES_OTH_LATAM</v>
          </cell>
        </row>
        <row r="127">
          <cell r="A127" t="str">
            <v>Vector|||208002549|||ISSR|||SALES_AUSTRIA|||False|||</v>
          </cell>
          <cell r="C127" t="str">
            <v>V_KEYWORD_ISSR_208002549_SALES_AUSTRIA</v>
          </cell>
        </row>
        <row r="128">
          <cell r="A128" t="str">
            <v>Vector|||208002549|||ISSR|||SALES_BEL|||False|||</v>
          </cell>
          <cell r="C128" t="str">
            <v>V_KEYWORD_ISSR_208002549_SALES_BEL</v>
          </cell>
        </row>
        <row r="129">
          <cell r="A129" t="str">
            <v>Vector|||208002549|||ISSR|||SALES_FRA|||False|||</v>
          </cell>
          <cell r="C129" t="str">
            <v>V_KEYWORD_ISSR_208002549_SALES_FRA</v>
          </cell>
        </row>
        <row r="130">
          <cell r="A130" t="str">
            <v>Vector|||208002549|||ISSR|||SALES_GER|||False|||</v>
          </cell>
          <cell r="C130" t="str">
            <v>V_KEYWORD_ISSR_208002549_SALES_GER</v>
          </cell>
        </row>
        <row r="131">
          <cell r="A131" t="str">
            <v>Vector|||208002549|||ISSR|||SALES_GRE|||False|||</v>
          </cell>
          <cell r="C131" t="str">
            <v>V_KEYWORD_ISSR_208002549_SALES_GRE</v>
          </cell>
        </row>
        <row r="132">
          <cell r="A132" t="str">
            <v>Vector|||208002549|||ISSR|||SALES_IRE|||False|||</v>
          </cell>
          <cell r="C132" t="str">
            <v>V_KEYWORD_ISSR_208002549_SALES_IRE</v>
          </cell>
        </row>
        <row r="133">
          <cell r="A133" t="str">
            <v>Vector|||208002549|||ISSR|||SALES_ITA|||False|||</v>
          </cell>
          <cell r="C133" t="str">
            <v>V_KEYWORD_ISSR_208002549_SALES_ITA</v>
          </cell>
        </row>
        <row r="134">
          <cell r="A134" t="str">
            <v>Vector|||208002549|||ISSR|||SALES_NETH|||False|||</v>
          </cell>
          <cell r="C134" t="str">
            <v>V_KEYWORD_ISSR_208002549_SALES_NETH</v>
          </cell>
        </row>
        <row r="135">
          <cell r="A135" t="str">
            <v>Vector|||208002549|||ISSR|||SALES_NOR|||False|||</v>
          </cell>
          <cell r="C135" t="str">
            <v>V_KEYWORD_ISSR_208002549_SALES_NOR</v>
          </cell>
        </row>
        <row r="136">
          <cell r="A136" t="str">
            <v>Vector|||208002549|||ISSR|||SALES_POR|||False|||</v>
          </cell>
          <cell r="C136" t="str">
            <v>V_KEYWORD_ISSR_208002549_SALES_POR</v>
          </cell>
        </row>
        <row r="137">
          <cell r="A137" t="str">
            <v>Vector|||208002549|||ISSR|||SALES_SPA|||False|||</v>
          </cell>
          <cell r="C137" t="str">
            <v>V_KEYWORD_ISSR_208002549_SALES_SPA</v>
          </cell>
        </row>
        <row r="138">
          <cell r="A138" t="str">
            <v>Vector|||208002549|||ISSR|||SALES_SWE|||False|||</v>
          </cell>
          <cell r="C138" t="str">
            <v>V_KEYWORD_ISSR_208002549_SALES_SWE</v>
          </cell>
        </row>
        <row r="139">
          <cell r="A139" t="str">
            <v>Vector|||208002549|||ISSR|||SALES_SWIT|||False|||</v>
          </cell>
          <cell r="C139" t="str">
            <v>V_KEYWORD_ISSR_208002549_SALES_SWIT</v>
          </cell>
        </row>
        <row r="140">
          <cell r="A140" t="str">
            <v>Vector|||208002549|||ISSR|||SALES_UK|||False|||</v>
          </cell>
          <cell r="C140" t="str">
            <v>V_KEYWORD_ISSR_208002549_SALES_UK</v>
          </cell>
        </row>
        <row r="141">
          <cell r="A141" t="str">
            <v>Vector|||208002549|||ISSR|||SALES_OTH_WEST_EURO|||False|||</v>
          </cell>
          <cell r="C141" t="str">
            <v>V_KEYWORD_ISSR_208002549_SALES_OTH_WEST_EURO</v>
          </cell>
        </row>
        <row r="142">
          <cell r="A142" t="str">
            <v>Vector|||208002549|||ISSR|||SALES_POLAND|||False|||</v>
          </cell>
          <cell r="C142" t="str">
            <v>V_KEYWORD_ISSR_208002549_SALES_POLAND</v>
          </cell>
        </row>
        <row r="143">
          <cell r="A143" t="str">
            <v>Vector|||208002549|||ISSR|||SALES_RUSSIA|||False|||</v>
          </cell>
          <cell r="C143" t="str">
            <v>V_KEYWORD_ISSR_208002549_SALES_RUSSIA</v>
          </cell>
        </row>
        <row r="144">
          <cell r="A144" t="str">
            <v>Vector|||208002549|||ISSR|||SALES_TURKEY|||False|||</v>
          </cell>
          <cell r="C144" t="str">
            <v>V_KEYWORD_ISSR_208002549_SALES_TURKEY</v>
          </cell>
        </row>
        <row r="145">
          <cell r="A145" t="str">
            <v>Vector|||208002549|||ISSR|||SALES_OTH_CEE|||False|||</v>
          </cell>
          <cell r="C145" t="str">
            <v>V_KEYWORD_ISSR_208002549_SALES_OTH_CEE</v>
          </cell>
        </row>
        <row r="146">
          <cell r="A146" t="str">
            <v>Vector|||208002549|||ISSR|||SALES_SAUDI_ARABIA|||False|||</v>
          </cell>
          <cell r="C146" t="str">
            <v>V_KEYWORD_ISSR_208002549_SALES_SAUDI_ARABIA</v>
          </cell>
        </row>
        <row r="147">
          <cell r="A147" t="str">
            <v>Vector|||208002549|||ISSR|||SALES_UAE|||False|||</v>
          </cell>
          <cell r="C147" t="str">
            <v>V_KEYWORD_ISSR_208002549_SALES_UAE</v>
          </cell>
        </row>
        <row r="148">
          <cell r="A148" t="str">
            <v>Vector|||208002549|||ISSR|||SALES_OTH_ME|||False|||</v>
          </cell>
          <cell r="C148" t="str">
            <v>V_KEYWORD_ISSR_208002549_SALES_OTH_ME</v>
          </cell>
        </row>
        <row r="149">
          <cell r="A149" t="str">
            <v>Vector|||208002549|||ISSR|||SALES_NIGERIA|||False|||</v>
          </cell>
          <cell r="C149" t="str">
            <v>V_KEYWORD_ISSR_208002549_SALES_NIGERIA</v>
          </cell>
        </row>
        <row r="150">
          <cell r="A150" t="str">
            <v>Vector|||208002549|||ISSR|||SALES_SO_AFRICA|||False|||</v>
          </cell>
          <cell r="C150" t="str">
            <v>V_KEYWORD_ISSR_208002549_SALES_SO_AFRICA</v>
          </cell>
        </row>
        <row r="151">
          <cell r="A151" t="str">
            <v>Vector|||208002549|||ISSR|||SALES_OTH_AFRICA|||False|||</v>
          </cell>
          <cell r="C151" t="str">
            <v>V_KEYWORD_ISSR_208002549_SALES_OTH_AFRICA</v>
          </cell>
        </row>
        <row r="152">
          <cell r="A152" t="str">
            <v>Vector|||208002549|||ISSR|||SALES_HONG_KONG|||False|||</v>
          </cell>
          <cell r="C152" t="str">
            <v>V_KEYWORD_ISSR_208002549_SALES_HONG_KONG</v>
          </cell>
        </row>
        <row r="153">
          <cell r="A153" t="str">
            <v>Vector|||208002549|||ISSR|||SALES_JAPAN|||False|||</v>
          </cell>
          <cell r="C153" t="str">
            <v>V_KEYWORD_ISSR_208002549_SALES_JAPAN</v>
          </cell>
        </row>
        <row r="154">
          <cell r="A154" t="str">
            <v>Vector|||208002549|||ISSR|||SALES_SINGAPORE|||False|||</v>
          </cell>
          <cell r="C154" t="str">
            <v>V_KEYWORD_ISSR_208002549_SALES_SINGAPORE</v>
          </cell>
        </row>
        <row r="155">
          <cell r="A155" t="str">
            <v>Vector|||208002549|||ISSR|||SALES_SK|||False|||</v>
          </cell>
          <cell r="C155" t="str">
            <v>V_KEYWORD_ISSR_208002549_SALES_SK</v>
          </cell>
        </row>
        <row r="156">
          <cell r="A156" t="str">
            <v>Vector|||208002549|||ISSR|||SALES_TAIWAN|||False|||</v>
          </cell>
          <cell r="C156" t="str">
            <v>V_KEYWORD_ISSR_208002549_SALES_TAIWAN</v>
          </cell>
        </row>
        <row r="157">
          <cell r="A157" t="str">
            <v>Vector|||208002549|||ISSR|||SALES_OTH_DEV_ASIA|||False|||</v>
          </cell>
          <cell r="C157" t="str">
            <v>V_KEYWORD_ISSR_208002549_SALES_OTH_DEV_ASIA</v>
          </cell>
        </row>
        <row r="158">
          <cell r="A158" t="str">
            <v>Vector|||208002549|||ISSR|||SALES_CHINA|||False|||</v>
          </cell>
          <cell r="C158" t="str">
            <v>V_KEYWORD_ISSR_208002549_SALES_CHINA</v>
          </cell>
        </row>
        <row r="159">
          <cell r="A159" t="str">
            <v>Vector|||208002549|||ISSR|||SALES_INDIA|||False|||</v>
          </cell>
          <cell r="C159" t="str">
            <v>V_KEYWORD_ISSR_208002549_SALES_INDIA</v>
          </cell>
        </row>
        <row r="160">
          <cell r="A160" t="str">
            <v>Vector|||208002549|||ISSR|||SALES_INDONESIA|||False|||</v>
          </cell>
          <cell r="C160" t="str">
            <v>V_KEYWORD_ISSR_208002549_SALES_INDONESIA</v>
          </cell>
        </row>
        <row r="161">
          <cell r="A161" t="str">
            <v>Vector|||208002549|||ISSR|||SALES_THAILAND|||False|||</v>
          </cell>
          <cell r="C161" t="str">
            <v>V_KEYWORD_ISSR_208002549_SALES_THAILAND</v>
          </cell>
        </row>
        <row r="162">
          <cell r="A162" t="str">
            <v>Vector|||208002549|||ISSR|||SALES_OTH_EMERG_ASIA|||False|||</v>
          </cell>
          <cell r="C162" t="str">
            <v>V_KEYWORD_ISSR_208002549_SALES_OTH_EMERG_ASIA</v>
          </cell>
        </row>
        <row r="163">
          <cell r="A163" t="str">
            <v>Vector|||208002549|||ISSR|||SALES_AUSTRA|||False|||</v>
          </cell>
          <cell r="C163" t="str">
            <v>V_KEYWORD_ISSR_208002549_SALES_AUSTRA</v>
          </cell>
        </row>
        <row r="164">
          <cell r="A164" t="str">
            <v>Vector|||208002549|||ISSR|||SALES_NZ|||False|||</v>
          </cell>
          <cell r="C164" t="str">
            <v>V_KEYWORD_ISSR_208002549_SALES_NZ</v>
          </cell>
        </row>
        <row r="165">
          <cell r="A165" t="str">
            <v>Vector|||208002549|||ISSR|||SALES_OTHER|||False|||</v>
          </cell>
          <cell r="C165" t="str">
            <v>V_KEYWORD_ISSR_208002549_SALES_OTHER</v>
          </cell>
        </row>
        <row r="166">
          <cell r="A166" t="str">
            <v>Vector|||208002549|||ISSR|||COGS_PCT_US|||False|||</v>
          </cell>
          <cell r="C166" t="str">
            <v>V_KEYWORD_ISSR_208002549_COGS_PCT_US</v>
          </cell>
        </row>
        <row r="167">
          <cell r="A167" t="str">
            <v>Vector|||208002549|||ISSR|||COGS_PCT_ROW|||False|||</v>
          </cell>
          <cell r="C167" t="str">
            <v>V_KEYWORD_ISSR_208002549_COGS_PCT_ROW</v>
          </cell>
        </row>
        <row r="168">
          <cell r="A168" t="str">
            <v>Vector|||208002549|||ISSR|||SGA_PCT_US|||False|||</v>
          </cell>
          <cell r="C168" t="str">
            <v>V_KEYWORD_ISSR_208002549_SGA_PCT_US</v>
          </cell>
        </row>
        <row r="169">
          <cell r="A169" t="str">
            <v>Vector|||208002549|||ISSR|||SGA_PCT_ROW|||False|||</v>
          </cell>
          <cell r="C169" t="str">
            <v>V_KEYWORD_ISSR_208002549_SGA_PCT_ROW</v>
          </cell>
        </row>
        <row r="170">
          <cell r="A170" t="str">
            <v>Vector|||208002549|||ISSR|||SALES_CONS|||False|||</v>
          </cell>
          <cell r="C170" t="str">
            <v>V_KEYWORD_ISSR_208002549_SALES_CONS</v>
          </cell>
        </row>
        <row r="171">
          <cell r="A171" t="str">
            <v>Vector|||208002549|||ISSR|||SALES_IND|||False|||</v>
          </cell>
          <cell r="C171" t="str">
            <v>V_KEYWORD_ISSR_208002549_SALES_IND</v>
          </cell>
        </row>
        <row r="172">
          <cell r="A172" t="str">
            <v>Vector|||208002549|||ISSR|||SALES_GOV|||False|||</v>
          </cell>
          <cell r="C172" t="str">
            <v>V_KEYWORD_ISSR_208002549_SALES_GOV</v>
          </cell>
        </row>
        <row r="173">
          <cell r="A173" t="str">
            <v>Vector|||208002549|||ISSR|||SALES_FINAN|||False|||</v>
          </cell>
          <cell r="C173" t="str">
            <v>V_KEYWORD_ISSR_208002549_SALES_FINAN</v>
          </cell>
        </row>
        <row r="174">
          <cell r="A174" t="str">
            <v>Vector|||208002549|||ISSR|||SALES_OIL_GAS|||False|||</v>
          </cell>
          <cell r="C174" t="str">
            <v>V_KEYWORD_ISSR_208002549_SALES_OIL_GAS</v>
          </cell>
        </row>
        <row r="176">
          <cell r="A176" t="str">
            <v>Vector|||208002549|||ISSR|||SALES_GLASS|||False|||</v>
          </cell>
          <cell r="C176" t="str">
            <v>V_KEYWORD_ISSR_208002549_SALES_GLASS</v>
          </cell>
        </row>
        <row r="177">
          <cell r="A177" t="str">
            <v>Vector|||208002549|||ISSR|||SALES_OTH_SALES_SOURCES|||False|||</v>
          </cell>
          <cell r="C177" t="str">
            <v>V_KEYWORD_ISSR_208002549_SALES_OTH_SALES_SOURCES</v>
          </cell>
        </row>
        <row r="179">
          <cell r="A179" t="str">
            <v>Vector|||208002549|||ISSR|||EXP_OIL_PETRO_FUEL|||False|||</v>
          </cell>
          <cell r="C179" t="str">
            <v>V_KEYWORD_ISSR_208002549_EXP_OIL_PETRO_FUEL</v>
          </cell>
        </row>
        <row r="180">
          <cell r="A180" t="str">
            <v>Vector|||208002549|||ISSR|||EXP_OIL_DERIV_NGLS_PLASTICS|||False|||</v>
          </cell>
          <cell r="C180" t="str">
            <v>V_KEYWORD_ISSR_208002549_EXP_OIL_DERIV_NGLS_PLASTICS</v>
          </cell>
        </row>
        <row r="181">
          <cell r="A181" t="str">
            <v>Vector|||208002549|||ISSR|||EXP_GOLD|||False|||</v>
          </cell>
          <cell r="C181" t="str">
            <v>V_KEYWORD_ISSR_208002549_EXP_GOLD</v>
          </cell>
        </row>
        <row r="182">
          <cell r="A182" t="str">
            <v>Vector|||208002549|||ISSR|||EXP_COPPER|||False|||</v>
          </cell>
          <cell r="C182" t="str">
            <v>V_KEYWORD_ISSR_208002549_EXP_COPPER</v>
          </cell>
        </row>
        <row r="183">
          <cell r="A183" t="str">
            <v>Vector|||208002549|||ISSR|||EXP_SILVER|||False|||</v>
          </cell>
          <cell r="C183" t="str">
            <v>V_KEYWORD_ISSR_208002549_EXP_SILVER</v>
          </cell>
        </row>
        <row r="184">
          <cell r="A184" t="str">
            <v>Vector|||208002549|||ISSR|||EXP_PLATINUM|||False|||</v>
          </cell>
          <cell r="C184" t="str">
            <v>V_KEYWORD_ISSR_208002549_EXP_PLATINUM</v>
          </cell>
        </row>
        <row r="185">
          <cell r="A185" t="str">
            <v>Vector|||208002549|||ISSR|||EXP_PALLADIUM|||False|||</v>
          </cell>
          <cell r="C185" t="str">
            <v>V_KEYWORD_ISSR_208002549_EXP_PALLADIUM</v>
          </cell>
        </row>
        <row r="186">
          <cell r="A186" t="str">
            <v>Vector|||208002549|||ISSR|||EXP_ALUMINIUM|||False|||</v>
          </cell>
          <cell r="C186" t="str">
            <v>V_KEYWORD_ISSR_208002549_EXP_ALUMINIUM</v>
          </cell>
        </row>
        <row r="187">
          <cell r="A187" t="str">
            <v>Vector|||208002549|||ISSR|||EXP_NICKEL|||False|||</v>
          </cell>
          <cell r="C187" t="str">
            <v>V_KEYWORD_ISSR_208002549_EXP_NICKEL</v>
          </cell>
        </row>
        <row r="188">
          <cell r="A188" t="str">
            <v>Vector|||208002549|||ISSR|||EXP_ZINC|||False|||</v>
          </cell>
          <cell r="C188" t="str">
            <v>V_KEYWORD_ISSR_208002549_EXP_ZINC</v>
          </cell>
        </row>
        <row r="189">
          <cell r="A189" t="str">
            <v>Vector|||208002549|||ISSR|||EXP_PAPER_PULP|||False|||</v>
          </cell>
          <cell r="C189" t="str">
            <v>V_KEYWORD_ISSR_208002549_EXP_PAPER_PULP</v>
          </cell>
        </row>
        <row r="190">
          <cell r="A190" t="str">
            <v>Vector|||208002549|||ISSR|||EXP_GLASS|||False|||</v>
          </cell>
          <cell r="C190" t="str">
            <v>V_KEYWORD_ISSR_208002549_EXP_GLASS</v>
          </cell>
        </row>
        <row r="191">
          <cell r="A191" t="str">
            <v>Vector|||208002549|||ISSR|||EXP_WATER|||False|||</v>
          </cell>
          <cell r="C191" t="str">
            <v>V_KEYWORD_ISSR_208002549_EXP_WATER</v>
          </cell>
        </row>
        <row r="192">
          <cell r="A192" t="str">
            <v>Vector|||208002549|||ISSR|||EXP_OTH_COMMODITY|||False|||</v>
          </cell>
          <cell r="C192" t="str">
            <v>V_KEYWORD_ISSR_208002549_EXP_OTH_COMMODITY</v>
          </cell>
        </row>
        <row r="193">
          <cell r="A193" t="str">
            <v>Vector|||208002549|||ISSR|||EXP_OTH_COST|||False|||</v>
          </cell>
          <cell r="C193" t="str">
            <v>V_KEYWORD_ISSR_208002549_EXP_OTH_COST</v>
          </cell>
        </row>
        <row r="195">
          <cell r="A195" t="str">
            <v>Vector|||208002549|||ISSR|||SALES_FX_GPB|||False|||</v>
          </cell>
          <cell r="C195" t="str">
            <v>V_KEYWORD_ISSR_208002549_SALES_FX_GPB</v>
          </cell>
        </row>
        <row r="196">
          <cell r="A196" t="str">
            <v>Vector|||208002549|||ISSR|||SALES_FX_EUR|||False|||</v>
          </cell>
          <cell r="C196" t="str">
            <v>V_KEYWORD_ISSR_208002549_SALES_FX_EUR</v>
          </cell>
        </row>
        <row r="197">
          <cell r="A197" t="str">
            <v>Vector|||208002549|||ISSR|||SALES_FX_RUB|||False|||</v>
          </cell>
          <cell r="C197" t="str">
            <v>V_KEYWORD_ISSR_208002549_SALES_FX_RUB</v>
          </cell>
        </row>
        <row r="198">
          <cell r="A198" t="str">
            <v>Vector|||208002549|||ISSR|||SALES_FX_USD|||False|||</v>
          </cell>
          <cell r="C198" t="str">
            <v>V_KEYWORD_ISSR_208002549_SALES_FX_USD</v>
          </cell>
        </row>
        <row r="199">
          <cell r="A199" t="str">
            <v>Vector|||208002549|||ISSR|||SALES_FX_BRL|||False|||</v>
          </cell>
          <cell r="C199" t="str">
            <v>V_KEYWORD_ISSR_208002549_SALES_FX_BRL</v>
          </cell>
        </row>
        <row r="200">
          <cell r="A200" t="str">
            <v>Vector|||208002549|||ISSR|||SALES_FX_YEN|||False|||</v>
          </cell>
          <cell r="C200" t="str">
            <v>V_KEYWORD_ISSR_208002549_SALES_FX_YEN</v>
          </cell>
        </row>
        <row r="201">
          <cell r="A201" t="str">
            <v>Vector|||208002549|||ISSR|||SALES_FX_CNY|||False|||</v>
          </cell>
          <cell r="C201" t="str">
            <v>V_KEYWORD_ISSR_208002549_SALES_FX_CNY</v>
          </cell>
        </row>
        <row r="202">
          <cell r="A202" t="str">
            <v>Vector|||208002549|||ISSR|||SALES_FX_INR|||False|||</v>
          </cell>
          <cell r="C202" t="str">
            <v>V_KEYWORD_ISSR_208002549_SALES_FX_INR</v>
          </cell>
        </row>
        <row r="203">
          <cell r="A203" t="str">
            <v>Vector|||208002549|||ISSR|||SALES_FX_KRW|||False|||</v>
          </cell>
          <cell r="C203" t="str">
            <v>V_KEYWORD_ISSR_208002549_SALES_FX_KRW</v>
          </cell>
        </row>
        <row r="204">
          <cell r="A204" t="str">
            <v>Vector|||208002549|||ISSR|||SALES_FX_TWD|||False|||</v>
          </cell>
          <cell r="C204" t="str">
            <v>V_KEYWORD_ISSR_208002549_SALES_FX_TWD</v>
          </cell>
        </row>
        <row r="205">
          <cell r="A205" t="str">
            <v>Vector|||208002549|||ISSR|||SALES_FX_OTH|||False|||</v>
          </cell>
          <cell r="C205" t="str">
            <v>V_KEYWORD_ISSR_208002549_SALES_FX_OTH</v>
          </cell>
        </row>
        <row r="207">
          <cell r="A207" t="str">
            <v>Vector|||208002549|||ISSR|||SALES_TOT_AM|||False|||</v>
          </cell>
          <cell r="C207" t="str">
            <v>V_KEYWORD_ISSR_208002549_SALES_TOT_AM</v>
          </cell>
        </row>
        <row r="208">
          <cell r="A208" t="str">
            <v>Vector|||208002549|||ISSR|||SALES_OTH_AM|||False|||</v>
          </cell>
          <cell r="C208" t="str">
            <v>V_KEYWORD_ISSR_208002549_SALES_OTH_AM</v>
          </cell>
        </row>
        <row r="209">
          <cell r="A209" t="str">
            <v>Vector|||208002549|||ISSR|||SALES_TOT_EMEA|||False|||</v>
          </cell>
          <cell r="C209" t="str">
            <v>V_KEYWORD_ISSR_208002549_SALES_TOT_EMEA</v>
          </cell>
        </row>
        <row r="210">
          <cell r="A210" t="str">
            <v>Vector|||208002549|||ISSR|||SALES_EU_EX_UK|||False|||</v>
          </cell>
          <cell r="C210" t="str">
            <v>V_KEYWORD_ISSR_208002549_SALES_EU_EX_UK</v>
          </cell>
        </row>
        <row r="211">
          <cell r="A211" t="str">
            <v>Vector|||208002549|||ISSR|||SALES_CEE|||False|||</v>
          </cell>
          <cell r="C211" t="str">
            <v>V_KEYWORD_ISSR_208002549_SALES_CEE</v>
          </cell>
        </row>
        <row r="212">
          <cell r="A212" t="str">
            <v>Vector|||208002549|||ISSR|||SALES_ME|||False|||</v>
          </cell>
          <cell r="C212" t="str">
            <v>V_KEYWORD_ISSR_208002549_SALES_ME</v>
          </cell>
        </row>
        <row r="213">
          <cell r="A213" t="str">
            <v>Vector|||208002549|||ISSR|||SALES_TOT_AFRICA|||False|||</v>
          </cell>
          <cell r="C213" t="str">
            <v>V_KEYWORD_ISSR_208002549_SALES_TOT_AFRICA</v>
          </cell>
        </row>
        <row r="214">
          <cell r="A214" t="str">
            <v>Vector|||208002549|||ISSR|||SALES_OTH_EMEA|||False|||</v>
          </cell>
          <cell r="C214" t="str">
            <v>V_KEYWORD_ISSR_208002549_SALES_OTH_EMEA</v>
          </cell>
        </row>
        <row r="215">
          <cell r="A215" t="str">
            <v>Vector|||208002549|||ISSR|||SALES_TOT_ASIA|||False|||</v>
          </cell>
          <cell r="C215" t="str">
            <v>V_KEYWORD_ISSR_208002549_SALES_TOT_ASIA</v>
          </cell>
        </row>
        <row r="216">
          <cell r="A216" t="str">
            <v>Vector|||208002549|||ISSR|||SALES_OTH_AEJ|||False|||</v>
          </cell>
          <cell r="C216" t="str">
            <v>V_KEYWORD_ISSR_208002549_SALES_OTH_AEJ</v>
          </cell>
        </row>
        <row r="222">
          <cell r="A222" t="str">
            <v>Scalar|||200007047|||EQTY|||PUB_CURRENCY_ISO|||False|||</v>
          </cell>
          <cell r="C222" t="str">
            <v>V_KEYWORD_EQTY_200007047_PUB_CURRENCY_ISO</v>
          </cell>
        </row>
        <row r="223">
          <cell r="A223" t="str">
            <v>Scalar|||200007047|||EQTY|||PRICE_CURRENCY_ISO|||False|||</v>
          </cell>
          <cell r="C223" t="str">
            <v>V_KEYWORD_EQTY_200007047_PRICE_CURRENCY_ISO</v>
          </cell>
        </row>
        <row r="224">
          <cell r="A224" t="str">
            <v>Scalar|||200007047|||EQTY|||CURRENCY_ISO|||False|||</v>
          </cell>
          <cell r="C224" t="str">
            <v>V_KEYWORD_EQTY_200007047_CURRENCY_ISO</v>
          </cell>
        </row>
        <row r="226">
          <cell r="A226" t="str">
            <v>Scalar|||200007047|||EQTY|||AEJ_LIST|||False|||</v>
          </cell>
          <cell r="C226" t="str">
            <v>V_KEYWORD_EQTY_200007047_AEJ_LIST</v>
          </cell>
        </row>
        <row r="227">
          <cell r="A227" t="str">
            <v>Scalar|||200007047|||EQTY|||AEJ_CONVICTION|||False|||</v>
          </cell>
          <cell r="C227" t="str">
            <v>V_KEYWORD_EQTY_200007047_AEJ_CONVICTION</v>
          </cell>
        </row>
        <row r="228">
          <cell r="A228" t="str">
            <v>Scalar|||200007047|||EQTY|||LEGAL_RATING|||False|||</v>
          </cell>
          <cell r="C228" t="str">
            <v>V_KEYWORD_EQTY_200007047_LEGAL_RATING</v>
          </cell>
          <cell r="E228" t="str">
            <v>ERROR</v>
          </cell>
        </row>
        <row r="229">
          <cell r="A229" t="str">
            <v>Scalar|||200007047|||EQTY|||TARGET_PRICE|||False|||</v>
          </cell>
          <cell r="C229" t="str">
            <v>V_KEYWORD_EQTY_200007047_TARGET_PRICE</v>
          </cell>
          <cell r="E229" t="str">
            <v>ERROR</v>
          </cell>
        </row>
        <row r="230">
          <cell r="A230" t="str">
            <v>Scalar|||200007047|||EQTY|||TP_PERIOD|||False|||</v>
          </cell>
          <cell r="C230" t="str">
            <v>V_KEYWORD_EQTY_200007047_TP_PERIOD</v>
          </cell>
          <cell r="E230" t="str">
            <v>ERROR</v>
          </cell>
        </row>
        <row r="231">
          <cell r="A231" t="str">
            <v>Scalar|||200007047|||EQTY|||TARGET_PRICE_FUNDAMENTAL|||False|||</v>
          </cell>
          <cell r="C231" t="str">
            <v>V_KEYWORD_EQTY_200007047_TARGET_PRICE_FUNDAMENTAL</v>
          </cell>
        </row>
        <row r="232">
          <cell r="A232" t="str">
            <v>Scalar|||200007047|||EQTY|||TARGET_PRICE_MA|||False|||</v>
          </cell>
          <cell r="C232" t="str">
            <v>V_KEYWORD_EQTY_200007047_TARGET_PRICE_MA</v>
          </cell>
        </row>
        <row r="233">
          <cell r="A233" t="str">
            <v>Scalar|||200007047|||EQTY|||NUM_SH|||False|||</v>
          </cell>
          <cell r="C233" t="str">
            <v>V_KEYWORD_EQTY_200007047_NUM_SH</v>
          </cell>
        </row>
        <row r="234">
          <cell r="A234" t="str">
            <v>Scalar|||200007047|||EQTY|||FREE_FLOAT|||False|||</v>
          </cell>
          <cell r="C234" t="str">
            <v>V_KEYWORD_EQTY_200007047_FREE_FLOAT</v>
          </cell>
        </row>
        <row r="235">
          <cell r="A235" t="str">
            <v>Scalar|||200007047|||EQTY|||FOREIGN_HOLDNG|||False|||</v>
          </cell>
          <cell r="C235" t="str">
            <v>V_KEYWORD_EQTY_200007047_FOREIGN_HOLDNG</v>
          </cell>
        </row>
        <row r="236">
          <cell r="A236" t="str">
            <v>BreakdownScalar|||200007047|||EQTY|||ACT|||False|||1</v>
          </cell>
          <cell r="C236" t="str">
            <v>V_KEYWORD_EQTY_200007047_ACT1</v>
          </cell>
          <cell r="E236" t="str">
            <v>ERROR</v>
          </cell>
        </row>
        <row r="237">
          <cell r="A237" t="str">
            <v>BreakdownScalar|||200007047|||EQTY|||ACT|||False|||2</v>
          </cell>
          <cell r="C237" t="str">
            <v>V_KEYWORD_EQTY_200007047_ACT2</v>
          </cell>
          <cell r="E237" t="str">
            <v>ERROR</v>
          </cell>
        </row>
        <row r="238">
          <cell r="A238" t="str">
            <v>BreakdownScalar|||200007047|||EQTY|||ACT|||False|||3</v>
          </cell>
          <cell r="C238" t="str">
            <v>V_KEYWORD_EQTY_200007047_ACT3</v>
          </cell>
          <cell r="E238" t="str">
            <v>ERROR</v>
          </cell>
        </row>
        <row r="239">
          <cell r="A239" t="str">
            <v>BreakdownScalar|||200007047|||EQTY|||ACT|||False|||4</v>
          </cell>
          <cell r="C239" t="str">
            <v>V_KEYWORD_EQTY_200007047_ACT4</v>
          </cell>
          <cell r="E239" t="str">
            <v>ERROR</v>
          </cell>
        </row>
        <row r="240">
          <cell r="A240" t="str">
            <v>Scalar|||200007047|||EQTY|||CATALYST1_DATE|||True|||</v>
          </cell>
          <cell r="C240" t="str">
            <v>V_KEYWORD_EQTY_200007047_CATALYST1_DATE</v>
          </cell>
        </row>
        <row r="241">
          <cell r="A241" t="str">
            <v>Scalar|||200007047|||EQTY|||CATALYST1_EVENT|||False|||</v>
          </cell>
          <cell r="C241" t="str">
            <v>V_KEYWORD_EQTY_200007047_CATALYST1_EVENT</v>
          </cell>
        </row>
        <row r="242">
          <cell r="A242" t="str">
            <v>Scalar|||200007047|||EQTY|||CATALYST2_DATE|||True|||</v>
          </cell>
          <cell r="C242" t="str">
            <v>V_KEYWORD_EQTY_200007047_CATALYST2_DATE</v>
          </cell>
        </row>
        <row r="243">
          <cell r="A243" t="str">
            <v>Scalar|||200007047|||EQTY|||CATALYST2_EVENT|||False|||</v>
          </cell>
          <cell r="C243" t="str">
            <v>V_KEYWORD_EQTY_200007047_CATALYST2_EVENT</v>
          </cell>
        </row>
        <row r="244">
          <cell r="A244" t="str">
            <v>Scalar|||200007047|||EQTY|||CATALYST3_DATE|||True|||</v>
          </cell>
          <cell r="C244" t="str">
            <v>V_KEYWORD_EQTY_200007047_CATALYST3_DATE</v>
          </cell>
        </row>
        <row r="245">
          <cell r="A245" t="str">
            <v>Scalar|||200007047|||EQTY|||CATALYST3_EVENT|||False|||</v>
          </cell>
          <cell r="C245" t="str">
            <v>V_KEYWORD_EQTY_200007047_CATALYST3_EVENT</v>
          </cell>
        </row>
        <row r="246">
          <cell r="A246" t="str">
            <v>Scalar|||200007047|||EQTY|||CATALYST4_DATE|||True|||</v>
          </cell>
          <cell r="C246" t="str">
            <v>V_KEYWORD_EQTY_200007047_CATALYST4_DATE</v>
          </cell>
        </row>
        <row r="247">
          <cell r="A247" t="str">
            <v>Scalar|||200007047|||EQTY|||CATALYST4_EVENT|||False|||</v>
          </cell>
          <cell r="C247" t="str">
            <v>V_KEYWORD_EQTY_200007047_CATALYST4_EVENT</v>
          </cell>
        </row>
        <row r="248">
          <cell r="A248" t="str">
            <v>Scalar|||200007047|||EQTY|||CATALYST5_DATE|||True|||</v>
          </cell>
          <cell r="C248" t="str">
            <v>V_KEYWORD_EQTY_200007047_CATALYST5_DATE</v>
          </cell>
        </row>
        <row r="249">
          <cell r="A249" t="str">
            <v>Scalar|||200007047|||EQTY|||CATALYST5_EVENT|||False|||</v>
          </cell>
          <cell r="C249" t="str">
            <v>V_KEYWORD_EQTY_200007047_CATALYST5_EVENT</v>
          </cell>
        </row>
        <row r="250">
          <cell r="A250" t="str">
            <v>Scalar|||200007047|||EQTY|||PRI_TARG_MULT|||False|||</v>
          </cell>
          <cell r="C250" t="str">
            <v>V_KEYWORD_EQTY_200007047_PRI_TARG_MULT</v>
          </cell>
        </row>
        <row r="251">
          <cell r="A251" t="str">
            <v>Scalar|||200007047|||EQTY|||PRI_TARG_METH|||False|||</v>
          </cell>
          <cell r="C251" t="str">
            <v>V_KEYWORD_EQTY_200007047_PRI_TARG_METH</v>
          </cell>
        </row>
        <row r="253">
          <cell r="A253" t="str">
            <v>Vector|||200007047|||EQTY|||BVPS_PUB|||False|||</v>
          </cell>
          <cell r="C253" t="str">
            <v>V_KEYWORD_EQTY_200007047_BVPS_PUB</v>
          </cell>
        </row>
        <row r="254">
          <cell r="A254" t="str">
            <v>Vector|||200007047|||EQTY|||DPS_PUB|||False|||</v>
          </cell>
          <cell r="C254" t="str">
            <v>V_KEYWORD_EQTY_200007047_DPS_PUB</v>
          </cell>
        </row>
        <row r="255">
          <cell r="A255" t="str">
            <v>Vector|||200007047|||EQTY|||DPS_SPECIAL_PUB|||False|||</v>
          </cell>
          <cell r="C255" t="str">
            <v>V_KEYWORD_EQTY_200007047_DPS_SPECIAL_PUB</v>
          </cell>
        </row>
        <row r="256">
          <cell r="A256" t="str">
            <v>Vector|||200007047|||EQTY|||EBITDA_PUB|||False|||</v>
          </cell>
          <cell r="C256" t="str">
            <v>V_KEYWORD_EQTY_200007047_EBITDA_PUB</v>
          </cell>
        </row>
        <row r="257">
          <cell r="A257" t="str">
            <v>Vector|||200007047|||EQTY|||EPS_PUB|||False|||</v>
          </cell>
          <cell r="C257" t="str">
            <v>V_KEYWORD_EQTY_200007047_EPS_PUB</v>
          </cell>
          <cell r="W257" t="str">
            <v>ERROR</v>
          </cell>
          <cell r="X257" t="str">
            <v>ERROR</v>
          </cell>
          <cell r="Y257" t="str">
            <v>ERROR</v>
          </cell>
          <cell r="Z257" t="str">
            <v>ERROR</v>
          </cell>
          <cell r="AM257" t="str">
            <v>ERROR</v>
          </cell>
          <cell r="AN257" t="str">
            <v>ERROR</v>
          </cell>
          <cell r="AO257" t="str">
            <v>ERROR</v>
          </cell>
          <cell r="AP257" t="str">
            <v>ERROR</v>
          </cell>
          <cell r="AQ257" t="str">
            <v>ERROR</v>
          </cell>
        </row>
        <row r="258">
          <cell r="A258" t="str">
            <v>Vector|||200007047|||EQTY|||EV_ADJ_PUB|||False|||</v>
          </cell>
          <cell r="C258" t="str">
            <v>V_KEYWORD_EQTY_200007047_EV_ADJ_PUB</v>
          </cell>
        </row>
        <row r="259">
          <cell r="A259" t="str">
            <v>Vector|||200007047|||EQTY|||NET_DEBT_PUB|||False|||</v>
          </cell>
          <cell r="C259" t="str">
            <v>V_KEYWORD_EQTY_200007047_NET_DEBT_PUB</v>
          </cell>
        </row>
        <row r="260">
          <cell r="A260" t="str">
            <v>Vector|||200007047|||EQTY|||NI_PUB|||False|||</v>
          </cell>
          <cell r="C260" t="str">
            <v>V_KEYWORD_EQTY_200007047_NI_PUB</v>
          </cell>
        </row>
        <row r="261">
          <cell r="A261" t="str">
            <v>Vector|||200007047|||EQTY|||EBIT_PUB|||False|||</v>
          </cell>
          <cell r="C261" t="str">
            <v>V_KEYWORD_EQTY_200007047_EBIT_PUB</v>
          </cell>
        </row>
        <row r="262">
          <cell r="A262" t="str">
            <v>Vector|||200007047|||EQTY|||PTP_PUB|||False|||</v>
          </cell>
          <cell r="C262" t="str">
            <v>V_KEYWORD_EQTY_200007047_PTP_PUB</v>
          </cell>
        </row>
        <row r="263">
          <cell r="A263" t="str">
            <v>Vector|||200007047|||EQTY|||REVS_PUB|||False|||</v>
          </cell>
          <cell r="C263" t="str">
            <v>V_KEYWORD_EQTY_200007047_REVS_PUB</v>
          </cell>
        </row>
        <row r="264">
          <cell r="A264" t="str">
            <v>Vector|||200007047|||EQTY|||EQ_PUB|||False|||</v>
          </cell>
          <cell r="C264" t="str">
            <v>V_KEYWORD_EQTY_200007047_EQ_PUB</v>
          </cell>
        </row>
        <row r="265">
          <cell r="A265" t="str">
            <v>Vector|||200007047|||EQTY|||EPS_CONS_PUB|||False|||</v>
          </cell>
          <cell r="C265" t="str">
            <v>V_KEYWORD_EQTY_200007047_EPS_CONS_PUB</v>
          </cell>
        </row>
        <row r="267">
          <cell r="A267" t="str">
            <v>Vector|||200007047|||EQTY|||PROV_INC_TAX|||False|||</v>
          </cell>
          <cell r="C267" t="str">
            <v>V_KEYWORD_EQTY_200007047_PROV_INC_TAX</v>
          </cell>
        </row>
        <row r="268">
          <cell r="A268" t="str">
            <v>Vector|||200007047|||EQTY|||INC_MINORITY|||False|||</v>
          </cell>
          <cell r="C268" t="str">
            <v>V_KEYWORD_EQTY_200007047_INC_MINORITY</v>
          </cell>
        </row>
        <row r="269">
          <cell r="A269" t="str">
            <v>Vector|||200007047|||EQTY|||NI_PRE_PREF|||False|||</v>
          </cell>
          <cell r="C269" t="str">
            <v>V_KEYWORD_EQTY_200007047_NI_PRE_PREF</v>
          </cell>
        </row>
        <row r="270">
          <cell r="A270" t="str">
            <v>Vector|||200007047|||EQTY|||PREF_DIV|||False|||</v>
          </cell>
          <cell r="C270" t="str">
            <v>V_KEYWORD_EQTY_200007047_PREF_DIV</v>
          </cell>
        </row>
        <row r="271">
          <cell r="A271" t="str">
            <v>Vector|||200007047|||EQTY|||NET_EARNING|||False|||</v>
          </cell>
          <cell r="C271" t="str">
            <v>V_KEYWORD_EQTY_200007047_NET_EARNING</v>
          </cell>
        </row>
        <row r="272">
          <cell r="A272" t="str">
            <v>Vector|||200007047|||EQTY|||TAX_EXC|||False|||</v>
          </cell>
          <cell r="C272" t="str">
            <v>V_KEYWORD_EQTY_200007047_TAX_EXC</v>
          </cell>
        </row>
        <row r="273">
          <cell r="A273" t="str">
            <v>Vector|||200007047|||EQTY|||NET_INC|||False|||</v>
          </cell>
          <cell r="C273" t="str">
            <v>V_KEYWORD_EQTY_200007047_NET_INC</v>
          </cell>
        </row>
        <row r="274">
          <cell r="A274" t="str">
            <v>Vector|||200007047|||EQTY|||EPS|||False|||</v>
          </cell>
          <cell r="C274" t="str">
            <v>V_KEYWORD_EQTY_200007047_EPS</v>
          </cell>
        </row>
        <row r="275">
          <cell r="A275" t="str">
            <v>Vector|||200007047|||EQTY|||EPS_FUL_DIL|||False|||</v>
          </cell>
          <cell r="C275" t="str">
            <v>V_KEYWORD_EQTY_200007047_EPS_FUL_DIL</v>
          </cell>
        </row>
        <row r="276">
          <cell r="A276" t="str">
            <v>Vector|||200007047|||EQTY|||EPS_POST_BASIC|||False|||</v>
          </cell>
          <cell r="C276" t="str">
            <v>V_KEYWORD_EQTY_200007047_EPS_POST_BASIC</v>
          </cell>
        </row>
        <row r="277">
          <cell r="A277" t="str">
            <v>Vector|||200007047|||EQTY|||FULLY_DIL_EPS|||False|||</v>
          </cell>
          <cell r="C277" t="str">
            <v>V_KEYWORD_EQTY_200007047_FULLY_DIL_EPS</v>
          </cell>
        </row>
        <row r="278">
          <cell r="A278" t="str">
            <v>Vector|||200007047|||EQTY|||COMMON_DIV_PAID|||False|||</v>
          </cell>
          <cell r="C278" t="str">
            <v>V_KEYWORD_EQTY_200007047_COMMON_DIV_PAID</v>
          </cell>
        </row>
        <row r="279">
          <cell r="A279" t="str">
            <v>Vector|||200007047|||EQTY|||DPS|||False|||</v>
          </cell>
          <cell r="C279" t="str">
            <v>V_KEYWORD_EQTY_200007047_DPS</v>
          </cell>
        </row>
        <row r="280">
          <cell r="A280" t="str">
            <v>Vector|||200007047|||EQTY|||SH|||False|||</v>
          </cell>
          <cell r="C280" t="str">
            <v>V_KEYWORD_EQTY_200007047_SH</v>
          </cell>
        </row>
        <row r="281">
          <cell r="A281" t="str">
            <v>Vector|||200007047|||EQTY|||DILUTE_SHARES|||False|||</v>
          </cell>
          <cell r="C281" t="str">
            <v>V_KEYWORD_EQTY_200007047_DILUTE_SHARES</v>
          </cell>
        </row>
        <row r="282">
          <cell r="A282" t="str">
            <v>Vector|||200007047|||EQTY|||NON_OP_ADD|||False|||</v>
          </cell>
          <cell r="C282" t="str">
            <v>V_KEYWORD_EQTY_200007047_NON_OP_ADD</v>
          </cell>
        </row>
        <row r="284">
          <cell r="A284" t="str">
            <v>Vector|||200007047|||EQTY|||MARGIN_TAX_RATE|||False|||</v>
          </cell>
          <cell r="C284" t="str">
            <v>V_KEYWORD_EQTY_200007047_MARGIN_TAX_RATE</v>
          </cell>
        </row>
        <row r="285">
          <cell r="A285" t="str">
            <v>Vector|||200007047|||EQTY|||NI_CONS|||False|||</v>
          </cell>
          <cell r="C285" t="str">
            <v>V_KEYWORD_EQTY_200007047_NI_CONS</v>
          </cell>
        </row>
        <row r="287">
          <cell r="A287" t="str">
            <v>Vector|||200007047|||EQTY|||BVPS|||False|||</v>
          </cell>
          <cell r="C287" t="str">
            <v>V_KEYWORD_EQTY_200007047_BVPS</v>
          </cell>
        </row>
        <row r="289">
          <cell r="A289" t="str">
            <v>Vector|||200007047|||EQTY|||CF_NI_PRE_PREF|||False|||</v>
          </cell>
          <cell r="C289" t="str">
            <v>V_KEYWORD_EQTY_200007047_CF_NI_PRE_PREF</v>
          </cell>
        </row>
        <row r="291">
          <cell r="A291" t="str">
            <v>Scalar|||200007047|||EQTY|||BETA_ANALYST|||False|||</v>
          </cell>
          <cell r="C291" t="str">
            <v>V_KEYWORD_EQTY_200007047_BETA_ANALYST</v>
          </cell>
        </row>
        <row r="292">
          <cell r="A292" t="str">
            <v>Scalar|||200007047|||EQTY|||MKT_EQ_RISK_PREM|||False|||</v>
          </cell>
          <cell r="C292" t="str">
            <v>V_KEYWORD_EQTY_200007047_MKT_EQ_RISK_PREM</v>
          </cell>
        </row>
        <row r="293">
          <cell r="A293" t="str">
            <v>Scalar|||200007047|||EQTY|||RISK_FR_RATE|||False|||</v>
          </cell>
          <cell r="C293" t="str">
            <v>V_KEYWORD_EQTY_200007047_RISK_FR_RATE</v>
          </cell>
        </row>
        <row r="299">
          <cell r="A299" t="str">
            <v>Scalar|||200008538|||EQTY|||PUB_CURRENCY_ISO|||False|||</v>
          </cell>
          <cell r="C299" t="str">
            <v>V_KEYWORD_EQTY_200008538_PUB_CURRENCY_ISO</v>
          </cell>
        </row>
        <row r="300">
          <cell r="A300" t="str">
            <v>Scalar|||200008538|||EQTY|||PRICE_CURRENCY_ISO|||False|||</v>
          </cell>
          <cell r="C300" t="str">
            <v>V_KEYWORD_EQTY_200008538_PRICE_CURRENCY_ISO</v>
          </cell>
        </row>
        <row r="301">
          <cell r="A301" t="str">
            <v>Scalar|||200008538|||EQTY|||CURRENCY_ISO|||False|||</v>
          </cell>
          <cell r="C301" t="str">
            <v>V_KEYWORD_EQTY_200008538_CURRENCY_ISO</v>
          </cell>
        </row>
        <row r="303">
          <cell r="A303" t="str">
            <v>Scalar|||200008538|||EQTY|||AEJ_LIST|||False|||</v>
          </cell>
          <cell r="C303" t="str">
            <v>V_KEYWORD_EQTY_200008538_AEJ_LIST</v>
          </cell>
        </row>
        <row r="304">
          <cell r="A304" t="str">
            <v>Scalar|||200008538|||EQTY|||AEJ_CONVICTION|||False|||</v>
          </cell>
          <cell r="C304" t="str">
            <v>V_KEYWORD_EQTY_200008538_AEJ_CONVICTION</v>
          </cell>
        </row>
        <row r="305">
          <cell r="A305" t="str">
            <v>Scalar|||200008538|||EQTY|||LEGAL_RATING|||False|||</v>
          </cell>
          <cell r="C305" t="str">
            <v>V_KEYWORD_EQTY_200008538_LEGAL_RATING</v>
          </cell>
          <cell r="E305" t="str">
            <v>ERROR</v>
          </cell>
        </row>
        <row r="306">
          <cell r="A306" t="str">
            <v>Scalar|||200008538|||EQTY|||TARGET_PRICE|||False|||</v>
          </cell>
          <cell r="C306" t="str">
            <v>V_KEYWORD_EQTY_200008538_TARGET_PRICE</v>
          </cell>
          <cell r="E306" t="str">
            <v>ERROR</v>
          </cell>
        </row>
        <row r="307">
          <cell r="A307" t="str">
            <v>Scalar|||200008538|||EQTY|||TP_PERIOD|||False|||</v>
          </cell>
          <cell r="C307" t="str">
            <v>V_KEYWORD_EQTY_200008538_TP_PERIOD</v>
          </cell>
          <cell r="E307" t="str">
            <v>ERROR</v>
          </cell>
        </row>
        <row r="308">
          <cell r="A308" t="str">
            <v>Scalar|||200008538|||EQTY|||TARGET_PRICE_FUNDAMENTAL|||False|||</v>
          </cell>
          <cell r="C308" t="str">
            <v>V_KEYWORD_EQTY_200008538_TARGET_PRICE_FUNDAMENTAL</v>
          </cell>
        </row>
        <row r="309">
          <cell r="A309" t="str">
            <v>Scalar|||200008538|||EQTY|||TARGET_PRICE_MA|||False|||</v>
          </cell>
          <cell r="C309" t="str">
            <v>V_KEYWORD_EQTY_200008538_TARGET_PRICE_MA</v>
          </cell>
        </row>
        <row r="310">
          <cell r="A310" t="str">
            <v>Scalar|||200008538|||EQTY|||NUM_SH|||False|||</v>
          </cell>
          <cell r="C310" t="str">
            <v>V_KEYWORD_EQTY_200008538_NUM_SH</v>
          </cell>
        </row>
        <row r="311">
          <cell r="A311" t="str">
            <v>Scalar|||200008538|||EQTY|||FREE_FLOAT|||False|||</v>
          </cell>
          <cell r="C311" t="str">
            <v>V_KEYWORD_EQTY_200008538_FREE_FLOAT</v>
          </cell>
        </row>
        <row r="312">
          <cell r="A312" t="str">
            <v>Scalar|||200008538|||EQTY|||FOREIGN_HOLDNG|||False|||</v>
          </cell>
          <cell r="C312" t="str">
            <v>V_KEYWORD_EQTY_200008538_FOREIGN_HOLDNG</v>
          </cell>
        </row>
        <row r="313">
          <cell r="A313" t="str">
            <v>BreakdownScalar|||200008538|||EQTY|||ACT|||False|||1</v>
          </cell>
          <cell r="C313" t="str">
            <v>V_KEYWORD_EQTY_200008538_ACT1</v>
          </cell>
          <cell r="E313" t="str">
            <v>ERROR</v>
          </cell>
        </row>
        <row r="314">
          <cell r="A314" t="str">
            <v>BreakdownScalar|||200008538|||EQTY|||ACT|||False|||2</v>
          </cell>
          <cell r="C314" t="str">
            <v>V_KEYWORD_EQTY_200008538_ACT2</v>
          </cell>
          <cell r="E314" t="str">
            <v>ERROR</v>
          </cell>
        </row>
        <row r="315">
          <cell r="A315" t="str">
            <v>BreakdownScalar|||200008538|||EQTY|||ACT|||False|||3</v>
          </cell>
          <cell r="C315" t="str">
            <v>V_KEYWORD_EQTY_200008538_ACT3</v>
          </cell>
          <cell r="E315" t="str">
            <v>ERROR</v>
          </cell>
        </row>
        <row r="316">
          <cell r="A316" t="str">
            <v>BreakdownScalar|||200008538|||EQTY|||ACT|||False|||4</v>
          </cell>
          <cell r="C316" t="str">
            <v>V_KEYWORD_EQTY_200008538_ACT4</v>
          </cell>
          <cell r="E316" t="str">
            <v>ERROR</v>
          </cell>
        </row>
        <row r="317">
          <cell r="A317" t="str">
            <v>Scalar|||200008538|||EQTY|||CATALYST1_DATE|||True|||</v>
          </cell>
          <cell r="C317" t="str">
            <v>V_KEYWORD_EQTY_200008538_CATALYST1_DATE</v>
          </cell>
        </row>
        <row r="318">
          <cell r="A318" t="str">
            <v>Scalar|||200008538|||EQTY|||CATALYST1_EVENT|||False|||</v>
          </cell>
          <cell r="C318" t="str">
            <v>V_KEYWORD_EQTY_200008538_CATALYST1_EVENT</v>
          </cell>
        </row>
        <row r="319">
          <cell r="A319" t="str">
            <v>Scalar|||200008538|||EQTY|||CATALYST2_DATE|||True|||</v>
          </cell>
          <cell r="C319" t="str">
            <v>V_KEYWORD_EQTY_200008538_CATALYST2_DATE</v>
          </cell>
        </row>
        <row r="320">
          <cell r="A320" t="str">
            <v>Scalar|||200008538|||EQTY|||CATALYST2_EVENT|||False|||</v>
          </cell>
          <cell r="C320" t="str">
            <v>V_KEYWORD_EQTY_200008538_CATALYST2_EVENT</v>
          </cell>
        </row>
        <row r="321">
          <cell r="A321" t="str">
            <v>Scalar|||200008538|||EQTY|||CATALYST3_DATE|||True|||</v>
          </cell>
          <cell r="C321" t="str">
            <v>V_KEYWORD_EQTY_200008538_CATALYST3_DATE</v>
          </cell>
        </row>
        <row r="322">
          <cell r="A322" t="str">
            <v>Scalar|||200008538|||EQTY|||CATALYST3_EVENT|||False|||</v>
          </cell>
          <cell r="C322" t="str">
            <v>V_KEYWORD_EQTY_200008538_CATALYST3_EVENT</v>
          </cell>
        </row>
        <row r="323">
          <cell r="A323" t="str">
            <v>Scalar|||200008538|||EQTY|||CATALYST4_DATE|||True|||</v>
          </cell>
          <cell r="C323" t="str">
            <v>V_KEYWORD_EQTY_200008538_CATALYST4_DATE</v>
          </cell>
        </row>
        <row r="324">
          <cell r="A324" t="str">
            <v>Scalar|||200008538|||EQTY|||CATALYST4_EVENT|||False|||</v>
          </cell>
          <cell r="C324" t="str">
            <v>V_KEYWORD_EQTY_200008538_CATALYST4_EVENT</v>
          </cell>
        </row>
        <row r="325">
          <cell r="A325" t="str">
            <v>Scalar|||200008538|||EQTY|||CATALYST5_DATE|||True|||</v>
          </cell>
          <cell r="C325" t="str">
            <v>V_KEYWORD_EQTY_200008538_CATALYST5_DATE</v>
          </cell>
        </row>
        <row r="326">
          <cell r="A326" t="str">
            <v>Scalar|||200008538|||EQTY|||CATALYST5_EVENT|||False|||</v>
          </cell>
          <cell r="C326" t="str">
            <v>V_KEYWORD_EQTY_200008538_CATALYST5_EVENT</v>
          </cell>
        </row>
        <row r="327">
          <cell r="A327" t="str">
            <v>Scalar|||200008538|||EQTY|||PRI_TARG_MULT|||False|||</v>
          </cell>
          <cell r="C327" t="str">
            <v>V_KEYWORD_EQTY_200008538_PRI_TARG_MULT</v>
          </cell>
        </row>
        <row r="328">
          <cell r="A328" t="str">
            <v>Scalar|||200008538|||EQTY|||PRI_TARG_METH|||False|||</v>
          </cell>
          <cell r="C328" t="str">
            <v>V_KEYWORD_EQTY_200008538_PRI_TARG_METH</v>
          </cell>
        </row>
        <row r="330">
          <cell r="A330" t="str">
            <v>Vector|||200008538|||EQTY|||BVPS_PUB|||False|||</v>
          </cell>
          <cell r="C330" t="str">
            <v>V_KEYWORD_EQTY_200008538_BVPS_PUB</v>
          </cell>
        </row>
        <row r="331">
          <cell r="A331" t="str">
            <v>Vector|||200008538|||EQTY|||DPS_PUB|||False|||</v>
          </cell>
          <cell r="C331" t="str">
            <v>V_KEYWORD_EQTY_200008538_DPS_PUB</v>
          </cell>
        </row>
        <row r="332">
          <cell r="A332" t="str">
            <v>Vector|||200008538|||EQTY|||DPS_SPECIAL_PUB|||False|||</v>
          </cell>
          <cell r="C332" t="str">
            <v>V_KEYWORD_EQTY_200008538_DPS_SPECIAL_PUB</v>
          </cell>
        </row>
        <row r="333">
          <cell r="A333" t="str">
            <v>Vector|||200008538|||EQTY|||EBITDA_PUB|||False|||</v>
          </cell>
          <cell r="C333" t="str">
            <v>V_KEYWORD_EQTY_200008538_EBITDA_PUB</v>
          </cell>
        </row>
        <row r="334">
          <cell r="A334" t="str">
            <v>Vector|||200008538|||EQTY|||EPS_PUB|||False|||</v>
          </cell>
          <cell r="C334" t="str">
            <v>V_KEYWORD_EQTY_200008538_EPS_PUB</v>
          </cell>
          <cell r="W334" t="str">
            <v>ERROR</v>
          </cell>
          <cell r="X334" t="str">
            <v>ERROR</v>
          </cell>
          <cell r="Y334" t="str">
            <v>ERROR</v>
          </cell>
          <cell r="Z334" t="str">
            <v>ERROR</v>
          </cell>
          <cell r="AM334" t="str">
            <v>ERROR</v>
          </cell>
          <cell r="AN334" t="str">
            <v>ERROR</v>
          </cell>
          <cell r="AO334" t="str">
            <v>ERROR</v>
          </cell>
          <cell r="AP334" t="str">
            <v>ERROR</v>
          </cell>
          <cell r="AQ334" t="str">
            <v>ERROR</v>
          </cell>
        </row>
        <row r="335">
          <cell r="A335" t="str">
            <v>Vector|||200008538|||EQTY|||EV_ADJ_PUB|||False|||</v>
          </cell>
          <cell r="C335" t="str">
            <v>V_KEYWORD_EQTY_200008538_EV_ADJ_PUB</v>
          </cell>
        </row>
        <row r="336">
          <cell r="A336" t="str">
            <v>Vector|||200008538|||EQTY|||NET_DEBT_PUB|||False|||</v>
          </cell>
          <cell r="C336" t="str">
            <v>V_KEYWORD_EQTY_200008538_NET_DEBT_PUB</v>
          </cell>
        </row>
        <row r="337">
          <cell r="A337" t="str">
            <v>Vector|||200008538|||EQTY|||NI_PUB|||False|||</v>
          </cell>
          <cell r="C337" t="str">
            <v>V_KEYWORD_EQTY_200008538_NI_PUB</v>
          </cell>
        </row>
        <row r="338">
          <cell r="A338" t="str">
            <v>Vector|||200008538|||EQTY|||EBIT_PUB|||False|||</v>
          </cell>
          <cell r="C338" t="str">
            <v>V_KEYWORD_EQTY_200008538_EBIT_PUB</v>
          </cell>
        </row>
        <row r="339">
          <cell r="A339" t="str">
            <v>Vector|||200008538|||EQTY|||PTP_PUB|||False|||</v>
          </cell>
          <cell r="C339" t="str">
            <v>V_KEYWORD_EQTY_200008538_PTP_PUB</v>
          </cell>
        </row>
        <row r="340">
          <cell r="A340" t="str">
            <v>Vector|||200008538|||EQTY|||REVS_PUB|||False|||</v>
          </cell>
          <cell r="C340" t="str">
            <v>V_KEYWORD_EQTY_200008538_REVS_PUB</v>
          </cell>
        </row>
        <row r="341">
          <cell r="A341" t="str">
            <v>Vector|||200008538|||EQTY|||EQ_PUB|||False|||</v>
          </cell>
          <cell r="C341" t="str">
            <v>V_KEYWORD_EQTY_200008538_EQ_PUB</v>
          </cell>
        </row>
        <row r="342">
          <cell r="A342" t="str">
            <v>Vector|||200008538|||EQTY|||EPS_CONS_PUB|||False|||</v>
          </cell>
          <cell r="C342" t="str">
            <v>V_KEYWORD_EQTY_200008538_EPS_CONS_PUB</v>
          </cell>
        </row>
        <row r="344">
          <cell r="A344" t="str">
            <v>Vector|||200008538|||EQTY|||PROV_INC_TAX|||False|||</v>
          </cell>
          <cell r="C344" t="str">
            <v>V_KEYWORD_EQTY_200008538_PROV_INC_TAX</v>
          </cell>
        </row>
        <row r="345">
          <cell r="A345" t="str">
            <v>Vector|||200008538|||EQTY|||INC_MINORITY|||False|||</v>
          </cell>
          <cell r="C345" t="str">
            <v>V_KEYWORD_EQTY_200008538_INC_MINORITY</v>
          </cell>
        </row>
        <row r="346">
          <cell r="A346" t="str">
            <v>Vector|||200008538|||EQTY|||NI_PRE_PREF|||False|||</v>
          </cell>
          <cell r="C346" t="str">
            <v>V_KEYWORD_EQTY_200008538_NI_PRE_PREF</v>
          </cell>
        </row>
        <row r="347">
          <cell r="A347" t="str">
            <v>Vector|||200008538|||EQTY|||PREF_DIV|||False|||</v>
          </cell>
          <cell r="C347" t="str">
            <v>V_KEYWORD_EQTY_200008538_PREF_DIV</v>
          </cell>
        </row>
        <row r="348">
          <cell r="A348" t="str">
            <v>Vector|||200008538|||EQTY|||NET_EARNING|||False|||</v>
          </cell>
          <cell r="C348" t="str">
            <v>V_KEYWORD_EQTY_200008538_NET_EARNING</v>
          </cell>
        </row>
        <row r="349">
          <cell r="A349" t="str">
            <v>Vector|||200008538|||EQTY|||TAX_EXC|||False|||</v>
          </cell>
          <cell r="C349" t="str">
            <v>V_KEYWORD_EQTY_200008538_TAX_EXC</v>
          </cell>
        </row>
        <row r="350">
          <cell r="A350" t="str">
            <v>Vector|||200008538|||EQTY|||NET_INC|||False|||</v>
          </cell>
          <cell r="C350" t="str">
            <v>V_KEYWORD_EQTY_200008538_NET_INC</v>
          </cell>
        </row>
        <row r="351">
          <cell r="A351" t="str">
            <v>Vector|||200008538|||EQTY|||EPS|||False|||</v>
          </cell>
          <cell r="C351" t="str">
            <v>V_KEYWORD_EQTY_200008538_EPS</v>
          </cell>
        </row>
        <row r="352">
          <cell r="A352" t="str">
            <v>Vector|||200008538|||EQTY|||EPS_FUL_DIL|||False|||</v>
          </cell>
          <cell r="C352" t="str">
            <v>V_KEYWORD_EQTY_200008538_EPS_FUL_DIL</v>
          </cell>
        </row>
        <row r="353">
          <cell r="A353" t="str">
            <v>Vector|||200008538|||EQTY|||EPS_POST_BASIC|||False|||</v>
          </cell>
          <cell r="C353" t="str">
            <v>V_KEYWORD_EQTY_200008538_EPS_POST_BASIC</v>
          </cell>
        </row>
        <row r="354">
          <cell r="A354" t="str">
            <v>Vector|||200008538|||EQTY|||FULLY_DIL_EPS|||False|||</v>
          </cell>
          <cell r="C354" t="str">
            <v>V_KEYWORD_EQTY_200008538_FULLY_DIL_EPS</v>
          </cell>
        </row>
        <row r="355">
          <cell r="A355" t="str">
            <v>Vector|||200008538|||EQTY|||COMMON_DIV_PAID|||False|||</v>
          </cell>
          <cell r="C355" t="str">
            <v>V_KEYWORD_EQTY_200008538_COMMON_DIV_PAID</v>
          </cell>
        </row>
        <row r="356">
          <cell r="A356" t="str">
            <v>Vector|||200008538|||EQTY|||DPS|||False|||</v>
          </cell>
          <cell r="C356" t="str">
            <v>V_KEYWORD_EQTY_200008538_DPS</v>
          </cell>
        </row>
        <row r="357">
          <cell r="A357" t="str">
            <v>Vector|||200008538|||EQTY|||SH|||False|||</v>
          </cell>
          <cell r="C357" t="str">
            <v>V_KEYWORD_EQTY_200008538_SH</v>
          </cell>
        </row>
        <row r="358">
          <cell r="A358" t="str">
            <v>Vector|||200008538|||EQTY|||DILUTE_SHARES|||False|||</v>
          </cell>
          <cell r="C358" t="str">
            <v>V_KEYWORD_EQTY_200008538_DILUTE_SHARES</v>
          </cell>
        </row>
        <row r="359">
          <cell r="A359" t="str">
            <v>Vector|||200008538|||EQTY|||NON_OP_ADD|||False|||</v>
          </cell>
          <cell r="C359" t="str">
            <v>V_KEYWORD_EQTY_200008538_NON_OP_ADD</v>
          </cell>
        </row>
        <row r="361">
          <cell r="A361" t="str">
            <v>Vector|||200008538|||EQTY|||MARGIN_TAX_RATE|||False|||</v>
          </cell>
          <cell r="C361" t="str">
            <v>V_KEYWORD_EQTY_200008538_MARGIN_TAX_RATE</v>
          </cell>
        </row>
        <row r="362">
          <cell r="A362" t="str">
            <v>Vector|||200008538|||EQTY|||NI_CONS|||False|||</v>
          </cell>
          <cell r="C362" t="str">
            <v>V_KEYWORD_EQTY_200008538_NI_CONS</v>
          </cell>
        </row>
        <row r="364">
          <cell r="A364" t="str">
            <v>Vector|||200008538|||EQTY|||BVPS|||False|||</v>
          </cell>
          <cell r="C364" t="str">
            <v>V_KEYWORD_EQTY_200008538_BVPS</v>
          </cell>
        </row>
        <row r="366">
          <cell r="A366" t="str">
            <v>Vector|||200008538|||EQTY|||CF_NI_PRE_PREF|||False|||</v>
          </cell>
          <cell r="C366" t="str">
            <v>V_KEYWORD_EQTY_200008538_CF_NI_PRE_PREF</v>
          </cell>
        </row>
        <row r="368">
          <cell r="A368" t="str">
            <v>Scalar|||200008538|||EQTY|||BETA_ANALYST|||False|||</v>
          </cell>
          <cell r="C368" t="str">
            <v>V_KEYWORD_EQTY_200008538_BETA_ANALYST</v>
          </cell>
        </row>
        <row r="369">
          <cell r="A369" t="str">
            <v>Scalar|||200008538|||EQTY|||MKT_EQ_RISK_PREM|||False|||</v>
          </cell>
          <cell r="C369" t="str">
            <v>V_KEYWORD_EQTY_200008538_MKT_EQ_RISK_PREM</v>
          </cell>
        </row>
        <row r="370">
          <cell r="A370" t="str">
            <v>Scalar|||200008538|||EQTY|||RISK_FR_RATE|||False|||</v>
          </cell>
          <cell r="C370" t="str">
            <v>V_KEYWORD_EQTY_200008538_RISK_FR_RATE</v>
          </cell>
        </row>
      </sheetData>
      <sheetData sheetId="4" refreshError="1"/>
      <sheetData sheetId="5">
        <row r="1">
          <cell r="A1" t="str">
            <v>Issuer: ZTE Corp.</v>
          </cell>
          <cell r="F1">
            <v>2001</v>
          </cell>
          <cell r="G1">
            <v>2002</v>
          </cell>
          <cell r="H1">
            <v>2003</v>
          </cell>
          <cell r="I1">
            <v>2004</v>
          </cell>
          <cell r="J1">
            <v>2005</v>
          </cell>
          <cell r="K1">
            <v>2006</v>
          </cell>
          <cell r="L1">
            <v>2007</v>
          </cell>
          <cell r="M1">
            <v>2008</v>
          </cell>
          <cell r="N1">
            <v>2009</v>
          </cell>
          <cell r="O1">
            <v>2010</v>
          </cell>
          <cell r="P1">
            <v>2011</v>
          </cell>
          <cell r="Q1">
            <v>2012</v>
          </cell>
          <cell r="R1">
            <v>2013</v>
          </cell>
          <cell r="S1">
            <v>2014</v>
          </cell>
          <cell r="T1">
            <v>2015</v>
          </cell>
          <cell r="U1">
            <v>2016</v>
          </cell>
          <cell r="V1">
            <v>2017</v>
          </cell>
          <cell r="W1">
            <v>2018</v>
          </cell>
          <cell r="X1">
            <v>2019</v>
          </cell>
          <cell r="Y1">
            <v>2020</v>
          </cell>
          <cell r="Z1">
            <v>2021</v>
          </cell>
          <cell r="AB1" t="str">
            <v>2016 Q1</v>
          </cell>
          <cell r="AC1" t="str">
            <v>2016 Q2</v>
          </cell>
          <cell r="AD1" t="str">
            <v>2016 Q3</v>
          </cell>
          <cell r="AE1" t="str">
            <v>2016 Q4</v>
          </cell>
          <cell r="AF1" t="str">
            <v>2017 Q1</v>
          </cell>
          <cell r="AG1" t="str">
            <v>2017 Q2</v>
          </cell>
          <cell r="AH1" t="str">
            <v>2017 Q3</v>
          </cell>
          <cell r="AI1" t="str">
            <v>2017 Q4</v>
          </cell>
          <cell r="AJ1" t="str">
            <v>2018 Q1</v>
          </cell>
          <cell r="AK1" t="str">
            <v>2018 Q2</v>
          </cell>
          <cell r="AL1" t="str">
            <v>2018 Q3</v>
          </cell>
          <cell r="AM1" t="str">
            <v>2018 Q4</v>
          </cell>
          <cell r="AN1" t="str">
            <v>2019 Q1</v>
          </cell>
          <cell r="AO1" t="str">
            <v>2019 Q2</v>
          </cell>
          <cell r="AP1" t="str">
            <v>2019 Q3</v>
          </cell>
          <cell r="AQ1" t="str">
            <v>2019 Q4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Estimate</v>
          </cell>
          <cell r="Y2" t="str">
            <v>Estimate</v>
          </cell>
          <cell r="Z2" t="str">
            <v>Estimate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Estimate</v>
          </cell>
          <cell r="AO2" t="str">
            <v>Estimate</v>
          </cell>
          <cell r="AP2" t="str">
            <v>Estimate</v>
          </cell>
          <cell r="AQ2" t="str">
            <v>Estimate</v>
          </cell>
        </row>
        <row r="3">
          <cell r="F3">
            <v>37256</v>
          </cell>
          <cell r="G3">
            <v>37621</v>
          </cell>
          <cell r="H3">
            <v>37986</v>
          </cell>
          <cell r="I3">
            <v>38352</v>
          </cell>
          <cell r="J3">
            <v>38717</v>
          </cell>
          <cell r="K3">
            <v>39082</v>
          </cell>
          <cell r="L3">
            <v>39447</v>
          </cell>
          <cell r="M3">
            <v>39813</v>
          </cell>
          <cell r="N3">
            <v>40178</v>
          </cell>
          <cell r="O3">
            <v>40543</v>
          </cell>
          <cell r="P3">
            <v>40908</v>
          </cell>
          <cell r="Q3">
            <v>41274</v>
          </cell>
          <cell r="R3">
            <v>41639</v>
          </cell>
          <cell r="S3">
            <v>42004</v>
          </cell>
          <cell r="T3">
            <v>42369</v>
          </cell>
          <cell r="U3">
            <v>42735</v>
          </cell>
          <cell r="V3">
            <v>43100</v>
          </cell>
          <cell r="W3">
            <v>43465</v>
          </cell>
          <cell r="X3">
            <v>43830</v>
          </cell>
          <cell r="Y3">
            <v>44196</v>
          </cell>
          <cell r="Z3">
            <v>44561</v>
          </cell>
          <cell r="AB3">
            <v>42460</v>
          </cell>
          <cell r="AC3">
            <v>42551</v>
          </cell>
          <cell r="AD3">
            <v>42643</v>
          </cell>
          <cell r="AE3">
            <v>42735</v>
          </cell>
          <cell r="AF3">
            <v>42825</v>
          </cell>
          <cell r="AG3">
            <v>42916</v>
          </cell>
          <cell r="AH3">
            <v>43008</v>
          </cell>
          <cell r="AI3">
            <v>43100</v>
          </cell>
          <cell r="AJ3">
            <v>43190</v>
          </cell>
          <cell r="AK3">
            <v>43281</v>
          </cell>
          <cell r="AL3">
            <v>43373</v>
          </cell>
          <cell r="AM3">
            <v>43465</v>
          </cell>
          <cell r="AN3">
            <v>43555</v>
          </cell>
          <cell r="AO3">
            <v>43646</v>
          </cell>
          <cell r="AP3">
            <v>43738</v>
          </cell>
          <cell r="AQ3">
            <v>43830</v>
          </cell>
        </row>
        <row r="4">
          <cell r="A4" t="str">
            <v>Issuer: ZTE Corp.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ZTE Corp.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N11">
            <v>60272.563000000002</v>
          </cell>
          <cell r="O11">
            <v>70263.873999999996</v>
          </cell>
          <cell r="P11">
            <v>86254.456000000006</v>
          </cell>
          <cell r="Q11">
            <v>84219.357999999993</v>
          </cell>
          <cell r="R11">
            <v>75233.724000000002</v>
          </cell>
          <cell r="S11">
            <v>81471.274999999994</v>
          </cell>
          <cell r="T11">
            <v>100186.389</v>
          </cell>
          <cell r="U11">
            <v>101233.182</v>
          </cell>
          <cell r="V11">
            <v>108815.273</v>
          </cell>
          <cell r="W11">
            <v>85513.15</v>
          </cell>
          <cell r="X11">
            <v>92548.7047475</v>
          </cell>
          <cell r="Y11">
            <v>112015.74927058797</v>
          </cell>
          <cell r="Z11">
            <v>122186.10980568673</v>
          </cell>
          <cell r="AB11">
            <v>21858.508999999998</v>
          </cell>
          <cell r="AC11">
            <v>25898.793000000001</v>
          </cell>
          <cell r="AD11">
            <v>23806.702000000001</v>
          </cell>
          <cell r="AE11">
            <v>29669.178</v>
          </cell>
          <cell r="AF11">
            <v>25744.612000000001</v>
          </cell>
          <cell r="AG11">
            <v>28265.984</v>
          </cell>
          <cell r="AH11">
            <v>22569.143</v>
          </cell>
          <cell r="AI11">
            <v>32235.534</v>
          </cell>
          <cell r="AJ11">
            <v>27526.342000000001</v>
          </cell>
          <cell r="AK11">
            <v>11907.434999999999</v>
          </cell>
          <cell r="AL11">
            <v>19332.409</v>
          </cell>
          <cell r="AM11">
            <v>26746.964</v>
          </cell>
          <cell r="AN11">
            <v>24504.713217</v>
          </cell>
          <cell r="AO11">
            <v>20515.019900000003</v>
          </cell>
          <cell r="AP11">
            <v>20769.985238000001</v>
          </cell>
          <cell r="AQ11">
            <v>26758.986392499999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N13">
            <v>-40623.339</v>
          </cell>
          <cell r="O13">
            <v>-47335.025999999998</v>
          </cell>
          <cell r="P13">
            <v>-60157.353999999999</v>
          </cell>
          <cell r="Q13">
            <v>-64091.546000000002</v>
          </cell>
          <cell r="R13">
            <v>-53125.904000000002</v>
          </cell>
          <cell r="S13">
            <v>-55760.103999999999</v>
          </cell>
          <cell r="T13">
            <v>-69100.447</v>
          </cell>
          <cell r="U13">
            <v>-70100.657999999996</v>
          </cell>
          <cell r="V13">
            <v>-75005.817999999999</v>
          </cell>
          <cell r="W13">
            <v>-57367.578000000001</v>
          </cell>
          <cell r="X13">
            <v>-64320.449485250007</v>
          </cell>
          <cell r="Y13">
            <v>-77107.429279260017</v>
          </cell>
          <cell r="Z13">
            <v>-84145.540601955567</v>
          </cell>
          <cell r="AB13">
            <v>-14278.848</v>
          </cell>
          <cell r="AC13">
            <v>-17545.539000000001</v>
          </cell>
          <cell r="AD13">
            <v>-17112.871999999999</v>
          </cell>
          <cell r="AE13">
            <v>-21163.399000000001</v>
          </cell>
          <cell r="AF13">
            <v>-17454.986000000001</v>
          </cell>
          <cell r="AG13">
            <v>-18992.755000000001</v>
          </cell>
          <cell r="AH13">
            <v>-15905.254999999999</v>
          </cell>
          <cell r="AI13">
            <v>-22652.822</v>
          </cell>
          <cell r="AJ13">
            <v>-19816.145</v>
          </cell>
          <cell r="AK13">
            <v>-7692.2079999999996</v>
          </cell>
          <cell r="AL13">
            <v>-12274.393</v>
          </cell>
          <cell r="AM13">
            <v>-17584.831999999999</v>
          </cell>
          <cell r="AN13">
            <v>-17026.041015900002</v>
          </cell>
          <cell r="AO13">
            <v>-13860.909430000003</v>
          </cell>
          <cell r="AP13">
            <v>-14326.559516600002</v>
          </cell>
          <cell r="AQ13">
            <v>-19106.939522749999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N14">
            <v>-9367.1230000000014</v>
          </cell>
          <cell r="O14">
            <v>-11251.348</v>
          </cell>
          <cell r="P14">
            <v>-13441.437</v>
          </cell>
          <cell r="Q14">
            <v>-13115.537</v>
          </cell>
          <cell r="R14">
            <v>-11563.683999999999</v>
          </cell>
          <cell r="S14">
            <v>-11816.834999999999</v>
          </cell>
          <cell r="T14">
            <v>-13386.603999999999</v>
          </cell>
          <cell r="U14">
            <v>-13383.911000000002</v>
          </cell>
          <cell r="V14">
            <v>-13500.543</v>
          </cell>
          <cell r="W14">
            <v>-10866.333000000001</v>
          </cell>
          <cell r="X14">
            <v>-10062.238192125</v>
          </cell>
          <cell r="Y14">
            <v>-13061.070870588199</v>
          </cell>
          <cell r="Z14">
            <v>-14622.678535749012</v>
          </cell>
          <cell r="AB14">
            <v>-3148.51125</v>
          </cell>
          <cell r="AC14">
            <v>-3380.0952499999999</v>
          </cell>
          <cell r="AD14">
            <v>-2937.6652500000005</v>
          </cell>
          <cell r="AE14">
            <v>-3917.6392499999997</v>
          </cell>
          <cell r="AF14">
            <v>-3048.9842499999995</v>
          </cell>
          <cell r="AG14">
            <v>-3287.0472499999996</v>
          </cell>
          <cell r="AH14">
            <v>-3326.5212499999998</v>
          </cell>
          <cell r="AI14">
            <v>-3837.9902499999998</v>
          </cell>
          <cell r="AJ14">
            <v>-2777.6012500000002</v>
          </cell>
          <cell r="AK14">
            <v>-2434.7952499999997</v>
          </cell>
          <cell r="AL14">
            <v>-1938.3052499999999</v>
          </cell>
          <cell r="AM14">
            <v>-3715.6312499999999</v>
          </cell>
          <cell r="AN14">
            <v>-2720.6901025499997</v>
          </cell>
          <cell r="AO14">
            <v>-2122.2361050000004</v>
          </cell>
          <cell r="AP14">
            <v>-2160.4809056999998</v>
          </cell>
          <cell r="AQ14">
            <v>-3058.8310788749995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N15">
            <v>-49990.462</v>
          </cell>
          <cell r="O15">
            <v>-58586.373999999996</v>
          </cell>
          <cell r="P15">
            <v>-73598.790999999997</v>
          </cell>
          <cell r="Q15">
            <v>-77207.082999999999</v>
          </cell>
          <cell r="R15">
            <v>-64689.588000000003</v>
          </cell>
          <cell r="S15">
            <v>-67576.938999999998</v>
          </cell>
          <cell r="T15">
            <v>-82487.051000000007</v>
          </cell>
          <cell r="U15">
            <v>-83484.569000000003</v>
          </cell>
          <cell r="V15">
            <v>-88506.361000000004</v>
          </cell>
          <cell r="W15">
            <v>-68233.911000000007</v>
          </cell>
          <cell r="X15">
            <v>-74382.687677375012</v>
          </cell>
          <cell r="Y15">
            <v>-90168.500149848216</v>
          </cell>
          <cell r="Z15">
            <v>-98768.219137704582</v>
          </cell>
          <cell r="AB15">
            <v>-17427.359250000001</v>
          </cell>
          <cell r="AC15">
            <v>-20925.634249999999</v>
          </cell>
          <cell r="AD15">
            <v>-20050.537250000001</v>
          </cell>
          <cell r="AE15">
            <v>-25081.038250000001</v>
          </cell>
          <cell r="AF15">
            <v>-20503.970249999998</v>
          </cell>
          <cell r="AG15">
            <v>-22279.802250000001</v>
          </cell>
          <cell r="AH15">
            <v>-19231.776249999999</v>
          </cell>
          <cell r="AI15">
            <v>-26490.812249999999</v>
          </cell>
          <cell r="AJ15">
            <v>-22593.74625</v>
          </cell>
          <cell r="AK15">
            <v>-10127.00325</v>
          </cell>
          <cell r="AL15">
            <v>-14212.698249999999</v>
          </cell>
          <cell r="AM15">
            <v>-21300.463249999997</v>
          </cell>
          <cell r="AN15">
            <v>-19746.731118450003</v>
          </cell>
          <cell r="AO15">
            <v>-15983.145535000003</v>
          </cell>
          <cell r="AP15">
            <v>-16487.040422300001</v>
          </cell>
          <cell r="AQ15">
            <v>-22165.770601624998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N16">
            <v>-5781.5829999999996</v>
          </cell>
          <cell r="O16">
            <v>-7092</v>
          </cell>
          <cell r="P16">
            <v>-8492.6229999999996</v>
          </cell>
          <cell r="Q16">
            <v>-8829.1939999999995</v>
          </cell>
          <cell r="R16">
            <v>-7383.8919999999998</v>
          </cell>
          <cell r="S16">
            <v>-9008.5370000000003</v>
          </cell>
          <cell r="T16">
            <v>-12200.541999999999</v>
          </cell>
          <cell r="U16">
            <v>-12762.1</v>
          </cell>
          <cell r="V16">
            <v>-12962.245000000001</v>
          </cell>
          <cell r="W16">
            <v>-10905.6</v>
          </cell>
          <cell r="X16">
            <v>-9254.8704747500014</v>
          </cell>
          <cell r="Y16">
            <v>-11201.574927058798</v>
          </cell>
          <cell r="Z16">
            <v>-12218.610980568676</v>
          </cell>
          <cell r="AB16">
            <v>-3051.85</v>
          </cell>
          <cell r="AC16">
            <v>-3232.4190000000003</v>
          </cell>
          <cell r="AD16">
            <v>-2829.1179999999999</v>
          </cell>
          <cell r="AE16">
            <v>-3648.7129999999997</v>
          </cell>
          <cell r="AF16">
            <v>-3079.8760000000002</v>
          </cell>
          <cell r="AG16">
            <v>-3596.8029999999999</v>
          </cell>
          <cell r="AH16">
            <v>-2520.6970000000001</v>
          </cell>
          <cell r="AI16">
            <v>-3764.8690000000006</v>
          </cell>
          <cell r="AJ16">
            <v>-2703.7170000000001</v>
          </cell>
          <cell r="AK16">
            <v>-2356.9069999999997</v>
          </cell>
          <cell r="AL16">
            <v>-3465.2049999999999</v>
          </cell>
          <cell r="AM16">
            <v>-2379.7710000000006</v>
          </cell>
          <cell r="AN16">
            <v>-2450.4713217000003</v>
          </cell>
          <cell r="AO16">
            <v>-2051.5019900000002</v>
          </cell>
          <cell r="AP16">
            <v>-2076.9985238000004</v>
          </cell>
          <cell r="AQ16">
            <v>-2675.8986392500001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N18">
            <v>-56710.165000000001</v>
          </cell>
          <cell r="O18">
            <v>-66741.364999999991</v>
          </cell>
          <cell r="P18">
            <v>-83497.813999999998</v>
          </cell>
          <cell r="Q18">
            <v>-87574.796000000002</v>
          </cell>
          <cell r="R18">
            <v>-73795.445000000022</v>
          </cell>
          <cell r="S18">
            <v>-78390.493999999992</v>
          </cell>
          <cell r="T18">
            <v>-96759.590000000011</v>
          </cell>
          <cell r="U18">
            <v>-98677.036000000007</v>
          </cell>
          <cell r="V18">
            <v>-104071.745</v>
          </cell>
          <cell r="W18">
            <v>-81646.890000000014</v>
          </cell>
          <cell r="X18">
            <v>-87457.62567212501</v>
          </cell>
          <cell r="Y18">
            <v>-105111.36659690701</v>
          </cell>
          <cell r="Z18">
            <v>-114692.06805337725</v>
          </cell>
          <cell r="AB18">
            <v>-21086.800999999999</v>
          </cell>
          <cell r="AC18">
            <v>-24765.645</v>
          </cell>
          <cell r="AD18">
            <v>-23487.246999999999</v>
          </cell>
          <cell r="AE18">
            <v>-29337.343000000001</v>
          </cell>
          <cell r="AF18">
            <v>-24234.630999999998</v>
          </cell>
          <cell r="AG18">
            <v>-26527.39</v>
          </cell>
          <cell r="AH18">
            <v>-22403.257999999998</v>
          </cell>
          <cell r="AI18">
            <v>-30906.466</v>
          </cell>
          <cell r="AJ18">
            <v>-25924.308000000001</v>
          </cell>
          <cell r="AK18">
            <v>-13110.754999999999</v>
          </cell>
          <cell r="AL18">
            <v>-18304.748</v>
          </cell>
          <cell r="AM18">
            <v>-24307.078999999998</v>
          </cell>
          <cell r="AN18">
            <v>-23152.219320150001</v>
          </cell>
          <cell r="AO18">
            <v>-18989.664405000003</v>
          </cell>
          <cell r="AP18">
            <v>-19519.055826100001</v>
          </cell>
          <cell r="AQ18">
            <v>-25796.686120874998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N19">
            <v>-55772.044999999998</v>
          </cell>
          <cell r="O19">
            <v>-65678.373999999996</v>
          </cell>
          <cell r="P19">
            <v>-82091.41399999999</v>
          </cell>
          <cell r="Q19">
            <v>-86036.277000000002</v>
          </cell>
          <cell r="R19">
            <v>-72073.48000000001</v>
          </cell>
          <cell r="S19">
            <v>-76585.475999999995</v>
          </cell>
          <cell r="T19">
            <v>-94687.593000000008</v>
          </cell>
          <cell r="U19">
            <v>-96246.669000000009</v>
          </cell>
          <cell r="V19">
            <v>-101468.606</v>
          </cell>
          <cell r="W19">
            <v>-79139.511000000013</v>
          </cell>
          <cell r="X19">
            <v>-83637.558152125013</v>
          </cell>
          <cell r="Y19">
            <v>-101370.07507690701</v>
          </cell>
          <cell r="Z19">
            <v>-110986.83011827325</v>
          </cell>
          <cell r="AB19">
            <v>-20479.20925</v>
          </cell>
          <cell r="AC19">
            <v>-24158.053250000001</v>
          </cell>
          <cell r="AD19">
            <v>-22879.65525</v>
          </cell>
          <cell r="AE19">
            <v>-28729.751250000001</v>
          </cell>
          <cell r="AF19">
            <v>-23583.846249999999</v>
          </cell>
          <cell r="AG19">
            <v>-25876.605250000001</v>
          </cell>
          <cell r="AH19">
            <v>-21752.473249999999</v>
          </cell>
          <cell r="AI19">
            <v>-30255.681250000001</v>
          </cell>
          <cell r="AJ19">
            <v>-25297.463250000001</v>
          </cell>
          <cell r="AK19">
            <v>-12483.910249999999</v>
          </cell>
          <cell r="AL19">
            <v>-17677.903249999999</v>
          </cell>
          <cell r="AM19">
            <v>-23680.234249999998</v>
          </cell>
          <cell r="AN19">
            <v>-22197.202440150002</v>
          </cell>
          <cell r="AO19">
            <v>-18034.647525000004</v>
          </cell>
          <cell r="AP19">
            <v>-18564.038946100001</v>
          </cell>
          <cell r="AQ19">
            <v>-24841.669240874999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N20">
            <v>4500.5180000000037</v>
          </cell>
          <cell r="O20">
            <v>4585.5</v>
          </cell>
          <cell r="P20">
            <v>4163.0420000000158</v>
          </cell>
          <cell r="Q20">
            <v>-1816.919000000009</v>
          </cell>
          <cell r="R20">
            <v>3160.2439999999915</v>
          </cell>
          <cell r="S20">
            <v>4885.7989999999991</v>
          </cell>
          <cell r="T20">
            <v>5498.7959999999875</v>
          </cell>
          <cell r="U20">
            <v>4986.5129999999917</v>
          </cell>
          <cell r="V20">
            <v>7346.6670000000013</v>
          </cell>
          <cell r="W20">
            <v>6373.638999999981</v>
          </cell>
          <cell r="X20">
            <v>8911.1465953749866</v>
          </cell>
          <cell r="Y20">
            <v>10645.674193680956</v>
          </cell>
          <cell r="Z20">
            <v>11199.27968741348</v>
          </cell>
          <cell r="AB20">
            <v>1379.2997499999983</v>
          </cell>
          <cell r="AC20">
            <v>1740.7397500000006</v>
          </cell>
          <cell r="AD20">
            <v>927.04675000000134</v>
          </cell>
          <cell r="AE20">
            <v>939.42674999999872</v>
          </cell>
          <cell r="AF20">
            <v>2160.7657500000023</v>
          </cell>
          <cell r="AG20">
            <v>2389.3787499999999</v>
          </cell>
          <cell r="AH20">
            <v>816.66975000000093</v>
          </cell>
          <cell r="AI20">
            <v>1979.8527499999982</v>
          </cell>
          <cell r="AJ20">
            <v>2228.8787499999999</v>
          </cell>
          <cell r="AK20">
            <v>-576.47524999999951</v>
          </cell>
          <cell r="AL20">
            <v>1654.5057500000003</v>
          </cell>
          <cell r="AM20">
            <v>3066.7297500000022</v>
          </cell>
          <cell r="AN20">
            <v>2307.5107768499984</v>
          </cell>
          <cell r="AO20">
            <v>2480.372374999999</v>
          </cell>
          <cell r="AP20">
            <v>2205.9462918999998</v>
          </cell>
          <cell r="AQ20">
            <v>1917.3171516250004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N21">
            <v>-762.83799999999997</v>
          </cell>
          <cell r="O21">
            <v>-859.53800000000001</v>
          </cell>
          <cell r="P21">
            <v>-1008.63</v>
          </cell>
          <cell r="Q21">
            <v>-1032.556</v>
          </cell>
          <cell r="R21">
            <v>-944.34199999999998</v>
          </cell>
          <cell r="S21">
            <v>-954.91300000000001</v>
          </cell>
          <cell r="T21">
            <v>-1089.681</v>
          </cell>
          <cell r="U21">
            <v>-1249.2190000000001</v>
          </cell>
          <cell r="V21">
            <v>-1199.048</v>
          </cell>
          <cell r="W21">
            <v>-1197.424</v>
          </cell>
          <cell r="X21">
            <v>-1423.6908799999999</v>
          </cell>
          <cell r="Y21">
            <v>-1595.9003392</v>
          </cell>
          <cell r="Z21">
            <v>-1740.556284928</v>
          </cell>
          <cell r="AB21">
            <v>-312.30475000000001</v>
          </cell>
          <cell r="AC21">
            <v>-312.30475000000001</v>
          </cell>
          <cell r="AD21">
            <v>-312.30475000000001</v>
          </cell>
          <cell r="AE21">
            <v>-312.30475000000001</v>
          </cell>
          <cell r="AF21">
            <v>-299.762</v>
          </cell>
          <cell r="AG21">
            <v>-299.762</v>
          </cell>
          <cell r="AH21">
            <v>-299.762</v>
          </cell>
          <cell r="AI21">
            <v>-299.762</v>
          </cell>
          <cell r="AJ21">
            <v>-299.35599999999999</v>
          </cell>
          <cell r="AK21">
            <v>-299.35599999999999</v>
          </cell>
          <cell r="AL21">
            <v>-299.35599999999999</v>
          </cell>
          <cell r="AM21">
            <v>-299.35599999999999</v>
          </cell>
          <cell r="AN21">
            <v>-355.92271999999997</v>
          </cell>
          <cell r="AO21">
            <v>-355.92271999999997</v>
          </cell>
          <cell r="AP21">
            <v>-355.92271999999997</v>
          </cell>
          <cell r="AQ21">
            <v>-355.92271999999997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N22">
            <v>-175.28200000000001</v>
          </cell>
          <cell r="O22">
            <v>-203.453</v>
          </cell>
          <cell r="P22">
            <v>-397.77</v>
          </cell>
          <cell r="Q22">
            <v>-505.96300000000002</v>
          </cell>
          <cell r="R22">
            <v>-777.62300000000005</v>
          </cell>
          <cell r="S22">
            <v>-850.10500000000002</v>
          </cell>
          <cell r="T22">
            <v>-982.31600000000003</v>
          </cell>
          <cell r="U22">
            <v>-1181.1479999999999</v>
          </cell>
          <cell r="V22">
            <v>-1404.0909999999999</v>
          </cell>
          <cell r="W22">
            <v>-1309.9549999999999</v>
          </cell>
          <cell r="X22">
            <v>-2396.37664</v>
          </cell>
          <cell r="Y22">
            <v>-2145.3911807999998</v>
          </cell>
          <cell r="Z22">
            <v>-1964.6816501760002</v>
          </cell>
          <cell r="AB22">
            <v>-295.28699999999998</v>
          </cell>
          <cell r="AC22">
            <v>-295.28699999999998</v>
          </cell>
          <cell r="AD22">
            <v>-295.28699999999998</v>
          </cell>
          <cell r="AE22">
            <v>-295.28699999999998</v>
          </cell>
          <cell r="AF22">
            <v>-351.02274999999997</v>
          </cell>
          <cell r="AG22">
            <v>-351.02274999999997</v>
          </cell>
          <cell r="AH22">
            <v>-351.02274999999997</v>
          </cell>
          <cell r="AI22">
            <v>-351.02274999999997</v>
          </cell>
          <cell r="AJ22">
            <v>-327.48874999999998</v>
          </cell>
          <cell r="AK22">
            <v>-327.48874999999998</v>
          </cell>
          <cell r="AL22">
            <v>-327.48874999999998</v>
          </cell>
          <cell r="AM22">
            <v>-327.48874999999998</v>
          </cell>
          <cell r="AN22">
            <v>-599.09415999999999</v>
          </cell>
          <cell r="AO22">
            <v>-599.09415999999999</v>
          </cell>
          <cell r="AP22">
            <v>-599.09415999999999</v>
          </cell>
          <cell r="AQ22">
            <v>-599.09415999999999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N23">
            <v>3562.3980000000038</v>
          </cell>
          <cell r="O23">
            <v>3522.509</v>
          </cell>
          <cell r="P23">
            <v>2756.6420000000157</v>
          </cell>
          <cell r="Q23">
            <v>-3355.4380000000092</v>
          </cell>
          <cell r="R23">
            <v>1438.2789999999914</v>
          </cell>
          <cell r="S23">
            <v>3080.780999999999</v>
          </cell>
          <cell r="T23">
            <v>3426.7989999999872</v>
          </cell>
          <cell r="U23">
            <v>2556.1459999999915</v>
          </cell>
          <cell r="V23">
            <v>4743.5280000000021</v>
          </cell>
          <cell r="W23">
            <v>3866.2599999999811</v>
          </cell>
          <cell r="X23">
            <v>5091.0790753749861</v>
          </cell>
          <cell r="Y23">
            <v>6904.3826736809569</v>
          </cell>
          <cell r="Z23">
            <v>7494.0417523094802</v>
          </cell>
          <cell r="AB23">
            <v>771.70799999999826</v>
          </cell>
          <cell r="AC23">
            <v>1133.1480000000006</v>
          </cell>
          <cell r="AD23">
            <v>319.45500000000135</v>
          </cell>
          <cell r="AE23">
            <v>331.83499999999873</v>
          </cell>
          <cell r="AF23">
            <v>1509.9810000000025</v>
          </cell>
          <cell r="AG23">
            <v>1738.5939999999996</v>
          </cell>
          <cell r="AH23">
            <v>165.88500000000101</v>
          </cell>
          <cell r="AI23">
            <v>1329.0679999999984</v>
          </cell>
          <cell r="AJ23">
            <v>1602.0339999999999</v>
          </cell>
          <cell r="AK23">
            <v>-1203.3199999999995</v>
          </cell>
          <cell r="AL23">
            <v>1027.6610000000003</v>
          </cell>
          <cell r="AM23">
            <v>2439.8850000000025</v>
          </cell>
          <cell r="AN23">
            <v>1352.4938968499982</v>
          </cell>
          <cell r="AO23">
            <v>1525.3554949999989</v>
          </cell>
          <cell r="AP23">
            <v>1250.9294118999996</v>
          </cell>
          <cell r="AQ23">
            <v>962.30027162500039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C24">
            <v>247.67099999999999</v>
          </cell>
          <cell r="AD24">
            <v>0</v>
          </cell>
          <cell r="AE24">
            <v>0</v>
          </cell>
          <cell r="AF24">
            <v>15.686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2.641</v>
          </cell>
          <cell r="AL24">
            <v>344.23200000000003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N25">
            <v>-784.726</v>
          </cell>
          <cell r="O25">
            <v>-1198.4770000000001</v>
          </cell>
          <cell r="P25">
            <v>-2356.319</v>
          </cell>
          <cell r="Q25">
            <v>-2331.1640000000002</v>
          </cell>
          <cell r="R25">
            <v>-2460.3029999999999</v>
          </cell>
          <cell r="S25">
            <v>-2100.9769999999999</v>
          </cell>
          <cell r="T25">
            <v>-1430.7940000000001</v>
          </cell>
          <cell r="U25">
            <v>-207.773</v>
          </cell>
          <cell r="V25">
            <v>-1043.482</v>
          </cell>
          <cell r="W25">
            <v>-280.64800000000002</v>
          </cell>
          <cell r="X25">
            <v>-400</v>
          </cell>
          <cell r="Y25">
            <v>-400</v>
          </cell>
          <cell r="Z25">
            <v>-400</v>
          </cell>
          <cell r="AB25">
            <v>-152.613</v>
          </cell>
          <cell r="AC25">
            <v>0</v>
          </cell>
          <cell r="AD25">
            <v>-235.81800000000001</v>
          </cell>
          <cell r="AE25">
            <v>-67.013000000000005</v>
          </cell>
          <cell r="AF25">
            <v>0</v>
          </cell>
          <cell r="AG25">
            <v>-304.84300000000002</v>
          </cell>
          <cell r="AH25">
            <v>-305.23200000000003</v>
          </cell>
          <cell r="AI25">
            <v>-449.09300000000002</v>
          </cell>
          <cell r="AJ25">
            <v>-185.99199999999999</v>
          </cell>
          <cell r="AK25">
            <v>0</v>
          </cell>
          <cell r="AL25">
            <v>0</v>
          </cell>
          <cell r="AM25">
            <v>-441.529</v>
          </cell>
          <cell r="AN25">
            <v>-100</v>
          </cell>
          <cell r="AO25">
            <v>-100</v>
          </cell>
          <cell r="AP25">
            <v>-100</v>
          </cell>
          <cell r="AQ25">
            <v>-100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N26">
            <v>-784.726</v>
          </cell>
          <cell r="O26">
            <v>-1198.4770000000001</v>
          </cell>
          <cell r="P26">
            <v>-2356.319</v>
          </cell>
          <cell r="Q26">
            <v>-2331.1640000000002</v>
          </cell>
          <cell r="R26">
            <v>-2460.3029999999999</v>
          </cell>
          <cell r="S26">
            <v>-2100.9769999999999</v>
          </cell>
          <cell r="T26">
            <v>-1430.7940000000001</v>
          </cell>
          <cell r="U26">
            <v>-207.773</v>
          </cell>
          <cell r="V26">
            <v>-1043.482</v>
          </cell>
          <cell r="W26">
            <v>-280.64800000000002</v>
          </cell>
          <cell r="X26">
            <v>-400</v>
          </cell>
          <cell r="Y26">
            <v>-400</v>
          </cell>
          <cell r="Z26">
            <v>-400</v>
          </cell>
          <cell r="AB26">
            <v>-152.613</v>
          </cell>
          <cell r="AC26">
            <v>247.67099999999999</v>
          </cell>
          <cell r="AD26">
            <v>-235.81800000000001</v>
          </cell>
          <cell r="AE26">
            <v>-67.013000000000005</v>
          </cell>
          <cell r="AF26">
            <v>15.686</v>
          </cell>
          <cell r="AG26">
            <v>-304.84300000000002</v>
          </cell>
          <cell r="AH26">
            <v>-305.23200000000003</v>
          </cell>
          <cell r="AI26">
            <v>-449.09300000000002</v>
          </cell>
          <cell r="AJ26">
            <v>-185.99199999999999</v>
          </cell>
          <cell r="AK26">
            <v>2.641</v>
          </cell>
          <cell r="AL26">
            <v>344.23200000000003</v>
          </cell>
          <cell r="AM26">
            <v>-441.529</v>
          </cell>
          <cell r="AN26">
            <v>-100</v>
          </cell>
          <cell r="AO26">
            <v>-100</v>
          </cell>
          <cell r="AP26">
            <v>-100</v>
          </cell>
          <cell r="AQ26">
            <v>-100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N27">
            <v>26.001999999999999</v>
          </cell>
          <cell r="O27">
            <v>44.122999999999998</v>
          </cell>
          <cell r="P27">
            <v>71.305000000000007</v>
          </cell>
          <cell r="Q27">
            <v>48.122999999999998</v>
          </cell>
          <cell r="R27">
            <v>34.466000000000001</v>
          </cell>
          <cell r="S27">
            <v>-53.042999999999999</v>
          </cell>
          <cell r="T27">
            <v>63.277999999999999</v>
          </cell>
          <cell r="U27">
            <v>45.165999999999997</v>
          </cell>
          <cell r="V27">
            <v>-128.20099999999999</v>
          </cell>
          <cell r="W27">
            <v>-797.31799999999998</v>
          </cell>
          <cell r="X27">
            <v>-200</v>
          </cell>
          <cell r="Y27">
            <v>-200</v>
          </cell>
          <cell r="Z27">
            <v>-200</v>
          </cell>
          <cell r="AB27">
            <v>-0.50900000000000001</v>
          </cell>
          <cell r="AC27">
            <v>-19.007999999999999</v>
          </cell>
          <cell r="AD27">
            <v>0.95199999999999996</v>
          </cell>
          <cell r="AE27">
            <v>63.731000000000002</v>
          </cell>
          <cell r="AF27">
            <v>1.1970000000000001</v>
          </cell>
          <cell r="AG27">
            <v>-4.7039999999999997</v>
          </cell>
          <cell r="AH27">
            <v>-16.856999999999999</v>
          </cell>
          <cell r="AI27">
            <v>-107.837</v>
          </cell>
          <cell r="AJ27">
            <v>-133.01599999999999</v>
          </cell>
          <cell r="AK27">
            <v>-80.518000000000001</v>
          </cell>
          <cell r="AL27">
            <v>-264.68</v>
          </cell>
          <cell r="AM27">
            <v>-319.10399999999998</v>
          </cell>
          <cell r="AN27">
            <v>-50</v>
          </cell>
          <cell r="AO27">
            <v>-50</v>
          </cell>
          <cell r="AP27">
            <v>-50</v>
          </cell>
          <cell r="AQ27">
            <v>-50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31.274999999999999</v>
          </cell>
          <cell r="W28">
            <v>-19.483000000000001</v>
          </cell>
          <cell r="X28">
            <v>0</v>
          </cell>
          <cell r="Y28">
            <v>0</v>
          </cell>
          <cell r="Z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-31.274999999999999</v>
          </cell>
          <cell r="AJ28">
            <v>0</v>
          </cell>
          <cell r="AK28">
            <v>0</v>
          </cell>
          <cell r="AL28">
            <v>0</v>
          </cell>
          <cell r="AM28">
            <v>19.483000000000001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N29">
            <v>521.0679999999993</v>
          </cell>
          <cell r="O29">
            <v>1992.0460000000021</v>
          </cell>
          <cell r="P29">
            <v>2163.507999999993</v>
          </cell>
          <cell r="Q29">
            <v>3655.2790000000095</v>
          </cell>
          <cell r="R29">
            <v>2815.4009999999971</v>
          </cell>
          <cell r="S29">
            <v>2611.4610000000048</v>
          </cell>
          <cell r="T29">
            <v>2244.2490000000048</v>
          </cell>
          <cell r="U29">
            <v>-3161.2900000000045</v>
          </cell>
          <cell r="V29">
            <v>3115.8040000000019</v>
          </cell>
          <cell r="W29">
            <v>-10119.013999999997</v>
          </cell>
          <cell r="X29">
            <v>200</v>
          </cell>
          <cell r="Y29">
            <v>200</v>
          </cell>
          <cell r="Z29">
            <v>200</v>
          </cell>
          <cell r="AB29">
            <v>563.05700000000138</v>
          </cell>
          <cell r="AC29">
            <v>-886.8910000000011</v>
          </cell>
          <cell r="AD29">
            <v>1165.3979999999983</v>
          </cell>
          <cell r="AE29">
            <v>-6855.9809999999998</v>
          </cell>
          <cell r="AF29">
            <v>-304.11499999999967</v>
          </cell>
          <cell r="AG29">
            <v>-390.15199999999913</v>
          </cell>
          <cell r="AH29">
            <v>1540.896</v>
          </cell>
          <cell r="AI29">
            <v>-201.88299999999913</v>
          </cell>
          <cell r="AJ29">
            <v>-7831.6970000000001</v>
          </cell>
          <cell r="AK29">
            <v>-1825.8260000000002</v>
          </cell>
          <cell r="AL29">
            <v>-340.01000000000005</v>
          </cell>
          <cell r="AM29">
            <v>-2237.3100000000013</v>
          </cell>
          <cell r="AN29">
            <v>50</v>
          </cell>
          <cell r="AO29">
            <v>50</v>
          </cell>
          <cell r="AP29">
            <v>50</v>
          </cell>
          <cell r="AQ29">
            <v>50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N30">
            <v>3324.7420000000029</v>
          </cell>
          <cell r="O30">
            <v>4360.2010000000028</v>
          </cell>
          <cell r="P30">
            <v>2635.1360000000086</v>
          </cell>
          <cell r="Q30">
            <v>-1983.2000000000007</v>
          </cell>
          <cell r="R30">
            <v>1827.8429999999885</v>
          </cell>
          <cell r="S30">
            <v>3538.2220000000038</v>
          </cell>
          <cell r="T30">
            <v>4303.531999999992</v>
          </cell>
          <cell r="U30">
            <v>-767.75100000001294</v>
          </cell>
          <cell r="V30">
            <v>6718.9240000000045</v>
          </cell>
          <cell r="W30">
            <v>-7350.2030000000168</v>
          </cell>
          <cell r="X30">
            <v>4691.0790753749861</v>
          </cell>
          <cell r="Y30">
            <v>6504.3826736809569</v>
          </cell>
          <cell r="Z30">
            <v>7094.0417523094802</v>
          </cell>
          <cell r="AB30">
            <v>1181.6429999999996</v>
          </cell>
          <cell r="AC30">
            <v>474.9199999999995</v>
          </cell>
          <cell r="AD30">
            <v>1249.9869999999996</v>
          </cell>
          <cell r="AE30">
            <v>-6527.4280000000008</v>
          </cell>
          <cell r="AF30">
            <v>1222.7490000000025</v>
          </cell>
          <cell r="AG30">
            <v>1038.8950000000004</v>
          </cell>
          <cell r="AH30">
            <v>1384.6920000000009</v>
          </cell>
          <cell r="AI30">
            <v>538.97999999999922</v>
          </cell>
          <cell r="AJ30">
            <v>-6548.6710000000003</v>
          </cell>
          <cell r="AK30">
            <v>-3107.0229999999997</v>
          </cell>
          <cell r="AL30">
            <v>767.2030000000002</v>
          </cell>
          <cell r="AM30">
            <v>-538.57499999999891</v>
          </cell>
          <cell r="AN30">
            <v>1252.4938968499982</v>
          </cell>
          <cell r="AO30">
            <v>1425.3554949999989</v>
          </cell>
          <cell r="AP30">
            <v>1150.9294118999996</v>
          </cell>
          <cell r="AQ30">
            <v>862.30027162500039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</row>
        <row r="33">
          <cell r="B33" t="str">
            <v>Lease payments</v>
          </cell>
          <cell r="C33" t="str">
            <v>LEASE_PAY</v>
          </cell>
          <cell r="D33" t="str">
            <v>CNY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CNY</v>
          </cell>
          <cell r="N39">
            <v>14496.808000000001</v>
          </cell>
          <cell r="O39">
            <v>15383.207</v>
          </cell>
          <cell r="P39">
            <v>21471.967000000001</v>
          </cell>
          <cell r="Q39">
            <v>24126.422999999999</v>
          </cell>
          <cell r="R39">
            <v>20903.035</v>
          </cell>
          <cell r="S39">
            <v>18115.874</v>
          </cell>
          <cell r="T39">
            <v>28025.008999999998</v>
          </cell>
          <cell r="U39">
            <v>32349.914000000001</v>
          </cell>
          <cell r="V39">
            <v>33407.879000000001</v>
          </cell>
          <cell r="W39">
            <v>24289.797999999999</v>
          </cell>
          <cell r="X39">
            <v>25482.933071346491</v>
          </cell>
          <cell r="Y39">
            <v>29116.904249457926</v>
          </cell>
          <cell r="Z39">
            <v>33971.205681394793</v>
          </cell>
        </row>
        <row r="40">
          <cell r="B40" t="str">
            <v>Accounts receivable</v>
          </cell>
          <cell r="C40" t="str">
            <v>DEBTORS</v>
          </cell>
          <cell r="D40" t="str">
            <v>CNY</v>
          </cell>
          <cell r="N40">
            <v>17158.155999999999</v>
          </cell>
          <cell r="O40">
            <v>20243.584999999999</v>
          </cell>
          <cell r="P40">
            <v>29215.653999999999</v>
          </cell>
          <cell r="Q40">
            <v>28369.737000000001</v>
          </cell>
          <cell r="R40">
            <v>26623.091</v>
          </cell>
          <cell r="S40">
            <v>29399.411</v>
          </cell>
          <cell r="T40">
            <v>31684.902999999998</v>
          </cell>
          <cell r="U40">
            <v>32412.753000000001</v>
          </cell>
          <cell r="V40">
            <v>30028.161</v>
          </cell>
          <cell r="W40">
            <v>23597.195</v>
          </cell>
          <cell r="X40">
            <v>28144.948567047944</v>
          </cell>
          <cell r="Y40">
            <v>34065.063476808944</v>
          </cell>
          <cell r="Z40">
            <v>37157.967639537608</v>
          </cell>
        </row>
        <row r="41">
          <cell r="B41" t="str">
            <v>Inventory</v>
          </cell>
          <cell r="C41" t="str">
            <v>STOCKS</v>
          </cell>
          <cell r="D41" t="str">
            <v>CNY</v>
          </cell>
          <cell r="N41">
            <v>9324.7999999999993</v>
          </cell>
          <cell r="O41">
            <v>12103.67</v>
          </cell>
          <cell r="P41">
            <v>14988.379000000001</v>
          </cell>
          <cell r="Q41">
            <v>11442.388999999999</v>
          </cell>
          <cell r="R41">
            <v>12434.352000000001</v>
          </cell>
          <cell r="S41">
            <v>19592.297999999999</v>
          </cell>
          <cell r="T41">
            <v>19731.741000000002</v>
          </cell>
          <cell r="U41">
            <v>26810.567999999999</v>
          </cell>
          <cell r="V41">
            <v>26234.138999999999</v>
          </cell>
          <cell r="W41">
            <v>25011.416000000001</v>
          </cell>
          <cell r="X41">
            <v>21146.449145835617</v>
          </cell>
          <cell r="Y41">
            <v>25350.387708249866</v>
          </cell>
          <cell r="Z41">
            <v>27664.287321190874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CNY</v>
          </cell>
          <cell r="N42">
            <v>14614.139000000003</v>
          </cell>
          <cell r="O42">
            <v>17797.637000000002</v>
          </cell>
          <cell r="P42">
            <v>18801.369000000006</v>
          </cell>
          <cell r="Q42">
            <v>18680.462</v>
          </cell>
          <cell r="R42">
            <v>16444.804000000004</v>
          </cell>
          <cell r="S42">
            <v>15117.923999999999</v>
          </cell>
          <cell r="T42">
            <v>15850.737000000008</v>
          </cell>
          <cell r="U42">
            <v>21278.824999999997</v>
          </cell>
          <cell r="V42">
            <v>18560.410000000003</v>
          </cell>
          <cell r="W42">
            <v>19949.244000000006</v>
          </cell>
          <cell r="X42">
            <v>19949.244000000006</v>
          </cell>
          <cell r="Y42">
            <v>19949.244000000006</v>
          </cell>
          <cell r="Z42">
            <v>19949.244000000006</v>
          </cell>
        </row>
        <row r="43">
          <cell r="B43" t="str">
            <v>Total current assets</v>
          </cell>
          <cell r="C43" t="str">
            <v>CUR_ASS</v>
          </cell>
          <cell r="D43" t="str">
            <v>CNY</v>
          </cell>
          <cell r="N43">
            <v>55593.902999999998</v>
          </cell>
          <cell r="O43">
            <v>65528.099000000002</v>
          </cell>
          <cell r="P43">
            <v>84477.369000000006</v>
          </cell>
          <cell r="Q43">
            <v>82619.010999999999</v>
          </cell>
          <cell r="R43">
            <v>76405.282000000007</v>
          </cell>
          <cell r="S43">
            <v>82225.506999999998</v>
          </cell>
          <cell r="T43">
            <v>95292.39</v>
          </cell>
          <cell r="U43">
            <v>112852.06</v>
          </cell>
          <cell r="V43">
            <v>108230.58900000001</v>
          </cell>
          <cell r="W43">
            <v>92847.653000000006</v>
          </cell>
          <cell r="X43">
            <v>94723.574784230063</v>
          </cell>
          <cell r="Y43">
            <v>108481.59943451674</v>
          </cell>
          <cell r="Z43">
            <v>118742.70464212328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CNY</v>
          </cell>
          <cell r="N44">
            <v>7013.2440000000006</v>
          </cell>
          <cell r="O44">
            <v>9979.3019999999997</v>
          </cell>
          <cell r="P44">
            <v>10782.117</v>
          </cell>
          <cell r="Q44">
            <v>11452.227999999999</v>
          </cell>
          <cell r="R44">
            <v>12309.913</v>
          </cell>
          <cell r="S44">
            <v>12689.855</v>
          </cell>
          <cell r="T44">
            <v>13612.971000000001</v>
          </cell>
          <cell r="U44">
            <v>14052.456</v>
          </cell>
          <cell r="V44">
            <v>15638.307000000001</v>
          </cell>
          <cell r="W44">
            <v>17039.343000000001</v>
          </cell>
          <cell r="X44">
            <v>19539.343000000001</v>
          </cell>
          <cell r="Y44">
            <v>22039.343000000001</v>
          </cell>
          <cell r="Z44">
            <v>24539.343000000001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CNY</v>
          </cell>
          <cell r="N45">
            <v>-2298.7109999999998</v>
          </cell>
          <cell r="O45">
            <v>-3455.797</v>
          </cell>
          <cell r="P45">
            <v>-3778.2930000000001</v>
          </cell>
          <cell r="Q45">
            <v>-4355.6040000000003</v>
          </cell>
          <cell r="R45">
            <v>-4860.4369999999999</v>
          </cell>
          <cell r="S45">
            <v>-5341.5630000000001</v>
          </cell>
          <cell r="T45">
            <v>-5920.7960000000003</v>
          </cell>
          <cell r="U45">
            <v>-6536.2150000000001</v>
          </cell>
          <cell r="V45">
            <v>-6943.8509999999997</v>
          </cell>
          <cell r="W45">
            <v>-8141.2749999999996</v>
          </cell>
          <cell r="X45">
            <v>-9564.9658799999997</v>
          </cell>
          <cell r="Y45">
            <v>-11160.866219199999</v>
          </cell>
          <cell r="Z45">
            <v>-12901.422504127999</v>
          </cell>
        </row>
        <row r="46">
          <cell r="B46" t="str">
            <v>Net PP&amp;E</v>
          </cell>
          <cell r="C46" t="str">
            <v>NET_FIX_ASS</v>
          </cell>
          <cell r="D46" t="str">
            <v>CNY</v>
          </cell>
          <cell r="N46">
            <v>4714.5330000000013</v>
          </cell>
          <cell r="O46">
            <v>6523.5049999999992</v>
          </cell>
          <cell r="P46">
            <v>7003.8240000000005</v>
          </cell>
          <cell r="Q46">
            <v>7096.6239999999989</v>
          </cell>
          <cell r="R46">
            <v>7449.4760000000006</v>
          </cell>
          <cell r="S46">
            <v>7348.2919999999995</v>
          </cell>
          <cell r="T46">
            <v>7692.1750000000011</v>
          </cell>
          <cell r="U46">
            <v>7516.241</v>
          </cell>
          <cell r="V46">
            <v>8694.4560000000019</v>
          </cell>
          <cell r="W46">
            <v>8898.0680000000011</v>
          </cell>
          <cell r="X46">
            <v>9974.377120000001</v>
          </cell>
          <cell r="Y46">
            <v>10878.476780800002</v>
          </cell>
          <cell r="Z46">
            <v>11637.920495872002</v>
          </cell>
        </row>
        <row r="47">
          <cell r="B47" t="str">
            <v>Gross intangibles</v>
          </cell>
          <cell r="C47" t="str">
            <v>GR_INTANG</v>
          </cell>
          <cell r="D47" t="str">
            <v>CNY</v>
          </cell>
          <cell r="N47">
            <v>915.2</v>
          </cell>
          <cell r="O47">
            <v>1311.81</v>
          </cell>
          <cell r="P47">
            <v>1673.924</v>
          </cell>
          <cell r="Q47">
            <v>1656.4169999999999</v>
          </cell>
          <cell r="R47">
            <v>1985.8120000000001</v>
          </cell>
          <cell r="S47">
            <v>3752.5370000000003</v>
          </cell>
          <cell r="T47">
            <v>8093.6019999999999</v>
          </cell>
          <cell r="U47">
            <v>9338.6409999999996</v>
          </cell>
          <cell r="V47">
            <v>11047.091</v>
          </cell>
          <cell r="W47">
            <v>16173.918999999998</v>
          </cell>
          <cell r="X47">
            <v>17673.918999999998</v>
          </cell>
          <cell r="Y47">
            <v>19173.918999999998</v>
          </cell>
          <cell r="Z47">
            <v>20673.918999999998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CNY</v>
          </cell>
          <cell r="N48">
            <v>-301.42700000000002</v>
          </cell>
          <cell r="O48">
            <v>-420.52</v>
          </cell>
          <cell r="P48">
            <v>-478.97800000000001</v>
          </cell>
          <cell r="Q48">
            <v>-569.37900000000002</v>
          </cell>
          <cell r="R48">
            <v>-749.05700000000002</v>
          </cell>
          <cell r="S48">
            <v>-2387.8420000000001</v>
          </cell>
          <cell r="T48">
            <v>-3869.1559999999999</v>
          </cell>
          <cell r="U48">
            <v>-4984.5450000000001</v>
          </cell>
          <cell r="V48">
            <v>-6305.4759999999997</v>
          </cell>
          <cell r="W48">
            <v>-7615.4309999999996</v>
          </cell>
          <cell r="X48">
            <v>-10011.807639999999</v>
          </cell>
          <cell r="Y48">
            <v>-12157.198820799998</v>
          </cell>
          <cell r="Z48">
            <v>-14121.880470975999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CNY</v>
          </cell>
          <cell r="N49">
            <v>613.77300000000002</v>
          </cell>
          <cell r="O49">
            <v>891.29</v>
          </cell>
          <cell r="P49">
            <v>1194.9459999999999</v>
          </cell>
          <cell r="Q49">
            <v>1087.038</v>
          </cell>
          <cell r="R49">
            <v>1236.7550000000001</v>
          </cell>
          <cell r="S49">
            <v>1364.6950000000002</v>
          </cell>
          <cell r="T49">
            <v>4224.4459999999999</v>
          </cell>
          <cell r="U49">
            <v>4354.0959999999995</v>
          </cell>
          <cell r="V49">
            <v>4741.6150000000007</v>
          </cell>
          <cell r="W49">
            <v>8558.4879999999976</v>
          </cell>
          <cell r="X49">
            <v>7662.111359999999</v>
          </cell>
          <cell r="Y49">
            <v>7016.7201791999996</v>
          </cell>
          <cell r="Z49">
            <v>6552.0385290239992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CNY</v>
          </cell>
          <cell r="N50">
            <v>694.04200000000003</v>
          </cell>
          <cell r="O50">
            <v>1260.6949999999999</v>
          </cell>
          <cell r="P50">
            <v>1334.0630000000001</v>
          </cell>
          <cell r="Q50">
            <v>1548.1030000000001</v>
          </cell>
          <cell r="R50">
            <v>2108.308</v>
          </cell>
          <cell r="S50">
            <v>2200.98</v>
          </cell>
          <cell r="T50">
            <v>2942.4059999999999</v>
          </cell>
          <cell r="U50">
            <v>3325.5430000000001</v>
          </cell>
          <cell r="V50">
            <v>7142.2650000000003</v>
          </cell>
          <cell r="W50">
            <v>3015.2950000000001</v>
          </cell>
          <cell r="X50">
            <v>3015.2950000000001</v>
          </cell>
          <cell r="Y50">
            <v>3015.2950000000001</v>
          </cell>
          <cell r="Z50">
            <v>3015.2950000000001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CNY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CNY</v>
          </cell>
          <cell r="N52">
            <v>6726.070999999999</v>
          </cell>
          <cell r="O52">
            <v>9948.768</v>
          </cell>
          <cell r="P52">
            <v>11357.911999999998</v>
          </cell>
          <cell r="Q52">
            <v>15095.529999999999</v>
          </cell>
          <cell r="R52">
            <v>12879.675999999999</v>
          </cell>
          <cell r="S52">
            <v>13074.721999999998</v>
          </cell>
          <cell r="T52">
            <v>10742.480000000003</v>
          </cell>
          <cell r="U52">
            <v>13592.97</v>
          </cell>
          <cell r="V52">
            <v>15153.29</v>
          </cell>
          <cell r="W52">
            <v>16031.245000000001</v>
          </cell>
          <cell r="X52">
            <v>16031.245000000001</v>
          </cell>
          <cell r="Y52">
            <v>16031.245000000001</v>
          </cell>
          <cell r="Z52">
            <v>16031.245000000001</v>
          </cell>
        </row>
        <row r="53">
          <cell r="B53" t="str">
            <v>Total assets</v>
          </cell>
          <cell r="C53" t="str">
            <v>TOT_ASSET</v>
          </cell>
          <cell r="D53" t="str">
            <v>CNY</v>
          </cell>
          <cell r="N53">
            <v>68342.322</v>
          </cell>
          <cell r="O53">
            <v>84152.357000000004</v>
          </cell>
          <cell r="P53">
            <v>105368.11399999999</v>
          </cell>
          <cell r="Q53">
            <v>107446.306</v>
          </cell>
          <cell r="R53">
            <v>100079.497</v>
          </cell>
          <cell r="S53">
            <v>106214.196</v>
          </cell>
          <cell r="T53">
            <v>120893.897</v>
          </cell>
          <cell r="U53">
            <v>141640.91</v>
          </cell>
          <cell r="V53">
            <v>143962.21500000003</v>
          </cell>
          <cell r="W53">
            <v>129350.749</v>
          </cell>
          <cell r="X53">
            <v>131406.60326423007</v>
          </cell>
          <cell r="Y53">
            <v>145423.33639451675</v>
          </cell>
          <cell r="Z53">
            <v>155979.20366701929</v>
          </cell>
        </row>
        <row r="54">
          <cell r="B54" t="str">
            <v>Accounts payable</v>
          </cell>
          <cell r="C54" t="str">
            <v>ACC_PAY_GQ</v>
          </cell>
          <cell r="D54" t="str">
            <v>CNY</v>
          </cell>
          <cell r="N54">
            <v>26238.543000000001</v>
          </cell>
          <cell r="O54">
            <v>31386.892</v>
          </cell>
          <cell r="P54">
            <v>41807.766000000003</v>
          </cell>
          <cell r="Q54">
            <v>39111.506999999998</v>
          </cell>
          <cell r="R54">
            <v>34713.809000000001</v>
          </cell>
          <cell r="S54">
            <v>37182.838000000003</v>
          </cell>
          <cell r="T54">
            <v>40145.351000000002</v>
          </cell>
          <cell r="U54">
            <v>56810.813000000002</v>
          </cell>
          <cell r="V54">
            <v>50187.754999999997</v>
          </cell>
          <cell r="W54">
            <v>45791.794000000002</v>
          </cell>
          <cell r="X54">
            <v>44055.102387157538</v>
          </cell>
          <cell r="Y54">
            <v>52813.307725520564</v>
          </cell>
          <cell r="Z54">
            <v>57633.931919147646</v>
          </cell>
        </row>
        <row r="55">
          <cell r="B55" t="str">
            <v>Short-term debt</v>
          </cell>
          <cell r="C55" t="str">
            <v>SHORT_T_DEBT</v>
          </cell>
          <cell r="D55" t="str">
            <v>CNY</v>
          </cell>
          <cell r="N55">
            <v>4906.5029999999997</v>
          </cell>
          <cell r="O55">
            <v>6578.4129999999996</v>
          </cell>
          <cell r="P55">
            <v>11183.349</v>
          </cell>
          <cell r="Q55">
            <v>17923.607</v>
          </cell>
          <cell r="R55">
            <v>12589.031999999999</v>
          </cell>
          <cell r="S55">
            <v>10998.076999999999</v>
          </cell>
          <cell r="T55">
            <v>7907.5720000000001</v>
          </cell>
          <cell r="U55">
            <v>15132.12</v>
          </cell>
          <cell r="V55">
            <v>14719.022999999999</v>
          </cell>
          <cell r="W55">
            <v>23739.614000000001</v>
          </cell>
          <cell r="X55">
            <v>23739.614000000001</v>
          </cell>
          <cell r="Y55">
            <v>23739.614000000001</v>
          </cell>
          <cell r="Z55">
            <v>23739.614000000001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CNY</v>
          </cell>
          <cell r="N56">
            <v>9950.0139999999956</v>
          </cell>
          <cell r="O56">
            <v>10248.837</v>
          </cell>
          <cell r="P56">
            <v>10483.695999999996</v>
          </cell>
          <cell r="Q56">
            <v>15923.812999999995</v>
          </cell>
          <cell r="R56">
            <v>13667.964</v>
          </cell>
          <cell r="S56">
            <v>17743.817000000003</v>
          </cell>
          <cell r="T56">
            <v>19585.132999999994</v>
          </cell>
          <cell r="U56">
            <v>19804.164999999994</v>
          </cell>
          <cell r="V56">
            <v>22688.169000000002</v>
          </cell>
          <cell r="W56">
            <v>19845.39</v>
          </cell>
          <cell r="X56">
            <v>19845.39</v>
          </cell>
          <cell r="Y56">
            <v>19845.39</v>
          </cell>
          <cell r="Z56">
            <v>19845.39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CNY</v>
          </cell>
          <cell r="N57">
            <v>41095.06</v>
          </cell>
          <cell r="O57">
            <v>48214.142</v>
          </cell>
          <cell r="P57">
            <v>63474.811000000002</v>
          </cell>
          <cell r="Q57">
            <v>72958.926999999996</v>
          </cell>
          <cell r="R57">
            <v>60970.805</v>
          </cell>
          <cell r="S57">
            <v>65924.732000000004</v>
          </cell>
          <cell r="T57">
            <v>67638.055999999997</v>
          </cell>
          <cell r="U57">
            <v>91747.097999999998</v>
          </cell>
          <cell r="V57">
            <v>87594.947</v>
          </cell>
          <cell r="W57">
            <v>89376.797999999995</v>
          </cell>
          <cell r="X57">
            <v>87640.106387157532</v>
          </cell>
          <cell r="Y57">
            <v>96398.311725520573</v>
          </cell>
          <cell r="Z57">
            <v>101218.93591914764</v>
          </cell>
        </row>
        <row r="58">
          <cell r="B58" t="str">
            <v>Long-term  debt</v>
          </cell>
          <cell r="C58" t="str">
            <v>LT_DEBT</v>
          </cell>
          <cell r="D58" t="str">
            <v>CNY</v>
          </cell>
          <cell r="N58">
            <v>6029.0739999999996</v>
          </cell>
          <cell r="O58">
            <v>5475.1</v>
          </cell>
          <cell r="P58">
            <v>10824.9</v>
          </cell>
          <cell r="Q58">
            <v>7097.9830000000002</v>
          </cell>
          <cell r="R58">
            <v>11505.263000000001</v>
          </cell>
          <cell r="S58">
            <v>10039.687</v>
          </cell>
          <cell r="T58">
            <v>6016.2539999999999</v>
          </cell>
          <cell r="U58">
            <v>5018.2759999999998</v>
          </cell>
          <cell r="V58">
            <v>3002.1460000000002</v>
          </cell>
          <cell r="W58">
            <v>2366.5680000000002</v>
          </cell>
          <cell r="X58">
            <v>2366.5680000000002</v>
          </cell>
          <cell r="Y58">
            <v>2366.5680000000002</v>
          </cell>
          <cell r="Z58">
            <v>2366.5680000000002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CNY</v>
          </cell>
          <cell r="N59">
            <v>3269.322000000001</v>
          </cell>
          <cell r="O59">
            <v>5501.1170000000002</v>
          </cell>
          <cell r="P59">
            <v>4779.6280000000006</v>
          </cell>
          <cell r="Q59">
            <v>4750.6659999999993</v>
          </cell>
          <cell r="R59">
            <v>3977.74</v>
          </cell>
          <cell r="S59">
            <v>3957.2729999999992</v>
          </cell>
          <cell r="T59">
            <v>3890.9820000000009</v>
          </cell>
          <cell r="U59">
            <v>3990.4459999999999</v>
          </cell>
          <cell r="V59">
            <v>7984.9749999999985</v>
          </cell>
          <cell r="W59">
            <v>4646.7079999999996</v>
          </cell>
          <cell r="X59">
            <v>4646.7079999999996</v>
          </cell>
          <cell r="Y59">
            <v>4646.7079999999996</v>
          </cell>
          <cell r="Z59">
            <v>4646.7079999999996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CNY</v>
          </cell>
          <cell r="N60">
            <v>9298.3960000000006</v>
          </cell>
          <cell r="O60">
            <v>10976.217000000001</v>
          </cell>
          <cell r="P60">
            <v>15604.528</v>
          </cell>
          <cell r="Q60">
            <v>11848.648999999999</v>
          </cell>
          <cell r="R60">
            <v>15483.003000000001</v>
          </cell>
          <cell r="S60">
            <v>13996.96</v>
          </cell>
          <cell r="T60">
            <v>9907.2360000000008</v>
          </cell>
          <cell r="U60">
            <v>9008.7219999999998</v>
          </cell>
          <cell r="V60">
            <v>10987.120999999999</v>
          </cell>
          <cell r="W60">
            <v>7013.2759999999998</v>
          </cell>
          <cell r="X60">
            <v>7013.2759999999998</v>
          </cell>
          <cell r="Y60">
            <v>7013.2759999999998</v>
          </cell>
          <cell r="Z60">
            <v>7013.2759999999998</v>
          </cell>
        </row>
        <row r="61">
          <cell r="B61" t="str">
            <v>Total liabilities</v>
          </cell>
          <cell r="C61" t="str">
            <v>TOT_LIAB</v>
          </cell>
          <cell r="D61" t="str">
            <v>CNY</v>
          </cell>
          <cell r="N61">
            <v>50393.455999999998</v>
          </cell>
          <cell r="O61">
            <v>59190.358999999997</v>
          </cell>
          <cell r="P61">
            <v>79079.339000000007</v>
          </cell>
          <cell r="Q61">
            <v>84807.576000000001</v>
          </cell>
          <cell r="R61">
            <v>76453.808000000005</v>
          </cell>
          <cell r="S61">
            <v>79921.69200000001</v>
          </cell>
          <cell r="T61">
            <v>77545.292000000001</v>
          </cell>
          <cell r="U61">
            <v>100755.81999999999</v>
          </cell>
          <cell r="V61">
            <v>98582.067999999999</v>
          </cell>
          <cell r="W61">
            <v>96390.073999999993</v>
          </cell>
          <cell r="X61">
            <v>94653.38238715753</v>
          </cell>
          <cell r="Y61">
            <v>103411.58772552057</v>
          </cell>
          <cell r="Z61">
            <v>108232.21191914764</v>
          </cell>
        </row>
        <row r="62">
          <cell r="B62" t="str">
            <v>Preferred shares</v>
          </cell>
          <cell r="C62" t="str">
            <v>PREF_SH</v>
          </cell>
          <cell r="D62" t="str">
            <v>CNY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9321.3269999999993</v>
          </cell>
          <cell r="U62">
            <v>9321.3269999999993</v>
          </cell>
          <cell r="V62">
            <v>9321.3269999999993</v>
          </cell>
          <cell r="W62">
            <v>6252.3639999999996</v>
          </cell>
          <cell r="X62">
            <v>6252.3639999999996</v>
          </cell>
          <cell r="Y62">
            <v>6252.3639999999996</v>
          </cell>
          <cell r="Z62">
            <v>6252.3639999999996</v>
          </cell>
        </row>
        <row r="63">
          <cell r="B63" t="str">
            <v>Total common equity</v>
          </cell>
          <cell r="C63" t="str">
            <v>ORD_SH_FUND</v>
          </cell>
          <cell r="D63" t="str">
            <v>CNY</v>
          </cell>
          <cell r="N63">
            <v>16825.267</v>
          </cell>
          <cell r="O63">
            <v>23093.871999999999</v>
          </cell>
          <cell r="P63">
            <v>24231.716999999997</v>
          </cell>
          <cell r="Q63">
            <v>21502.473999999995</v>
          </cell>
          <cell r="R63">
            <v>22532.648000000001</v>
          </cell>
          <cell r="S63">
            <v>24878.574000000001</v>
          </cell>
          <cell r="T63">
            <v>29660.094000000005</v>
          </cell>
          <cell r="U63">
            <v>26401.151000000005</v>
          </cell>
          <cell r="V63">
            <v>31646.875</v>
          </cell>
          <cell r="W63">
            <v>22897.576000000001</v>
          </cell>
          <cell r="X63">
            <v>26690.121877072554</v>
          </cell>
          <cell r="Y63">
            <v>31948.649668996193</v>
          </cell>
          <cell r="Z63">
            <v>37683.892747871643</v>
          </cell>
        </row>
        <row r="64">
          <cell r="B64" t="str">
            <v>Minority interest</v>
          </cell>
          <cell r="C64" t="str">
            <v>MINORITIES</v>
          </cell>
          <cell r="D64" t="str">
            <v>CNY</v>
          </cell>
          <cell r="N64">
            <v>1123.5989999999999</v>
          </cell>
          <cell r="O64">
            <v>1868.126</v>
          </cell>
          <cell r="P64">
            <v>2057.058</v>
          </cell>
          <cell r="Q64">
            <v>1136.2560000000001</v>
          </cell>
          <cell r="R64">
            <v>1093.0409999999999</v>
          </cell>
          <cell r="S64">
            <v>1413.93</v>
          </cell>
          <cell r="T64">
            <v>4367.1840000000002</v>
          </cell>
          <cell r="U64">
            <v>5162.6120000000001</v>
          </cell>
          <cell r="V64">
            <v>4411.9449999999997</v>
          </cell>
          <cell r="W64">
            <v>3810.7350000000001</v>
          </cell>
          <cell r="X64">
            <v>3810.7350000000001</v>
          </cell>
          <cell r="Y64">
            <v>3810.7350000000001</v>
          </cell>
          <cell r="Z64">
            <v>3810.7350000000001</v>
          </cell>
        </row>
        <row r="65">
          <cell r="B65" t="str">
            <v>Total shareholders' equity</v>
          </cell>
          <cell r="C65" t="str">
            <v>EQ</v>
          </cell>
          <cell r="D65" t="str">
            <v>CNY</v>
          </cell>
          <cell r="N65">
            <v>17948.865999999998</v>
          </cell>
          <cell r="O65">
            <v>24961.998</v>
          </cell>
          <cell r="P65">
            <v>26288.774999999998</v>
          </cell>
          <cell r="Q65">
            <v>22638.729999999996</v>
          </cell>
          <cell r="R65">
            <v>23625.689000000002</v>
          </cell>
          <cell r="S65">
            <v>26292.504000000001</v>
          </cell>
          <cell r="T65">
            <v>43348.605000000003</v>
          </cell>
          <cell r="U65">
            <v>40885.090000000004</v>
          </cell>
          <cell r="V65">
            <v>45380.146999999997</v>
          </cell>
          <cell r="W65">
            <v>32960.675000000003</v>
          </cell>
          <cell r="X65">
            <v>36753.220877072556</v>
          </cell>
          <cell r="Y65">
            <v>42011.748668996195</v>
          </cell>
          <cell r="Z65">
            <v>47746.991747871645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CNY</v>
          </cell>
          <cell r="N66">
            <v>68342.322</v>
          </cell>
          <cell r="O66">
            <v>84152.356999999989</v>
          </cell>
          <cell r="P66">
            <v>105368.114</v>
          </cell>
          <cell r="Q66">
            <v>107446.306</v>
          </cell>
          <cell r="R66">
            <v>100079.497</v>
          </cell>
          <cell r="S66">
            <v>106214.19600000001</v>
          </cell>
          <cell r="T66">
            <v>120893.897</v>
          </cell>
          <cell r="U66">
            <v>141640.91</v>
          </cell>
          <cell r="V66">
            <v>143962.215</v>
          </cell>
          <cell r="W66">
            <v>129350.749</v>
          </cell>
          <cell r="X66">
            <v>131406.60326423007</v>
          </cell>
          <cell r="Y66">
            <v>145423.33639451675</v>
          </cell>
          <cell r="Z66">
            <v>155979.20366701929</v>
          </cell>
        </row>
        <row r="67">
          <cell r="A67" t="str">
            <v>Additional Balance Sheet Items</v>
          </cell>
          <cell r="N67" t="b">
            <v>1</v>
          </cell>
          <cell r="O67" t="b">
            <v>1</v>
          </cell>
          <cell r="P67" t="b">
            <v>1</v>
          </cell>
          <cell r="Q67" t="b">
            <v>1</v>
          </cell>
          <cell r="R67" t="b">
            <v>1</v>
          </cell>
          <cell r="S67" t="b">
            <v>1</v>
          </cell>
          <cell r="T67" t="b">
            <v>1</v>
          </cell>
          <cell r="U67" t="b">
            <v>1</v>
          </cell>
          <cell r="V67" t="b">
            <v>1</v>
          </cell>
          <cell r="W67" t="b">
            <v>1</v>
          </cell>
          <cell r="X67" t="b">
            <v>1</v>
          </cell>
          <cell r="Y67" t="b">
            <v>1</v>
          </cell>
          <cell r="Z67" t="b">
            <v>1</v>
          </cell>
        </row>
        <row r="68">
          <cell r="B68" t="str">
            <v>Total US$ debt (in US$)</v>
          </cell>
          <cell r="C68" t="str">
            <v>TOT_USD_DEBT</v>
          </cell>
        </row>
        <row r="69">
          <cell r="B69" t="str">
            <v>% US$ debt hedged (principal)</v>
          </cell>
          <cell r="C69" t="str">
            <v>TOT_PCT_USD_DEBT_HEDGED</v>
          </cell>
        </row>
        <row r="70">
          <cell r="B70" t="str">
            <v>% Floating debt (local currency debt)</v>
          </cell>
          <cell r="C70" t="str">
            <v>FLOATING_PCT_LOCAL_DEBT</v>
          </cell>
        </row>
        <row r="71">
          <cell r="B71" t="str">
            <v>% floating debt hedged (rates)</v>
          </cell>
          <cell r="C71" t="str">
            <v>FLOATING_PCT_LOCAL_DEBT_HEDGED</v>
          </cell>
        </row>
        <row r="72">
          <cell r="B72" t="str">
            <v>Net debt</v>
          </cell>
          <cell r="C72" t="str">
            <v>NET_DEBT</v>
          </cell>
          <cell r="D72" t="str">
            <v>CNY</v>
          </cell>
          <cell r="N72">
            <v>-3561.2310000000016</v>
          </cell>
          <cell r="O72">
            <v>-3329.6940000000013</v>
          </cell>
          <cell r="P72">
            <v>536.28199999999924</v>
          </cell>
          <cell r="Q72">
            <v>895.16700000000128</v>
          </cell>
          <cell r="R72">
            <v>3191.2599999999984</v>
          </cell>
          <cell r="S72">
            <v>2921.8899999999994</v>
          </cell>
          <cell r="T72">
            <v>-14101.182999999997</v>
          </cell>
          <cell r="U72">
            <v>-12199.518</v>
          </cell>
          <cell r="V72">
            <v>-15686.710000000003</v>
          </cell>
          <cell r="W72">
            <v>1816.3840000000018</v>
          </cell>
          <cell r="X72">
            <v>623.24892865350921</v>
          </cell>
          <cell r="Y72">
            <v>-3010.7222494579255</v>
          </cell>
          <cell r="Z72">
            <v>-88175.690103015673</v>
          </cell>
        </row>
        <row r="73">
          <cell r="B73" t="str">
            <v>Capitalized leases</v>
          </cell>
          <cell r="C73" t="str">
            <v>CAP_LEASES</v>
          </cell>
          <cell r="D73" t="str">
            <v>CNY</v>
          </cell>
        </row>
        <row r="74">
          <cell r="B74" t="str">
            <v>Deferred income taxes</v>
          </cell>
          <cell r="C74" t="str">
            <v>DEF_INC_TAX</v>
          </cell>
          <cell r="D74" t="str">
            <v>CNY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str">
            <v>CNY</v>
          </cell>
        </row>
        <row r="76">
          <cell r="B76" t="str">
            <v>Net debt adjustment</v>
          </cell>
          <cell r="C76" t="str">
            <v>NET_DEBT_ADJ</v>
          </cell>
          <cell r="D76" t="str">
            <v>CNY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 t="str">
            <v>CNY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str">
            <v>CNY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str">
            <v>CNY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str">
            <v>CNY</v>
          </cell>
        </row>
        <row r="82">
          <cell r="B82" t="str">
            <v>Other GCI adjustments</v>
          </cell>
          <cell r="C82" t="str">
            <v>OTH_GCI_ADJ</v>
          </cell>
          <cell r="D82" t="str">
            <v>CNY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 t="str">
            <v>CNY</v>
          </cell>
        </row>
        <row r="85">
          <cell r="A85" t="str">
            <v>Cash Flow Statement</v>
          </cell>
          <cell r="N85">
            <v>-52.003999999999905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CNY</v>
          </cell>
          <cell r="N86">
            <v>237.53999999999996</v>
          </cell>
          <cell r="O86">
            <v>226.23500000000013</v>
          </cell>
          <cell r="P86">
            <v>182.92699999999968</v>
          </cell>
          <cell r="Q86">
            <v>236.34099999999989</v>
          </cell>
          <cell r="R86">
            <v>75.979000000000042</v>
          </cell>
          <cell r="S86">
            <v>94.15900000000056</v>
          </cell>
          <cell r="T86">
            <v>532.38500000000022</v>
          </cell>
          <cell r="U86">
            <v>949.54899999999998</v>
          </cell>
          <cell r="V86">
            <v>818.17000000000007</v>
          </cell>
          <cell r="W86">
            <v>34.322000000000116</v>
          </cell>
          <cell r="X86">
            <v>0</v>
          </cell>
          <cell r="Y86">
            <v>0</v>
          </cell>
          <cell r="Z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CNY</v>
          </cell>
          <cell r="N87">
            <v>938.12</v>
          </cell>
          <cell r="O87">
            <v>1062.991</v>
          </cell>
          <cell r="P87">
            <v>1406.4</v>
          </cell>
          <cell r="Q87">
            <v>1538.519</v>
          </cell>
          <cell r="R87">
            <v>1721.9650000000001</v>
          </cell>
          <cell r="S87">
            <v>1805.018</v>
          </cell>
          <cell r="T87">
            <v>2071.9970000000003</v>
          </cell>
          <cell r="U87">
            <v>2430.3670000000002</v>
          </cell>
          <cell r="V87">
            <v>2603.1390000000001</v>
          </cell>
          <cell r="W87">
            <v>2507.3789999999999</v>
          </cell>
          <cell r="X87">
            <v>3820.0675199999996</v>
          </cell>
          <cell r="Y87">
            <v>3741.2915199999998</v>
          </cell>
          <cell r="Z87">
            <v>3705.2379351039999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CNY</v>
          </cell>
          <cell r="N88">
            <v>-360.38199999999961</v>
          </cell>
          <cell r="O88">
            <v>-715.95000000000255</v>
          </cell>
          <cell r="P88">
            <v>-1435.9039999999968</v>
          </cell>
          <cell r="Q88">
            <v>1695.6479999999938</v>
          </cell>
          <cell r="R88">
            <v>-3643.0149999999976</v>
          </cell>
          <cell r="S88">
            <v>-7465.2369999999955</v>
          </cell>
          <cell r="T88">
            <v>537.5779999999977</v>
          </cell>
          <cell r="U88">
            <v>8858.7849999999999</v>
          </cell>
          <cell r="V88">
            <v>-3662.0370000000039</v>
          </cell>
          <cell r="W88">
            <v>3257.7280000000028</v>
          </cell>
          <cell r="X88">
            <v>-2419.4783257260242</v>
          </cell>
          <cell r="Y88">
            <v>-1365.8481338122219</v>
          </cell>
          <cell r="Z88">
            <v>-586.17958204259048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CNY</v>
          </cell>
          <cell r="N89">
            <v>507.8769999999995</v>
          </cell>
          <cell r="O89">
            <v>-2881.6129999999971</v>
          </cell>
          <cell r="P89">
            <v>-4025.8060000000028</v>
          </cell>
          <cell r="Q89">
            <v>920.47000000000639</v>
          </cell>
          <cell r="R89">
            <v>3061.9919999999975</v>
          </cell>
          <cell r="S89">
            <v>5445.1239999999952</v>
          </cell>
          <cell r="T89">
            <v>1054.8200000000013</v>
          </cell>
          <cell r="U89">
            <v>-4621.0770000000002</v>
          </cell>
          <cell r="V89">
            <v>2892.5300000000047</v>
          </cell>
          <cell r="W89">
            <v>-8031.1530000000021</v>
          </cell>
          <cell r="X89">
            <v>-200</v>
          </cell>
          <cell r="Y89">
            <v>-200</v>
          </cell>
          <cell r="Z89">
            <v>-200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CNY</v>
          </cell>
          <cell r="N90">
            <v>3781.2759999999998</v>
          </cell>
          <cell r="O90">
            <v>941.91000000000031</v>
          </cell>
          <cell r="P90">
            <v>-1812.2169999999996</v>
          </cell>
          <cell r="Q90">
            <v>1550.0160000000001</v>
          </cell>
          <cell r="R90">
            <v>2574.578</v>
          </cell>
          <cell r="S90">
            <v>2512.6350000000002</v>
          </cell>
          <cell r="T90">
            <v>7404.665</v>
          </cell>
          <cell r="U90">
            <v>5260.2059999999992</v>
          </cell>
          <cell r="V90">
            <v>7219.9740000000002</v>
          </cell>
          <cell r="W90">
            <v>-9215.3859999999986</v>
          </cell>
          <cell r="X90">
            <v>4993.1350713465254</v>
          </cell>
          <cell r="Y90">
            <v>7433.9711781114202</v>
          </cell>
          <cell r="Z90">
            <v>8654.3014319368558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CNY</v>
          </cell>
          <cell r="N91">
            <v>-2053.8240000000001</v>
          </cell>
          <cell r="O91">
            <v>-3067.1640000000002</v>
          </cell>
          <cell r="P91">
            <v>-4065.0360000000001</v>
          </cell>
          <cell r="Q91">
            <v>-2377.654</v>
          </cell>
          <cell r="R91">
            <v>-2336.9259999999999</v>
          </cell>
          <cell r="S91">
            <v>-2067.6039999999998</v>
          </cell>
          <cell r="T91">
            <v>-2469.11</v>
          </cell>
          <cell r="U91">
            <v>-4002.46</v>
          </cell>
          <cell r="V91">
            <v>-5984.0050000000001</v>
          </cell>
          <cell r="W91">
            <v>-4881.8720000000003</v>
          </cell>
          <cell r="X91">
            <v>-4000</v>
          </cell>
          <cell r="Y91">
            <v>-4000</v>
          </cell>
          <cell r="Z91">
            <v>-4000</v>
          </cell>
        </row>
        <row r="92">
          <cell r="B92" t="str">
            <v>Acquisitions</v>
          </cell>
          <cell r="C92" t="str">
            <v>ACQ</v>
          </cell>
          <cell r="D92" t="str">
            <v>CNY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B93" t="str">
            <v>Divestitures</v>
          </cell>
          <cell r="C93" t="str">
            <v>DIVEST</v>
          </cell>
          <cell r="D93" t="str">
            <v>CNY</v>
          </cell>
          <cell r="N93">
            <v>12.933</v>
          </cell>
          <cell r="O93">
            <v>0</v>
          </cell>
          <cell r="P93">
            <v>1996.248</v>
          </cell>
          <cell r="Q93">
            <v>1344.548</v>
          </cell>
          <cell r="R93">
            <v>987.34699999999998</v>
          </cell>
          <cell r="S93">
            <v>1314.82</v>
          </cell>
          <cell r="T93">
            <v>1609.1179999999999</v>
          </cell>
          <cell r="U93">
            <v>2324.5770000000002</v>
          </cell>
          <cell r="V93">
            <v>1378.058</v>
          </cell>
          <cell r="W93">
            <v>2717.0920000000001</v>
          </cell>
          <cell r="X93">
            <v>0</v>
          </cell>
          <cell r="Y93">
            <v>0</v>
          </cell>
          <cell r="Z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CNY</v>
          </cell>
          <cell r="N94">
            <v>-260.20399999999972</v>
          </cell>
          <cell r="O94">
            <v>-45.420999999999822</v>
          </cell>
          <cell r="P94">
            <v>-1349.9169999999999</v>
          </cell>
          <cell r="Q94">
            <v>-570.02400000000011</v>
          </cell>
          <cell r="R94">
            <v>-312.5920000000001</v>
          </cell>
          <cell r="S94">
            <v>-869.94600000000014</v>
          </cell>
          <cell r="T94">
            <v>-715.36299999999983</v>
          </cell>
          <cell r="U94">
            <v>-1341.0910000000003</v>
          </cell>
          <cell r="V94">
            <v>-328.65999999999985</v>
          </cell>
          <cell r="W94">
            <v>1199.0800000000004</v>
          </cell>
          <cell r="X94">
            <v>0</v>
          </cell>
          <cell r="Y94">
            <v>0</v>
          </cell>
          <cell r="Z94">
            <v>0</v>
          </cell>
        </row>
        <row r="95">
          <cell r="B95" t="str">
            <v>Cash flow from investing</v>
          </cell>
          <cell r="C95" t="str">
            <v>CF_INV</v>
          </cell>
          <cell r="D95" t="str">
            <v>CNY</v>
          </cell>
          <cell r="N95">
            <v>-2301.0949999999998</v>
          </cell>
          <cell r="O95">
            <v>-3112.585</v>
          </cell>
          <cell r="P95">
            <v>-3418.7049999999999</v>
          </cell>
          <cell r="Q95">
            <v>-1603.13</v>
          </cell>
          <cell r="R95">
            <v>-1662.171</v>
          </cell>
          <cell r="S95">
            <v>-1622.73</v>
          </cell>
          <cell r="T95">
            <v>-1575.355</v>
          </cell>
          <cell r="U95">
            <v>-3018.9740000000002</v>
          </cell>
          <cell r="V95">
            <v>-4934.607</v>
          </cell>
          <cell r="W95">
            <v>-965.69999999999982</v>
          </cell>
          <cell r="X95">
            <v>-4000</v>
          </cell>
          <cell r="Y95">
            <v>-4000</v>
          </cell>
          <cell r="Z95">
            <v>-4000</v>
          </cell>
        </row>
        <row r="96">
          <cell r="B96" t="str">
            <v>Dividends paid</v>
          </cell>
          <cell r="C96" t="str">
            <v>DIV_PAID</v>
          </cell>
          <cell r="D96" t="str">
            <v>CNY</v>
          </cell>
          <cell r="N96">
            <v>-1045.009</v>
          </cell>
          <cell r="O96">
            <v>-1252.9490000000001</v>
          </cell>
          <cell r="P96">
            <v>-2034.481</v>
          </cell>
          <cell r="Q96">
            <v>-2541.2750000000001</v>
          </cell>
          <cell r="R96">
            <v>-1685.508</v>
          </cell>
          <cell r="S96">
            <v>-1858.509</v>
          </cell>
          <cell r="T96">
            <v>-2057.6239999999998</v>
          </cell>
          <cell r="U96">
            <v>-2802.549</v>
          </cell>
          <cell r="V96">
            <v>-1962.06</v>
          </cell>
          <cell r="W96">
            <v>-2163.2359999999999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CNY</v>
          </cell>
          <cell r="N97">
            <v>46.371000000000002</v>
          </cell>
          <cell r="O97">
            <v>1035.396</v>
          </cell>
          <cell r="P97">
            <v>573.346</v>
          </cell>
          <cell r="Q97">
            <v>0</v>
          </cell>
          <cell r="R97">
            <v>-2.5369999999998072</v>
          </cell>
          <cell r="S97">
            <v>0</v>
          </cell>
          <cell r="T97">
            <v>713.25</v>
          </cell>
          <cell r="U97">
            <v>33.836999999999534</v>
          </cell>
          <cell r="V97">
            <v>8.043999999999869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CNY</v>
          </cell>
          <cell r="N98">
            <v>9721.0640000000003</v>
          </cell>
          <cell r="O98">
            <v>1117.9359999999997</v>
          </cell>
          <cell r="P98">
            <v>9954.735999999999</v>
          </cell>
          <cell r="Q98">
            <v>3013.3410000000003</v>
          </cell>
          <cell r="R98">
            <v>-927.29500000000189</v>
          </cell>
          <cell r="S98">
            <v>-3056.5310000000009</v>
          </cell>
          <cell r="T98">
            <v>-7113.9379999999983</v>
          </cell>
          <cell r="U98">
            <v>6226.5700000000006</v>
          </cell>
          <cell r="V98">
            <v>-2429.2270000000026</v>
          </cell>
          <cell r="W98">
            <v>8385.0130000000008</v>
          </cell>
          <cell r="X98">
            <v>0</v>
          </cell>
          <cell r="Y98">
            <v>0</v>
          </cell>
          <cell r="Z98">
            <v>0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CNY</v>
          </cell>
          <cell r="N99">
            <v>-7418.9410000000007</v>
          </cell>
          <cell r="O99">
            <v>2156.6910000000007</v>
          </cell>
          <cell r="P99">
            <v>2826.0810000000024</v>
          </cell>
          <cell r="Q99">
            <v>2235.5039999999981</v>
          </cell>
          <cell r="R99">
            <v>-1520.4549999999972</v>
          </cell>
          <cell r="S99">
            <v>1237.9740000000006</v>
          </cell>
          <cell r="T99">
            <v>12538.136999999997</v>
          </cell>
          <cell r="U99">
            <v>-1374.1849999999977</v>
          </cell>
          <cell r="V99">
            <v>3155.8410000000022</v>
          </cell>
          <cell r="W99">
            <v>-5158.7720000000008</v>
          </cell>
          <cell r="X99">
            <v>200.00000000000819</v>
          </cell>
          <cell r="Y99">
            <v>199.99999999999636</v>
          </cell>
          <cell r="Z99">
            <v>199.99999999998909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CNY</v>
          </cell>
          <cell r="N100">
            <v>1303.4849999999988</v>
          </cell>
          <cell r="O100">
            <v>3057.0740000000005</v>
          </cell>
          <cell r="P100">
            <v>11319.682000000001</v>
          </cell>
          <cell r="Q100">
            <v>2707.5699999999983</v>
          </cell>
          <cell r="R100">
            <v>-4135.7949999999992</v>
          </cell>
          <cell r="S100">
            <v>-3677.0660000000003</v>
          </cell>
          <cell r="T100">
            <v>4079.8249999999989</v>
          </cell>
          <cell r="U100">
            <v>2083.6730000000025</v>
          </cell>
          <cell r="V100">
            <v>-1227.402</v>
          </cell>
          <cell r="W100">
            <v>1063.0050000000001</v>
          </cell>
          <cell r="X100">
            <v>200.00000000000819</v>
          </cell>
          <cell r="Y100">
            <v>199.99999999999636</v>
          </cell>
          <cell r="Z100">
            <v>199.99999999998909</v>
          </cell>
        </row>
        <row r="101">
          <cell r="B101" t="str">
            <v>Total cash flow</v>
          </cell>
          <cell r="C101" t="str">
            <v>TOT_CF</v>
          </cell>
          <cell r="D101" t="str">
            <v>CNY</v>
          </cell>
          <cell r="N101">
            <v>2783.6659999999988</v>
          </cell>
          <cell r="O101">
            <v>886.3990000000008</v>
          </cell>
          <cell r="P101">
            <v>6088.7600000000011</v>
          </cell>
          <cell r="Q101">
            <v>2654.4559999999983</v>
          </cell>
          <cell r="R101">
            <v>-3223.387999999999</v>
          </cell>
          <cell r="S101">
            <v>-2787.1610000000001</v>
          </cell>
          <cell r="T101">
            <v>9909.1349999999984</v>
          </cell>
          <cell r="U101">
            <v>4324.9050000000016</v>
          </cell>
          <cell r="V101">
            <v>1057.9650000000001</v>
          </cell>
          <cell r="W101">
            <v>-9118.0809999999983</v>
          </cell>
          <cell r="X101">
            <v>1193.1350713465336</v>
          </cell>
          <cell r="Y101">
            <v>3633.9711781114165</v>
          </cell>
          <cell r="Z101">
            <v>4854.3014319368449</v>
          </cell>
        </row>
        <row r="102">
          <cell r="A102" t="str">
            <v>Additional Cash Flow Items</v>
          </cell>
          <cell r="N102">
            <v>-52.003999999998541</v>
          </cell>
          <cell r="O102">
            <v>-1.3642420526593924E-12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CNY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CNY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CNY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CNY</v>
          </cell>
        </row>
        <row r="107">
          <cell r="B107" t="str">
            <v>Cash interest expense</v>
          </cell>
          <cell r="C107" t="str">
            <v>CASH_INT_EXP</v>
          </cell>
          <cell r="D107" t="str">
            <v>CNY</v>
          </cell>
        </row>
        <row r="108">
          <cell r="B108" t="str">
            <v>Cash tax expense</v>
          </cell>
          <cell r="C108" t="str">
            <v>CASH_TAX_EXP</v>
          </cell>
          <cell r="D108" t="str">
            <v>CNY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str">
            <v>CNY</v>
          </cell>
        </row>
        <row r="110">
          <cell r="B110" t="str">
            <v>Capex maintenance</v>
          </cell>
          <cell r="C110" t="str">
            <v>CAPEX_MAINTENANCE</v>
          </cell>
          <cell r="D110" t="str">
            <v>CNY</v>
          </cell>
        </row>
        <row r="111">
          <cell r="B111" t="str">
            <v>Capex expansion</v>
          </cell>
          <cell r="C111" t="str">
            <v>CAPEX_EXPANSION</v>
          </cell>
          <cell r="D111" t="str">
            <v>CNY</v>
          </cell>
        </row>
        <row r="112">
          <cell r="B112" t="str">
            <v>Non-PP&amp;E capex</v>
          </cell>
          <cell r="C112" t="str">
            <v>NONPPE_CAPEX</v>
          </cell>
          <cell r="D112" t="str">
            <v>CNY</v>
          </cell>
        </row>
        <row r="113">
          <cell r="B113" t="str">
            <v>Dividends paid to minorities</v>
          </cell>
          <cell r="C113" t="str">
            <v>DIVDS_PD_MINORITIES</v>
          </cell>
          <cell r="D113" t="str">
            <v>CNY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4">
          <cell r="B174" t="str">
            <v>Sales - % Industry Sub-Segment: Oil &amp; Gas</v>
          </cell>
          <cell r="C174" t="str">
            <v>SALES_OIL_GAS</v>
          </cell>
        </row>
        <row r="175">
          <cell r="A175" t="str">
            <v>Commodities Exposure - Sales</v>
          </cell>
        </row>
        <row r="176">
          <cell r="B176" t="str">
            <v>Sales - % Glass</v>
          </cell>
          <cell r="C176" t="str">
            <v>SALES_GLASS</v>
          </cell>
        </row>
        <row r="177">
          <cell r="B177" t="str">
            <v>Sales - % Other (Non-Commodity) sales sources</v>
          </cell>
          <cell r="C177" t="str">
            <v>SALES_OTH_SALES_SOURCES</v>
          </cell>
        </row>
        <row r="178">
          <cell r="A178" t="str">
            <v>Commodities Exposure - Expense</v>
          </cell>
        </row>
        <row r="179">
          <cell r="B179" t="str">
            <v>Expense - % Oil/Petrol/Fuel</v>
          </cell>
          <cell r="C179" t="str">
            <v>EXP_OIL_PETRO_FUEL</v>
          </cell>
        </row>
        <row r="180">
          <cell r="B180" t="str">
            <v>Expense - % Oil derivatives/NGLs/plastics</v>
          </cell>
          <cell r="C180" t="str">
            <v>EXP_OIL_DERIV_NGLS_PLASTICS</v>
          </cell>
        </row>
        <row r="181">
          <cell r="B181" t="str">
            <v>Expense - % Gold</v>
          </cell>
          <cell r="C181" t="str">
            <v>EXP_GOLD</v>
          </cell>
        </row>
        <row r="182">
          <cell r="B182" t="str">
            <v>Expense - % Copper</v>
          </cell>
          <cell r="C182" t="str">
            <v>EXP_COPPER</v>
          </cell>
        </row>
        <row r="183">
          <cell r="B183" t="str">
            <v>Expense - % Silver</v>
          </cell>
          <cell r="C183" t="str">
            <v>EXP_SILVER</v>
          </cell>
        </row>
        <row r="184">
          <cell r="B184" t="str">
            <v>Expense - % Platinum</v>
          </cell>
          <cell r="C184" t="str">
            <v>EXP_PLATINUM</v>
          </cell>
        </row>
        <row r="185">
          <cell r="B185" t="str">
            <v>Expense - % Palladium</v>
          </cell>
          <cell r="C185" t="str">
            <v>EXP_PALLADIUM</v>
          </cell>
        </row>
        <row r="186">
          <cell r="B186" t="str">
            <v>Expense - % Aluminium</v>
          </cell>
          <cell r="C186" t="str">
            <v>EXP_ALUMINIUM</v>
          </cell>
        </row>
        <row r="187">
          <cell r="B187" t="str">
            <v>Expense - % Nickel</v>
          </cell>
          <cell r="C187" t="str">
            <v>EXP_NICKEL</v>
          </cell>
        </row>
        <row r="188">
          <cell r="B188" t="str">
            <v>Expense - % Zinc</v>
          </cell>
          <cell r="C188" t="str">
            <v>EXP_ZINC</v>
          </cell>
        </row>
        <row r="189">
          <cell r="B189" t="str">
            <v>Expense - % Paper/pulp</v>
          </cell>
          <cell r="C189" t="str">
            <v>EXP_PAPER_PULP</v>
          </cell>
        </row>
        <row r="190">
          <cell r="B190" t="str">
            <v>Expense - % Glass</v>
          </cell>
          <cell r="C190" t="str">
            <v>EXP_GLASS</v>
          </cell>
        </row>
        <row r="191">
          <cell r="B191" t="str">
            <v>Expense - % Water</v>
          </cell>
          <cell r="C191" t="str">
            <v>EXP_WATER</v>
          </cell>
        </row>
        <row r="192">
          <cell r="B192" t="str">
            <v>Expense - % Other commodity</v>
          </cell>
          <cell r="C192" t="str">
            <v>EXP_OTH_COMMODITY</v>
          </cell>
        </row>
        <row r="193">
          <cell r="B193" t="str">
            <v>Expense - % Other (Non-Commodity) cost</v>
          </cell>
          <cell r="C193" t="str">
            <v>EXP_OTH_COST</v>
          </cell>
        </row>
        <row r="194">
          <cell r="A194" t="str">
            <v>FX Exposure - Sales</v>
          </cell>
        </row>
        <row r="195">
          <cell r="B195" t="str">
            <v>Sales - % FX: British Pounds/Pence</v>
          </cell>
          <cell r="C195" t="str">
            <v>SALES_FX_GPB</v>
          </cell>
        </row>
        <row r="196">
          <cell r="B196" t="str">
            <v>Sales - % FX: Euro</v>
          </cell>
          <cell r="C196" t="str">
            <v>SALES_FX_EUR</v>
          </cell>
        </row>
        <row r="197">
          <cell r="B197" t="str">
            <v>Sales - % FX: New Russian Ruble</v>
          </cell>
          <cell r="C197" t="str">
            <v>SALES_FX_RUB</v>
          </cell>
        </row>
        <row r="198">
          <cell r="B198" t="str">
            <v>Sales - % FX: U.S. Dollar</v>
          </cell>
          <cell r="C198" t="str">
            <v>SALES_FX_USD</v>
          </cell>
        </row>
        <row r="199">
          <cell r="B199" t="str">
            <v>Sales - % FX: Brazilian Real</v>
          </cell>
          <cell r="C199" t="str">
            <v>SALES_FX_BRL</v>
          </cell>
        </row>
        <row r="200">
          <cell r="B200" t="str">
            <v>Sales - % FX: Japanese Yen</v>
          </cell>
          <cell r="C200" t="str">
            <v>SALES_FX_YEN</v>
          </cell>
        </row>
        <row r="201">
          <cell r="B201" t="str">
            <v>Sales - % FX: Chinese Renminbi</v>
          </cell>
          <cell r="C201" t="str">
            <v>SALES_FX_CNY</v>
          </cell>
        </row>
        <row r="202">
          <cell r="B202" t="str">
            <v>Sales - % FX: Indian Rupee</v>
          </cell>
          <cell r="C202" t="str">
            <v>SALES_FX_INR</v>
          </cell>
        </row>
        <row r="203">
          <cell r="B203" t="str">
            <v>Sales - % FX: South Korean Won</v>
          </cell>
          <cell r="C203" t="str">
            <v>SALES_FX_KRW</v>
          </cell>
        </row>
        <row r="204">
          <cell r="B204" t="str">
            <v>Sales - % FX: Taiwan Dollar</v>
          </cell>
          <cell r="C204" t="str">
            <v>SALES_FX_TWD</v>
          </cell>
        </row>
        <row r="205">
          <cell r="B205" t="str">
            <v>Sales - % FX: Other Currency</v>
          </cell>
          <cell r="C205" t="str">
            <v>SALES_FX_OTH</v>
          </cell>
        </row>
        <row r="206">
          <cell r="A206" t="str">
            <v>Items to be removed</v>
          </cell>
        </row>
        <row r="207">
          <cell r="B207" t="str">
            <v>Sales - Total % Americas</v>
          </cell>
          <cell r="C207" t="str">
            <v>SALES_TOT_AM</v>
          </cell>
        </row>
        <row r="208">
          <cell r="B208" t="str">
            <v>Sales - % Other Americas</v>
          </cell>
          <cell r="C208" t="str">
            <v>SALES_OTH_AM</v>
          </cell>
        </row>
        <row r="209">
          <cell r="B209" t="str">
            <v>Sales - Total % EMEA</v>
          </cell>
          <cell r="C209" t="str">
            <v>SALES_TOT_EMEA</v>
          </cell>
        </row>
        <row r="210">
          <cell r="B210" t="str">
            <v>Sales - % Western Europe-Ex UK</v>
          </cell>
          <cell r="C210" t="str">
            <v>SALES_EU_EX_UK</v>
          </cell>
        </row>
        <row r="211">
          <cell r="B211" t="str">
            <v>Sales - % Central &amp; Eastern Europe</v>
          </cell>
          <cell r="C211" t="str">
            <v>SALES_CEE</v>
          </cell>
        </row>
        <row r="212">
          <cell r="B212" t="str">
            <v>Sales - % Middle East</v>
          </cell>
          <cell r="C212" t="str">
            <v>SALES_ME</v>
          </cell>
        </row>
        <row r="213">
          <cell r="B213" t="str">
            <v>Sales - % Total Africa</v>
          </cell>
          <cell r="C213" t="str">
            <v>SALES_TOT_AFRICA</v>
          </cell>
        </row>
        <row r="214">
          <cell r="B214" t="str">
            <v>Sales - % Other EMEA</v>
          </cell>
          <cell r="C214" t="str">
            <v>SALES_OTH_EMEA</v>
          </cell>
        </row>
        <row r="215">
          <cell r="B215" t="str">
            <v>Sales - Total % Asia (incl Australia &amp; New Zealand)</v>
          </cell>
          <cell r="C215" t="str">
            <v>SALES_TOT_ASIA</v>
          </cell>
        </row>
        <row r="216">
          <cell r="B216" t="str">
            <v>Sales - % Other Asia</v>
          </cell>
          <cell r="C216" t="str">
            <v>SALES_OTH_AEJ</v>
          </cell>
        </row>
        <row r="217">
          <cell r="A217" t="str">
            <v>Security: ZTE Corp. (H)</v>
          </cell>
        </row>
        <row r="218">
          <cell r="A218" t="str">
            <v>Reference Data</v>
          </cell>
        </row>
        <row r="219">
          <cell r="B219" t="str">
            <v>Ticker</v>
          </cell>
          <cell r="C219" t="str">
            <v>Ticker</v>
          </cell>
          <cell r="E219" t="str">
            <v>0763.HK</v>
          </cell>
        </row>
        <row r="220">
          <cell r="B220" t="str">
            <v>Security Name</v>
          </cell>
          <cell r="C220" t="str">
            <v>Security Name</v>
          </cell>
          <cell r="E220" t="str">
            <v>ZTE Corp. (H)</v>
          </cell>
        </row>
        <row r="221">
          <cell r="B221" t="str">
            <v>Interim Type</v>
          </cell>
          <cell r="C221" t="str">
            <v>Interim Type</v>
          </cell>
          <cell r="E221" t="str">
            <v>Q</v>
          </cell>
        </row>
        <row r="222">
          <cell r="B222" t="str">
            <v>Publishing Currency</v>
          </cell>
          <cell r="C222" t="str">
            <v>PUB_CURRENCY_ISO</v>
          </cell>
          <cell r="E222" t="str">
            <v>CNY</v>
          </cell>
        </row>
        <row r="223">
          <cell r="B223" t="str">
            <v>Pricing Currency</v>
          </cell>
          <cell r="C223" t="str">
            <v>PRICE_CURRENCY_ISO</v>
          </cell>
          <cell r="E223" t="str">
            <v>HKD</v>
          </cell>
        </row>
        <row r="224">
          <cell r="B224" t="str">
            <v>Reporting Currency</v>
          </cell>
          <cell r="C224" t="str">
            <v>CURRENCY_ISO</v>
          </cell>
          <cell r="E224" t="str">
            <v>CNY</v>
          </cell>
        </row>
        <row r="225">
          <cell r="A225" t="str">
            <v>General Information</v>
          </cell>
        </row>
        <row r="226">
          <cell r="B226" t="str">
            <v>Asia ex. Japan Investment List</v>
          </cell>
          <cell r="C226" t="str">
            <v>AEJ_LIST</v>
          </cell>
        </row>
        <row r="227">
          <cell r="B227" t="str">
            <v>Asia ex. Japan Conviction List</v>
          </cell>
          <cell r="C227" t="str">
            <v>AEJ_CONVICTION</v>
          </cell>
        </row>
        <row r="228">
          <cell r="B228" t="str">
            <v>Legal rating</v>
          </cell>
          <cell r="C228" t="str">
            <v>LEGAL_RATING</v>
          </cell>
        </row>
        <row r="229">
          <cell r="B229" t="str">
            <v>Target price</v>
          </cell>
          <cell r="C229" t="str">
            <v>TARGET_PRICE</v>
          </cell>
          <cell r="D229" t="str">
            <v>HKD</v>
          </cell>
        </row>
        <row r="230">
          <cell r="B230" t="str">
            <v>Target price period</v>
          </cell>
          <cell r="C230" t="str">
            <v>TP_PERIOD</v>
          </cell>
        </row>
        <row r="231">
          <cell r="B231" t="str">
            <v>Fundamental value</v>
          </cell>
          <cell r="C231" t="str">
            <v>TARGET_PRICE_FUNDAMENTAL</v>
          </cell>
          <cell r="D231" t="str">
            <v>HKD</v>
          </cell>
        </row>
        <row r="232">
          <cell r="B232" t="str">
            <v>M&amp;A value</v>
          </cell>
          <cell r="C232" t="str">
            <v>TARGET_PRICE_MA</v>
          </cell>
          <cell r="D232" t="str">
            <v>HKD</v>
          </cell>
        </row>
        <row r="233">
          <cell r="B233" t="str">
            <v>Current shares outstanding (mn)</v>
          </cell>
          <cell r="C233" t="str">
            <v>NUM_SH</v>
          </cell>
          <cell r="E233">
            <v>4192.6960143123442</v>
          </cell>
        </row>
        <row r="234">
          <cell r="B234" t="str">
            <v>Free float</v>
          </cell>
          <cell r="C234" t="str">
            <v>FREE_FLOAT</v>
          </cell>
        </row>
        <row r="235">
          <cell r="B235" t="str">
            <v>Foreign ownership</v>
          </cell>
          <cell r="C235" t="str">
            <v>FOREIGN_HOLDNG</v>
          </cell>
        </row>
        <row r="236">
          <cell r="B236" t="str">
            <v>Zhongxingxiin</v>
          </cell>
          <cell r="C236" t="str">
            <v>ACT1</v>
          </cell>
        </row>
        <row r="237">
          <cell r="B237" t="str">
            <v>Fortune Trust &amp; Investment Co., Ltd</v>
          </cell>
          <cell r="C237" t="str">
            <v>ACT2</v>
          </cell>
        </row>
        <row r="238">
          <cell r="B238" t="str">
            <v>Deutsche Bank Aktiengesellschaft</v>
          </cell>
          <cell r="C238" t="str">
            <v>ACT3</v>
          </cell>
        </row>
        <row r="239">
          <cell r="B239" t="str">
            <v>Hunan Nantian</v>
          </cell>
          <cell r="C239" t="str">
            <v>ACT4</v>
          </cell>
        </row>
        <row r="240">
          <cell r="B240" t="str">
            <v>Catalyst 1 date</v>
          </cell>
          <cell r="C240" t="str">
            <v>CATALYST1_DATE</v>
          </cell>
        </row>
        <row r="241">
          <cell r="B241" t="str">
            <v>Catalyst 1 description</v>
          </cell>
          <cell r="C241" t="str">
            <v>CATALYST1_EVENT</v>
          </cell>
        </row>
        <row r="242">
          <cell r="B242" t="str">
            <v>Catalyst 2 date</v>
          </cell>
          <cell r="C242" t="str">
            <v>CATALYST2_DATE</v>
          </cell>
        </row>
        <row r="243">
          <cell r="B243" t="str">
            <v>Catalyst 2 description</v>
          </cell>
          <cell r="C243" t="str">
            <v>CATALYST2_EVENT</v>
          </cell>
        </row>
        <row r="244">
          <cell r="B244" t="str">
            <v>Catalyst 3 date</v>
          </cell>
          <cell r="C244" t="str">
            <v>CATALYST3_DATE</v>
          </cell>
        </row>
        <row r="245">
          <cell r="B245" t="str">
            <v>Catalyst 3 description</v>
          </cell>
          <cell r="C245" t="str">
            <v>CATALYST3_EVENT</v>
          </cell>
        </row>
        <row r="246">
          <cell r="B246" t="str">
            <v>Catalyst 4 date</v>
          </cell>
          <cell r="C246" t="str">
            <v>CATALYST4_DATE</v>
          </cell>
        </row>
        <row r="247">
          <cell r="B247" t="str">
            <v>Catalyst 4 description</v>
          </cell>
          <cell r="C247" t="str">
            <v>CATALYST4_EVENT</v>
          </cell>
        </row>
        <row r="248">
          <cell r="B248" t="str">
            <v>Catalyst 5 date</v>
          </cell>
          <cell r="C248" t="str">
            <v>CATALYST5_DATE</v>
          </cell>
        </row>
        <row r="249">
          <cell r="B249" t="str">
            <v>Catalyst 5 description</v>
          </cell>
          <cell r="C249" t="str">
            <v>CATALYST5_EVENT</v>
          </cell>
        </row>
        <row r="250">
          <cell r="B250" t="str">
            <v>Target price multiple</v>
          </cell>
          <cell r="C250" t="str">
            <v>PRI_TARG_MULT</v>
          </cell>
        </row>
        <row r="251">
          <cell r="B251" t="str">
            <v>Target price methodology</v>
          </cell>
          <cell r="C251" t="str">
            <v>PRI_TARG_METH</v>
          </cell>
        </row>
        <row r="252">
          <cell r="A252" t="str">
            <v>Publishing Items</v>
          </cell>
        </row>
        <row r="253">
          <cell r="B253" t="str">
            <v>Book value per share, BVPS (Pub)</v>
          </cell>
          <cell r="C253" t="str">
            <v>BVPS_PUB</v>
          </cell>
          <cell r="D253" t="str">
            <v>CNY</v>
          </cell>
          <cell r="N253">
            <v>9.1874276484490007</v>
          </cell>
          <cell r="O253">
            <v>8.0558182627465698</v>
          </cell>
          <cell r="P253">
            <v>7.043944061733483</v>
          </cell>
          <cell r="Q253">
            <v>6.2505774578367106</v>
          </cell>
          <cell r="R253">
            <v>6.5548739636850879</v>
          </cell>
          <cell r="S253">
            <v>7.2373170240005864</v>
          </cell>
          <cell r="T253">
            <v>7.1456486245633668</v>
          </cell>
          <cell r="U253">
            <v>6.3090795645395499</v>
          </cell>
          <cell r="V253">
            <v>7.5481399451233013</v>
          </cell>
          <cell r="W253">
            <v>5.4613325344792063</v>
          </cell>
          <cell r="X253">
            <v>6.3658978992567405</v>
          </cell>
          <cell r="Y253">
            <v>7.6201166389825383</v>
          </cell>
          <cell r="Z253">
            <v>32.339278522903896</v>
          </cell>
        </row>
        <row r="254">
          <cell r="B254" t="str">
            <v>DPS, dividend per share (Pub)</v>
          </cell>
          <cell r="C254" t="str">
            <v>DPS_PUB</v>
          </cell>
          <cell r="D254" t="str">
            <v>CNY</v>
          </cell>
          <cell r="N254">
            <v>0.3</v>
          </cell>
          <cell r="O254">
            <v>0.3</v>
          </cell>
          <cell r="P254">
            <v>0.16669999999999999</v>
          </cell>
          <cell r="Q254">
            <v>0</v>
          </cell>
          <cell r="R254">
            <v>2.5000000000000001E-2</v>
          </cell>
          <cell r="S254">
            <v>0.16669999999999999</v>
          </cell>
          <cell r="T254">
            <v>0.25</v>
          </cell>
          <cell r="U254">
            <v>0</v>
          </cell>
          <cell r="V254">
            <v>0.33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</row>
        <row r="255">
          <cell r="B255" t="str">
            <v>Special dividend per share</v>
          </cell>
          <cell r="C255" t="str">
            <v>DPS_SPECIAL_PUB</v>
          </cell>
          <cell r="D255" t="str">
            <v>CNY</v>
          </cell>
        </row>
        <row r="256">
          <cell r="B256" t="str">
            <v>EBITDA (Pub)</v>
          </cell>
          <cell r="C256" t="str">
            <v>EBITDA_PUB</v>
          </cell>
          <cell r="D256" t="str">
            <v>CNY</v>
          </cell>
          <cell r="N256">
            <v>4500.5180000000037</v>
          </cell>
          <cell r="O256">
            <v>4585.5</v>
          </cell>
          <cell r="P256">
            <v>4163.0420000000158</v>
          </cell>
          <cell r="Q256">
            <v>-1816.919000000009</v>
          </cell>
          <cell r="R256">
            <v>3160.2439999999915</v>
          </cell>
          <cell r="S256">
            <v>4885.7989999999991</v>
          </cell>
          <cell r="T256">
            <v>5498.7959999999875</v>
          </cell>
          <cell r="U256">
            <v>4986.5129999999917</v>
          </cell>
          <cell r="V256">
            <v>7346.6670000000013</v>
          </cell>
          <cell r="W256">
            <v>6373.638999999981</v>
          </cell>
          <cell r="X256">
            <v>8911.1465953749866</v>
          </cell>
          <cell r="Y256">
            <v>10645.674193680956</v>
          </cell>
          <cell r="Z256">
            <v>34758.392546425923</v>
          </cell>
          <cell r="AB256">
            <v>1379.2997499999983</v>
          </cell>
          <cell r="AC256">
            <v>1740.7397500000006</v>
          </cell>
          <cell r="AD256">
            <v>927.04675000000134</v>
          </cell>
          <cell r="AE256">
            <v>939.42674999999872</v>
          </cell>
          <cell r="AF256">
            <v>2160.7657500000023</v>
          </cell>
          <cell r="AG256">
            <v>2389.3787499999999</v>
          </cell>
          <cell r="AH256">
            <v>816.66975000000093</v>
          </cell>
          <cell r="AI256">
            <v>1979.8527499999982</v>
          </cell>
          <cell r="AJ256">
            <v>2228.8787499999999</v>
          </cell>
          <cell r="AK256">
            <v>-576.47524999999951</v>
          </cell>
          <cell r="AL256">
            <v>1654.5057500000003</v>
          </cell>
          <cell r="AM256">
            <v>3066.7297500000022</v>
          </cell>
          <cell r="AN256">
            <v>2307.5107768499984</v>
          </cell>
          <cell r="AO256">
            <v>2480.372374999999</v>
          </cell>
          <cell r="AP256">
            <v>2205.9462918999998</v>
          </cell>
          <cell r="AQ256">
            <v>1917.3171516250004</v>
          </cell>
        </row>
        <row r="257">
          <cell r="B257" t="str">
            <v>EPS (Pub)</v>
          </cell>
          <cell r="C257" t="str">
            <v>EPS_PUB</v>
          </cell>
          <cell r="D257" t="str">
            <v>CNY</v>
          </cell>
          <cell r="N257">
            <v>1.4000000000000015</v>
          </cell>
          <cell r="O257">
            <v>1.1700000000000008</v>
          </cell>
          <cell r="P257">
            <v>0.61000000000000254</v>
          </cell>
          <cell r="Q257">
            <v>-0.83000000000000007</v>
          </cell>
          <cell r="R257">
            <v>0.38999999999999668</v>
          </cell>
          <cell r="S257">
            <v>0.77000000000000102</v>
          </cell>
          <cell r="T257">
            <v>0.77999999999999803</v>
          </cell>
          <cell r="U257">
            <v>-0.57000000000000295</v>
          </cell>
          <cell r="V257">
            <v>1.0900000000000012</v>
          </cell>
          <cell r="W257">
            <v>-1.665673346257474</v>
          </cell>
          <cell r="X257">
            <v>0.90456018374004932</v>
          </cell>
          <cell r="Y257">
            <v>1.2542115559947431</v>
          </cell>
          <cell r="Z257">
            <v>9.3005573835735156</v>
          </cell>
          <cell r="AB257">
            <v>0.1763735429113546</v>
          </cell>
          <cell r="AC257">
            <v>8.2787980250532647E-2</v>
          </cell>
          <cell r="AD257">
            <v>-9.3314240410483015E-2</v>
          </cell>
          <cell r="AE257">
            <v>-6.3434079149306558E-2</v>
          </cell>
          <cell r="AF257">
            <v>-0.12367765268032817</v>
          </cell>
          <cell r="AG257">
            <v>-0.11362535823957592</v>
          </cell>
          <cell r="AH257">
            <v>-9.3381183983440211E-2</v>
          </cell>
          <cell r="AI257">
            <v>-0.18250131562471822</v>
          </cell>
          <cell r="AJ257">
            <v>3.401033595405737E-2</v>
          </cell>
          <cell r="AK257">
            <v>0.10948993164134546</v>
          </cell>
          <cell r="AL257">
            <v>-7.4552268739012412E-2</v>
          </cell>
          <cell r="AM257">
            <v>1.8475701490298684E-2</v>
          </cell>
          <cell r="AN257">
            <v>-5.7219441791695358E-2</v>
          </cell>
          <cell r="AO257">
            <v>-6.5116521512593922E-2</v>
          </cell>
          <cell r="AP257">
            <v>-5.2579528456136795E-2</v>
          </cell>
          <cell r="AQ257">
            <v>-3.9393677145493376E-2</v>
          </cell>
        </row>
        <row r="258">
          <cell r="B258" t="str">
            <v>EV adjustment (Pub)</v>
          </cell>
          <cell r="C258" t="str">
            <v>EV_ADJ_PUB</v>
          </cell>
          <cell r="D258" t="str">
            <v>CNY</v>
          </cell>
        </row>
        <row r="259">
          <cell r="B259" t="str">
            <v>Net debt (Pub)</v>
          </cell>
          <cell r="C259" t="str">
            <v>NET_DEBT_PUB</v>
          </cell>
          <cell r="D259" t="str">
            <v>CNY</v>
          </cell>
          <cell r="N259">
            <v>-3561.2310000000016</v>
          </cell>
          <cell r="O259">
            <v>-3329.6940000000013</v>
          </cell>
          <cell r="P259">
            <v>536.28199999999924</v>
          </cell>
          <cell r="Q259">
            <v>895.16700000000128</v>
          </cell>
          <cell r="R259">
            <v>3191.2599999999984</v>
          </cell>
          <cell r="S259">
            <v>2921.8899999999994</v>
          </cell>
          <cell r="T259">
            <v>-14101.182999999997</v>
          </cell>
          <cell r="U259">
            <v>-12199.518</v>
          </cell>
          <cell r="V259">
            <v>-15686.710000000003</v>
          </cell>
          <cell r="W259">
            <v>1816.3840000000018</v>
          </cell>
          <cell r="X259">
            <v>623.24892865350921</v>
          </cell>
          <cell r="Y259">
            <v>-3010.7222494579255</v>
          </cell>
          <cell r="Z259">
            <v>-88175.690103015673</v>
          </cell>
        </row>
        <row r="260">
          <cell r="B260" t="str">
            <v>Net income (Pub)</v>
          </cell>
          <cell r="C260" t="str">
            <v>NI_PUB</v>
          </cell>
          <cell r="D260" t="str">
            <v>CNY</v>
          </cell>
          <cell r="N260">
            <v>2458.1210000000028</v>
          </cell>
          <cell r="O260">
            <v>3250.2470000000026</v>
          </cell>
          <cell r="P260">
            <v>2060.1660000000088</v>
          </cell>
          <cell r="Q260">
            <v>-2840.9620000000004</v>
          </cell>
          <cell r="R260">
            <v>1357.6569999999883</v>
          </cell>
          <cell r="S260">
            <v>2633.5710000000036</v>
          </cell>
          <cell r="T260">
            <v>3207.884999999992</v>
          </cell>
          <cell r="U260">
            <v>-2357.4180000000129</v>
          </cell>
          <cell r="V260">
            <v>4568.1720000000041</v>
          </cell>
          <cell r="W260">
            <v>-6983.6620000000166</v>
          </cell>
          <cell r="X260">
            <v>3792.5458770725468</v>
          </cell>
          <cell r="Y260">
            <v>5258.5277919236432</v>
          </cell>
          <cell r="Z260">
            <v>38994.409872991921</v>
          </cell>
          <cell r="AB260">
            <v>729.44941189999963</v>
          </cell>
          <cell r="AC260">
            <v>342.3962716250004</v>
          </cell>
          <cell r="AD260">
            <v>-385.93100000000015</v>
          </cell>
          <cell r="AE260">
            <v>-262.35199999999998</v>
          </cell>
          <cell r="AF260">
            <v>-518.33100000000002</v>
          </cell>
          <cell r="AG260">
            <v>-476.20199999999994</v>
          </cell>
          <cell r="AH260">
            <v>-391.35899999999998</v>
          </cell>
          <cell r="AI260">
            <v>-764.86000000000013</v>
          </cell>
          <cell r="AJ260">
            <v>142.59500000000017</v>
          </cell>
          <cell r="AK260">
            <v>459.05800000000016</v>
          </cell>
          <cell r="AL260">
            <v>-312.5750000000001</v>
          </cell>
          <cell r="AM260">
            <v>77.462999999999937</v>
          </cell>
          <cell r="AN260">
            <v>-239.90372554121831</v>
          </cell>
          <cell r="AO260">
            <v>-273.01378021173656</v>
          </cell>
          <cell r="AP260">
            <v>-220.44997939246724</v>
          </cell>
          <cell r="AQ260">
            <v>-165.16571315701736</v>
          </cell>
        </row>
        <row r="261">
          <cell r="B261" t="str">
            <v>EBIT, operating profit (Pub)</v>
          </cell>
          <cell r="C261" t="str">
            <v>EBIT_PUB</v>
          </cell>
          <cell r="D261" t="str">
            <v>CNY</v>
          </cell>
          <cell r="N261">
            <v>3562.3980000000038</v>
          </cell>
          <cell r="O261">
            <v>3522.509</v>
          </cell>
          <cell r="P261">
            <v>2756.6420000000157</v>
          </cell>
          <cell r="Q261">
            <v>-3355.4380000000092</v>
          </cell>
          <cell r="R261">
            <v>1438.2789999999914</v>
          </cell>
          <cell r="S261">
            <v>3080.780999999999</v>
          </cell>
          <cell r="T261">
            <v>3426.7989999999872</v>
          </cell>
          <cell r="U261">
            <v>2556.1459999999915</v>
          </cell>
          <cell r="V261">
            <v>4743.5280000000021</v>
          </cell>
          <cell r="W261">
            <v>3866.2599999999811</v>
          </cell>
          <cell r="X261">
            <v>5091.0790753749861</v>
          </cell>
          <cell r="Y261">
            <v>6904.3826736809569</v>
          </cell>
          <cell r="Z261">
            <v>34758.392546425923</v>
          </cell>
          <cell r="AB261">
            <v>771.70799999999826</v>
          </cell>
          <cell r="AC261">
            <v>1133.1480000000006</v>
          </cell>
          <cell r="AD261">
            <v>319.45500000000135</v>
          </cell>
          <cell r="AE261">
            <v>331.83499999999873</v>
          </cell>
          <cell r="AF261">
            <v>1509.9810000000025</v>
          </cell>
          <cell r="AG261">
            <v>1738.5939999999996</v>
          </cell>
          <cell r="AH261">
            <v>165.88500000000101</v>
          </cell>
          <cell r="AI261">
            <v>1329.0679999999984</v>
          </cell>
          <cell r="AJ261">
            <v>1602.0339999999999</v>
          </cell>
          <cell r="AK261">
            <v>-1203.3199999999995</v>
          </cell>
          <cell r="AL261">
            <v>1027.6610000000003</v>
          </cell>
          <cell r="AM261">
            <v>2439.8850000000025</v>
          </cell>
          <cell r="AN261">
            <v>1352.4938968499982</v>
          </cell>
          <cell r="AO261">
            <v>1525.3554949999989</v>
          </cell>
          <cell r="AP261">
            <v>1250.9294118999996</v>
          </cell>
          <cell r="AQ261">
            <v>962.30027162500039</v>
          </cell>
        </row>
        <row r="262">
          <cell r="B262" t="str">
            <v>Pre-tax profit (Pub)</v>
          </cell>
          <cell r="C262" t="str">
            <v>PTP_PUB</v>
          </cell>
          <cell r="D262" t="str">
            <v>CNY</v>
          </cell>
          <cell r="N262">
            <v>3324.7420000000029</v>
          </cell>
          <cell r="O262">
            <v>4360.2010000000028</v>
          </cell>
          <cell r="P262">
            <v>2635.1360000000086</v>
          </cell>
          <cell r="Q262">
            <v>-1983.2000000000007</v>
          </cell>
          <cell r="R262">
            <v>1827.8429999999885</v>
          </cell>
          <cell r="S262">
            <v>3538.2220000000038</v>
          </cell>
          <cell r="T262">
            <v>4303.531999999992</v>
          </cell>
          <cell r="U262">
            <v>-767.75100000001294</v>
          </cell>
          <cell r="V262">
            <v>6718.9240000000045</v>
          </cell>
          <cell r="W262">
            <v>-7350.2030000000168</v>
          </cell>
          <cell r="X262">
            <v>4691.0790753749861</v>
          </cell>
          <cell r="Y262">
            <v>6504.3826736809569</v>
          </cell>
          <cell r="Z262">
            <v>40353.208546425951</v>
          </cell>
          <cell r="AB262">
            <v>1181.6429999999996</v>
          </cell>
          <cell r="AC262">
            <v>474.9199999999995</v>
          </cell>
          <cell r="AD262">
            <v>1249.9869999999996</v>
          </cell>
          <cell r="AE262">
            <v>-6527.4280000000008</v>
          </cell>
          <cell r="AF262">
            <v>1222.7490000000025</v>
          </cell>
          <cell r="AG262">
            <v>1038.8950000000004</v>
          </cell>
          <cell r="AH262">
            <v>1384.6920000000009</v>
          </cell>
          <cell r="AI262">
            <v>538.97999999999922</v>
          </cell>
          <cell r="AJ262">
            <v>-6548.6710000000003</v>
          </cell>
          <cell r="AK262">
            <v>-3107.0229999999997</v>
          </cell>
          <cell r="AL262">
            <v>767.2030000000002</v>
          </cell>
          <cell r="AM262">
            <v>-538.57499999999891</v>
          </cell>
          <cell r="AN262">
            <v>1252.4938968499982</v>
          </cell>
          <cell r="AO262">
            <v>1425.3554949999989</v>
          </cell>
          <cell r="AP262">
            <v>1150.9294118999996</v>
          </cell>
          <cell r="AQ262">
            <v>862.30027162500039</v>
          </cell>
        </row>
        <row r="263">
          <cell r="B263" t="str">
            <v>Sales, revenue (Pub)</v>
          </cell>
          <cell r="C263" t="str">
            <v>REVS_PUB</v>
          </cell>
          <cell r="D263" t="str">
            <v>CNY</v>
          </cell>
          <cell r="N263">
            <v>60272.563000000002</v>
          </cell>
          <cell r="O263">
            <v>70263.873999999996</v>
          </cell>
          <cell r="P263">
            <v>86254.456000000006</v>
          </cell>
          <cell r="Q263">
            <v>84219.357999999993</v>
          </cell>
          <cell r="R263">
            <v>75233.724000000002</v>
          </cell>
          <cell r="S263">
            <v>81471.274999999994</v>
          </cell>
          <cell r="T263">
            <v>100186.389</v>
          </cell>
          <cell r="U263">
            <v>101233.182</v>
          </cell>
          <cell r="V263">
            <v>108815.273</v>
          </cell>
          <cell r="W263">
            <v>85513.15</v>
          </cell>
          <cell r="X263">
            <v>92548.7047475</v>
          </cell>
          <cell r="Y263">
            <v>112015.74927058797</v>
          </cell>
          <cell r="Z263">
            <v>287422.90327256074</v>
          </cell>
          <cell r="AB263">
            <v>21858.508999999998</v>
          </cell>
          <cell r="AC263">
            <v>25898.793000000001</v>
          </cell>
          <cell r="AD263">
            <v>23806.702000000001</v>
          </cell>
          <cell r="AE263">
            <v>29669.178</v>
          </cell>
          <cell r="AF263">
            <v>25744.612000000001</v>
          </cell>
          <cell r="AG263">
            <v>28265.984</v>
          </cell>
          <cell r="AH263">
            <v>22569.143</v>
          </cell>
          <cell r="AI263">
            <v>32235.534</v>
          </cell>
          <cell r="AJ263">
            <v>27526.342000000001</v>
          </cell>
          <cell r="AK263">
            <v>11907.434999999999</v>
          </cell>
          <cell r="AL263">
            <v>19332.409</v>
          </cell>
          <cell r="AM263">
            <v>26746.964</v>
          </cell>
          <cell r="AN263">
            <v>24504.713217</v>
          </cell>
          <cell r="AO263">
            <v>20515.019900000003</v>
          </cell>
          <cell r="AP263">
            <v>20769.985238000001</v>
          </cell>
          <cell r="AQ263">
            <v>26758.986392499999</v>
          </cell>
        </row>
        <row r="264">
          <cell r="B264" t="str">
            <v>Total shareholders' equity (Pub)</v>
          </cell>
          <cell r="C264" t="str">
            <v>EQ_PUB</v>
          </cell>
          <cell r="D264" t="str">
            <v>CNY</v>
          </cell>
          <cell r="N264">
            <v>17948.865999999998</v>
          </cell>
          <cell r="O264">
            <v>24961.998</v>
          </cell>
          <cell r="P264">
            <v>26288.774999999998</v>
          </cell>
          <cell r="Q264">
            <v>22638.729999999996</v>
          </cell>
          <cell r="R264">
            <v>23625.689000000002</v>
          </cell>
          <cell r="S264">
            <v>26292.504000000001</v>
          </cell>
          <cell r="T264">
            <v>43348.605000000003</v>
          </cell>
          <cell r="U264">
            <v>40885.090000000004</v>
          </cell>
          <cell r="V264">
            <v>45380.146999999997</v>
          </cell>
          <cell r="W264">
            <v>32960.675000000003</v>
          </cell>
          <cell r="X264">
            <v>36753.220877072556</v>
          </cell>
          <cell r="Y264">
            <v>42011.748668996195</v>
          </cell>
          <cell r="Z264">
            <v>136088.58256318051</v>
          </cell>
        </row>
        <row r="265">
          <cell r="B265" t="str">
            <v>EPS (consensus)</v>
          </cell>
          <cell r="C265" t="str">
            <v>EPS_CONS_PUB</v>
          </cell>
          <cell r="D265" t="str">
            <v>CNY</v>
          </cell>
        </row>
        <row r="266">
          <cell r="A266" t="str">
            <v>Income Statement</v>
          </cell>
        </row>
        <row r="267">
          <cell r="B267" t="str">
            <v>Provision for income tax</v>
          </cell>
          <cell r="C267" t="str">
            <v>PROV_INC_TAX</v>
          </cell>
          <cell r="D267" t="str">
            <v>CNY</v>
          </cell>
          <cell r="N267">
            <v>-629.08100000000002</v>
          </cell>
          <cell r="O267">
            <v>-883.71900000000005</v>
          </cell>
          <cell r="P267">
            <v>-392.04300000000001</v>
          </cell>
          <cell r="Q267">
            <v>-621.42100000000005</v>
          </cell>
          <cell r="R267">
            <v>-394.20699999999999</v>
          </cell>
          <cell r="S267">
            <v>-810.49199999999996</v>
          </cell>
          <cell r="T267">
            <v>-563.26199999999994</v>
          </cell>
          <cell r="U267">
            <v>-640.11800000000005</v>
          </cell>
          <cell r="V267">
            <v>-1332.5820000000001</v>
          </cell>
          <cell r="W267">
            <v>400.863</v>
          </cell>
          <cell r="X267">
            <v>-898.53319830243936</v>
          </cell>
          <cell r="Y267">
            <v>-1245.8548817573142</v>
          </cell>
          <cell r="Z267">
            <v>-1358.7986734340336</v>
          </cell>
          <cell r="AB267">
            <v>-309.83800000000002</v>
          </cell>
          <cell r="AC267">
            <v>-209.589</v>
          </cell>
          <cell r="AD267">
            <v>-245.50399999999999</v>
          </cell>
          <cell r="AE267">
            <v>124.813</v>
          </cell>
          <cell r="AF267">
            <v>-414.48500000000001</v>
          </cell>
          <cell r="AG267">
            <v>-329.69900000000001</v>
          </cell>
          <cell r="AH267">
            <v>-252.30099999999999</v>
          </cell>
          <cell r="AI267">
            <v>-336.09699999999998</v>
          </cell>
          <cell r="AJ267">
            <v>240.67</v>
          </cell>
          <cell r="AK267">
            <v>324.363</v>
          </cell>
          <cell r="AL267">
            <v>-328.642</v>
          </cell>
          <cell r="AM267">
            <v>164.47200000000001</v>
          </cell>
          <cell r="AN267">
            <v>-239.90372554121831</v>
          </cell>
          <cell r="AO267">
            <v>-273.01378021173656</v>
          </cell>
          <cell r="AP267">
            <v>-220.44997939246724</v>
          </cell>
          <cell r="AQ267">
            <v>-165.16571315701736</v>
          </cell>
        </row>
        <row r="268">
          <cell r="B268" t="str">
            <v>Minority interest</v>
          </cell>
          <cell r="C268" t="str">
            <v>INC_MINORITY</v>
          </cell>
          <cell r="D268" t="str">
            <v>CNY</v>
          </cell>
          <cell r="N268">
            <v>-237.53999999999996</v>
          </cell>
          <cell r="O268">
            <v>-226.23500000000013</v>
          </cell>
          <cell r="P268">
            <v>-182.92699999999968</v>
          </cell>
          <cell r="Q268">
            <v>-236.34099999999989</v>
          </cell>
          <cell r="R268">
            <v>-75.979000000000042</v>
          </cell>
          <cell r="S268">
            <v>-94.15900000000056</v>
          </cell>
          <cell r="T268">
            <v>-532.38500000000022</v>
          </cell>
          <cell r="U268">
            <v>-949.54899999999998</v>
          </cell>
          <cell r="V268">
            <v>-818.17000000000007</v>
          </cell>
          <cell r="W268">
            <v>-34.322000000000116</v>
          </cell>
          <cell r="X268">
            <v>0</v>
          </cell>
          <cell r="Y268">
            <v>0</v>
          </cell>
          <cell r="Z268">
            <v>0</v>
          </cell>
          <cell r="AB268">
            <v>-111.64200000000005</v>
          </cell>
          <cell r="AC268">
            <v>-310.31500000000005</v>
          </cell>
          <cell r="AD268">
            <v>-140.42700000000013</v>
          </cell>
          <cell r="AE268">
            <v>-387.16499999999996</v>
          </cell>
          <cell r="AF268">
            <v>-103.846</v>
          </cell>
          <cell r="AG268">
            <v>-146.50299999999993</v>
          </cell>
          <cell r="AH268">
            <v>-139.05799999999999</v>
          </cell>
          <cell r="AI268">
            <v>-428.76300000000015</v>
          </cell>
          <cell r="AJ268">
            <v>-98.074999999999818</v>
          </cell>
          <cell r="AK268">
            <v>134.69500000000016</v>
          </cell>
          <cell r="AL268">
            <v>16.066999999999894</v>
          </cell>
          <cell r="AM268">
            <v>-87.009000000000071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</row>
        <row r="269">
          <cell r="B269" t="str">
            <v>Net income (pre-preferred dividends)</v>
          </cell>
          <cell r="C269" t="str">
            <v>NI_PRE_PREF</v>
          </cell>
          <cell r="D269" t="str">
            <v>CNY</v>
          </cell>
          <cell r="N269">
            <v>2458.1210000000028</v>
          </cell>
          <cell r="O269">
            <v>3250.2470000000026</v>
          </cell>
          <cell r="P269">
            <v>2060.1660000000088</v>
          </cell>
          <cell r="Q269">
            <v>-2840.9620000000004</v>
          </cell>
          <cell r="R269">
            <v>1357.6569999999883</v>
          </cell>
          <cell r="S269">
            <v>2633.5710000000036</v>
          </cell>
          <cell r="T269">
            <v>3207.884999999992</v>
          </cell>
          <cell r="U269">
            <v>-2357.4180000000129</v>
          </cell>
          <cell r="V269">
            <v>4568.1720000000041</v>
          </cell>
          <cell r="W269">
            <v>-6983.6620000000166</v>
          </cell>
          <cell r="X269">
            <v>3792.5458770725468</v>
          </cell>
          <cell r="Y269">
            <v>5258.5277919236432</v>
          </cell>
          <cell r="Z269">
            <v>38994.409872991921</v>
          </cell>
          <cell r="AB269">
            <v>729.44941189999963</v>
          </cell>
          <cell r="AC269">
            <v>342.3962716250004</v>
          </cell>
          <cell r="AD269">
            <v>-385.93100000000015</v>
          </cell>
          <cell r="AE269">
            <v>-262.35199999999998</v>
          </cell>
          <cell r="AF269">
            <v>-518.33100000000002</v>
          </cell>
          <cell r="AG269">
            <v>-476.20199999999994</v>
          </cell>
          <cell r="AH269">
            <v>-391.35899999999998</v>
          </cell>
          <cell r="AI269">
            <v>-764.86000000000013</v>
          </cell>
          <cell r="AJ269">
            <v>142.59500000000017</v>
          </cell>
          <cell r="AK269">
            <v>459.05800000000016</v>
          </cell>
          <cell r="AL269">
            <v>-312.5750000000001</v>
          </cell>
          <cell r="AM269">
            <v>77.462999999999937</v>
          </cell>
          <cell r="AN269">
            <v>-239.90372554121831</v>
          </cell>
          <cell r="AO269">
            <v>-273.01378021173656</v>
          </cell>
          <cell r="AP269">
            <v>-220.44997939246724</v>
          </cell>
          <cell r="AQ269">
            <v>-165.16571315701736</v>
          </cell>
        </row>
        <row r="270">
          <cell r="B270" t="str">
            <v>Preferred dividends</v>
          </cell>
          <cell r="C270" t="str">
            <v>PREF_DIV</v>
          </cell>
          <cell r="D270" t="str">
            <v>CNY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B271" t="str">
            <v>Net income (pre-exceptionals)</v>
          </cell>
          <cell r="C271" t="str">
            <v>NET_EARNING</v>
          </cell>
          <cell r="D271" t="str">
            <v>CNY</v>
          </cell>
          <cell r="N271">
            <v>2458.1210000000028</v>
          </cell>
          <cell r="O271">
            <v>3250.2470000000026</v>
          </cell>
          <cell r="P271">
            <v>2060.1660000000088</v>
          </cell>
          <cell r="Q271">
            <v>-2840.9620000000004</v>
          </cell>
          <cell r="R271">
            <v>1357.6569999999883</v>
          </cell>
          <cell r="S271">
            <v>2633.5710000000036</v>
          </cell>
          <cell r="T271">
            <v>3207.884999999992</v>
          </cell>
          <cell r="U271">
            <v>-2357.4180000000129</v>
          </cell>
          <cell r="V271">
            <v>4568.1720000000041</v>
          </cell>
          <cell r="W271">
            <v>-6983.6620000000166</v>
          </cell>
          <cell r="X271">
            <v>3792.5458770725468</v>
          </cell>
          <cell r="Y271">
            <v>5258.5277919236432</v>
          </cell>
          <cell r="Z271">
            <v>38994.409872991921</v>
          </cell>
          <cell r="AB271">
            <v>729.44941189999963</v>
          </cell>
          <cell r="AC271">
            <v>342.3962716250004</v>
          </cell>
          <cell r="AD271">
            <v>-385.93100000000015</v>
          </cell>
          <cell r="AE271">
            <v>-262.35199999999998</v>
          </cell>
          <cell r="AF271">
            <v>-518.33100000000002</v>
          </cell>
          <cell r="AG271">
            <v>-476.20199999999994</v>
          </cell>
          <cell r="AH271">
            <v>-391.35899999999998</v>
          </cell>
          <cell r="AI271">
            <v>-764.86000000000013</v>
          </cell>
          <cell r="AJ271">
            <v>142.59500000000017</v>
          </cell>
          <cell r="AK271">
            <v>459.05800000000016</v>
          </cell>
          <cell r="AL271">
            <v>-312.5750000000001</v>
          </cell>
          <cell r="AM271">
            <v>77.462999999999937</v>
          </cell>
          <cell r="AN271">
            <v>-239.90372554121831</v>
          </cell>
          <cell r="AO271">
            <v>-273.01378021173656</v>
          </cell>
          <cell r="AP271">
            <v>-220.44997939246724</v>
          </cell>
          <cell r="AQ271">
            <v>-165.16571315701736</v>
          </cell>
        </row>
        <row r="272">
          <cell r="B272" t="str">
            <v>Post-tax exceptionals</v>
          </cell>
          <cell r="C272" t="str">
            <v>TAX_EXC</v>
          </cell>
          <cell r="D272" t="str">
            <v>CNY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B273" t="str">
            <v>Net income (post-exceptionals)</v>
          </cell>
          <cell r="C273" t="str">
            <v>NET_INC</v>
          </cell>
          <cell r="D273" t="str">
            <v>CNY</v>
          </cell>
          <cell r="N273">
            <v>2458.1210000000028</v>
          </cell>
          <cell r="O273">
            <v>3250.2470000000026</v>
          </cell>
          <cell r="P273">
            <v>2060.1660000000088</v>
          </cell>
          <cell r="Q273">
            <v>-2840.9620000000004</v>
          </cell>
          <cell r="R273">
            <v>1357.6569999999883</v>
          </cell>
          <cell r="S273">
            <v>2633.5710000000036</v>
          </cell>
          <cell r="T273">
            <v>3207.884999999992</v>
          </cell>
          <cell r="U273">
            <v>-2357.4180000000129</v>
          </cell>
          <cell r="V273">
            <v>4568.1720000000041</v>
          </cell>
          <cell r="W273">
            <v>-6983.6620000000166</v>
          </cell>
          <cell r="X273">
            <v>3792.5458770725468</v>
          </cell>
          <cell r="Y273">
            <v>5258.5277919236432</v>
          </cell>
          <cell r="Z273">
            <v>38994.409872991921</v>
          </cell>
          <cell r="AB273">
            <v>729.44941189999963</v>
          </cell>
          <cell r="AC273">
            <v>342.3962716250004</v>
          </cell>
          <cell r="AD273">
            <v>-385.93100000000015</v>
          </cell>
          <cell r="AE273">
            <v>-262.35199999999998</v>
          </cell>
          <cell r="AF273">
            <v>-518.33100000000002</v>
          </cell>
          <cell r="AG273">
            <v>-476.20199999999994</v>
          </cell>
          <cell r="AH273">
            <v>-391.35899999999998</v>
          </cell>
          <cell r="AI273">
            <v>-764.86000000000013</v>
          </cell>
          <cell r="AJ273">
            <v>142.59500000000017</v>
          </cell>
          <cell r="AK273">
            <v>459.05800000000016</v>
          </cell>
          <cell r="AL273">
            <v>-312.5750000000001</v>
          </cell>
          <cell r="AM273">
            <v>77.462999999999937</v>
          </cell>
          <cell r="AN273">
            <v>-239.90372554121831</v>
          </cell>
          <cell r="AO273">
            <v>-273.01378021173656</v>
          </cell>
          <cell r="AP273">
            <v>-220.44997939246724</v>
          </cell>
          <cell r="AQ273">
            <v>-165.16571315701736</v>
          </cell>
        </row>
        <row r="274">
          <cell r="B274" t="str">
            <v>EPS (pre-exceptionals, basic)</v>
          </cell>
          <cell r="C274" t="str">
            <v>EPS</v>
          </cell>
          <cell r="D274" t="str">
            <v>CNY</v>
          </cell>
          <cell r="N274">
            <v>1.4000000000000015</v>
          </cell>
          <cell r="O274">
            <v>1.1700000000000008</v>
          </cell>
          <cell r="P274">
            <v>0.61000000000000254</v>
          </cell>
          <cell r="Q274">
            <v>-0.83000000000000007</v>
          </cell>
          <cell r="R274">
            <v>0.38999999999999668</v>
          </cell>
          <cell r="S274">
            <v>0.77000000000000102</v>
          </cell>
          <cell r="T274">
            <v>0.77999999999999803</v>
          </cell>
          <cell r="U274">
            <v>-0.57000000000000295</v>
          </cell>
          <cell r="V274">
            <v>1.0900000000000012</v>
          </cell>
          <cell r="W274">
            <v>-1.665673346257474</v>
          </cell>
          <cell r="X274">
            <v>0.90456018374004932</v>
          </cell>
          <cell r="Y274">
            <v>1.2542115559947431</v>
          </cell>
          <cell r="Z274">
            <v>9.3005573835735156</v>
          </cell>
          <cell r="AB274">
            <v>0.1763735429113546</v>
          </cell>
          <cell r="AC274">
            <v>8.2787980250532647E-2</v>
          </cell>
          <cell r="AD274">
            <v>-9.3314240410483015E-2</v>
          </cell>
          <cell r="AE274">
            <v>-6.3434079149306558E-2</v>
          </cell>
          <cell r="AF274">
            <v>-0.12367765268032817</v>
          </cell>
          <cell r="AG274">
            <v>-0.11362535823957592</v>
          </cell>
          <cell r="AH274">
            <v>-9.3381183983440211E-2</v>
          </cell>
          <cell r="AI274">
            <v>-0.18250131562471822</v>
          </cell>
          <cell r="AJ274">
            <v>3.401033595405737E-2</v>
          </cell>
          <cell r="AK274">
            <v>0.10948993164134546</v>
          </cell>
          <cell r="AL274">
            <v>-7.4552268739012412E-2</v>
          </cell>
          <cell r="AM274">
            <v>1.8475701490298684E-2</v>
          </cell>
          <cell r="AN274">
            <v>-5.7219441791695358E-2</v>
          </cell>
          <cell r="AO274">
            <v>-6.5116521512593922E-2</v>
          </cell>
          <cell r="AP274">
            <v>-5.2579528456136795E-2</v>
          </cell>
          <cell r="AQ274">
            <v>-3.9393677145493376E-2</v>
          </cell>
        </row>
        <row r="275">
          <cell r="B275" t="str">
            <v>EPS (pre-exceptionals, diluted)</v>
          </cell>
          <cell r="C275" t="str">
            <v>EPS_FUL_DIL</v>
          </cell>
          <cell r="D275" t="str">
            <v>CNY</v>
          </cell>
          <cell r="N275">
            <v>1.3500000000000016</v>
          </cell>
          <cell r="O275">
            <v>1.150000000000001</v>
          </cell>
          <cell r="P275">
            <v>0.61000000000000254</v>
          </cell>
          <cell r="Q275">
            <v>-0.83000000000000007</v>
          </cell>
          <cell r="R275">
            <v>0.38999999999999668</v>
          </cell>
          <cell r="S275">
            <v>0.77000000000000102</v>
          </cell>
          <cell r="T275">
            <v>0.76999999999999802</v>
          </cell>
          <cell r="U275">
            <v>-0.57000000000000295</v>
          </cell>
          <cell r="V275">
            <v>1.0800000000000012</v>
          </cell>
          <cell r="W275">
            <v>-1.665673346257474</v>
          </cell>
          <cell r="X275">
            <v>0.90456018374004932</v>
          </cell>
          <cell r="Y275">
            <v>1.2542115559947431</v>
          </cell>
          <cell r="Z275">
            <v>9.3005573835735156</v>
          </cell>
          <cell r="AB275">
            <v>0.1763735429113546</v>
          </cell>
          <cell r="AC275">
            <v>8.2787980250532647E-2</v>
          </cell>
          <cell r="AD275">
            <v>-9.3314240410483015E-2</v>
          </cell>
          <cell r="AE275">
            <v>-6.3434079149306558E-2</v>
          </cell>
          <cell r="AF275">
            <v>-0.12367765268032817</v>
          </cell>
          <cell r="AG275">
            <v>-0.11362535823957592</v>
          </cell>
          <cell r="AH275">
            <v>-9.3381183983440211E-2</v>
          </cell>
          <cell r="AI275">
            <v>-0.18250131562471822</v>
          </cell>
          <cell r="AJ275">
            <v>3.401033595405737E-2</v>
          </cell>
          <cell r="AK275">
            <v>0.10948993164134546</v>
          </cell>
          <cell r="AL275">
            <v>-7.4552268739012412E-2</v>
          </cell>
          <cell r="AM275">
            <v>1.8475701490298684E-2</v>
          </cell>
          <cell r="AN275">
            <v>-5.7219441791695358E-2</v>
          </cell>
          <cell r="AO275">
            <v>-6.5116521512593922E-2</v>
          </cell>
          <cell r="AP275">
            <v>-5.2579528456136795E-2</v>
          </cell>
          <cell r="AQ275">
            <v>-3.9393677145493376E-2</v>
          </cell>
        </row>
        <row r="276">
          <cell r="B276" t="str">
            <v>EPS (post-exceptionals, basic)</v>
          </cell>
          <cell r="C276" t="str">
            <v>EPS_POST_BASIC</v>
          </cell>
          <cell r="D276" t="str">
            <v>CNY</v>
          </cell>
          <cell r="N276">
            <v>1.4000000000000015</v>
          </cell>
          <cell r="O276">
            <v>1.1700000000000008</v>
          </cell>
          <cell r="P276">
            <v>0.61000000000000254</v>
          </cell>
          <cell r="Q276">
            <v>-0.83000000000000007</v>
          </cell>
          <cell r="R276">
            <v>0.38999999999999668</v>
          </cell>
          <cell r="S276">
            <v>0.77000000000000102</v>
          </cell>
          <cell r="T276">
            <v>0.77999999999999803</v>
          </cell>
          <cell r="U276">
            <v>-0.57000000000000295</v>
          </cell>
          <cell r="V276">
            <v>1.0900000000000012</v>
          </cell>
          <cell r="W276">
            <v>-1.665673346257474</v>
          </cell>
          <cell r="X276">
            <v>0.90456018374004932</v>
          </cell>
          <cell r="Y276">
            <v>1.2542115559947431</v>
          </cell>
          <cell r="Z276">
            <v>9.3005573835735156</v>
          </cell>
          <cell r="AB276">
            <v>0.1763735429113546</v>
          </cell>
          <cell r="AC276">
            <v>8.2787980250532647E-2</v>
          </cell>
          <cell r="AD276">
            <v>-9.3314240410483015E-2</v>
          </cell>
          <cell r="AE276">
            <v>-6.3434079149306558E-2</v>
          </cell>
          <cell r="AF276">
            <v>-0.12367765268032817</v>
          </cell>
          <cell r="AG276">
            <v>-0.11362535823957592</v>
          </cell>
          <cell r="AH276">
            <v>-9.3381183983440211E-2</v>
          </cell>
          <cell r="AI276">
            <v>-0.18250131562471822</v>
          </cell>
          <cell r="AJ276">
            <v>3.401033595405737E-2</v>
          </cell>
          <cell r="AK276">
            <v>0.10948993164134546</v>
          </cell>
          <cell r="AL276">
            <v>-7.4552268739012412E-2</v>
          </cell>
          <cell r="AM276">
            <v>1.8475701490298684E-2</v>
          </cell>
          <cell r="AN276">
            <v>-5.7219441791695358E-2</v>
          </cell>
          <cell r="AO276">
            <v>-6.5116521512593922E-2</v>
          </cell>
          <cell r="AP276">
            <v>-5.2579528456136795E-2</v>
          </cell>
          <cell r="AQ276">
            <v>-3.9393677145493376E-2</v>
          </cell>
        </row>
        <row r="277">
          <cell r="B277" t="str">
            <v>EPS (post-exceptionals, diluted)</v>
          </cell>
          <cell r="C277" t="str">
            <v>FULLY_DIL_EPS</v>
          </cell>
          <cell r="D277" t="str">
            <v>CNY</v>
          </cell>
          <cell r="N277">
            <v>1.3500000000000016</v>
          </cell>
          <cell r="O277">
            <v>1.150000000000001</v>
          </cell>
          <cell r="P277">
            <v>0.61000000000000254</v>
          </cell>
          <cell r="Q277">
            <v>-0.83000000000000007</v>
          </cell>
          <cell r="R277">
            <v>0.38999999999999668</v>
          </cell>
          <cell r="S277">
            <v>0.77000000000000102</v>
          </cell>
          <cell r="T277">
            <v>0.76999999999999802</v>
          </cell>
          <cell r="U277">
            <v>-0.57000000000000295</v>
          </cell>
          <cell r="V277">
            <v>1.0800000000000012</v>
          </cell>
          <cell r="W277">
            <v>-1.665673346257474</v>
          </cell>
          <cell r="X277">
            <v>0.90456018374004932</v>
          </cell>
          <cell r="Y277">
            <v>1.2542115559947431</v>
          </cell>
          <cell r="Z277">
            <v>9.3005573835735156</v>
          </cell>
          <cell r="AB277">
            <v>0.1763735429113546</v>
          </cell>
          <cell r="AC277">
            <v>8.2787980250532647E-2</v>
          </cell>
          <cell r="AD277">
            <v>-9.3314240410483015E-2</v>
          </cell>
          <cell r="AE277">
            <v>-6.3434079149306558E-2</v>
          </cell>
          <cell r="AF277">
            <v>-0.12367765268032817</v>
          </cell>
          <cell r="AG277">
            <v>-0.11362535823957592</v>
          </cell>
          <cell r="AH277">
            <v>-9.3381183983440211E-2</v>
          </cell>
          <cell r="AI277">
            <v>-0.18250131562471822</v>
          </cell>
          <cell r="AJ277">
            <v>3.401033595405737E-2</v>
          </cell>
          <cell r="AK277">
            <v>0.10948993164134546</v>
          </cell>
          <cell r="AL277">
            <v>-7.4552268739012412E-2</v>
          </cell>
          <cell r="AM277">
            <v>1.8475701490298684E-2</v>
          </cell>
          <cell r="AN277">
            <v>-5.7219441791695358E-2</v>
          </cell>
          <cell r="AO277">
            <v>-6.5116521512593922E-2</v>
          </cell>
          <cell r="AP277">
            <v>-5.2579528456136795E-2</v>
          </cell>
          <cell r="AQ277">
            <v>-3.9393677145493376E-2</v>
          </cell>
        </row>
        <row r="278">
          <cell r="B278" t="str">
            <v>Common dividends paid</v>
          </cell>
          <cell r="C278" t="str">
            <v>COMMON_DIV_PAID</v>
          </cell>
          <cell r="D278" t="str">
            <v>CNY</v>
          </cell>
          <cell r="N278">
            <v>552.4</v>
          </cell>
          <cell r="O278">
            <v>841.3</v>
          </cell>
          <cell r="P278">
            <v>686.19</v>
          </cell>
          <cell r="Q278">
            <v>0</v>
          </cell>
          <cell r="R278">
            <v>103.126</v>
          </cell>
          <cell r="S278">
            <v>687.5</v>
          </cell>
          <cell r="T278">
            <v>1038.4000000000001</v>
          </cell>
          <cell r="U278">
            <v>0</v>
          </cell>
          <cell r="V278">
            <v>1383.6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</row>
        <row r="279">
          <cell r="B279" t="str">
            <v>DPS, dividend per share</v>
          </cell>
          <cell r="C279" t="str">
            <v>DPS</v>
          </cell>
          <cell r="D279" t="str">
            <v>CNY</v>
          </cell>
          <cell r="N279">
            <v>0.3</v>
          </cell>
          <cell r="O279">
            <v>0.3</v>
          </cell>
          <cell r="P279">
            <v>0.16669999999999999</v>
          </cell>
          <cell r="Q279">
            <v>0</v>
          </cell>
          <cell r="R279">
            <v>2.5000000000000001E-2</v>
          </cell>
          <cell r="S279">
            <v>0.16669999999999999</v>
          </cell>
          <cell r="T279">
            <v>0.25</v>
          </cell>
          <cell r="U279">
            <v>0</v>
          </cell>
          <cell r="V279">
            <v>0.33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</row>
        <row r="280">
          <cell r="B280" t="str">
            <v>Weighted average shares outstanding, basic</v>
          </cell>
          <cell r="C280" t="str">
            <v>SH</v>
          </cell>
          <cell r="N280">
            <v>1755.8007142857145</v>
          </cell>
          <cell r="O280">
            <v>2777.9888888888891</v>
          </cell>
          <cell r="P280">
            <v>3377.3213114754103</v>
          </cell>
          <cell r="Q280">
            <v>3422.8457831325304</v>
          </cell>
          <cell r="R280">
            <v>3481.1717948717946</v>
          </cell>
          <cell r="S280">
            <v>3420.2220779220779</v>
          </cell>
          <cell r="T280">
            <v>4112.6730769230771</v>
          </cell>
          <cell r="U280">
            <v>4135.8210526315797</v>
          </cell>
          <cell r="V280">
            <v>4190.9834862385314</v>
          </cell>
          <cell r="W280">
            <v>4192.6960143123442</v>
          </cell>
          <cell r="X280">
            <v>4192.6960143123442</v>
          </cell>
          <cell r="Y280">
            <v>4192.6960143123442</v>
          </cell>
          <cell r="Z280">
            <v>4192.6960143123442</v>
          </cell>
          <cell r="AB280">
            <v>4135.8210526315797</v>
          </cell>
          <cell r="AC280">
            <v>4135.8210526315797</v>
          </cell>
          <cell r="AD280">
            <v>4135.8210526315797</v>
          </cell>
          <cell r="AE280">
            <v>4135.8210526315797</v>
          </cell>
          <cell r="AF280">
            <v>4190.9834862385314</v>
          </cell>
          <cell r="AG280">
            <v>4190.9834862385314</v>
          </cell>
          <cell r="AH280">
            <v>4190.9834862385314</v>
          </cell>
          <cell r="AI280">
            <v>4190.9834862385314</v>
          </cell>
          <cell r="AJ280">
            <v>4192.6960143123442</v>
          </cell>
          <cell r="AK280">
            <v>4192.6960143123442</v>
          </cell>
          <cell r="AL280">
            <v>4192.6960143123442</v>
          </cell>
          <cell r="AM280">
            <v>4192.6960143123442</v>
          </cell>
          <cell r="AN280">
            <v>4192.6960143123442</v>
          </cell>
          <cell r="AO280">
            <v>4192.6960143123442</v>
          </cell>
          <cell r="AP280">
            <v>4192.6960143123442</v>
          </cell>
          <cell r="AQ280">
            <v>4192.6960143123442</v>
          </cell>
        </row>
        <row r="281">
          <cell r="B281" t="str">
            <v>Diluted average shares outstanding (mn)</v>
          </cell>
          <cell r="C281" t="str">
            <v>DILUTE_SHARES</v>
          </cell>
          <cell r="N281">
            <v>1820.8303703703702</v>
          </cell>
          <cell r="O281">
            <v>2826.3017391304347</v>
          </cell>
          <cell r="P281">
            <v>3377.3213114754103</v>
          </cell>
          <cell r="Q281">
            <v>3422.8457831325304</v>
          </cell>
          <cell r="R281">
            <v>3481.1717948717946</v>
          </cell>
          <cell r="S281">
            <v>3420.2220779220779</v>
          </cell>
          <cell r="T281">
            <v>4166.0844155844161</v>
          </cell>
          <cell r="U281">
            <v>4135.8210526315797</v>
          </cell>
          <cell r="V281">
            <v>4229.7888888888883</v>
          </cell>
          <cell r="W281">
            <v>4192.6960143123442</v>
          </cell>
          <cell r="X281">
            <v>4192.6960143123442</v>
          </cell>
          <cell r="Y281">
            <v>4192.6960143123442</v>
          </cell>
          <cell r="Z281">
            <v>4192.6960143123442</v>
          </cell>
          <cell r="AB281">
            <v>4135.8210526315797</v>
          </cell>
          <cell r="AC281">
            <v>4135.8210526315797</v>
          </cell>
          <cell r="AD281">
            <v>4135.8210526315797</v>
          </cell>
          <cell r="AE281">
            <v>4135.8210526315797</v>
          </cell>
          <cell r="AF281">
            <v>4229.7888888888883</v>
          </cell>
          <cell r="AG281">
            <v>4229.7888888888883</v>
          </cell>
          <cell r="AH281">
            <v>4229.7888888888883</v>
          </cell>
          <cell r="AI281">
            <v>4229.7888888888883</v>
          </cell>
          <cell r="AJ281">
            <v>4192.6960143123442</v>
          </cell>
          <cell r="AK281">
            <v>4192.6960143123442</v>
          </cell>
          <cell r="AL281">
            <v>4192.6960143123442</v>
          </cell>
          <cell r="AM281">
            <v>4192.6960143123442</v>
          </cell>
          <cell r="AN281">
            <v>4192.6960143123442</v>
          </cell>
          <cell r="AO281">
            <v>4192.6960143123442</v>
          </cell>
          <cell r="AP281">
            <v>4192.6960143123442</v>
          </cell>
          <cell r="AQ281">
            <v>4192.6960143123442</v>
          </cell>
        </row>
        <row r="282">
          <cell r="B282" t="str">
            <v>Period-end shares outstanding</v>
          </cell>
          <cell r="C282" t="str">
            <v>NON_OP_ADD</v>
          </cell>
          <cell r="N282">
            <v>1831.336</v>
          </cell>
          <cell r="O282">
            <v>2866.732</v>
          </cell>
          <cell r="P282">
            <v>3440.078</v>
          </cell>
          <cell r="Q282">
            <v>3440.078</v>
          </cell>
          <cell r="R282">
            <v>3437.5410000000002</v>
          </cell>
          <cell r="S282">
            <v>3437.5410000000002</v>
          </cell>
          <cell r="T282">
            <v>4150.7910000000002</v>
          </cell>
          <cell r="U282">
            <v>4184.6279999999997</v>
          </cell>
          <cell r="V282">
            <v>4192.6719999999996</v>
          </cell>
          <cell r="W282">
            <v>4192.6719999999996</v>
          </cell>
          <cell r="X282">
            <v>4192.6719999999996</v>
          </cell>
          <cell r="Y282">
            <v>4192.6719999999996</v>
          </cell>
          <cell r="Z282">
            <v>4192.6719999999996</v>
          </cell>
        </row>
        <row r="283">
          <cell r="A283" t="str">
            <v>Additional Income Statement Items</v>
          </cell>
        </row>
        <row r="284">
          <cell r="B284" t="str">
            <v>Marginal tax rate</v>
          </cell>
          <cell r="C284" t="str">
            <v>MARGIN_TAX_RATE</v>
          </cell>
          <cell r="N284">
            <v>0.18921197494422123</v>
          </cell>
          <cell r="O284">
            <v>0.20267850037188653</v>
          </cell>
          <cell r="P284">
            <v>0.14877524347889445</v>
          </cell>
          <cell r="Q284">
            <v>0.31334257765227919</v>
          </cell>
          <cell r="R284">
            <v>0.2156678664414832</v>
          </cell>
          <cell r="S284">
            <v>0.22906759383667841</v>
          </cell>
          <cell r="T284">
            <v>0.13088365556477793</v>
          </cell>
          <cell r="U284">
            <v>0.83375729891592465</v>
          </cell>
          <cell r="V284">
            <v>0.19833264969212333</v>
          </cell>
          <cell r="W284">
            <v>5.4537677394760384E-2</v>
          </cell>
          <cell r="X284">
            <v>0.19154083396699373</v>
          </cell>
          <cell r="Y284">
            <v>0.19154083396699362</v>
          </cell>
          <cell r="Z284">
            <v>0.19154083396699403</v>
          </cell>
          <cell r="AB284">
            <v>0.22599581324444382</v>
          </cell>
          <cell r="AC284">
            <v>0.1567851668660247</v>
          </cell>
          <cell r="AD284">
            <v>0.16605824727868448</v>
          </cell>
          <cell r="AE284">
            <v>2.5194627401592222E-2</v>
          </cell>
          <cell r="AF284">
            <v>0.23931861302194421</v>
          </cell>
          <cell r="AG284">
            <v>0.21196210514946687</v>
          </cell>
          <cell r="AH284">
            <v>0.12595250266580935</v>
          </cell>
          <cell r="AI284">
            <v>0.23529943012363652</v>
          </cell>
          <cell r="AJ284">
            <v>4.3365276642608273E-2</v>
          </cell>
          <cell r="AK284">
            <v>0.11278225291906047</v>
          </cell>
          <cell r="AL284">
            <v>0.37471637618266856</v>
          </cell>
          <cell r="AM284">
            <v>0.19154083396699345</v>
          </cell>
          <cell r="AN284">
            <v>0.19154083396699345</v>
          </cell>
          <cell r="AO284">
            <v>0.19154083396699345</v>
          </cell>
          <cell r="AP284">
            <v>0.19154083396699345</v>
          </cell>
          <cell r="AQ284">
            <v>0.19154083396699345</v>
          </cell>
        </row>
        <row r="285">
          <cell r="B285" t="str">
            <v>Net income (consensus) (Pub)</v>
          </cell>
          <cell r="C285" t="str">
            <v>NI_CONS</v>
          </cell>
          <cell r="D285" t="str">
            <v>CNY</v>
          </cell>
        </row>
        <row r="286">
          <cell r="A286" t="str">
            <v>Balance Sheet</v>
          </cell>
        </row>
        <row r="287">
          <cell r="B287" t="str">
            <v>BVPS, book value per share</v>
          </cell>
          <cell r="C287" t="str">
            <v>BVPS</v>
          </cell>
          <cell r="D287" t="str">
            <v>CNY</v>
          </cell>
          <cell r="N287">
            <v>9.1874276484490007</v>
          </cell>
          <cell r="O287">
            <v>8.0558182627465698</v>
          </cell>
          <cell r="P287">
            <v>7.043944061733483</v>
          </cell>
          <cell r="Q287">
            <v>6.2505774578367106</v>
          </cell>
          <cell r="R287">
            <v>6.5548739636850879</v>
          </cell>
          <cell r="S287">
            <v>7.2373170240005864</v>
          </cell>
          <cell r="T287">
            <v>7.1456486245633668</v>
          </cell>
          <cell r="U287">
            <v>6.3090795645395499</v>
          </cell>
          <cell r="V287">
            <v>7.5481399451233013</v>
          </cell>
          <cell r="W287">
            <v>5.4613325344792063</v>
          </cell>
          <cell r="X287">
            <v>6.3658978992567405</v>
          </cell>
          <cell r="Y287">
            <v>7.6201166389825383</v>
          </cell>
          <cell r="Z287">
            <v>32.339278522903896</v>
          </cell>
        </row>
        <row r="288">
          <cell r="A288" t="str">
            <v>Cash Flow Statement</v>
          </cell>
        </row>
        <row r="289">
          <cell r="B289" t="str">
            <v>Net income (pre-preferred dividends)</v>
          </cell>
          <cell r="C289" t="str">
            <v>CF_NI_PRE_PREF</v>
          </cell>
          <cell r="D289" t="str">
            <v>CNY</v>
          </cell>
          <cell r="N289">
            <v>2458.1210000000001</v>
          </cell>
          <cell r="O289">
            <v>3250.2469999999998</v>
          </cell>
          <cell r="P289">
            <v>2060.1660000000002</v>
          </cell>
          <cell r="Q289">
            <v>-2840.962</v>
          </cell>
          <cell r="R289">
            <v>1357.6569999999999</v>
          </cell>
          <cell r="S289">
            <v>2633.5709999999999</v>
          </cell>
          <cell r="T289">
            <v>3207.8850000000002</v>
          </cell>
          <cell r="U289">
            <v>-2357.4180000000001</v>
          </cell>
          <cell r="V289">
            <v>4568.1719999999996</v>
          </cell>
          <cell r="W289">
            <v>-6983.6620000000003</v>
          </cell>
          <cell r="X289">
            <v>3792.5458770725504</v>
          </cell>
          <cell r="Y289">
            <v>5258.5277919236432</v>
          </cell>
          <cell r="Z289">
            <v>5735.2430788754464</v>
          </cell>
        </row>
        <row r="290">
          <cell r="A290" t="str">
            <v>Other Items</v>
          </cell>
        </row>
        <row r="291">
          <cell r="B291" t="str">
            <v>Beta</v>
          </cell>
          <cell r="C291" t="str">
            <v>BETA_ANALYST</v>
          </cell>
        </row>
        <row r="292">
          <cell r="B292" t="str">
            <v>Market equity risk premium</v>
          </cell>
          <cell r="C292" t="str">
            <v>MKT_EQ_RISK_PREM</v>
          </cell>
        </row>
        <row r="293">
          <cell r="B293" t="str">
            <v>Risk-free rate</v>
          </cell>
          <cell r="C293" t="str">
            <v>RISK_FR_RATE</v>
          </cell>
        </row>
        <row r="294">
          <cell r="A294" t="str">
            <v>Security: ZTE Corp. (A)</v>
          </cell>
        </row>
        <row r="295">
          <cell r="A295" t="str">
            <v>Reference Data</v>
          </cell>
        </row>
        <row r="296">
          <cell r="B296" t="str">
            <v>Ticker</v>
          </cell>
          <cell r="C296" t="str">
            <v>Ticker</v>
          </cell>
          <cell r="E296" t="str">
            <v>000063.SZ</v>
          </cell>
        </row>
        <row r="297">
          <cell r="B297" t="str">
            <v>Security Name</v>
          </cell>
          <cell r="C297" t="str">
            <v>Security Name</v>
          </cell>
          <cell r="E297" t="str">
            <v>ZTE Corp. (A)</v>
          </cell>
        </row>
        <row r="298">
          <cell r="B298" t="str">
            <v>Interim Type</v>
          </cell>
          <cell r="C298" t="str">
            <v>Interim Type</v>
          </cell>
          <cell r="E298" t="str">
            <v>Q</v>
          </cell>
        </row>
        <row r="299">
          <cell r="B299" t="str">
            <v>Publishing Currency</v>
          </cell>
          <cell r="C299" t="str">
            <v>PUB_CURRENCY_ISO</v>
          </cell>
          <cell r="E299" t="str">
            <v>CNY</v>
          </cell>
        </row>
        <row r="300">
          <cell r="B300" t="str">
            <v>Pricing Currency</v>
          </cell>
          <cell r="C300" t="str">
            <v>PRICE_CURRENCY_ISO</v>
          </cell>
          <cell r="E300" t="str">
            <v>CNY</v>
          </cell>
        </row>
        <row r="301">
          <cell r="B301" t="str">
            <v>Reporting Currency</v>
          </cell>
          <cell r="C301" t="str">
            <v>CURRENCY_ISO</v>
          </cell>
          <cell r="E301" t="str">
            <v>CNY</v>
          </cell>
        </row>
        <row r="302">
          <cell r="A302" t="str">
            <v>General Information</v>
          </cell>
        </row>
        <row r="303">
          <cell r="B303" t="str">
            <v>Asia ex. Japan Investment List</v>
          </cell>
          <cell r="C303" t="str">
            <v>AEJ_LIST</v>
          </cell>
        </row>
        <row r="304">
          <cell r="B304" t="str">
            <v>Asia ex. Japan Conviction List</v>
          </cell>
          <cell r="C304" t="str">
            <v>AEJ_CONVICTION</v>
          </cell>
        </row>
        <row r="305">
          <cell r="B305" t="str">
            <v>Legal rating</v>
          </cell>
          <cell r="C305" t="str">
            <v>LEGAL_RATING</v>
          </cell>
        </row>
        <row r="306">
          <cell r="B306" t="str">
            <v>Target price</v>
          </cell>
          <cell r="C306" t="str">
            <v>TARGET_PRICE</v>
          </cell>
          <cell r="D306" t="str">
            <v>CNY</v>
          </cell>
        </row>
        <row r="307">
          <cell r="B307" t="str">
            <v>Target price period</v>
          </cell>
          <cell r="C307" t="str">
            <v>TP_PERIOD</v>
          </cell>
        </row>
        <row r="308">
          <cell r="B308" t="str">
            <v>Fundamental value</v>
          </cell>
          <cell r="C308" t="str">
            <v>TARGET_PRICE_FUNDAMENTAL</v>
          </cell>
          <cell r="D308" t="str">
            <v>CNY</v>
          </cell>
        </row>
        <row r="309">
          <cell r="B309" t="str">
            <v>M&amp;A value</v>
          </cell>
          <cell r="C309" t="str">
            <v>TARGET_PRICE_MA</v>
          </cell>
          <cell r="D309" t="str">
            <v>CNY</v>
          </cell>
        </row>
        <row r="310">
          <cell r="B310" t="str">
            <v>Current shares outstanding (mn)</v>
          </cell>
          <cell r="C310" t="str">
            <v>NUM_SH</v>
          </cell>
          <cell r="E310">
            <v>4192.6960143123442</v>
          </cell>
        </row>
        <row r="311">
          <cell r="B311" t="str">
            <v>Free float</v>
          </cell>
          <cell r="C311" t="str">
            <v>FREE_FLOAT</v>
          </cell>
        </row>
        <row r="312">
          <cell r="B312" t="str">
            <v>Foreign ownership</v>
          </cell>
          <cell r="C312" t="str">
            <v>FOREIGN_HOLDNG</v>
          </cell>
        </row>
        <row r="313">
          <cell r="B313" t="str">
            <v>Zhongxingxiin</v>
          </cell>
          <cell r="C313" t="str">
            <v>ACT1</v>
          </cell>
        </row>
        <row r="314">
          <cell r="B314" t="str">
            <v>H-shares</v>
          </cell>
          <cell r="C314" t="str">
            <v>ACT2</v>
          </cell>
        </row>
        <row r="315">
          <cell r="B315" t="str">
            <v>Deutsche Bank Aktiengesellschaft</v>
          </cell>
          <cell r="C315" t="str">
            <v>ACT3</v>
          </cell>
        </row>
        <row r="316">
          <cell r="B316" t="str">
            <v>Hunan Nantian</v>
          </cell>
          <cell r="C316" t="str">
            <v>ACT4</v>
          </cell>
        </row>
        <row r="317">
          <cell r="B317" t="str">
            <v>Catalyst 1 date</v>
          </cell>
          <cell r="C317" t="str">
            <v>CATALYST1_DATE</v>
          </cell>
        </row>
        <row r="318">
          <cell r="B318" t="str">
            <v>Catalyst 1 description</v>
          </cell>
          <cell r="C318" t="str">
            <v>CATALYST1_EVENT</v>
          </cell>
        </row>
        <row r="319">
          <cell r="B319" t="str">
            <v>Catalyst 2 date</v>
          </cell>
          <cell r="C319" t="str">
            <v>CATALYST2_DATE</v>
          </cell>
        </row>
        <row r="320">
          <cell r="B320" t="str">
            <v>Catalyst 2 description</v>
          </cell>
          <cell r="C320" t="str">
            <v>CATALYST2_EVENT</v>
          </cell>
        </row>
        <row r="321">
          <cell r="B321" t="str">
            <v>Catalyst 3 date</v>
          </cell>
          <cell r="C321" t="str">
            <v>CATALYST3_DATE</v>
          </cell>
        </row>
        <row r="322">
          <cell r="B322" t="str">
            <v>Catalyst 3 description</v>
          </cell>
          <cell r="C322" t="str">
            <v>CATALYST3_EVENT</v>
          </cell>
        </row>
        <row r="323">
          <cell r="B323" t="str">
            <v>Catalyst 4 date</v>
          </cell>
          <cell r="C323" t="str">
            <v>CATALYST4_DATE</v>
          </cell>
        </row>
        <row r="324">
          <cell r="B324" t="str">
            <v>Catalyst 4 description</v>
          </cell>
          <cell r="C324" t="str">
            <v>CATALYST4_EVENT</v>
          </cell>
        </row>
        <row r="325">
          <cell r="B325" t="str">
            <v>Catalyst 5 date</v>
          </cell>
          <cell r="C325" t="str">
            <v>CATALYST5_DATE</v>
          </cell>
        </row>
        <row r="326">
          <cell r="B326" t="str">
            <v>Catalyst 5 description</v>
          </cell>
          <cell r="C326" t="str">
            <v>CATALYST5_EVENT</v>
          </cell>
        </row>
        <row r="327">
          <cell r="B327" t="str">
            <v>Target price multiple</v>
          </cell>
          <cell r="C327" t="str">
            <v>PRI_TARG_MULT</v>
          </cell>
        </row>
        <row r="328">
          <cell r="B328" t="str">
            <v>Target price methodology</v>
          </cell>
          <cell r="C328" t="str">
            <v>PRI_TARG_METH</v>
          </cell>
        </row>
        <row r="329">
          <cell r="A329" t="str">
            <v>Publishing Items</v>
          </cell>
        </row>
        <row r="330">
          <cell r="B330" t="str">
            <v>Book value per share, BVPS (Pub)</v>
          </cell>
          <cell r="C330" t="str">
            <v>BVPS_PUB</v>
          </cell>
          <cell r="D330" t="str">
            <v>CNY</v>
          </cell>
          <cell r="N330">
            <v>9.1874276484490007</v>
          </cell>
          <cell r="O330">
            <v>8.0558182627465698</v>
          </cell>
          <cell r="P330">
            <v>7.043944061733483</v>
          </cell>
          <cell r="Q330">
            <v>6.2505774578367106</v>
          </cell>
          <cell r="R330">
            <v>6.5548739636850879</v>
          </cell>
          <cell r="S330">
            <v>7.2373170240005864</v>
          </cell>
          <cell r="T330">
            <v>7.1456486245633668</v>
          </cell>
          <cell r="U330">
            <v>6.3090795645395499</v>
          </cell>
          <cell r="V330">
            <v>7.5481399451233013</v>
          </cell>
          <cell r="W330">
            <v>5.4613325344792063</v>
          </cell>
          <cell r="X330">
            <v>6.3658978992567405</v>
          </cell>
          <cell r="Y330">
            <v>7.6201166389825383</v>
          </cell>
          <cell r="Z330">
            <v>32.339278522903896</v>
          </cell>
        </row>
        <row r="331">
          <cell r="B331" t="str">
            <v>DPS, dividend per share (Pub)</v>
          </cell>
          <cell r="C331" t="str">
            <v>DPS_PUB</v>
          </cell>
          <cell r="D331" t="str">
            <v>CNY</v>
          </cell>
          <cell r="N331">
            <v>0.3</v>
          </cell>
          <cell r="O331">
            <v>0.3</v>
          </cell>
          <cell r="P331">
            <v>0.16669999999999999</v>
          </cell>
          <cell r="Q331">
            <v>0</v>
          </cell>
          <cell r="R331">
            <v>2.5000000000000001E-2</v>
          </cell>
          <cell r="S331">
            <v>0.16669999999999999</v>
          </cell>
          <cell r="T331">
            <v>0.25</v>
          </cell>
          <cell r="U331">
            <v>0</v>
          </cell>
          <cell r="V331">
            <v>0.33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</row>
        <row r="332">
          <cell r="B332" t="str">
            <v>Special dividend per share</v>
          </cell>
          <cell r="C332" t="str">
            <v>DPS_SPECIAL_PUB</v>
          </cell>
          <cell r="D332" t="str">
            <v>CNY</v>
          </cell>
        </row>
        <row r="333">
          <cell r="B333" t="str">
            <v>EBITDA (Pub)</v>
          </cell>
          <cell r="C333" t="str">
            <v>EBITDA_PUB</v>
          </cell>
          <cell r="D333" t="str">
            <v>CNY</v>
          </cell>
          <cell r="N333">
            <v>4500.5180000000037</v>
          </cell>
          <cell r="O333">
            <v>4585.5</v>
          </cell>
          <cell r="P333">
            <v>4163.0420000000158</v>
          </cell>
          <cell r="Q333">
            <v>-1816.919000000009</v>
          </cell>
          <cell r="R333">
            <v>3160.2439999999915</v>
          </cell>
          <cell r="S333">
            <v>4885.7989999999991</v>
          </cell>
          <cell r="T333">
            <v>5498.7959999999875</v>
          </cell>
          <cell r="U333">
            <v>4986.5129999999917</v>
          </cell>
          <cell r="V333">
            <v>7346.6670000000013</v>
          </cell>
          <cell r="W333">
            <v>6373.638999999981</v>
          </cell>
          <cell r="X333">
            <v>8911.1465953749866</v>
          </cell>
          <cell r="Y333">
            <v>10645.674193680956</v>
          </cell>
          <cell r="Z333">
            <v>34758.392546425923</v>
          </cell>
          <cell r="AB333">
            <v>1379.2997499999983</v>
          </cell>
          <cell r="AC333">
            <v>1740.7397500000006</v>
          </cell>
          <cell r="AD333">
            <v>927.04675000000134</v>
          </cell>
          <cell r="AE333">
            <v>939.42674999999872</v>
          </cell>
          <cell r="AF333">
            <v>2160.7657500000023</v>
          </cell>
          <cell r="AG333">
            <v>2389.3787499999999</v>
          </cell>
          <cell r="AH333">
            <v>816.66975000000093</v>
          </cell>
          <cell r="AI333">
            <v>1979.8527499999982</v>
          </cell>
          <cell r="AJ333">
            <v>2228.8787499999999</v>
          </cell>
          <cell r="AK333">
            <v>-576.47524999999951</v>
          </cell>
          <cell r="AL333">
            <v>1654.5057500000003</v>
          </cell>
          <cell r="AM333">
            <v>3066.7297500000022</v>
          </cell>
          <cell r="AN333">
            <v>2307.5107768499984</v>
          </cell>
          <cell r="AO333">
            <v>2480.372374999999</v>
          </cell>
          <cell r="AP333">
            <v>2205.9462918999998</v>
          </cell>
          <cell r="AQ333">
            <v>1917.3171516250004</v>
          </cell>
        </row>
        <row r="334">
          <cell r="B334" t="str">
            <v>EPS (Pub)</v>
          </cell>
          <cell r="C334" t="str">
            <v>EPS_PUB</v>
          </cell>
          <cell r="D334" t="str">
            <v>CNY</v>
          </cell>
          <cell r="N334">
            <v>1.4000000000000015</v>
          </cell>
          <cell r="O334">
            <v>1.1700000000000008</v>
          </cell>
          <cell r="P334">
            <v>0.61000000000000254</v>
          </cell>
          <cell r="Q334">
            <v>-0.83000000000000007</v>
          </cell>
          <cell r="R334">
            <v>0.38999999999999668</v>
          </cell>
          <cell r="S334">
            <v>0.77000000000000102</v>
          </cell>
          <cell r="T334">
            <v>0.77999999999999803</v>
          </cell>
          <cell r="U334">
            <v>-0.57000000000000295</v>
          </cell>
          <cell r="V334">
            <v>1.0900000000000012</v>
          </cell>
          <cell r="W334">
            <v>-1.665673346257474</v>
          </cell>
          <cell r="X334">
            <v>0.90456018374004932</v>
          </cell>
          <cell r="Y334">
            <v>1.2542115559947431</v>
          </cell>
          <cell r="Z334">
            <v>9.3005573835735156</v>
          </cell>
          <cell r="AB334">
            <v>0.1763735429113546</v>
          </cell>
          <cell r="AC334">
            <v>8.2787980250532647E-2</v>
          </cell>
          <cell r="AD334">
            <v>-9.3314240410483015E-2</v>
          </cell>
          <cell r="AE334">
            <v>-6.3434079149306558E-2</v>
          </cell>
          <cell r="AF334">
            <v>-0.12367765268032817</v>
          </cell>
          <cell r="AG334">
            <v>-0.11362535823957592</v>
          </cell>
          <cell r="AH334">
            <v>-9.3381183983440211E-2</v>
          </cell>
          <cell r="AI334">
            <v>-0.18250131562471822</v>
          </cell>
          <cell r="AJ334">
            <v>3.401033595405737E-2</v>
          </cell>
          <cell r="AK334">
            <v>0.10948993164134546</v>
          </cell>
          <cell r="AL334">
            <v>-7.4552268739012412E-2</v>
          </cell>
          <cell r="AM334">
            <v>1.8475701490298684E-2</v>
          </cell>
          <cell r="AN334">
            <v>-5.7219441791695358E-2</v>
          </cell>
          <cell r="AO334">
            <v>-6.5116521512593922E-2</v>
          </cell>
          <cell r="AP334">
            <v>-5.2579528456136795E-2</v>
          </cell>
          <cell r="AQ334">
            <v>-3.9393677145493376E-2</v>
          </cell>
        </row>
        <row r="335">
          <cell r="B335" t="str">
            <v>EV adjustment (Pub)</v>
          </cell>
          <cell r="C335" t="str">
            <v>EV_ADJ_PUB</v>
          </cell>
          <cell r="D335" t="str">
            <v>CNY</v>
          </cell>
        </row>
        <row r="336">
          <cell r="B336" t="str">
            <v>Net debt (Pub)</v>
          </cell>
          <cell r="C336" t="str">
            <v>NET_DEBT_PUB</v>
          </cell>
          <cell r="D336" t="str">
            <v>CNY</v>
          </cell>
          <cell r="N336">
            <v>-3561.2310000000016</v>
          </cell>
          <cell r="O336">
            <v>-3329.6940000000013</v>
          </cell>
          <cell r="P336">
            <v>536.28199999999924</v>
          </cell>
          <cell r="Q336">
            <v>895.16700000000128</v>
          </cell>
          <cell r="R336">
            <v>3191.2599999999984</v>
          </cell>
          <cell r="S336">
            <v>2921.8899999999994</v>
          </cell>
          <cell r="T336">
            <v>-14101.182999999997</v>
          </cell>
          <cell r="U336">
            <v>-12199.518</v>
          </cell>
          <cell r="V336">
            <v>-15686.710000000003</v>
          </cell>
          <cell r="W336">
            <v>1816.3840000000018</v>
          </cell>
          <cell r="X336">
            <v>623.24892865350921</v>
          </cell>
          <cell r="Y336">
            <v>-3010.7222494579255</v>
          </cell>
          <cell r="Z336">
            <v>-88175.690103015673</v>
          </cell>
        </row>
        <row r="337">
          <cell r="B337" t="str">
            <v>Net income (Pub)</v>
          </cell>
          <cell r="C337" t="str">
            <v>NI_PUB</v>
          </cell>
          <cell r="D337" t="str">
            <v>CNY</v>
          </cell>
          <cell r="N337">
            <v>2458.1210000000028</v>
          </cell>
          <cell r="O337">
            <v>3250.2470000000026</v>
          </cell>
          <cell r="P337">
            <v>2060.1660000000088</v>
          </cell>
          <cell r="Q337">
            <v>-2840.9620000000004</v>
          </cell>
          <cell r="R337">
            <v>1357.6569999999883</v>
          </cell>
          <cell r="S337">
            <v>2633.5710000000036</v>
          </cell>
          <cell r="T337">
            <v>3207.884999999992</v>
          </cell>
          <cell r="U337">
            <v>-2357.4180000000129</v>
          </cell>
          <cell r="V337">
            <v>4568.1720000000041</v>
          </cell>
          <cell r="W337">
            <v>-6983.6620000000166</v>
          </cell>
          <cell r="X337">
            <v>3792.5458770725468</v>
          </cell>
          <cell r="Y337">
            <v>5258.5277919236432</v>
          </cell>
          <cell r="Z337">
            <v>38994.409872991921</v>
          </cell>
          <cell r="AB337">
            <v>729.44941189999963</v>
          </cell>
          <cell r="AC337">
            <v>342.3962716250004</v>
          </cell>
          <cell r="AD337">
            <v>-385.93100000000015</v>
          </cell>
          <cell r="AE337">
            <v>-262.35199999999998</v>
          </cell>
          <cell r="AF337">
            <v>-518.33100000000002</v>
          </cell>
          <cell r="AG337">
            <v>-476.20199999999994</v>
          </cell>
          <cell r="AH337">
            <v>-391.35899999999998</v>
          </cell>
          <cell r="AI337">
            <v>-764.86000000000013</v>
          </cell>
          <cell r="AJ337">
            <v>142.59500000000017</v>
          </cell>
          <cell r="AK337">
            <v>459.05800000000016</v>
          </cell>
          <cell r="AL337">
            <v>-312.5750000000001</v>
          </cell>
          <cell r="AM337">
            <v>77.462999999999937</v>
          </cell>
          <cell r="AN337">
            <v>-239.90372554121831</v>
          </cell>
          <cell r="AO337">
            <v>-273.01378021173656</v>
          </cell>
          <cell r="AP337">
            <v>-220.44997939246724</v>
          </cell>
          <cell r="AQ337">
            <v>-165.16571315701736</v>
          </cell>
        </row>
        <row r="338">
          <cell r="B338" t="str">
            <v>EBIT, operating profit (Pub)</v>
          </cell>
          <cell r="C338" t="str">
            <v>EBIT_PUB</v>
          </cell>
          <cell r="D338" t="str">
            <v>CNY</v>
          </cell>
          <cell r="N338">
            <v>3562.3980000000038</v>
          </cell>
          <cell r="O338">
            <v>3522.509</v>
          </cell>
          <cell r="P338">
            <v>2756.6420000000157</v>
          </cell>
          <cell r="Q338">
            <v>-3355.4380000000092</v>
          </cell>
          <cell r="R338">
            <v>1438.2789999999914</v>
          </cell>
          <cell r="S338">
            <v>3080.780999999999</v>
          </cell>
          <cell r="T338">
            <v>3426.7989999999872</v>
          </cell>
          <cell r="U338">
            <v>2556.1459999999915</v>
          </cell>
          <cell r="V338">
            <v>4743.5280000000021</v>
          </cell>
          <cell r="W338">
            <v>3866.2599999999811</v>
          </cell>
          <cell r="X338">
            <v>5091.0790753749861</v>
          </cell>
          <cell r="Y338">
            <v>6904.3826736809569</v>
          </cell>
          <cell r="Z338">
            <v>34758.392546425923</v>
          </cell>
          <cell r="AB338">
            <v>771.70799999999826</v>
          </cell>
          <cell r="AC338">
            <v>1133.1480000000006</v>
          </cell>
          <cell r="AD338">
            <v>319.45500000000135</v>
          </cell>
          <cell r="AE338">
            <v>331.83499999999873</v>
          </cell>
          <cell r="AF338">
            <v>1509.9810000000025</v>
          </cell>
          <cell r="AG338">
            <v>1738.5939999999996</v>
          </cell>
          <cell r="AH338">
            <v>165.88500000000101</v>
          </cell>
          <cell r="AI338">
            <v>1329.0679999999984</v>
          </cell>
          <cell r="AJ338">
            <v>1602.0339999999999</v>
          </cell>
          <cell r="AK338">
            <v>-1203.3199999999995</v>
          </cell>
          <cell r="AL338">
            <v>1027.6610000000003</v>
          </cell>
          <cell r="AM338">
            <v>2439.8850000000025</v>
          </cell>
          <cell r="AN338">
            <v>1352.4938968499982</v>
          </cell>
          <cell r="AO338">
            <v>1525.3554949999989</v>
          </cell>
          <cell r="AP338">
            <v>1250.9294118999996</v>
          </cell>
          <cell r="AQ338">
            <v>962.30027162500039</v>
          </cell>
        </row>
        <row r="339">
          <cell r="B339" t="str">
            <v>Pre-tax profit (Pub)</v>
          </cell>
          <cell r="C339" t="str">
            <v>PTP_PUB</v>
          </cell>
          <cell r="D339" t="str">
            <v>CNY</v>
          </cell>
          <cell r="N339">
            <v>3324.7420000000029</v>
          </cell>
          <cell r="O339">
            <v>4360.2010000000028</v>
          </cell>
          <cell r="P339">
            <v>2635.1360000000086</v>
          </cell>
          <cell r="Q339">
            <v>-1983.2000000000007</v>
          </cell>
          <cell r="R339">
            <v>1827.8429999999885</v>
          </cell>
          <cell r="S339">
            <v>3538.2220000000038</v>
          </cell>
          <cell r="T339">
            <v>4303.531999999992</v>
          </cell>
          <cell r="U339">
            <v>-767.75100000001294</v>
          </cell>
          <cell r="V339">
            <v>6718.9240000000045</v>
          </cell>
          <cell r="W339">
            <v>-7350.2030000000168</v>
          </cell>
          <cell r="X339">
            <v>4691.0790753749861</v>
          </cell>
          <cell r="Y339">
            <v>6504.3826736809569</v>
          </cell>
          <cell r="Z339">
            <v>40353.208546425951</v>
          </cell>
          <cell r="AB339">
            <v>1181.6429999999996</v>
          </cell>
          <cell r="AC339">
            <v>474.9199999999995</v>
          </cell>
          <cell r="AD339">
            <v>1249.9869999999996</v>
          </cell>
          <cell r="AE339">
            <v>-6527.4280000000008</v>
          </cell>
          <cell r="AF339">
            <v>1222.7490000000025</v>
          </cell>
          <cell r="AG339">
            <v>1038.8950000000004</v>
          </cell>
          <cell r="AH339">
            <v>1384.6920000000009</v>
          </cell>
          <cell r="AI339">
            <v>538.97999999999922</v>
          </cell>
          <cell r="AJ339">
            <v>-6548.6710000000003</v>
          </cell>
          <cell r="AK339">
            <v>-3107.0229999999997</v>
          </cell>
          <cell r="AL339">
            <v>767.2030000000002</v>
          </cell>
          <cell r="AM339">
            <v>-538.57499999999891</v>
          </cell>
          <cell r="AN339">
            <v>1252.4938968499982</v>
          </cell>
          <cell r="AO339">
            <v>1425.3554949999989</v>
          </cell>
          <cell r="AP339">
            <v>1150.9294118999996</v>
          </cell>
          <cell r="AQ339">
            <v>862.30027162500039</v>
          </cell>
        </row>
        <row r="340">
          <cell r="B340" t="str">
            <v>Sales, revenue (Pub)</v>
          </cell>
          <cell r="C340" t="str">
            <v>REVS_PUB</v>
          </cell>
          <cell r="D340" t="str">
            <v>CNY</v>
          </cell>
          <cell r="N340">
            <v>60272.563000000002</v>
          </cell>
          <cell r="O340">
            <v>70263.873999999996</v>
          </cell>
          <cell r="P340">
            <v>86254.456000000006</v>
          </cell>
          <cell r="Q340">
            <v>84219.357999999993</v>
          </cell>
          <cell r="R340">
            <v>75233.724000000002</v>
          </cell>
          <cell r="S340">
            <v>81471.274999999994</v>
          </cell>
          <cell r="T340">
            <v>100186.389</v>
          </cell>
          <cell r="U340">
            <v>101233.182</v>
          </cell>
          <cell r="V340">
            <v>108815.273</v>
          </cell>
          <cell r="W340">
            <v>85513.15</v>
          </cell>
          <cell r="X340">
            <v>92548.7047475</v>
          </cell>
          <cell r="Y340">
            <v>112015.74927058797</v>
          </cell>
          <cell r="Z340">
            <v>287422.90327256074</v>
          </cell>
          <cell r="AB340">
            <v>21858.508999999998</v>
          </cell>
          <cell r="AC340">
            <v>25898.793000000001</v>
          </cell>
          <cell r="AD340">
            <v>23806.702000000001</v>
          </cell>
          <cell r="AE340">
            <v>29669.178</v>
          </cell>
          <cell r="AF340">
            <v>25744.612000000001</v>
          </cell>
          <cell r="AG340">
            <v>28265.984</v>
          </cell>
          <cell r="AH340">
            <v>22569.143</v>
          </cell>
          <cell r="AI340">
            <v>32235.534</v>
          </cell>
          <cell r="AJ340">
            <v>27526.342000000001</v>
          </cell>
          <cell r="AK340">
            <v>11907.434999999999</v>
          </cell>
          <cell r="AL340">
            <v>19332.409</v>
          </cell>
          <cell r="AM340">
            <v>26746.964</v>
          </cell>
          <cell r="AN340">
            <v>24504.713217</v>
          </cell>
          <cell r="AO340">
            <v>20515.019900000003</v>
          </cell>
          <cell r="AP340">
            <v>20769.985238000001</v>
          </cell>
          <cell r="AQ340">
            <v>26758.986392499999</v>
          </cell>
        </row>
        <row r="341">
          <cell r="B341" t="str">
            <v>Total shareholders' equity (Pub)</v>
          </cell>
          <cell r="C341" t="str">
            <v>EQ_PUB</v>
          </cell>
          <cell r="D341" t="str">
            <v>CNY</v>
          </cell>
          <cell r="N341">
            <v>17948.865999999998</v>
          </cell>
          <cell r="O341">
            <v>24961.998</v>
          </cell>
          <cell r="P341">
            <v>26288.774999999998</v>
          </cell>
          <cell r="Q341">
            <v>22638.729999999996</v>
          </cell>
          <cell r="R341">
            <v>23625.689000000002</v>
          </cell>
          <cell r="S341">
            <v>26292.504000000001</v>
          </cell>
          <cell r="T341">
            <v>43348.605000000003</v>
          </cell>
          <cell r="U341">
            <v>40885.090000000004</v>
          </cell>
          <cell r="V341">
            <v>45380.146999999997</v>
          </cell>
          <cell r="W341">
            <v>32960.675000000003</v>
          </cell>
          <cell r="X341">
            <v>36753.220877072556</v>
          </cell>
          <cell r="Y341">
            <v>42011.748668996195</v>
          </cell>
          <cell r="Z341">
            <v>136088.58256318051</v>
          </cell>
        </row>
        <row r="342">
          <cell r="B342" t="str">
            <v>EPS (consensus)</v>
          </cell>
          <cell r="C342" t="str">
            <v>EPS_CONS_PUB</v>
          </cell>
          <cell r="D342" t="str">
            <v>CNY</v>
          </cell>
        </row>
        <row r="343">
          <cell r="A343" t="str">
            <v>Income Statement</v>
          </cell>
        </row>
        <row r="344">
          <cell r="B344" t="str">
            <v>Provision for income tax</v>
          </cell>
          <cell r="C344" t="str">
            <v>PROV_INC_TAX</v>
          </cell>
          <cell r="D344" t="str">
            <v>CNY</v>
          </cell>
          <cell r="N344">
            <v>-629.08100000000002</v>
          </cell>
          <cell r="O344">
            <v>-883.71900000000005</v>
          </cell>
          <cell r="P344">
            <v>-392.04300000000001</v>
          </cell>
          <cell r="Q344">
            <v>-621.42100000000005</v>
          </cell>
          <cell r="R344">
            <v>-394.20699999999999</v>
          </cell>
          <cell r="S344">
            <v>-810.49199999999996</v>
          </cell>
          <cell r="T344">
            <v>-563.26199999999994</v>
          </cell>
          <cell r="U344">
            <v>-640.11800000000005</v>
          </cell>
          <cell r="V344">
            <v>-1332.5820000000001</v>
          </cell>
          <cell r="W344">
            <v>400.863</v>
          </cell>
          <cell r="X344">
            <v>-898.53319830243936</v>
          </cell>
          <cell r="Y344">
            <v>-1245.8548817573142</v>
          </cell>
          <cell r="Z344">
            <v>-1358.7986734340336</v>
          </cell>
          <cell r="AB344">
            <v>-309.83800000000002</v>
          </cell>
          <cell r="AC344">
            <v>-209.589</v>
          </cell>
          <cell r="AD344">
            <v>-245.50399999999999</v>
          </cell>
          <cell r="AE344">
            <v>124.813</v>
          </cell>
          <cell r="AF344">
            <v>-414.48500000000001</v>
          </cell>
          <cell r="AG344">
            <v>-329.69900000000001</v>
          </cell>
          <cell r="AH344">
            <v>-252.30099999999999</v>
          </cell>
          <cell r="AI344">
            <v>-336.09699999999998</v>
          </cell>
          <cell r="AJ344">
            <v>240.67</v>
          </cell>
          <cell r="AK344">
            <v>324.363</v>
          </cell>
          <cell r="AL344">
            <v>-328.642</v>
          </cell>
          <cell r="AM344">
            <v>164.47200000000001</v>
          </cell>
          <cell r="AN344">
            <v>-239.90372554121831</v>
          </cell>
          <cell r="AO344">
            <v>-273.01378021173656</v>
          </cell>
          <cell r="AP344">
            <v>-220.44997939246724</v>
          </cell>
          <cell r="AQ344">
            <v>-165.16571315701736</v>
          </cell>
        </row>
        <row r="345">
          <cell r="B345" t="str">
            <v>Minority interest</v>
          </cell>
          <cell r="C345" t="str">
            <v>INC_MINORITY</v>
          </cell>
          <cell r="D345" t="str">
            <v>CNY</v>
          </cell>
          <cell r="N345">
            <v>-237.53999999999996</v>
          </cell>
          <cell r="O345">
            <v>-226.23500000000013</v>
          </cell>
          <cell r="P345">
            <v>-182.92699999999968</v>
          </cell>
          <cell r="Q345">
            <v>-236.34099999999989</v>
          </cell>
          <cell r="R345">
            <v>-75.979000000000042</v>
          </cell>
          <cell r="S345">
            <v>-94.15900000000056</v>
          </cell>
          <cell r="T345">
            <v>-532.38500000000022</v>
          </cell>
          <cell r="U345">
            <v>-949.54899999999998</v>
          </cell>
          <cell r="V345">
            <v>-818.17000000000007</v>
          </cell>
          <cell r="W345">
            <v>-34.322000000000116</v>
          </cell>
          <cell r="X345">
            <v>0</v>
          </cell>
          <cell r="Y345">
            <v>0</v>
          </cell>
          <cell r="Z345">
            <v>0</v>
          </cell>
          <cell r="AB345">
            <v>-111.64200000000005</v>
          </cell>
          <cell r="AC345">
            <v>-310.31500000000005</v>
          </cell>
          <cell r="AD345">
            <v>-140.42700000000013</v>
          </cell>
          <cell r="AE345">
            <v>-387.16499999999996</v>
          </cell>
          <cell r="AF345">
            <v>-103.846</v>
          </cell>
          <cell r="AG345">
            <v>-146.50299999999993</v>
          </cell>
          <cell r="AH345">
            <v>-139.05799999999999</v>
          </cell>
          <cell r="AI345">
            <v>-428.76300000000015</v>
          </cell>
          <cell r="AJ345">
            <v>-98.074999999999818</v>
          </cell>
          <cell r="AK345">
            <v>134.69500000000016</v>
          </cell>
          <cell r="AL345">
            <v>16.066999999999894</v>
          </cell>
          <cell r="AM345">
            <v>-87.009000000000071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</row>
        <row r="346">
          <cell r="B346" t="str">
            <v>Net income (pre-preferred dividends)</v>
          </cell>
          <cell r="C346" t="str">
            <v>NI_PRE_PREF</v>
          </cell>
          <cell r="D346" t="str">
            <v>CNY</v>
          </cell>
          <cell r="N346">
            <v>2458.1210000000028</v>
          </cell>
          <cell r="O346">
            <v>3250.2470000000026</v>
          </cell>
          <cell r="P346">
            <v>2060.1660000000088</v>
          </cell>
          <cell r="Q346">
            <v>-2840.9620000000004</v>
          </cell>
          <cell r="R346">
            <v>1357.6569999999883</v>
          </cell>
          <cell r="S346">
            <v>2633.5710000000036</v>
          </cell>
          <cell r="T346">
            <v>3207.884999999992</v>
          </cell>
          <cell r="U346">
            <v>-2357.4180000000129</v>
          </cell>
          <cell r="V346">
            <v>4568.1720000000041</v>
          </cell>
          <cell r="W346">
            <v>-6983.6620000000166</v>
          </cell>
          <cell r="X346">
            <v>3792.5458770725468</v>
          </cell>
          <cell r="Y346">
            <v>5258.5277919236432</v>
          </cell>
          <cell r="Z346">
            <v>38994.409872991921</v>
          </cell>
          <cell r="AB346">
            <v>729.44941189999963</v>
          </cell>
          <cell r="AC346">
            <v>342.3962716250004</v>
          </cell>
          <cell r="AD346">
            <v>-385.93100000000015</v>
          </cell>
          <cell r="AE346">
            <v>-262.35199999999998</v>
          </cell>
          <cell r="AF346">
            <v>-518.33100000000002</v>
          </cell>
          <cell r="AG346">
            <v>-476.20199999999994</v>
          </cell>
          <cell r="AH346">
            <v>-391.35899999999998</v>
          </cell>
          <cell r="AI346">
            <v>-764.86000000000013</v>
          </cell>
          <cell r="AJ346">
            <v>142.59500000000017</v>
          </cell>
          <cell r="AK346">
            <v>459.05800000000016</v>
          </cell>
          <cell r="AL346">
            <v>-312.5750000000001</v>
          </cell>
          <cell r="AM346">
            <v>77.462999999999937</v>
          </cell>
          <cell r="AN346">
            <v>-239.90372554121831</v>
          </cell>
          <cell r="AO346">
            <v>-273.01378021173656</v>
          </cell>
          <cell r="AP346">
            <v>-220.44997939246724</v>
          </cell>
          <cell r="AQ346">
            <v>-165.16571315701736</v>
          </cell>
        </row>
        <row r="347">
          <cell r="B347" t="str">
            <v>Preferred dividends</v>
          </cell>
          <cell r="C347" t="str">
            <v>PREF_DIV</v>
          </cell>
          <cell r="D347" t="str">
            <v>CNY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</row>
        <row r="348">
          <cell r="B348" t="str">
            <v>Net income (pre-exceptionals)</v>
          </cell>
          <cell r="C348" t="str">
            <v>NET_EARNING</v>
          </cell>
          <cell r="D348" t="str">
            <v>CNY</v>
          </cell>
          <cell r="N348">
            <v>2458.1210000000028</v>
          </cell>
          <cell r="O348">
            <v>3250.2470000000026</v>
          </cell>
          <cell r="P348">
            <v>2060.1660000000088</v>
          </cell>
          <cell r="Q348">
            <v>-2840.9620000000004</v>
          </cell>
          <cell r="R348">
            <v>1357.6569999999883</v>
          </cell>
          <cell r="S348">
            <v>2633.5710000000036</v>
          </cell>
          <cell r="T348">
            <v>3207.884999999992</v>
          </cell>
          <cell r="U348">
            <v>-2357.4180000000129</v>
          </cell>
          <cell r="V348">
            <v>4568.1720000000041</v>
          </cell>
          <cell r="W348">
            <v>-6983.6620000000166</v>
          </cell>
          <cell r="X348">
            <v>3792.5458770725468</v>
          </cell>
          <cell r="Y348">
            <v>5258.5277919236432</v>
          </cell>
          <cell r="Z348">
            <v>38994.409872991921</v>
          </cell>
          <cell r="AB348">
            <v>729.44941189999963</v>
          </cell>
          <cell r="AC348">
            <v>342.3962716250004</v>
          </cell>
          <cell r="AD348">
            <v>-385.93100000000015</v>
          </cell>
          <cell r="AE348">
            <v>-262.35199999999998</v>
          </cell>
          <cell r="AF348">
            <v>-518.33100000000002</v>
          </cell>
          <cell r="AG348">
            <v>-476.20199999999994</v>
          </cell>
          <cell r="AH348">
            <v>-391.35899999999998</v>
          </cell>
          <cell r="AI348">
            <v>-764.86000000000013</v>
          </cell>
          <cell r="AJ348">
            <v>142.59500000000017</v>
          </cell>
          <cell r="AK348">
            <v>459.05800000000016</v>
          </cell>
          <cell r="AL348">
            <v>-312.5750000000001</v>
          </cell>
          <cell r="AM348">
            <v>77.462999999999937</v>
          </cell>
          <cell r="AN348">
            <v>-239.90372554121831</v>
          </cell>
          <cell r="AO348">
            <v>-273.01378021173656</v>
          </cell>
          <cell r="AP348">
            <v>-220.44997939246724</v>
          </cell>
          <cell r="AQ348">
            <v>-165.16571315701736</v>
          </cell>
        </row>
        <row r="349">
          <cell r="B349" t="str">
            <v>Post-tax exceptionals</v>
          </cell>
          <cell r="C349" t="str">
            <v>TAX_EXC</v>
          </cell>
          <cell r="D349" t="str">
            <v>CNY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</row>
        <row r="350">
          <cell r="B350" t="str">
            <v>Net income (post-exceptionals)</v>
          </cell>
          <cell r="C350" t="str">
            <v>NET_INC</v>
          </cell>
          <cell r="D350" t="str">
            <v>CNY</v>
          </cell>
          <cell r="N350">
            <v>2458.1210000000028</v>
          </cell>
          <cell r="O350">
            <v>3250.2470000000026</v>
          </cell>
          <cell r="P350">
            <v>2060.1660000000088</v>
          </cell>
          <cell r="Q350">
            <v>-2840.9620000000004</v>
          </cell>
          <cell r="R350">
            <v>1357.6569999999883</v>
          </cell>
          <cell r="S350">
            <v>2633.5710000000036</v>
          </cell>
          <cell r="T350">
            <v>3207.884999999992</v>
          </cell>
          <cell r="U350">
            <v>-2357.4180000000129</v>
          </cell>
          <cell r="V350">
            <v>4568.1720000000041</v>
          </cell>
          <cell r="W350">
            <v>-6983.6620000000166</v>
          </cell>
          <cell r="X350">
            <v>3792.5458770725468</v>
          </cell>
          <cell r="Y350">
            <v>5258.5277919236432</v>
          </cell>
          <cell r="Z350">
            <v>38994.409872991921</v>
          </cell>
          <cell r="AB350">
            <v>729.44941189999963</v>
          </cell>
          <cell r="AC350">
            <v>342.3962716250004</v>
          </cell>
          <cell r="AD350">
            <v>-385.93100000000015</v>
          </cell>
          <cell r="AE350">
            <v>-262.35199999999998</v>
          </cell>
          <cell r="AF350">
            <v>-518.33100000000002</v>
          </cell>
          <cell r="AG350">
            <v>-476.20199999999994</v>
          </cell>
          <cell r="AH350">
            <v>-391.35899999999998</v>
          </cell>
          <cell r="AI350">
            <v>-764.86000000000013</v>
          </cell>
          <cell r="AJ350">
            <v>142.59500000000017</v>
          </cell>
          <cell r="AK350">
            <v>459.05800000000016</v>
          </cell>
          <cell r="AL350">
            <v>-312.5750000000001</v>
          </cell>
          <cell r="AM350">
            <v>77.462999999999937</v>
          </cell>
          <cell r="AN350">
            <v>-239.90372554121831</v>
          </cell>
          <cell r="AO350">
            <v>-273.01378021173656</v>
          </cell>
          <cell r="AP350">
            <v>-220.44997939246724</v>
          </cell>
          <cell r="AQ350">
            <v>-165.16571315701736</v>
          </cell>
        </row>
        <row r="351">
          <cell r="B351" t="str">
            <v>EPS (pre-exceptionals, basic)</v>
          </cell>
          <cell r="C351" t="str">
            <v>EPS</v>
          </cell>
          <cell r="D351" t="str">
            <v>CNY</v>
          </cell>
          <cell r="N351">
            <v>1.4000000000000015</v>
          </cell>
          <cell r="O351">
            <v>1.1700000000000008</v>
          </cell>
          <cell r="P351">
            <v>0.61000000000000254</v>
          </cell>
          <cell r="Q351">
            <v>-0.83000000000000007</v>
          </cell>
          <cell r="R351">
            <v>0.38999999999999668</v>
          </cell>
          <cell r="S351">
            <v>0.77000000000000102</v>
          </cell>
          <cell r="T351">
            <v>0.77999999999999803</v>
          </cell>
          <cell r="U351">
            <v>-0.57000000000000295</v>
          </cell>
          <cell r="V351">
            <v>1.0900000000000012</v>
          </cell>
          <cell r="W351">
            <v>-1.665673346257474</v>
          </cell>
          <cell r="X351">
            <v>0.90456018374004932</v>
          </cell>
          <cell r="Y351">
            <v>1.2542115559947431</v>
          </cell>
          <cell r="Z351">
            <v>9.3005573835735156</v>
          </cell>
          <cell r="AB351">
            <v>0.1763735429113546</v>
          </cell>
          <cell r="AC351">
            <v>8.2787980250532647E-2</v>
          </cell>
          <cell r="AD351">
            <v>-9.3314240410483015E-2</v>
          </cell>
          <cell r="AE351">
            <v>-6.3434079149306558E-2</v>
          </cell>
          <cell r="AF351">
            <v>-0.12367765268032817</v>
          </cell>
          <cell r="AG351">
            <v>-0.11362535823957592</v>
          </cell>
          <cell r="AH351">
            <v>-9.3381183983440211E-2</v>
          </cell>
          <cell r="AI351">
            <v>-0.18250131562471822</v>
          </cell>
          <cell r="AJ351">
            <v>3.401033595405737E-2</v>
          </cell>
          <cell r="AK351">
            <v>0.10948993164134546</v>
          </cell>
          <cell r="AL351">
            <v>-7.4552268739012412E-2</v>
          </cell>
          <cell r="AM351">
            <v>1.8475701490298684E-2</v>
          </cell>
          <cell r="AN351">
            <v>-5.7219441791695358E-2</v>
          </cell>
          <cell r="AO351">
            <v>-6.5116521512593922E-2</v>
          </cell>
          <cell r="AP351">
            <v>-5.2579528456136795E-2</v>
          </cell>
          <cell r="AQ351">
            <v>-3.9393677145493376E-2</v>
          </cell>
        </row>
        <row r="352">
          <cell r="B352" t="str">
            <v>EPS (pre-exceptionals, diluted)</v>
          </cell>
          <cell r="C352" t="str">
            <v>EPS_FUL_DIL</v>
          </cell>
          <cell r="D352" t="str">
            <v>CNY</v>
          </cell>
          <cell r="N352">
            <v>1.3500000000000016</v>
          </cell>
          <cell r="O352">
            <v>1.150000000000001</v>
          </cell>
          <cell r="P352">
            <v>0.61000000000000254</v>
          </cell>
          <cell r="Q352">
            <v>-0.83000000000000007</v>
          </cell>
          <cell r="R352">
            <v>0.38999999999999668</v>
          </cell>
          <cell r="S352">
            <v>0.77000000000000102</v>
          </cell>
          <cell r="T352">
            <v>0.76999999999999802</v>
          </cell>
          <cell r="U352">
            <v>-0.57000000000000295</v>
          </cell>
          <cell r="V352">
            <v>1.0800000000000012</v>
          </cell>
          <cell r="W352">
            <v>-1.665673346257474</v>
          </cell>
          <cell r="X352">
            <v>0.90456018374004932</v>
          </cell>
          <cell r="Y352">
            <v>1.2542115559947431</v>
          </cell>
          <cell r="Z352">
            <v>9.3005573835735156</v>
          </cell>
          <cell r="AB352">
            <v>0.1763735429113546</v>
          </cell>
          <cell r="AC352">
            <v>8.2787980250532647E-2</v>
          </cell>
          <cell r="AD352">
            <v>-9.3314240410483015E-2</v>
          </cell>
          <cell r="AE352">
            <v>-6.3434079149306558E-2</v>
          </cell>
          <cell r="AF352">
            <v>-0.12367765268032817</v>
          </cell>
          <cell r="AG352">
            <v>-0.11362535823957592</v>
          </cell>
          <cell r="AH352">
            <v>-9.3381183983440211E-2</v>
          </cell>
          <cell r="AI352">
            <v>-0.18250131562471822</v>
          </cell>
          <cell r="AJ352">
            <v>3.401033595405737E-2</v>
          </cell>
          <cell r="AK352">
            <v>0.10948993164134546</v>
          </cell>
          <cell r="AL352">
            <v>-7.4552268739012412E-2</v>
          </cell>
          <cell r="AM352">
            <v>1.8475701490298684E-2</v>
          </cell>
          <cell r="AN352">
            <v>-5.7219441791695358E-2</v>
          </cell>
          <cell r="AO352">
            <v>-6.5116521512593922E-2</v>
          </cell>
          <cell r="AP352">
            <v>-5.2579528456136795E-2</v>
          </cell>
          <cell r="AQ352">
            <v>-3.9393677145493376E-2</v>
          </cell>
        </row>
        <row r="353">
          <cell r="B353" t="str">
            <v>EPS (post-exceptionals, basic)</v>
          </cell>
          <cell r="C353" t="str">
            <v>EPS_POST_BASIC</v>
          </cell>
          <cell r="D353" t="str">
            <v>CNY</v>
          </cell>
          <cell r="N353">
            <v>1.4000000000000015</v>
          </cell>
          <cell r="O353">
            <v>1.1700000000000008</v>
          </cell>
          <cell r="P353">
            <v>0.61000000000000254</v>
          </cell>
          <cell r="Q353">
            <v>-0.83000000000000007</v>
          </cell>
          <cell r="R353">
            <v>0.38999999999999668</v>
          </cell>
          <cell r="S353">
            <v>0.77000000000000102</v>
          </cell>
          <cell r="T353">
            <v>0.77999999999999803</v>
          </cell>
          <cell r="U353">
            <v>-0.57000000000000295</v>
          </cell>
          <cell r="V353">
            <v>1.0900000000000012</v>
          </cell>
          <cell r="W353">
            <v>-1.665673346257474</v>
          </cell>
          <cell r="X353">
            <v>0.90456018374004932</v>
          </cell>
          <cell r="Y353">
            <v>1.2542115559947431</v>
          </cell>
          <cell r="Z353">
            <v>9.3005573835735156</v>
          </cell>
          <cell r="AB353">
            <v>0.1763735429113546</v>
          </cell>
          <cell r="AC353">
            <v>8.2787980250532647E-2</v>
          </cell>
          <cell r="AD353">
            <v>-9.3314240410483015E-2</v>
          </cell>
          <cell r="AE353">
            <v>-6.3434079149306558E-2</v>
          </cell>
          <cell r="AF353">
            <v>-0.12367765268032817</v>
          </cell>
          <cell r="AG353">
            <v>-0.11362535823957592</v>
          </cell>
          <cell r="AH353">
            <v>-9.3381183983440211E-2</v>
          </cell>
          <cell r="AI353">
            <v>-0.18250131562471822</v>
          </cell>
          <cell r="AJ353">
            <v>3.401033595405737E-2</v>
          </cell>
          <cell r="AK353">
            <v>0.10948993164134546</v>
          </cell>
          <cell r="AL353">
            <v>-7.4552268739012412E-2</v>
          </cell>
          <cell r="AM353">
            <v>1.8475701490298684E-2</v>
          </cell>
          <cell r="AN353">
            <v>-5.7219441791695358E-2</v>
          </cell>
          <cell r="AO353">
            <v>-6.5116521512593922E-2</v>
          </cell>
          <cell r="AP353">
            <v>-5.2579528456136795E-2</v>
          </cell>
          <cell r="AQ353">
            <v>-3.9393677145493376E-2</v>
          </cell>
        </row>
        <row r="354">
          <cell r="B354" t="str">
            <v>EPS (post-exceptionals, diluted)</v>
          </cell>
          <cell r="C354" t="str">
            <v>FULLY_DIL_EPS</v>
          </cell>
          <cell r="D354" t="str">
            <v>CNY</v>
          </cell>
          <cell r="N354">
            <v>1.3500000000000016</v>
          </cell>
          <cell r="O354">
            <v>1.150000000000001</v>
          </cell>
          <cell r="P354">
            <v>0.61000000000000254</v>
          </cell>
          <cell r="Q354">
            <v>-0.83000000000000007</v>
          </cell>
          <cell r="R354">
            <v>0.38999999999999668</v>
          </cell>
          <cell r="S354">
            <v>0.77000000000000102</v>
          </cell>
          <cell r="T354">
            <v>0.76999999999999802</v>
          </cell>
          <cell r="U354">
            <v>-0.57000000000000295</v>
          </cell>
          <cell r="V354">
            <v>1.0800000000000012</v>
          </cell>
          <cell r="W354">
            <v>-1.665673346257474</v>
          </cell>
          <cell r="X354">
            <v>0.90456018374004932</v>
          </cell>
          <cell r="Y354">
            <v>1.2542115559947431</v>
          </cell>
          <cell r="Z354">
            <v>9.3005573835735156</v>
          </cell>
          <cell r="AB354">
            <v>0.1763735429113546</v>
          </cell>
          <cell r="AC354">
            <v>8.2787980250532647E-2</v>
          </cell>
          <cell r="AD354">
            <v>-9.3314240410483015E-2</v>
          </cell>
          <cell r="AE354">
            <v>-6.3434079149306558E-2</v>
          </cell>
          <cell r="AF354">
            <v>-0.12367765268032817</v>
          </cell>
          <cell r="AG354">
            <v>-0.11362535823957592</v>
          </cell>
          <cell r="AH354">
            <v>-9.3381183983440211E-2</v>
          </cell>
          <cell r="AI354">
            <v>-0.18250131562471822</v>
          </cell>
          <cell r="AJ354">
            <v>3.401033595405737E-2</v>
          </cell>
          <cell r="AK354">
            <v>0.10948993164134546</v>
          </cell>
          <cell r="AL354">
            <v>-7.4552268739012412E-2</v>
          </cell>
          <cell r="AM354">
            <v>1.8475701490298684E-2</v>
          </cell>
          <cell r="AN354">
            <v>-5.7219441791695358E-2</v>
          </cell>
          <cell r="AO354">
            <v>-6.5116521512593922E-2</v>
          </cell>
          <cell r="AP354">
            <v>-5.2579528456136795E-2</v>
          </cell>
          <cell r="AQ354">
            <v>-3.9393677145493376E-2</v>
          </cell>
        </row>
        <row r="355">
          <cell r="B355" t="str">
            <v>Common dividends paid</v>
          </cell>
          <cell r="C355" t="str">
            <v>COMMON_DIV_PAID</v>
          </cell>
          <cell r="D355" t="str">
            <v>CNY</v>
          </cell>
          <cell r="N355">
            <v>552.4</v>
          </cell>
          <cell r="O355">
            <v>841.3</v>
          </cell>
          <cell r="P355">
            <v>686.19</v>
          </cell>
          <cell r="Q355">
            <v>0</v>
          </cell>
          <cell r="R355">
            <v>103.126</v>
          </cell>
          <cell r="S355">
            <v>687.5</v>
          </cell>
          <cell r="T355">
            <v>1038.4000000000001</v>
          </cell>
          <cell r="U355">
            <v>0</v>
          </cell>
          <cell r="V355">
            <v>1383.6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</row>
        <row r="356">
          <cell r="B356" t="str">
            <v>DPS, dividend per share</v>
          </cell>
          <cell r="C356" t="str">
            <v>DPS</v>
          </cell>
          <cell r="D356" t="str">
            <v>CNY</v>
          </cell>
          <cell r="N356">
            <v>0.3</v>
          </cell>
          <cell r="O356">
            <v>0.3</v>
          </cell>
          <cell r="P356">
            <v>0.16669999999999999</v>
          </cell>
          <cell r="Q356">
            <v>0</v>
          </cell>
          <cell r="R356">
            <v>2.5000000000000001E-2</v>
          </cell>
          <cell r="S356">
            <v>0.16669999999999999</v>
          </cell>
          <cell r="T356">
            <v>0.25</v>
          </cell>
          <cell r="U356">
            <v>0</v>
          </cell>
          <cell r="V356">
            <v>0.33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</row>
        <row r="357">
          <cell r="B357" t="str">
            <v>Weighted average shares outstanding, basic</v>
          </cell>
          <cell r="C357" t="str">
            <v>SH</v>
          </cell>
          <cell r="N357">
            <v>1755.8007142857145</v>
          </cell>
          <cell r="O357">
            <v>2777.9888888888891</v>
          </cell>
          <cell r="P357">
            <v>3377.3213114754103</v>
          </cell>
          <cell r="Q357">
            <v>3422.8457831325304</v>
          </cell>
          <cell r="R357">
            <v>3481.1717948717946</v>
          </cell>
          <cell r="S357">
            <v>3420.2220779220779</v>
          </cell>
          <cell r="T357">
            <v>4112.6730769230771</v>
          </cell>
          <cell r="U357">
            <v>4135.8210526315797</v>
          </cell>
          <cell r="V357">
            <v>4190.9834862385314</v>
          </cell>
          <cell r="W357">
            <v>4192.6960143123442</v>
          </cell>
          <cell r="X357">
            <v>4192.6960143123442</v>
          </cell>
          <cell r="Y357">
            <v>4192.6960143123442</v>
          </cell>
          <cell r="Z357">
            <v>4192.6960143123442</v>
          </cell>
          <cell r="AB357">
            <v>4135.8210526315797</v>
          </cell>
          <cell r="AC357">
            <v>4135.8210526315797</v>
          </cell>
          <cell r="AD357">
            <v>4135.8210526315797</v>
          </cell>
          <cell r="AE357">
            <v>4135.8210526315797</v>
          </cell>
          <cell r="AF357">
            <v>4190.9834862385314</v>
          </cell>
          <cell r="AG357">
            <v>4190.9834862385314</v>
          </cell>
          <cell r="AH357">
            <v>4190.9834862385314</v>
          </cell>
          <cell r="AI357">
            <v>4190.9834862385314</v>
          </cell>
          <cell r="AJ357">
            <v>4192.6960143123442</v>
          </cell>
          <cell r="AK357">
            <v>4192.6960143123442</v>
          </cell>
          <cell r="AL357">
            <v>4192.6960143123442</v>
          </cell>
          <cell r="AM357">
            <v>4192.6960143123442</v>
          </cell>
          <cell r="AN357">
            <v>4192.6960143123442</v>
          </cell>
          <cell r="AO357">
            <v>4192.6960143123442</v>
          </cell>
          <cell r="AP357">
            <v>4192.6960143123442</v>
          </cell>
          <cell r="AQ357">
            <v>4192.6960143123442</v>
          </cell>
        </row>
        <row r="358">
          <cell r="B358" t="str">
            <v>Diluted average shares outstanding (mn)</v>
          </cell>
          <cell r="C358" t="str">
            <v>DILUTE_SHARES</v>
          </cell>
          <cell r="N358">
            <v>1820.8303703703702</v>
          </cell>
          <cell r="O358">
            <v>2826.3017391304347</v>
          </cell>
          <cell r="P358">
            <v>3377.3213114754103</v>
          </cell>
          <cell r="Q358">
            <v>3422.8457831325304</v>
          </cell>
          <cell r="R358">
            <v>3481.1717948717946</v>
          </cell>
          <cell r="S358">
            <v>3420.2220779220779</v>
          </cell>
          <cell r="T358">
            <v>4166.0844155844161</v>
          </cell>
          <cell r="U358">
            <v>4135.8210526315797</v>
          </cell>
          <cell r="V358">
            <v>4229.7888888888883</v>
          </cell>
          <cell r="W358">
            <v>4192.6960143123442</v>
          </cell>
          <cell r="X358">
            <v>4192.6960143123442</v>
          </cell>
          <cell r="Y358">
            <v>4192.6960143123442</v>
          </cell>
          <cell r="Z358">
            <v>4192.6960143123442</v>
          </cell>
          <cell r="AB358">
            <v>4135.8210526315797</v>
          </cell>
          <cell r="AC358">
            <v>4135.8210526315797</v>
          </cell>
          <cell r="AD358">
            <v>4135.8210526315797</v>
          </cell>
          <cell r="AE358">
            <v>4135.8210526315797</v>
          </cell>
          <cell r="AF358">
            <v>4229.7888888888883</v>
          </cell>
          <cell r="AG358">
            <v>4229.7888888888883</v>
          </cell>
          <cell r="AH358">
            <v>4229.7888888888883</v>
          </cell>
          <cell r="AI358">
            <v>4229.7888888888883</v>
          </cell>
          <cell r="AJ358">
            <v>4192.6960143123442</v>
          </cell>
          <cell r="AK358">
            <v>4192.6960143123442</v>
          </cell>
          <cell r="AL358">
            <v>4192.6960143123442</v>
          </cell>
          <cell r="AM358">
            <v>4192.6960143123442</v>
          </cell>
          <cell r="AN358">
            <v>4192.6960143123442</v>
          </cell>
          <cell r="AO358">
            <v>4192.6960143123442</v>
          </cell>
          <cell r="AP358">
            <v>4192.6960143123442</v>
          </cell>
          <cell r="AQ358">
            <v>4192.6960143123442</v>
          </cell>
        </row>
        <row r="359">
          <cell r="B359" t="str">
            <v>Period-end shares outstanding</v>
          </cell>
          <cell r="C359" t="str">
            <v>NON_OP_ADD</v>
          </cell>
          <cell r="N359">
            <v>1831.336</v>
          </cell>
          <cell r="O359">
            <v>2866.732</v>
          </cell>
          <cell r="P359">
            <v>3440.078</v>
          </cell>
          <cell r="Q359">
            <v>3440.078</v>
          </cell>
          <cell r="R359">
            <v>3437.5410000000002</v>
          </cell>
          <cell r="S359">
            <v>3437.5410000000002</v>
          </cell>
          <cell r="T359">
            <v>4150.7910000000002</v>
          </cell>
          <cell r="U359">
            <v>4184.6279999999997</v>
          </cell>
          <cell r="V359">
            <v>4192.6719999999996</v>
          </cell>
          <cell r="W359">
            <v>4192.6719999999996</v>
          </cell>
          <cell r="X359">
            <v>4192.6719999999996</v>
          </cell>
          <cell r="Y359">
            <v>4192.6719999999996</v>
          </cell>
          <cell r="Z359">
            <v>4192.6719999999996</v>
          </cell>
        </row>
        <row r="360">
          <cell r="A360" t="str">
            <v>Additional Income Statement Items</v>
          </cell>
        </row>
        <row r="361">
          <cell r="B361" t="str">
            <v>Marginal tax rate</v>
          </cell>
          <cell r="C361" t="str">
            <v>MARGIN_TAX_RATE</v>
          </cell>
          <cell r="N361">
            <v>0.18921197494422123</v>
          </cell>
          <cell r="O361">
            <v>0.20267850037188653</v>
          </cell>
          <cell r="P361">
            <v>0.14877524347889445</v>
          </cell>
          <cell r="Q361">
            <v>0.31334257765227919</v>
          </cell>
          <cell r="R361">
            <v>0.2156678664414832</v>
          </cell>
          <cell r="S361">
            <v>0.22906759383667841</v>
          </cell>
          <cell r="T361">
            <v>0.13088365556477793</v>
          </cell>
          <cell r="U361">
            <v>0.83375729891592465</v>
          </cell>
          <cell r="V361">
            <v>0.19833264969212333</v>
          </cell>
          <cell r="W361">
            <v>5.4537677394760384E-2</v>
          </cell>
          <cell r="X361">
            <v>0.19154083396699373</v>
          </cell>
          <cell r="Y361">
            <v>0.19154083396699362</v>
          </cell>
          <cell r="Z361">
            <v>0.19154083396699403</v>
          </cell>
          <cell r="AB361">
            <v>0.22599581324444382</v>
          </cell>
          <cell r="AC361">
            <v>0.1567851668660247</v>
          </cell>
          <cell r="AD361">
            <v>0.16605824727868448</v>
          </cell>
          <cell r="AE361">
            <v>2.5194627401592222E-2</v>
          </cell>
          <cell r="AF361">
            <v>0.23931861302194421</v>
          </cell>
          <cell r="AG361">
            <v>0.21196210514946687</v>
          </cell>
          <cell r="AH361">
            <v>0.12595250266580935</v>
          </cell>
          <cell r="AI361">
            <v>0.23529943012363652</v>
          </cell>
          <cell r="AJ361">
            <v>4.3365276642608273E-2</v>
          </cell>
          <cell r="AK361">
            <v>0.11278225291906047</v>
          </cell>
          <cell r="AL361">
            <v>0.37471637618266856</v>
          </cell>
          <cell r="AM361">
            <v>0.19154083396699345</v>
          </cell>
          <cell r="AN361">
            <v>0.19154083396699345</v>
          </cell>
          <cell r="AO361">
            <v>0.19154083396699345</v>
          </cell>
          <cell r="AP361">
            <v>0.19154083396699345</v>
          </cell>
          <cell r="AQ361">
            <v>0.19154083396699345</v>
          </cell>
        </row>
        <row r="362">
          <cell r="B362" t="str">
            <v>Net income (consensus) (Pub)</v>
          </cell>
          <cell r="C362" t="str">
            <v>NI_CONS</v>
          </cell>
          <cell r="D362" t="str">
            <v>CNY</v>
          </cell>
        </row>
        <row r="363">
          <cell r="A363" t="str">
            <v>Balance Sheet</v>
          </cell>
        </row>
        <row r="364">
          <cell r="B364" t="str">
            <v>BVPS, book value per share</v>
          </cell>
          <cell r="C364" t="str">
            <v>BVPS</v>
          </cell>
          <cell r="D364" t="str">
            <v>CNY</v>
          </cell>
          <cell r="N364">
            <v>9.1874276484490007</v>
          </cell>
          <cell r="O364">
            <v>8.0558182627465698</v>
          </cell>
          <cell r="P364">
            <v>7.043944061733483</v>
          </cell>
          <cell r="Q364">
            <v>6.2505774578367106</v>
          </cell>
          <cell r="R364">
            <v>6.5548739636850879</v>
          </cell>
          <cell r="S364">
            <v>7.2373170240005864</v>
          </cell>
          <cell r="T364">
            <v>7.1456486245633668</v>
          </cell>
          <cell r="U364">
            <v>6.3090795645395499</v>
          </cell>
          <cell r="V364">
            <v>7.5481399451233013</v>
          </cell>
          <cell r="W364">
            <v>5.4613325344792063</v>
          </cell>
          <cell r="X364">
            <v>6.3658978992567405</v>
          </cell>
          <cell r="Y364">
            <v>7.6201166389825383</v>
          </cell>
          <cell r="Z364">
            <v>32.339278522903896</v>
          </cell>
        </row>
        <row r="365">
          <cell r="A365" t="str">
            <v>Cash Flow Statement</v>
          </cell>
        </row>
        <row r="366">
          <cell r="B366" t="str">
            <v>Net income (pre-preferred dividends)</v>
          </cell>
          <cell r="C366" t="str">
            <v>CF_NI_PRE_PREF</v>
          </cell>
          <cell r="D366" t="str">
            <v>CNY</v>
          </cell>
          <cell r="N366">
            <v>2458.1210000000001</v>
          </cell>
          <cell r="O366">
            <v>3250.2469999999998</v>
          </cell>
          <cell r="P366">
            <v>2060.1660000000002</v>
          </cell>
          <cell r="Q366">
            <v>-2840.962</v>
          </cell>
          <cell r="R366">
            <v>1357.6569999999999</v>
          </cell>
          <cell r="S366">
            <v>2633.5709999999999</v>
          </cell>
          <cell r="T366">
            <v>3207.8850000000002</v>
          </cell>
          <cell r="U366">
            <v>-2357.4180000000001</v>
          </cell>
          <cell r="V366">
            <v>4568.1719999999996</v>
          </cell>
          <cell r="W366">
            <v>-6983.6620000000003</v>
          </cell>
          <cell r="X366">
            <v>3792.5458770725504</v>
          </cell>
          <cell r="Y366">
            <v>5258.5277919236432</v>
          </cell>
          <cell r="Z366">
            <v>5735.2430788754464</v>
          </cell>
        </row>
        <row r="367">
          <cell r="A367" t="str">
            <v>Other Items</v>
          </cell>
        </row>
        <row r="368">
          <cell r="B368" t="str">
            <v>Beta</v>
          </cell>
          <cell r="C368" t="str">
            <v>BETA_ANALYST</v>
          </cell>
        </row>
        <row r="369">
          <cell r="B369" t="str">
            <v>Market equity risk premium</v>
          </cell>
          <cell r="C369" t="str">
            <v>MKT_EQ_RISK_PREM</v>
          </cell>
        </row>
        <row r="370">
          <cell r="B370" t="str">
            <v>Risk-free rate</v>
          </cell>
          <cell r="C370" t="str">
            <v>RISK_FR_RATE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Act Vs Est"/>
      <sheetName val="Act Vs Est_output"/>
      <sheetName val="Valuation"/>
      <sheetName val="Basic Data"/>
      <sheetName val="Raw Data"/>
      <sheetName val="Model"/>
      <sheetName val="Revenue"/>
      <sheetName val="Company Data"/>
      <sheetName val="Industry"/>
      <sheetName val="M&amp;A"/>
      <sheetName val="Timeline"/>
      <sheetName val="Subsidiary"/>
      <sheetName val="AFOSHEET"/>
      <sheetName val="Ratios"/>
      <sheetName val="Market Data"/>
      <sheetName val="002153.SZ_Live_Sheet"/>
      <sheetName val="002153.SZ_Validation_Sheet"/>
      <sheetName val="002153.SZ_Annotation_Sheet"/>
      <sheetName val="002153.SZ_Exchange_Sheet"/>
      <sheetName val="Exhibit"/>
      <sheetName val="First tak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Issuer: Beijing Shiji Information</v>
          </cell>
          <cell r="C1">
            <v>1874052680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>
            <v>2015</v>
          </cell>
          <cell r="AJ1">
            <v>2016</v>
          </cell>
          <cell r="AK1">
            <v>2017</v>
          </cell>
          <cell r="AL1">
            <v>2018</v>
          </cell>
          <cell r="AM1">
            <v>2019</v>
          </cell>
          <cell r="AN1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Estimate</v>
          </cell>
          <cell r="AH2" t="str">
            <v>Estimate</v>
          </cell>
          <cell r="AI2" t="str">
            <v>Estimate</v>
          </cell>
          <cell r="AJ2" t="str">
            <v>Estimate</v>
          </cell>
          <cell r="AK2" t="str">
            <v>Estimate</v>
          </cell>
          <cell r="AL2" t="str">
            <v>Estimate</v>
          </cell>
          <cell r="AM2" t="str">
            <v>Estimate</v>
          </cell>
          <cell r="AN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42094</v>
          </cell>
          <cell r="AF3">
            <v>42185</v>
          </cell>
          <cell r="AG3">
            <v>42277</v>
          </cell>
          <cell r="AH3">
            <v>42369</v>
          </cell>
          <cell r="AI3">
            <v>42369</v>
          </cell>
          <cell r="AJ3">
            <v>42735</v>
          </cell>
          <cell r="AK3">
            <v>43100</v>
          </cell>
          <cell r="AL3">
            <v>43465</v>
          </cell>
          <cell r="AM3">
            <v>43830</v>
          </cell>
          <cell r="AN3">
            <v>44196</v>
          </cell>
        </row>
        <row r="4">
          <cell r="A4" t="str">
            <v>Issuer: Beijing Shiji Information</v>
          </cell>
          <cell r="B4" t="str">
            <v>13UJO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Beijing Shiji Information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193.10894234</v>
          </cell>
          <cell r="G9">
            <v>279.47532860000001</v>
          </cell>
          <cell r="H9">
            <v>442.73250508000001</v>
          </cell>
          <cell r="I9">
            <v>406.62099367000002</v>
          </cell>
          <cell r="J9">
            <v>610.24736599000005</v>
          </cell>
          <cell r="K9">
            <v>135.64938233999999</v>
          </cell>
          <cell r="L9">
            <v>224.82224120000001</v>
          </cell>
          <cell r="M9">
            <v>99.292901720000003</v>
          </cell>
          <cell r="N9">
            <v>261.10719883000002</v>
          </cell>
          <cell r="O9">
            <v>720.87172409000004</v>
          </cell>
          <cell r="P9">
            <v>142.36432506</v>
          </cell>
          <cell r="Q9">
            <v>218.26986038000001</v>
          </cell>
          <cell r="R9">
            <v>122.09924633999999</v>
          </cell>
          <cell r="S9">
            <v>307.25290143000001</v>
          </cell>
          <cell r="T9">
            <v>789.98633321</v>
          </cell>
          <cell r="U9">
            <v>146.72047516000001</v>
          </cell>
          <cell r="V9">
            <v>228.07331789</v>
          </cell>
          <cell r="W9">
            <v>152.99129101</v>
          </cell>
          <cell r="X9">
            <v>566.80119663999994</v>
          </cell>
          <cell r="Y9">
            <v>1094.5862807000001</v>
          </cell>
          <cell r="Z9">
            <v>473.33481709</v>
          </cell>
          <cell r="AA9">
            <v>562.21113779999996</v>
          </cell>
          <cell r="AB9">
            <v>462.99653759</v>
          </cell>
          <cell r="AC9">
            <v>687.52956855000002</v>
          </cell>
          <cell r="AD9">
            <v>2186.07206103</v>
          </cell>
          <cell r="AE9">
            <v>413.38954395000002</v>
          </cell>
          <cell r="AF9">
            <v>492.54060661</v>
          </cell>
          <cell r="AG9">
            <v>495.79996010642299</v>
          </cell>
          <cell r="AH9">
            <v>694.48430115741598</v>
          </cell>
          <cell r="AI9">
            <v>2096.2144118238398</v>
          </cell>
          <cell r="AJ9">
            <v>2459.1069732716301</v>
          </cell>
          <cell r="AK9">
            <v>2882.8230706088402</v>
          </cell>
          <cell r="AL9">
            <v>3381.9844236838899</v>
          </cell>
          <cell r="AM9">
            <v>3836.4370465786301</v>
          </cell>
          <cell r="AN9">
            <v>4222.1211421486396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-80.100459439999995</v>
          </cell>
          <cell r="G11">
            <v>-108.33232411</v>
          </cell>
          <cell r="H11">
            <v>-162.76365451999999</v>
          </cell>
          <cell r="I11">
            <v>-120.67193789</v>
          </cell>
          <cell r="J11">
            <v>-188.02688702</v>
          </cell>
          <cell r="O11">
            <v>-249.35266579</v>
          </cell>
          <cell r="T11">
            <v>-260.27193743999999</v>
          </cell>
          <cell r="Y11">
            <v>-497.66034142000001</v>
          </cell>
          <cell r="AD11">
            <v>-1387.9238344400001</v>
          </cell>
          <cell r="AI11">
            <v>-1192.57542176726</v>
          </cell>
          <cell r="AJ11">
            <v>-1251.5195524616299</v>
          </cell>
          <cell r="AK11">
            <v>-1304.3308663165401</v>
          </cell>
          <cell r="AL11">
            <v>-1368.1693811411999</v>
          </cell>
          <cell r="AM11">
            <v>-1418.1754742990499</v>
          </cell>
          <cell r="AN11">
            <v>-1463.1496018702301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-62.686021050000001</v>
          </cell>
          <cell r="G12">
            <v>-88.944902589999998</v>
          </cell>
          <cell r="H12">
            <v>-140.11331247000001</v>
          </cell>
          <cell r="I12">
            <v>-164.36542266999999</v>
          </cell>
          <cell r="J12">
            <v>-182.86031106999999</v>
          </cell>
          <cell r="O12">
            <v>-193.36046725</v>
          </cell>
          <cell r="T12">
            <v>-199.35844320999999</v>
          </cell>
          <cell r="Y12">
            <v>-242.29378317999999</v>
          </cell>
          <cell r="AD12">
            <v>-332.22656646000002</v>
          </cell>
          <cell r="AI12">
            <v>-383.99708512446301</v>
          </cell>
          <cell r="AJ12">
            <v>-442.88674956663101</v>
          </cell>
          <cell r="AK12">
            <v>-510.45783990876998</v>
          </cell>
          <cell r="AL12">
            <v>-600.68468195376795</v>
          </cell>
          <cell r="AM12">
            <v>-683.46888158386298</v>
          </cell>
          <cell r="AN12">
            <v>-754.43183062014202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-142.78648049</v>
          </cell>
          <cell r="G13">
            <v>-197.2772267</v>
          </cell>
          <cell r="H13">
            <v>-302.87696699000003</v>
          </cell>
          <cell r="I13">
            <v>-285.03736056000002</v>
          </cell>
          <cell r="J13">
            <v>-370.88719809000003</v>
          </cell>
          <cell r="O13">
            <v>-442.71313304</v>
          </cell>
          <cell r="T13">
            <v>-459.63038065000001</v>
          </cell>
          <cell r="Y13">
            <v>-739.9541246</v>
          </cell>
          <cell r="AD13">
            <v>-1720.1504009</v>
          </cell>
          <cell r="AI13">
            <v>-1576.57250689172</v>
          </cell>
          <cell r="AJ13">
            <v>-1694.4063020282599</v>
          </cell>
          <cell r="AK13">
            <v>-1814.7887062253101</v>
          </cell>
          <cell r="AL13">
            <v>-1968.8540630949699</v>
          </cell>
          <cell r="AM13">
            <v>-2101.6443558829101</v>
          </cell>
          <cell r="AN13">
            <v>-2217.5814324903699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-32.317850110000002</v>
          </cell>
          <cell r="O14">
            <v>-24.235482749999999</v>
          </cell>
          <cell r="T14">
            <v>-58.167805780000002</v>
          </cell>
          <cell r="Y14">
            <v>-82.423998909999995</v>
          </cell>
          <cell r="AD14">
            <v>-95.198471960000006</v>
          </cell>
          <cell r="AI14">
            <v>-114.106719343538</v>
          </cell>
          <cell r="AJ14">
            <v>-133.860652637486</v>
          </cell>
          <cell r="AK14">
            <v>-156.92549444349601</v>
          </cell>
          <cell r="AL14">
            <v>-182.25620138282201</v>
          </cell>
          <cell r="AM14">
            <v>-204.67932781612299</v>
          </cell>
          <cell r="AN14">
            <v>-223.00355714760599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-142.78648049</v>
          </cell>
          <cell r="G16">
            <v>-197.2772267</v>
          </cell>
          <cell r="H16">
            <v>-302.87696699000003</v>
          </cell>
          <cell r="I16">
            <v>-285.03736056000002</v>
          </cell>
          <cell r="J16">
            <v>-403.20504820000002</v>
          </cell>
          <cell r="O16">
            <v>-466.94861579000002</v>
          </cell>
          <cell r="T16">
            <v>-517.79818642999999</v>
          </cell>
          <cell r="Y16">
            <v>-822.37812351000002</v>
          </cell>
          <cell r="AD16">
            <v>-1815.34887286</v>
          </cell>
          <cell r="AI16">
            <v>-1690.6792262352601</v>
          </cell>
          <cell r="AJ16">
            <v>-1828.2669546657401</v>
          </cell>
          <cell r="AK16">
            <v>-1971.71420066881</v>
          </cell>
          <cell r="AL16">
            <v>-2151.1102644777902</v>
          </cell>
          <cell r="AM16">
            <v>-2306.32368369903</v>
          </cell>
          <cell r="AN16">
            <v>-2440.58498963798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-137.87590685999999</v>
          </cell>
          <cell r="G17">
            <v>-187.19756451999999</v>
          </cell>
          <cell r="H17">
            <v>-290.54606115000001</v>
          </cell>
          <cell r="I17">
            <v>-266.26722620999999</v>
          </cell>
          <cell r="J17">
            <v>-378.57135046000002</v>
          </cell>
          <cell r="O17">
            <v>-443.25057528000002</v>
          </cell>
          <cell r="T17">
            <v>-490.57180447000002</v>
          </cell>
          <cell r="Y17">
            <v>-786.63554765000003</v>
          </cell>
          <cell r="AD17">
            <v>-1754.7453751400001</v>
          </cell>
          <cell r="AI17">
            <v>-1625.0815542013099</v>
          </cell>
          <cell r="AJ17">
            <v>-1756.74596770623</v>
          </cell>
          <cell r="AK17">
            <v>-1893.1238691526501</v>
          </cell>
          <cell r="AL17">
            <v>-2064.0447595983601</v>
          </cell>
          <cell r="AM17">
            <v>-2209.2347645168602</v>
          </cell>
          <cell r="AN17">
            <v>-2335.9187305867599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55.233035479999998</v>
          </cell>
          <cell r="G18">
            <v>92.277764079999997</v>
          </cell>
          <cell r="H18">
            <v>152.18644393</v>
          </cell>
          <cell r="I18">
            <v>140.35376746</v>
          </cell>
          <cell r="J18">
            <v>231.67601553</v>
          </cell>
          <cell r="O18">
            <v>277.62114881000002</v>
          </cell>
          <cell r="T18">
            <v>299.41452873999998</v>
          </cell>
          <cell r="Y18">
            <v>307.95073305</v>
          </cell>
          <cell r="AD18">
            <v>431.32668589000002</v>
          </cell>
          <cell r="AI18">
            <v>471.13285762252599</v>
          </cell>
          <cell r="AJ18">
            <v>702.361005565396</v>
          </cell>
          <cell r="AK18">
            <v>989.69920145619096</v>
          </cell>
          <cell r="AL18">
            <v>1317.93966408553</v>
          </cell>
          <cell r="AM18">
            <v>1627.2022820617699</v>
          </cell>
          <cell r="AN18">
            <v>1886.2024115618699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-1.5072403400000001</v>
          </cell>
          <cell r="G19">
            <v>-3.27188999</v>
          </cell>
          <cell r="H19">
            <v>-3.9145353699999998</v>
          </cell>
          <cell r="I19">
            <v>-7.74418235</v>
          </cell>
          <cell r="J19">
            <v>-9.4465745999999999</v>
          </cell>
          <cell r="O19">
            <v>-9.0629347399999993</v>
          </cell>
          <cell r="T19">
            <v>-10.135966590000001</v>
          </cell>
          <cell r="Y19">
            <v>-12.640678250000001</v>
          </cell>
          <cell r="AD19">
            <v>-32.423472449999998</v>
          </cell>
          <cell r="AI19">
            <v>-34.553418081994998</v>
          </cell>
          <cell r="AJ19">
            <v>-37.036575467229</v>
          </cell>
          <cell r="AK19">
            <v>-39.938630280345002</v>
          </cell>
          <cell r="AL19">
            <v>-43.341446204283997</v>
          </cell>
          <cell r="AM19">
            <v>-47.232891136667</v>
          </cell>
          <cell r="AN19">
            <v>-51.579774578509998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-3.40333329</v>
          </cell>
          <cell r="G20">
            <v>-6.8077721899999997</v>
          </cell>
          <cell r="H20">
            <v>-8.4163704700000004</v>
          </cell>
          <cell r="I20">
            <v>-11.025952</v>
          </cell>
          <cell r="J20">
            <v>-15.187123140000001</v>
          </cell>
          <cell r="O20">
            <v>-14.635105769999999</v>
          </cell>
          <cell r="T20">
            <v>-17.090415369999999</v>
          </cell>
          <cell r="Y20">
            <v>-23.101897610000002</v>
          </cell>
          <cell r="AD20">
            <v>-28.180025270000002</v>
          </cell>
          <cell r="AI20">
            <v>-31.044253951948001</v>
          </cell>
          <cell r="AJ20">
            <v>-34.484411492284998</v>
          </cell>
          <cell r="AK20">
            <v>-38.651701235818997</v>
          </cell>
          <cell r="AL20">
            <v>-43.724058675152001</v>
          </cell>
          <cell r="AM20">
            <v>-49.856028045506001</v>
          </cell>
          <cell r="AN20">
            <v>-53.086484472702999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50.322461850000003</v>
          </cell>
          <cell r="G21">
            <v>82.198101899999997</v>
          </cell>
          <cell r="H21">
            <v>139.85553809000001</v>
          </cell>
          <cell r="I21">
            <v>121.58363310999999</v>
          </cell>
          <cell r="J21">
            <v>207.04231779</v>
          </cell>
          <cell r="K21">
            <v>31.554128949999999</v>
          </cell>
          <cell r="L21">
            <v>101.60721722</v>
          </cell>
          <cell r="M21">
            <v>20.373823399999999</v>
          </cell>
          <cell r="N21">
            <v>100.38793873</v>
          </cell>
          <cell r="O21">
            <v>253.9231083</v>
          </cell>
          <cell r="P21">
            <v>33.637942969999997</v>
          </cell>
          <cell r="Q21">
            <v>86.01208656</v>
          </cell>
          <cell r="R21">
            <v>17.849324259999999</v>
          </cell>
          <cell r="S21">
            <v>134.68879299</v>
          </cell>
          <cell r="T21">
            <v>272.18814678000001</v>
          </cell>
          <cell r="U21">
            <v>28.270003299999999</v>
          </cell>
          <cell r="V21">
            <v>88.460965849999994</v>
          </cell>
          <cell r="W21">
            <v>24.8717158</v>
          </cell>
          <cell r="X21">
            <v>130.60547224000001</v>
          </cell>
          <cell r="Y21">
            <v>272.20815719000001</v>
          </cell>
          <cell r="Z21">
            <v>44.971047460000001</v>
          </cell>
          <cell r="AA21">
            <v>114.18189793000001</v>
          </cell>
          <cell r="AB21">
            <v>58.861726789999999</v>
          </cell>
          <cell r="AC21">
            <v>152.70851599</v>
          </cell>
          <cell r="AD21">
            <v>370.72318817000001</v>
          </cell>
          <cell r="AE21">
            <v>52.944417229999999</v>
          </cell>
          <cell r="AF21">
            <v>101.50233587</v>
          </cell>
          <cell r="AG21">
            <v>83.770876488607996</v>
          </cell>
          <cell r="AH21">
            <v>167.31755599997501</v>
          </cell>
          <cell r="AI21">
            <v>405.53518558858298</v>
          </cell>
          <cell r="AJ21">
            <v>630.84001860588296</v>
          </cell>
          <cell r="AK21">
            <v>911.10886994002703</v>
          </cell>
          <cell r="AL21">
            <v>1230.8741592061001</v>
          </cell>
          <cell r="AM21">
            <v>1530.1133628795901</v>
          </cell>
          <cell r="AN21">
            <v>1781.53615251066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0.81028093000000001</v>
          </cell>
          <cell r="G22">
            <v>1.5783812399999999</v>
          </cell>
          <cell r="H22">
            <v>4.8113008800000001</v>
          </cell>
          <cell r="I22">
            <v>3.6840692599999998</v>
          </cell>
          <cell r="J22">
            <v>4.18200124</v>
          </cell>
          <cell r="O22">
            <v>12.406744270000001</v>
          </cell>
          <cell r="T22">
            <v>3.8634738099999999</v>
          </cell>
          <cell r="Y22">
            <v>6.2818661100000002</v>
          </cell>
          <cell r="AD22">
            <v>3.4837900199999998</v>
          </cell>
          <cell r="AI22">
            <v>6.3033210999999998</v>
          </cell>
          <cell r="AJ22">
            <v>8.6815941277549999</v>
          </cell>
          <cell r="AK22">
            <v>9.800137933397</v>
          </cell>
          <cell r="AL22">
            <v>13.189235063350999</v>
          </cell>
          <cell r="AM22">
            <v>16.829602071217</v>
          </cell>
          <cell r="AN22">
            <v>20.700343710696998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O23">
            <v>0</v>
          </cell>
          <cell r="T23">
            <v>0</v>
          </cell>
          <cell r="Y23">
            <v>0</v>
          </cell>
          <cell r="AD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0.81028093000000001</v>
          </cell>
          <cell r="G24">
            <v>1.5783812399999999</v>
          </cell>
          <cell r="H24">
            <v>4.8113008800000001</v>
          </cell>
          <cell r="I24">
            <v>3.6840692599999998</v>
          </cell>
          <cell r="J24">
            <v>4.18200124</v>
          </cell>
          <cell r="O24">
            <v>12.406744270000001</v>
          </cell>
          <cell r="T24">
            <v>3.8634738099999999</v>
          </cell>
          <cell r="Y24">
            <v>6.2818661100000002</v>
          </cell>
          <cell r="AD24">
            <v>3.4837900199999998</v>
          </cell>
          <cell r="AI24">
            <v>6.3033210999999998</v>
          </cell>
          <cell r="AJ24">
            <v>8.6815941277549999</v>
          </cell>
          <cell r="AK24">
            <v>9.800137933397</v>
          </cell>
          <cell r="AL24">
            <v>13.189235063350999</v>
          </cell>
          <cell r="AM24">
            <v>16.829602071217</v>
          </cell>
          <cell r="AN24">
            <v>20.700343710696998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10.70655601</v>
          </cell>
          <cell r="G27">
            <v>23.446242460000001</v>
          </cell>
          <cell r="H27">
            <v>25.66119102</v>
          </cell>
          <cell r="I27">
            <v>19.474558139999999</v>
          </cell>
          <cell r="J27">
            <v>33.646572829999997</v>
          </cell>
          <cell r="O27">
            <v>39.280135350000002</v>
          </cell>
          <cell r="T27">
            <v>63.722150169999999</v>
          </cell>
          <cell r="Y27">
            <v>119.42222903</v>
          </cell>
          <cell r="AD27">
            <v>70.104604710000004</v>
          </cell>
          <cell r="AI27">
            <v>78.696419786000007</v>
          </cell>
          <cell r="AJ27">
            <v>92.663055921199998</v>
          </cell>
          <cell r="AK27">
            <v>109.44204570344</v>
          </cell>
          <cell r="AL27">
            <v>120.38625027378301</v>
          </cell>
          <cell r="AM27">
            <v>132.42487530116301</v>
          </cell>
          <cell r="AN27">
            <v>145.66736283127901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61.839298790000001</v>
          </cell>
          <cell r="G28">
            <v>107.2227256</v>
          </cell>
          <cell r="H28">
            <v>170.32802999</v>
          </cell>
          <cell r="I28">
            <v>144.74226050999999</v>
          </cell>
          <cell r="J28">
            <v>244.87089186</v>
          </cell>
          <cell r="O28">
            <v>305.60998791999998</v>
          </cell>
          <cell r="T28">
            <v>339.77377075999999</v>
          </cell>
          <cell r="Y28">
            <v>397.91225233</v>
          </cell>
          <cell r="AD28">
            <v>444.31158290000002</v>
          </cell>
          <cell r="AI28">
            <v>490.53492647458302</v>
          </cell>
          <cell r="AJ28">
            <v>732.18466865483697</v>
          </cell>
          <cell r="AK28">
            <v>1030.3510535768601</v>
          </cell>
          <cell r="AL28">
            <v>1364.4496445432301</v>
          </cell>
          <cell r="AM28">
            <v>1679.3678402519699</v>
          </cell>
          <cell r="AN28">
            <v>1947.90385905264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65.045692160000002</v>
          </cell>
          <cell r="G37">
            <v>374.88984476000002</v>
          </cell>
          <cell r="H37">
            <v>378.69028066999999</v>
          </cell>
          <cell r="I37">
            <v>412.60944889000001</v>
          </cell>
          <cell r="J37">
            <v>491.51100502000003</v>
          </cell>
          <cell r="O37">
            <v>437.93111359</v>
          </cell>
          <cell r="T37">
            <v>688.06467938000003</v>
          </cell>
          <cell r="Y37">
            <v>402.85786125999999</v>
          </cell>
          <cell r="AD37">
            <v>695.05200246000004</v>
          </cell>
          <cell r="AI37">
            <v>953.878334258834</v>
          </cell>
          <cell r="AJ37">
            <v>1345.97101492142</v>
          </cell>
          <cell r="AK37">
            <v>1811.4365557813301</v>
          </cell>
          <cell r="AL37">
            <v>2311.4120162864701</v>
          </cell>
          <cell r="AM37">
            <v>2843.0276005155902</v>
          </cell>
          <cell r="AN37">
            <v>3371.3426102754602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58.02669075</v>
          </cell>
          <cell r="G38">
            <v>68.747168680000001</v>
          </cell>
          <cell r="H38">
            <v>81.663890249999994</v>
          </cell>
          <cell r="I38">
            <v>92.180065319999997</v>
          </cell>
          <cell r="J38">
            <v>158.42831710999999</v>
          </cell>
          <cell r="O38">
            <v>198.54760519999999</v>
          </cell>
          <cell r="T38">
            <v>183.95527200000001</v>
          </cell>
          <cell r="Y38">
            <v>354.88850058999998</v>
          </cell>
          <cell r="AD38">
            <v>309.94235418</v>
          </cell>
          <cell r="AI38">
            <v>321.61097825242501</v>
          </cell>
          <cell r="AJ38">
            <v>377.28764521427701</v>
          </cell>
          <cell r="AK38">
            <v>442.29614233998598</v>
          </cell>
          <cell r="AL38">
            <v>518.87980198985701</v>
          </cell>
          <cell r="AM38">
            <v>588.60404002302198</v>
          </cell>
          <cell r="AN38">
            <v>647.77749030225698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36.956102090000002</v>
          </cell>
          <cell r="G39">
            <v>38.793858620000002</v>
          </cell>
          <cell r="H39">
            <v>46.101855530000002</v>
          </cell>
          <cell r="I39">
            <v>59.533227650000001</v>
          </cell>
          <cell r="J39">
            <v>55.002269480000002</v>
          </cell>
          <cell r="O39">
            <v>37.178667650000001</v>
          </cell>
          <cell r="T39">
            <v>59.696208140000003</v>
          </cell>
          <cell r="Y39">
            <v>279.41412678</v>
          </cell>
          <cell r="AD39">
            <v>256.74188783</v>
          </cell>
          <cell r="AI39">
            <v>220.60581248518099</v>
          </cell>
          <cell r="AJ39">
            <v>231.50945648599</v>
          </cell>
          <cell r="AK39">
            <v>241.27863551544601</v>
          </cell>
          <cell r="AL39">
            <v>253.08765587062999</v>
          </cell>
          <cell r="AM39">
            <v>262.337917622585</v>
          </cell>
          <cell r="AN39">
            <v>270.65735283193197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14.35496822</v>
          </cell>
          <cell r="G40">
            <v>19.801765799999998</v>
          </cell>
          <cell r="H40">
            <v>16.916381619999999</v>
          </cell>
          <cell r="I40">
            <v>11.29814214</v>
          </cell>
          <cell r="J40">
            <v>16.007810689999999</v>
          </cell>
          <cell r="O40">
            <v>239.00678665000001</v>
          </cell>
          <cell r="T40">
            <v>155.72139082999999</v>
          </cell>
          <cell r="Y40">
            <v>521.07787404999999</v>
          </cell>
          <cell r="AD40">
            <v>145.22017736000001</v>
          </cell>
          <cell r="AI40">
            <v>145.22017736000001</v>
          </cell>
          <cell r="AJ40">
            <v>145.22017736000001</v>
          </cell>
          <cell r="AK40">
            <v>145.22017736000001</v>
          </cell>
          <cell r="AL40">
            <v>145.22017736000001</v>
          </cell>
          <cell r="AM40">
            <v>145.22017736000001</v>
          </cell>
          <cell r="AN40">
            <v>145.22017736000001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174.38345322000001</v>
          </cell>
          <cell r="G41">
            <v>502.23263786000001</v>
          </cell>
          <cell r="H41">
            <v>523.37240807000001</v>
          </cell>
          <cell r="I41">
            <v>575.62088400000005</v>
          </cell>
          <cell r="J41">
            <v>720.94940229999997</v>
          </cell>
          <cell r="O41">
            <v>912.66417308999996</v>
          </cell>
          <cell r="T41">
            <v>1087.43755035</v>
          </cell>
          <cell r="Y41">
            <v>1558.2383626799999</v>
          </cell>
          <cell r="AD41">
            <v>1406.95642183</v>
          </cell>
          <cell r="AI41">
            <v>1641.31530235644</v>
          </cell>
          <cell r="AJ41">
            <v>2099.9882939816898</v>
          </cell>
          <cell r="AK41">
            <v>2640.2315109967599</v>
          </cell>
          <cell r="AL41">
            <v>3228.5996515069601</v>
          </cell>
          <cell r="AM41">
            <v>3839.1897355212</v>
          </cell>
          <cell r="AN41">
            <v>4434.9976307696397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31.321289719999999</v>
          </cell>
          <cell r="G42">
            <v>44.018521790000001</v>
          </cell>
          <cell r="H42">
            <v>134.65728221000001</v>
          </cell>
          <cell r="I42">
            <v>153.95100389000001</v>
          </cell>
          <cell r="J42">
            <v>160.49192837000001</v>
          </cell>
          <cell r="O42">
            <v>164.96679304</v>
          </cell>
          <cell r="T42">
            <v>168.70739971</v>
          </cell>
          <cell r="Y42">
            <v>332.83463985999998</v>
          </cell>
          <cell r="AD42">
            <v>424.29902837999998</v>
          </cell>
          <cell r="AI42">
            <v>445.26117249823801</v>
          </cell>
          <cell r="AJ42">
            <v>469.85224223095503</v>
          </cell>
          <cell r="AK42">
            <v>498.68047293704302</v>
          </cell>
          <cell r="AL42">
            <v>532.50031717388197</v>
          </cell>
          <cell r="AM42">
            <v>570.86468763966798</v>
          </cell>
          <cell r="AN42">
            <v>613.08589906115401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-9.0016160000000003</v>
          </cell>
          <cell r="H43">
            <v>-12.58399837</v>
          </cell>
          <cell r="I43">
            <v>-18.115846950000002</v>
          </cell>
          <cell r="J43">
            <v>-25.746262659999999</v>
          </cell>
          <cell r="O43">
            <v>-33.736404460000003</v>
          </cell>
          <cell r="T43">
            <v>-43.217396090000001</v>
          </cell>
          <cell r="Y43">
            <v>-71.320354370000004</v>
          </cell>
          <cell r="AD43">
            <v>-94.006481480000005</v>
          </cell>
          <cell r="AI43">
            <v>-128.559899561995</v>
          </cell>
          <cell r="AJ43">
            <v>-165.596475029223</v>
          </cell>
          <cell r="AK43">
            <v>-205.53510530956899</v>
          </cell>
          <cell r="AL43">
            <v>-248.876551513853</v>
          </cell>
          <cell r="AM43">
            <v>-296.10944265052001</v>
          </cell>
          <cell r="AN43">
            <v>-347.68921722903002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31.321289719999999</v>
          </cell>
          <cell r="G44">
            <v>35.016905790000003</v>
          </cell>
          <cell r="H44">
            <v>122.07328384</v>
          </cell>
          <cell r="I44">
            <v>135.83515693999999</v>
          </cell>
          <cell r="J44">
            <v>134.74566571</v>
          </cell>
          <cell r="O44">
            <v>131.23038858000001</v>
          </cell>
          <cell r="T44">
            <v>125.49000362</v>
          </cell>
          <cell r="Y44">
            <v>261.51428549000002</v>
          </cell>
          <cell r="AD44">
            <v>330.29254689999999</v>
          </cell>
          <cell r="AI44">
            <v>316.70127293624398</v>
          </cell>
          <cell r="AJ44">
            <v>304.25576720173098</v>
          </cell>
          <cell r="AK44">
            <v>293.145367627474</v>
          </cell>
          <cell r="AL44">
            <v>283.62376566002899</v>
          </cell>
          <cell r="AM44">
            <v>274.75524498914803</v>
          </cell>
          <cell r="AN44">
            <v>265.39668183212501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20.191413409999999</v>
          </cell>
          <cell r="G45">
            <v>109.45581347</v>
          </cell>
          <cell r="H45">
            <v>163.20161540999999</v>
          </cell>
          <cell r="I45">
            <v>170.74985587</v>
          </cell>
          <cell r="J45">
            <v>224.71509144999999</v>
          </cell>
          <cell r="O45">
            <v>286.73425691</v>
          </cell>
          <cell r="T45">
            <v>291.21508124000002</v>
          </cell>
          <cell r="Y45">
            <v>364.64805605999999</v>
          </cell>
          <cell r="AD45">
            <v>541.39002106999999</v>
          </cell>
          <cell r="AI45">
            <v>552.800693004354</v>
          </cell>
          <cell r="AJ45">
            <v>566.18675826810204</v>
          </cell>
          <cell r="AK45">
            <v>581.87930771245203</v>
          </cell>
          <cell r="AL45">
            <v>600.10492785073404</v>
          </cell>
          <cell r="AM45">
            <v>620.57286063234699</v>
          </cell>
          <cell r="AN45">
            <v>642.87321634710702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G46">
            <v>-13.83080232</v>
          </cell>
          <cell r="H46">
            <v>-29.075303250000001</v>
          </cell>
          <cell r="I46">
            <v>-34.22575544</v>
          </cell>
          <cell r="J46">
            <v>-49.412878579999997</v>
          </cell>
          <cell r="O46">
            <v>-63.976648179999998</v>
          </cell>
          <cell r="T46">
            <v>-61.054996119999998</v>
          </cell>
          <cell r="Y46">
            <v>-86.066647079999996</v>
          </cell>
          <cell r="AD46">
            <v>-116.08410153</v>
          </cell>
          <cell r="AI46">
            <v>-147.12835548194801</v>
          </cell>
          <cell r="AJ46">
            <v>-181.61276697423301</v>
          </cell>
          <cell r="AK46">
            <v>-220.26446821005101</v>
          </cell>
          <cell r="AL46">
            <v>-263.98852688520299</v>
          </cell>
          <cell r="AM46">
            <v>-313.84455493070999</v>
          </cell>
          <cell r="AN46">
            <v>-366.93103940341302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20.191413409999999</v>
          </cell>
          <cell r="G47">
            <v>95.625011150000006</v>
          </cell>
          <cell r="H47">
            <v>134.12631216</v>
          </cell>
          <cell r="I47">
            <v>136.52410043</v>
          </cell>
          <cell r="J47">
            <v>175.30221287000001</v>
          </cell>
          <cell r="O47">
            <v>222.75760872999999</v>
          </cell>
          <cell r="T47">
            <v>230.16008511999999</v>
          </cell>
          <cell r="Y47">
            <v>278.58140897999999</v>
          </cell>
          <cell r="AD47">
            <v>425.30591953999999</v>
          </cell>
          <cell r="AI47">
            <v>405.672337522406</v>
          </cell>
          <cell r="AJ47">
            <v>384.57399129386999</v>
          </cell>
          <cell r="AK47">
            <v>361.61483950240103</v>
          </cell>
          <cell r="AL47">
            <v>336.116400965531</v>
          </cell>
          <cell r="AM47">
            <v>306.728305701637</v>
          </cell>
          <cell r="AN47">
            <v>275.94217694369502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G49">
            <v>0.35583199999999998</v>
          </cell>
          <cell r="H49">
            <v>0.33511819999999998</v>
          </cell>
          <cell r="I49">
            <v>19.809324050000001</v>
          </cell>
          <cell r="J49">
            <v>37.675542729999997</v>
          </cell>
          <cell r="O49">
            <v>34.048170929999998</v>
          </cell>
          <cell r="T49">
            <v>80.074106060000005</v>
          </cell>
          <cell r="Y49">
            <v>279.45094511999997</v>
          </cell>
          <cell r="AD49">
            <v>235.57809361</v>
          </cell>
          <cell r="AI49">
            <v>335.57809361</v>
          </cell>
          <cell r="AJ49">
            <v>535.57809361</v>
          </cell>
          <cell r="AK49">
            <v>835.57809361</v>
          </cell>
          <cell r="AL49">
            <v>1335.57809361</v>
          </cell>
          <cell r="AM49">
            <v>2035.57809361</v>
          </cell>
          <cell r="AN49">
            <v>2935.57809361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0.82559850000000001</v>
          </cell>
          <cell r="G50">
            <v>0.97549518999999996</v>
          </cell>
          <cell r="H50">
            <v>2.2139813400000001</v>
          </cell>
          <cell r="I50">
            <v>1.2170487299999999</v>
          </cell>
          <cell r="J50">
            <v>1.3688726200000001</v>
          </cell>
          <cell r="O50">
            <v>1.6527464599999999</v>
          </cell>
          <cell r="T50">
            <v>2.1295215500000002</v>
          </cell>
          <cell r="Y50">
            <v>6.8651747199999997</v>
          </cell>
          <cell r="AD50">
            <v>75.563992249999998</v>
          </cell>
          <cell r="AI50">
            <v>75.563992249999998</v>
          </cell>
          <cell r="AJ50">
            <v>75.563992249999998</v>
          </cell>
          <cell r="AK50">
            <v>75.563992250000993</v>
          </cell>
          <cell r="AL50">
            <v>75.563992250000993</v>
          </cell>
          <cell r="AM50">
            <v>75.563992249999998</v>
          </cell>
          <cell r="AN50">
            <v>75.563992250000993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226.72175485</v>
          </cell>
          <cell r="G51">
            <v>634.20588198999997</v>
          </cell>
          <cell r="H51">
            <v>782.12110360999998</v>
          </cell>
          <cell r="I51">
            <v>869.00651415000004</v>
          </cell>
          <cell r="J51">
            <v>1070.0416962300001</v>
          </cell>
          <cell r="O51">
            <v>1302.35308779</v>
          </cell>
          <cell r="T51">
            <v>1525.2912667000001</v>
          </cell>
          <cell r="Y51">
            <v>2384.6501769900001</v>
          </cell>
          <cell r="AD51">
            <v>2473.6969741299999</v>
          </cell>
          <cell r="AI51">
            <v>2774.8309986750901</v>
          </cell>
          <cell r="AJ51">
            <v>3399.9601383372901</v>
          </cell>
          <cell r="AK51">
            <v>4206.1338039866396</v>
          </cell>
          <cell r="AL51">
            <v>5259.4819039925196</v>
          </cell>
          <cell r="AM51">
            <v>6531.8153720719902</v>
          </cell>
          <cell r="AN51">
            <v>7987.4785754054601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69.198736580000002</v>
          </cell>
          <cell r="G52">
            <v>76.851537239999999</v>
          </cell>
          <cell r="H52">
            <v>90.451734560000006</v>
          </cell>
          <cell r="I52">
            <v>103.26566484999999</v>
          </cell>
          <cell r="J52">
            <v>126.89340847</v>
          </cell>
          <cell r="O52">
            <v>127.38931028</v>
          </cell>
          <cell r="T52">
            <v>142.3071755</v>
          </cell>
          <cell r="Y52">
            <v>383.00941774</v>
          </cell>
          <cell r="AD52">
            <v>416.59126722000002</v>
          </cell>
          <cell r="AI52">
            <v>313.66367257440203</v>
          </cell>
          <cell r="AJ52">
            <v>329.16678640086701</v>
          </cell>
          <cell r="AK52">
            <v>343.05688538736501</v>
          </cell>
          <cell r="AL52">
            <v>359.84728928645399</v>
          </cell>
          <cell r="AM52">
            <v>372.99957680194098</v>
          </cell>
          <cell r="AN52">
            <v>384.82838843710101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Y53">
            <v>8.4</v>
          </cell>
          <cell r="AD53">
            <v>6.6520748100000002</v>
          </cell>
          <cell r="AI53">
            <v>6.6520748100000002</v>
          </cell>
          <cell r="AJ53">
            <v>6.6520748100000002</v>
          </cell>
          <cell r="AK53">
            <v>6.6520748100000002</v>
          </cell>
          <cell r="AL53">
            <v>6.6520748100000002</v>
          </cell>
          <cell r="AM53">
            <v>6.6520748100000002</v>
          </cell>
          <cell r="AN53">
            <v>6.6520748100000002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9.5837307500000009</v>
          </cell>
          <cell r="G54">
            <v>12.8062127</v>
          </cell>
          <cell r="H54">
            <v>24.629490130000001</v>
          </cell>
          <cell r="I54">
            <v>19.155223639999999</v>
          </cell>
          <cell r="J54">
            <v>35.56927005</v>
          </cell>
          <cell r="O54">
            <v>47.222302470000002</v>
          </cell>
          <cell r="T54">
            <v>50.564306100000003</v>
          </cell>
          <cell r="Y54">
            <v>66.361664590000004</v>
          </cell>
          <cell r="AD54">
            <v>71.95746742</v>
          </cell>
          <cell r="AI54">
            <v>76.881396687069</v>
          </cell>
          <cell r="AJ54">
            <v>159.59193844056099</v>
          </cell>
          <cell r="AK54">
            <v>212.665554956682</v>
          </cell>
          <cell r="AL54">
            <v>270.31926468027598</v>
          </cell>
          <cell r="AM54">
            <v>324.66311027852902</v>
          </cell>
          <cell r="AN54">
            <v>371.00301741037799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78.782467330000003</v>
          </cell>
          <cell r="G55">
            <v>89.657749940000002</v>
          </cell>
          <cell r="H55">
            <v>115.08122469</v>
          </cell>
          <cell r="I55">
            <v>122.42088849</v>
          </cell>
          <cell r="J55">
            <v>162.46267852</v>
          </cell>
          <cell r="O55">
            <v>174.61161275000001</v>
          </cell>
          <cell r="T55">
            <v>192.87148160000001</v>
          </cell>
          <cell r="Y55">
            <v>457.77108233000001</v>
          </cell>
          <cell r="AD55">
            <v>495.20080945000001</v>
          </cell>
          <cell r="AI55">
            <v>397.19714407147001</v>
          </cell>
          <cell r="AJ55">
            <v>495.41079965142802</v>
          </cell>
          <cell r="AK55">
            <v>562.374515154047</v>
          </cell>
          <cell r="AL55">
            <v>636.81862877672995</v>
          </cell>
          <cell r="AM55">
            <v>704.31476189046998</v>
          </cell>
          <cell r="AN55">
            <v>762.48348065747996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G57">
            <v>0.87361416999999997</v>
          </cell>
          <cell r="H57">
            <v>1.17361417</v>
          </cell>
          <cell r="I57">
            <v>1.37361417</v>
          </cell>
          <cell r="J57">
            <v>1.7824814600000001</v>
          </cell>
          <cell r="O57">
            <v>2.3207120699999999</v>
          </cell>
          <cell r="T57">
            <v>3.5342427000000001</v>
          </cell>
          <cell r="Y57">
            <v>71.117829709999995</v>
          </cell>
          <cell r="AD57">
            <v>64.321622759999997</v>
          </cell>
          <cell r="AI57">
            <v>64.321622759999997</v>
          </cell>
          <cell r="AJ57">
            <v>64.321622759999997</v>
          </cell>
          <cell r="AK57">
            <v>64.321622759999997</v>
          </cell>
          <cell r="AL57">
            <v>64.321622759999997</v>
          </cell>
          <cell r="AM57">
            <v>64.321622759999997</v>
          </cell>
          <cell r="AN57">
            <v>64.321622759999997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0</v>
          </cell>
          <cell r="G58">
            <v>0.87361416999999997</v>
          </cell>
          <cell r="H58">
            <v>1.17361417</v>
          </cell>
          <cell r="I58">
            <v>1.37361417</v>
          </cell>
          <cell r="J58">
            <v>1.7824814600000001</v>
          </cell>
          <cell r="O58">
            <v>2.3207120699999999</v>
          </cell>
          <cell r="T58">
            <v>3.5342427000000001</v>
          </cell>
          <cell r="Y58">
            <v>71.117829709999995</v>
          </cell>
          <cell r="AD58">
            <v>64.321622759999997</v>
          </cell>
          <cell r="AI58">
            <v>64.321622759999997</v>
          </cell>
          <cell r="AJ58">
            <v>64.321622759999997</v>
          </cell>
          <cell r="AK58">
            <v>64.321622759999997</v>
          </cell>
          <cell r="AL58">
            <v>64.321622759999997</v>
          </cell>
          <cell r="AM58">
            <v>64.321622759999997</v>
          </cell>
          <cell r="AN58">
            <v>64.321622759999997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78.782467330000003</v>
          </cell>
          <cell r="G59">
            <v>90.531364109999998</v>
          </cell>
          <cell r="H59">
            <v>116.25483886000001</v>
          </cell>
          <cell r="I59">
            <v>123.79450266000001</v>
          </cell>
          <cell r="J59">
            <v>164.24515998000001</v>
          </cell>
          <cell r="O59">
            <v>176.93232481999999</v>
          </cell>
          <cell r="T59">
            <v>196.4057243</v>
          </cell>
          <cell r="Y59">
            <v>528.88891204000004</v>
          </cell>
          <cell r="AD59">
            <v>559.52243221000003</v>
          </cell>
          <cell r="AI59">
            <v>461.51876683146997</v>
          </cell>
          <cell r="AJ59">
            <v>559.73242241142702</v>
          </cell>
          <cell r="AK59">
            <v>626.69613791404697</v>
          </cell>
          <cell r="AL59">
            <v>701.14025153673003</v>
          </cell>
          <cell r="AM59">
            <v>768.63638465046995</v>
          </cell>
          <cell r="AN59">
            <v>826.80510341747902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140.39101099999999</v>
          </cell>
          <cell r="G61">
            <v>525.41771222</v>
          </cell>
          <cell r="H61">
            <v>639.69133518000001</v>
          </cell>
          <cell r="I61">
            <v>720.33229342000004</v>
          </cell>
          <cell r="J61">
            <v>872.47537669999997</v>
          </cell>
          <cell r="O61">
            <v>1093.5900779000001</v>
          </cell>
          <cell r="T61">
            <v>1286.6508153299999</v>
          </cell>
          <cell r="Y61">
            <v>1608.54737338</v>
          </cell>
          <cell r="AD61">
            <v>1884.28437495</v>
          </cell>
          <cell r="AI61">
            <v>2262.4493383536201</v>
          </cell>
          <cell r="AJ61">
            <v>2761.3648224358599</v>
          </cell>
          <cell r="AK61">
            <v>3472.57477258259</v>
          </cell>
          <cell r="AL61">
            <v>4414.3995616236998</v>
          </cell>
          <cell r="AM61">
            <v>5573.5997330578102</v>
          </cell>
          <cell r="AN61">
            <v>6918.1595330193304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7.5482765199999999</v>
          </cell>
          <cell r="G62">
            <v>18.256805660000001</v>
          </cell>
          <cell r="H62">
            <v>26.17492957</v>
          </cell>
          <cell r="I62">
            <v>24.879718069999999</v>
          </cell>
          <cell r="J62">
            <v>33.321159549999997</v>
          </cell>
          <cell r="O62">
            <v>31.830685070000001</v>
          </cell>
          <cell r="T62">
            <v>42.234727069999998</v>
          </cell>
          <cell r="Y62">
            <v>247.21389156999999</v>
          </cell>
          <cell r="AD62">
            <v>29.890166969999999</v>
          </cell>
          <cell r="AI62">
            <v>50.862893489999998</v>
          </cell>
          <cell r="AJ62">
            <v>78.862893490000005</v>
          </cell>
          <cell r="AK62">
            <v>106.86289349</v>
          </cell>
          <cell r="AL62">
            <v>143.94209083209299</v>
          </cell>
          <cell r="AM62">
            <v>189.57925436370499</v>
          </cell>
          <cell r="AN62">
            <v>242.51393896865901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147.93928751999999</v>
          </cell>
          <cell r="G63">
            <v>543.67451788000005</v>
          </cell>
          <cell r="H63">
            <v>665.86626475000003</v>
          </cell>
          <cell r="I63">
            <v>745.21201149000001</v>
          </cell>
          <cell r="J63">
            <v>905.79653625000003</v>
          </cell>
          <cell r="O63">
            <v>1125.4207629699999</v>
          </cell>
          <cell r="T63">
            <v>1328.8855424000001</v>
          </cell>
          <cell r="Y63">
            <v>1855.7612649499999</v>
          </cell>
          <cell r="AD63">
            <v>1914.1745419199999</v>
          </cell>
          <cell r="AI63">
            <v>2313.3122318436199</v>
          </cell>
          <cell r="AJ63">
            <v>2840.2277159258601</v>
          </cell>
          <cell r="AK63">
            <v>3579.4376660725902</v>
          </cell>
          <cell r="AL63">
            <v>4558.3416524557897</v>
          </cell>
          <cell r="AM63">
            <v>5763.1789874215201</v>
          </cell>
          <cell r="AN63">
            <v>7160.6734719879796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226.72175485</v>
          </cell>
          <cell r="G64">
            <v>634.20588198999997</v>
          </cell>
          <cell r="H64">
            <v>782.12110360999998</v>
          </cell>
          <cell r="I64">
            <v>869.00651415000004</v>
          </cell>
          <cell r="J64">
            <v>1070.0416962300001</v>
          </cell>
          <cell r="O64">
            <v>1302.35308779</v>
          </cell>
          <cell r="T64">
            <v>1525.2912667000001</v>
          </cell>
          <cell r="Y64">
            <v>2384.6501769900001</v>
          </cell>
          <cell r="AD64">
            <v>2473.6969741299999</v>
          </cell>
          <cell r="AI64">
            <v>2774.8309986750901</v>
          </cell>
          <cell r="AJ64">
            <v>3399.9601383372901</v>
          </cell>
          <cell r="AK64">
            <v>4206.1338039866396</v>
          </cell>
          <cell r="AL64">
            <v>5259.4819039925196</v>
          </cell>
          <cell r="AM64">
            <v>6531.8153720719902</v>
          </cell>
          <cell r="AN64">
            <v>7987.4785754054601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-65.045692160000002</v>
          </cell>
          <cell r="G66">
            <v>-374.88984476000002</v>
          </cell>
          <cell r="H66">
            <v>-378.69028066999999</v>
          </cell>
          <cell r="I66">
            <v>-412.60944889000001</v>
          </cell>
          <cell r="J66">
            <v>-491.51100502000003</v>
          </cell>
          <cell r="O66">
            <v>-437.93111359</v>
          </cell>
          <cell r="T66">
            <v>-688.06467938000003</v>
          </cell>
          <cell r="Y66">
            <v>-394.45786126000002</v>
          </cell>
          <cell r="AD66">
            <v>-688.39992765</v>
          </cell>
          <cell r="AI66">
            <v>-947.22625944883396</v>
          </cell>
          <cell r="AJ66">
            <v>-1339.31894011142</v>
          </cell>
          <cell r="AK66">
            <v>-1804.7844809713299</v>
          </cell>
          <cell r="AL66">
            <v>-2304.75994147647</v>
          </cell>
          <cell r="AM66">
            <v>-2836.37552570559</v>
          </cell>
          <cell r="AN66">
            <v>-3364.69053546546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Y71">
            <v>0</v>
          </cell>
          <cell r="AD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-20.191413409999999</v>
          </cell>
          <cell r="G75">
            <v>-95.625011150000006</v>
          </cell>
          <cell r="H75">
            <v>-134.12631216</v>
          </cell>
          <cell r="I75">
            <v>-136.52410043</v>
          </cell>
          <cell r="J75">
            <v>-175.30221287000001</v>
          </cell>
          <cell r="O75">
            <v>-222.75760872999999</v>
          </cell>
          <cell r="T75">
            <v>-230.16008511999999</v>
          </cell>
          <cell r="Y75">
            <v>-278.58140897999999</v>
          </cell>
          <cell r="AD75">
            <v>-425.30591953999999</v>
          </cell>
          <cell r="AI75">
            <v>-405.672337522406</v>
          </cell>
          <cell r="AJ75">
            <v>-384.57399129386999</v>
          </cell>
          <cell r="AK75">
            <v>-361.61483950240103</v>
          </cell>
          <cell r="AL75">
            <v>-336.116400965531</v>
          </cell>
          <cell r="AM75">
            <v>-306.728305701637</v>
          </cell>
          <cell r="AN75">
            <v>-275.94217694369502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7.5482765199999999</v>
          </cell>
          <cell r="G78">
            <v>18.256805660000001</v>
          </cell>
          <cell r="H78">
            <v>26.17492957</v>
          </cell>
          <cell r="I78">
            <v>24.879718069999999</v>
          </cell>
          <cell r="J78">
            <v>33.321159549999997</v>
          </cell>
          <cell r="O78">
            <v>31.830685070000001</v>
          </cell>
          <cell r="T78">
            <v>42.234727069999998</v>
          </cell>
          <cell r="Y78">
            <v>247.21389156999999</v>
          </cell>
          <cell r="AD78">
            <v>29.890166969999999</v>
          </cell>
          <cell r="AI78">
            <v>50.862893489999998</v>
          </cell>
          <cell r="AJ78">
            <v>78.862893490000005</v>
          </cell>
          <cell r="AK78">
            <v>106.86289349</v>
          </cell>
          <cell r="AL78">
            <v>143.94209083209299</v>
          </cell>
          <cell r="AM78">
            <v>189.57925436370499</v>
          </cell>
          <cell r="AN78">
            <v>242.51393896865901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0.24768950000000001</v>
          </cell>
          <cell r="G80">
            <v>8.5892090000000004E-2</v>
          </cell>
          <cell r="H80">
            <v>8.5580354700000001</v>
          </cell>
          <cell r="I80">
            <v>9.6577455600000004</v>
          </cell>
          <cell r="J80">
            <v>14.751514050000001</v>
          </cell>
          <cell r="O80">
            <v>10.220315530000001</v>
          </cell>
          <cell r="T80">
            <v>11.460042</v>
          </cell>
          <cell r="Y80">
            <v>2.9998917999999999</v>
          </cell>
          <cell r="AD80">
            <v>13.10445273</v>
          </cell>
          <cell r="AI80">
            <v>20.972726519999998</v>
          </cell>
          <cell r="AJ80">
            <v>28</v>
          </cell>
          <cell r="AK80">
            <v>28</v>
          </cell>
          <cell r="AL80">
            <v>37.079197342093003</v>
          </cell>
          <cell r="AM80">
            <v>45.637163531611002</v>
          </cell>
          <cell r="AN80">
            <v>52.934684604954001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4.91057363</v>
          </cell>
          <cell r="G81">
            <v>10.07966218</v>
          </cell>
          <cell r="H81">
            <v>12.33090584</v>
          </cell>
          <cell r="I81">
            <v>18.770134349999999</v>
          </cell>
          <cell r="J81">
            <v>24.633697739999999</v>
          </cell>
          <cell r="O81">
            <v>23.698040509999998</v>
          </cell>
          <cell r="T81">
            <v>27.226381960000001</v>
          </cell>
          <cell r="Y81">
            <v>35.742575860000002</v>
          </cell>
          <cell r="AD81">
            <v>60.60349772</v>
          </cell>
          <cell r="AI81">
            <v>65.597672033942999</v>
          </cell>
          <cell r="AJ81">
            <v>71.520986959512996</v>
          </cell>
          <cell r="AK81">
            <v>78.590331516163999</v>
          </cell>
          <cell r="AL81">
            <v>87.065504879436006</v>
          </cell>
          <cell r="AM81">
            <v>97.088919182173996</v>
          </cell>
          <cell r="AN81">
            <v>104.666259051213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-8.3839772999999997</v>
          </cell>
          <cell r="G82">
            <v>-4.9054338</v>
          </cell>
          <cell r="H82">
            <v>-6.6245211599999996</v>
          </cell>
          <cell r="I82">
            <v>-11.1336169</v>
          </cell>
          <cell r="J82">
            <v>-38.089550000000003</v>
          </cell>
          <cell r="O82">
            <v>-21.799784450000001</v>
          </cell>
          <cell r="T82">
            <v>6.99265793</v>
          </cell>
          <cell r="Y82">
            <v>-149.94890498999999</v>
          </cell>
          <cell r="AD82">
            <v>101.20023483999999</v>
          </cell>
          <cell r="AI82">
            <v>-78.460143373204005</v>
          </cell>
          <cell r="AJ82">
            <v>-51.077197136195998</v>
          </cell>
          <cell r="AK82">
            <v>-60.887577168667001</v>
          </cell>
          <cell r="AL82">
            <v>-71.602276105965998</v>
          </cell>
          <cell r="AM82">
            <v>-65.822212269632999</v>
          </cell>
          <cell r="AN82">
            <v>-55.664073853422003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0.46597664</v>
          </cell>
          <cell r="G83">
            <v>-1.21348502</v>
          </cell>
          <cell r="H83">
            <v>11.64582873</v>
          </cell>
          <cell r="I83">
            <v>-3.10476676</v>
          </cell>
          <cell r="J83">
            <v>-11.92710971</v>
          </cell>
          <cell r="O83">
            <v>-1.02510857</v>
          </cell>
          <cell r="T83">
            <v>-22.983218780000001</v>
          </cell>
          <cell r="Y83">
            <v>144.76141974999999</v>
          </cell>
          <cell r="AD83">
            <v>-72.495775530000003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54.631242579999999</v>
          </cell>
          <cell r="G84">
            <v>105.3078124</v>
          </cell>
          <cell r="H84">
            <v>168.12822734</v>
          </cell>
          <cell r="I84">
            <v>145.85378286</v>
          </cell>
          <cell r="J84">
            <v>203.26642433000001</v>
          </cell>
          <cell r="O84">
            <v>275.20716364999998</v>
          </cell>
          <cell r="T84">
            <v>317.47458195000002</v>
          </cell>
          <cell r="Y84">
            <v>393.18825092999998</v>
          </cell>
          <cell r="AD84">
            <v>484.45991694999998</v>
          </cell>
          <cell r="AI84">
            <v>428.29354785142601</v>
          </cell>
          <cell r="AJ84">
            <v>672.08814492612203</v>
          </cell>
          <cell r="AK84">
            <v>934.715192030906</v>
          </cell>
          <cell r="AL84">
            <v>1229.8234124169501</v>
          </cell>
          <cell r="AM84">
            <v>1525.9040847368001</v>
          </cell>
          <cell r="AN84">
            <v>1782.6366197546399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-13.22966364</v>
          </cell>
          <cell r="G85">
            <v>-21.463590100000001</v>
          </cell>
          <cell r="H85">
            <v>-137.64792179</v>
          </cell>
          <cell r="I85">
            <v>-54.607614640000001</v>
          </cell>
          <cell r="J85">
            <v>-14.611854920000001</v>
          </cell>
          <cell r="O85">
            <v>-36.212746670000001</v>
          </cell>
          <cell r="T85">
            <v>-53.042127190000002</v>
          </cell>
          <cell r="Y85">
            <v>-90.96757178</v>
          </cell>
          <cell r="AD85">
            <v>-13.508874459999999</v>
          </cell>
          <cell r="AI85">
            <v>-32.372816052592</v>
          </cell>
          <cell r="AJ85">
            <v>-37.977134996464997</v>
          </cell>
          <cell r="AK85">
            <v>-44.520780150438</v>
          </cell>
          <cell r="AL85">
            <v>-52.045464375121</v>
          </cell>
          <cell r="AM85">
            <v>-58.832303247398997</v>
          </cell>
          <cell r="AN85">
            <v>-64.521567136247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Y87">
            <v>7.6730000000000001E-3</v>
          </cell>
          <cell r="AD87">
            <v>0.20308908000000001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-17.189719069999999</v>
          </cell>
          <cell r="G88">
            <v>-52.367351149999998</v>
          </cell>
          <cell r="H88">
            <v>1.612976E-2</v>
          </cell>
          <cell r="I88">
            <v>-23.375</v>
          </cell>
          <cell r="J88">
            <v>-42.201013279999998</v>
          </cell>
          <cell r="O88">
            <v>-263.73754889999998</v>
          </cell>
          <cell r="T88">
            <v>79.268962389999999</v>
          </cell>
          <cell r="Y88">
            <v>-441.50638948</v>
          </cell>
          <cell r="AD88">
            <v>176.93207366999999</v>
          </cell>
          <cell r="AI88">
            <v>-100</v>
          </cell>
          <cell r="AJ88">
            <v>-200</v>
          </cell>
          <cell r="AK88">
            <v>-300</v>
          </cell>
          <cell r="AL88">
            <v>-500</v>
          </cell>
          <cell r="AM88">
            <v>-700</v>
          </cell>
          <cell r="AN88">
            <v>-900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-30.419382710000001</v>
          </cell>
          <cell r="G89">
            <v>-73.830941249999995</v>
          </cell>
          <cell r="H89">
            <v>-137.63179203000001</v>
          </cell>
          <cell r="I89">
            <v>-77.982614639999994</v>
          </cell>
          <cell r="J89">
            <v>-56.812868199999997</v>
          </cell>
          <cell r="O89">
            <v>-299.95029556999998</v>
          </cell>
          <cell r="T89">
            <v>26.2268352</v>
          </cell>
          <cell r="Y89">
            <v>-532.46628826000006</v>
          </cell>
          <cell r="AD89">
            <v>163.62628828999999</v>
          </cell>
          <cell r="AI89">
            <v>-132.37281605259199</v>
          </cell>
          <cell r="AJ89">
            <v>-237.977134996465</v>
          </cell>
          <cell r="AK89">
            <v>-344.52078015043799</v>
          </cell>
          <cell r="AL89">
            <v>-552.04546437512101</v>
          </cell>
          <cell r="AM89">
            <v>-758.83230324739895</v>
          </cell>
          <cell r="AN89">
            <v>-964.52156713624697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H90">
            <v>-28</v>
          </cell>
          <cell r="I90">
            <v>-33.6</v>
          </cell>
          <cell r="J90">
            <v>-67.2</v>
          </cell>
          <cell r="O90">
            <v>-22.4</v>
          </cell>
          <cell r="T90">
            <v>-92.736000000000004</v>
          </cell>
          <cell r="Y90">
            <v>-30.911999999999999</v>
          </cell>
          <cell r="AD90">
            <v>-37.0944</v>
          </cell>
          <cell r="AI90">
            <v>-37.0944</v>
          </cell>
          <cell r="AJ90">
            <v>-42.018329267068999</v>
          </cell>
          <cell r="AK90">
            <v>-124.728871020561</v>
          </cell>
          <cell r="AL90">
            <v>-177.80248753668201</v>
          </cell>
          <cell r="AM90">
            <v>-235.45619726027601</v>
          </cell>
          <cell r="AN90">
            <v>-289.80004285852903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0.2</v>
          </cell>
          <cell r="G91">
            <v>284.16699999999997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Y92">
            <v>-114.85059713</v>
          </cell>
          <cell r="AD92">
            <v>-1.7479251899999999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-22.26</v>
          </cell>
          <cell r="G93">
            <v>-5.7997185499999997</v>
          </cell>
          <cell r="H93">
            <v>1.3040006</v>
          </cell>
          <cell r="I93">
            <v>-0.35199999999999998</v>
          </cell>
          <cell r="J93">
            <v>-0.35199999999999998</v>
          </cell>
          <cell r="O93">
            <v>-6.4367595099999999</v>
          </cell>
          <cell r="T93">
            <v>-0.83185136000000004</v>
          </cell>
          <cell r="Y93">
            <v>-2.4184848099999998</v>
          </cell>
          <cell r="AD93">
            <v>-317.24973884000002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-22.06</v>
          </cell>
          <cell r="G94">
            <v>278.36728145000001</v>
          </cell>
          <cell r="H94">
            <v>-26.695999400000002</v>
          </cell>
          <cell r="I94">
            <v>-33.951999999999998</v>
          </cell>
          <cell r="J94">
            <v>-67.552000000000007</v>
          </cell>
          <cell r="O94">
            <v>-28.83675951</v>
          </cell>
          <cell r="T94">
            <v>-93.567851360000006</v>
          </cell>
          <cell r="Y94">
            <v>-148.18108194000001</v>
          </cell>
          <cell r="AD94">
            <v>-356.09206403000002</v>
          </cell>
          <cell r="AI94">
            <v>-37.0944</v>
          </cell>
          <cell r="AJ94">
            <v>-42.018329267068999</v>
          </cell>
          <cell r="AK94">
            <v>-124.728871020561</v>
          </cell>
          <cell r="AL94">
            <v>-177.80248753668201</v>
          </cell>
          <cell r="AM94">
            <v>-235.45619726027601</v>
          </cell>
          <cell r="AN94">
            <v>-289.80004285852903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2.15185987</v>
          </cell>
          <cell r="G95">
            <v>309.84415259999997</v>
          </cell>
          <cell r="H95">
            <v>3.80043591</v>
          </cell>
          <cell r="I95">
            <v>33.919168220000003</v>
          </cell>
          <cell r="J95">
            <v>78.901556130000003</v>
          </cell>
          <cell r="O95">
            <v>-53.579891430000004</v>
          </cell>
          <cell r="T95">
            <v>250.13356579000001</v>
          </cell>
          <cell r="Y95">
            <v>-287.45911926999997</v>
          </cell>
          <cell r="AD95">
            <v>291.99414121000001</v>
          </cell>
          <cell r="AI95">
            <v>258.82633179883402</v>
          </cell>
          <cell r="AJ95">
            <v>392.09268066258801</v>
          </cell>
          <cell r="AK95">
            <v>465.46554085990698</v>
          </cell>
          <cell r="AL95">
            <v>499.975460505142</v>
          </cell>
          <cell r="AM95">
            <v>531.61558422912196</v>
          </cell>
          <cell r="AN95">
            <v>528.31500975986103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0.76300000000000001</v>
          </cell>
          <cell r="O109">
            <v>1.0009999999999999</v>
          </cell>
          <cell r="T109">
            <v>1.2110000000000001</v>
          </cell>
          <cell r="Y109">
            <v>1.4379999999999999</v>
          </cell>
          <cell r="AD109">
            <v>1.722</v>
          </cell>
          <cell r="AI109">
            <v>1.8942000000000001</v>
          </cell>
          <cell r="AJ109">
            <v>2.0836199999999998</v>
          </cell>
          <cell r="AK109">
            <v>2.291982</v>
          </cell>
          <cell r="AL109">
            <v>2.291982</v>
          </cell>
          <cell r="AM109">
            <v>2.291982</v>
          </cell>
          <cell r="AN109">
            <v>2.291982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O111">
            <v>0</v>
          </cell>
          <cell r="T111">
            <v>0</v>
          </cell>
          <cell r="Y111">
            <v>0</v>
          </cell>
          <cell r="AD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O112">
            <v>0</v>
          </cell>
          <cell r="T112">
            <v>0</v>
          </cell>
          <cell r="Y112">
            <v>0</v>
          </cell>
          <cell r="AD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</row>
        <row r="113">
          <cell r="B113" t="str">
            <v>Sales - % Brazil</v>
          </cell>
          <cell r="C113" t="str">
            <v>SALES_BRAZIL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O113">
            <v>0</v>
          </cell>
          <cell r="T113">
            <v>0</v>
          </cell>
          <cell r="Y113">
            <v>0</v>
          </cell>
          <cell r="AD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B114" t="str">
            <v>Sales - % Other Americas</v>
          </cell>
          <cell r="C114" t="str">
            <v>SALES_OTH_AM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O114">
            <v>0</v>
          </cell>
          <cell r="T114">
            <v>0</v>
          </cell>
          <cell r="Y114">
            <v>0</v>
          </cell>
          <cell r="AD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</row>
        <row r="115">
          <cell r="B115" t="str">
            <v>Sales - Total % EMEA</v>
          </cell>
          <cell r="C115" t="str">
            <v>SALES_TOT_EMEA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0.13475609356599999</v>
          </cell>
          <cell r="O115">
            <v>0.10162551221299999</v>
          </cell>
          <cell r="T115">
            <v>0.10754935714199999</v>
          </cell>
          <cell r="Y115">
            <v>0.14260013032800001</v>
          </cell>
          <cell r="AD115">
            <v>7.9134247818000006E-2</v>
          </cell>
          <cell r="AI115">
            <v>7.9134247818000006E-2</v>
          </cell>
          <cell r="AJ115">
            <v>7.9134247818000006E-2</v>
          </cell>
          <cell r="AK115">
            <v>7.9134247818000006E-2</v>
          </cell>
          <cell r="AL115">
            <v>7.9134247818000006E-2</v>
          </cell>
          <cell r="AM115">
            <v>7.9134247818000006E-2</v>
          </cell>
          <cell r="AN115">
            <v>7.9134247818000006E-2</v>
          </cell>
        </row>
        <row r="116">
          <cell r="B116" t="str">
            <v>Sales - % UK</v>
          </cell>
          <cell r="C116" t="str">
            <v>SALES_UK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O116">
            <v>0</v>
          </cell>
          <cell r="T116">
            <v>0</v>
          </cell>
          <cell r="Y116">
            <v>0</v>
          </cell>
          <cell r="AD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</row>
        <row r="117">
          <cell r="B117" t="str">
            <v>Sales - % Western Europe-Ex UK</v>
          </cell>
          <cell r="C117" t="str">
            <v>SALES_EU_EX_UK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0.13475609356599999</v>
          </cell>
          <cell r="O117">
            <v>0.10162551221299999</v>
          </cell>
          <cell r="T117">
            <v>0.10754935714199999</v>
          </cell>
          <cell r="Y117">
            <v>0.14260013032800001</v>
          </cell>
          <cell r="AD117">
            <v>7.9134247818000006E-2</v>
          </cell>
          <cell r="AI117">
            <v>7.9134247818000006E-2</v>
          </cell>
          <cell r="AJ117">
            <v>7.9134247818000006E-2</v>
          </cell>
          <cell r="AK117">
            <v>7.9134247818000006E-2</v>
          </cell>
          <cell r="AL117">
            <v>7.9134247818000006E-2</v>
          </cell>
          <cell r="AM117">
            <v>7.9134247818000006E-2</v>
          </cell>
          <cell r="AN117">
            <v>7.9134247818000006E-2</v>
          </cell>
        </row>
        <row r="118">
          <cell r="B118" t="str">
            <v>Sales - % Central &amp; Eastern Europe</v>
          </cell>
          <cell r="C118" t="str">
            <v>SALES_CEE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O118">
            <v>0</v>
          </cell>
          <cell r="T118">
            <v>0</v>
          </cell>
          <cell r="Y118">
            <v>0</v>
          </cell>
          <cell r="AD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</row>
        <row r="119">
          <cell r="B119" t="str">
            <v>Sales - % Middle East</v>
          </cell>
          <cell r="C119" t="str">
            <v>SALES_ME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O119">
            <v>0</v>
          </cell>
          <cell r="T119">
            <v>0</v>
          </cell>
          <cell r="Y119">
            <v>0</v>
          </cell>
          <cell r="AD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O121">
            <v>0</v>
          </cell>
          <cell r="T121">
            <v>0</v>
          </cell>
          <cell r="Y121">
            <v>0</v>
          </cell>
          <cell r="AD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B122" t="str">
            <v>Sales - % Other EMEA</v>
          </cell>
          <cell r="C122" t="str">
            <v>SALES_OTH_EMEA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O122">
            <v>0</v>
          </cell>
          <cell r="T122">
            <v>0</v>
          </cell>
          <cell r="Y122">
            <v>0</v>
          </cell>
          <cell r="AD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  <cell r="F123">
            <v>1</v>
          </cell>
          <cell r="G123">
            <v>1</v>
          </cell>
          <cell r="H123">
            <v>1</v>
          </cell>
          <cell r="I123">
            <v>1</v>
          </cell>
          <cell r="J123">
            <v>0.86524390643399995</v>
          </cell>
          <cell r="O123">
            <v>0.89837448778700002</v>
          </cell>
          <cell r="T123">
            <v>0.89245064285800002</v>
          </cell>
          <cell r="Y123">
            <v>0.85739986967199999</v>
          </cell>
          <cell r="AD123">
            <v>0.92086575218199995</v>
          </cell>
          <cell r="AI123">
            <v>0.92086575218199995</v>
          </cell>
          <cell r="AJ123">
            <v>0.92086575218199995</v>
          </cell>
          <cell r="AK123">
            <v>0.92086575218199995</v>
          </cell>
          <cell r="AL123">
            <v>0.92086575218199995</v>
          </cell>
          <cell r="AM123">
            <v>0.92086575218199995</v>
          </cell>
          <cell r="AN123">
            <v>0.92086575218199995</v>
          </cell>
        </row>
        <row r="124">
          <cell r="B124" t="str">
            <v>Sales - % Japan</v>
          </cell>
          <cell r="C124" t="str">
            <v>SALES_JAPAN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O124">
            <v>0</v>
          </cell>
          <cell r="T124">
            <v>0</v>
          </cell>
          <cell r="Y124">
            <v>0</v>
          </cell>
          <cell r="AD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B125" t="str">
            <v>Sales - % China</v>
          </cell>
          <cell r="C125" t="str">
            <v>SALES_CHINA</v>
          </cell>
          <cell r="F125">
            <v>1</v>
          </cell>
          <cell r="G125">
            <v>1</v>
          </cell>
          <cell r="H125">
            <v>1</v>
          </cell>
          <cell r="I125">
            <v>1</v>
          </cell>
          <cell r="J125">
            <v>0.86524390643399995</v>
          </cell>
          <cell r="O125">
            <v>0.89837448778700002</v>
          </cell>
          <cell r="T125">
            <v>0.89245064285800002</v>
          </cell>
          <cell r="Y125">
            <v>0.85739986967199999</v>
          </cell>
          <cell r="AD125">
            <v>0.92086575218199995</v>
          </cell>
          <cell r="AI125">
            <v>0.92086575218199995</v>
          </cell>
          <cell r="AJ125">
            <v>0.92086575218199995</v>
          </cell>
          <cell r="AK125">
            <v>0.92086575218199995</v>
          </cell>
          <cell r="AL125">
            <v>0.92086575218199995</v>
          </cell>
          <cell r="AM125">
            <v>0.92086575218199995</v>
          </cell>
          <cell r="AN125">
            <v>0.92086575218199995</v>
          </cell>
        </row>
        <row r="126">
          <cell r="B126" t="str">
            <v>Sales - % India</v>
          </cell>
          <cell r="C126" t="str">
            <v>SALES_INDIA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O126">
            <v>0</v>
          </cell>
          <cell r="T126">
            <v>0</v>
          </cell>
          <cell r="Y126">
            <v>0</v>
          </cell>
          <cell r="AD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</row>
        <row r="127">
          <cell r="B127" t="str">
            <v>Sales - % South Korea</v>
          </cell>
          <cell r="C127" t="str">
            <v>SALES_SK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O127">
            <v>0</v>
          </cell>
          <cell r="T127">
            <v>0</v>
          </cell>
          <cell r="Y127">
            <v>0</v>
          </cell>
          <cell r="AD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O129">
            <v>0</v>
          </cell>
          <cell r="T129">
            <v>0</v>
          </cell>
          <cell r="Y129">
            <v>0</v>
          </cell>
          <cell r="AD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B130" t="str">
            <v>Sales - % Others</v>
          </cell>
          <cell r="C130" t="str">
            <v>SALES_OTHER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O130">
            <v>0</v>
          </cell>
          <cell r="T130">
            <v>0</v>
          </cell>
          <cell r="Y130">
            <v>0</v>
          </cell>
          <cell r="AD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</row>
        <row r="131">
          <cell r="B131" t="str">
            <v>Sales -% Consumer (C)</v>
          </cell>
          <cell r="C131" t="str">
            <v>SALES_CONS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O131">
            <v>0</v>
          </cell>
          <cell r="T131">
            <v>0</v>
          </cell>
          <cell r="Y131">
            <v>0</v>
          </cell>
          <cell r="AD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</row>
        <row r="132">
          <cell r="B132" t="str">
            <v>Sales -% Industry (I)</v>
          </cell>
          <cell r="C132" t="str">
            <v>SALES_IND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1</v>
          </cell>
          <cell r="O132">
            <v>1</v>
          </cell>
          <cell r="P132">
            <v>1</v>
          </cell>
          <cell r="Q132">
            <v>1</v>
          </cell>
          <cell r="R132">
            <v>1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I132">
            <v>1</v>
          </cell>
          <cell r="AJ132">
            <v>1</v>
          </cell>
          <cell r="AK132">
            <v>1</v>
          </cell>
          <cell r="AL132">
            <v>1</v>
          </cell>
          <cell r="AM132">
            <v>1</v>
          </cell>
          <cell r="AN132">
            <v>1</v>
          </cell>
        </row>
        <row r="133">
          <cell r="B133" t="str">
            <v>Sales -% Government (G)</v>
          </cell>
          <cell r="C133" t="str">
            <v>SALES_GOV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O133">
            <v>0</v>
          </cell>
          <cell r="T133">
            <v>0</v>
          </cell>
          <cell r="Y133">
            <v>0</v>
          </cell>
          <cell r="AD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</row>
        <row r="134">
          <cell r="B134" t="str">
            <v>Sales - % Industry Sub-Segment: Financial Services</v>
          </cell>
          <cell r="C134" t="str">
            <v>SALES_FINAN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O134">
            <v>0</v>
          </cell>
          <cell r="T134">
            <v>0</v>
          </cell>
          <cell r="Y134">
            <v>0</v>
          </cell>
          <cell r="AD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</row>
        <row r="145">
          <cell r="B145" t="str">
            <v>Sales - % FX: Euro</v>
          </cell>
          <cell r="C145" t="str">
            <v>SALES_FX_EUR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</row>
        <row r="146">
          <cell r="B146" t="str">
            <v>Sales - % FX: New Russian Ruble</v>
          </cell>
          <cell r="C146" t="str">
            <v>SALES_FX_RUB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</row>
        <row r="147">
          <cell r="B147" t="str">
            <v>Sales - % FX: U.S. Dollar</v>
          </cell>
          <cell r="C147" t="str">
            <v>SALES_FX_USD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</row>
        <row r="148">
          <cell r="B148" t="str">
            <v>Sales - % FX: Brazilian Real</v>
          </cell>
          <cell r="C148" t="str">
            <v>SALES_FX_BRL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</row>
        <row r="149">
          <cell r="B149" t="str">
            <v>Sales - % FX: Japanese Yen</v>
          </cell>
          <cell r="C149" t="str">
            <v>SALES_FX_YEN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B150" t="str">
            <v>Sales - % FX: Chinese Renminbi</v>
          </cell>
          <cell r="C150" t="str">
            <v>SALES_FX_CNY</v>
          </cell>
          <cell r="F150">
            <v>1</v>
          </cell>
          <cell r="G150">
            <v>1</v>
          </cell>
          <cell r="H150">
            <v>1</v>
          </cell>
          <cell r="I150">
            <v>1</v>
          </cell>
          <cell r="J150">
            <v>1</v>
          </cell>
          <cell r="K150">
            <v>1</v>
          </cell>
          <cell r="L150">
            <v>1</v>
          </cell>
          <cell r="M150">
            <v>1</v>
          </cell>
          <cell r="N150">
            <v>1</v>
          </cell>
          <cell r="O150">
            <v>1</v>
          </cell>
          <cell r="P150">
            <v>1</v>
          </cell>
          <cell r="Q150">
            <v>1</v>
          </cell>
          <cell r="R150">
            <v>1</v>
          </cell>
          <cell r="S150">
            <v>1</v>
          </cell>
          <cell r="T150">
            <v>1</v>
          </cell>
          <cell r="U150">
            <v>1</v>
          </cell>
          <cell r="V150">
            <v>1</v>
          </cell>
          <cell r="W150">
            <v>1</v>
          </cell>
          <cell r="X150">
            <v>1</v>
          </cell>
          <cell r="Y150">
            <v>1</v>
          </cell>
          <cell r="Z150">
            <v>1</v>
          </cell>
          <cell r="AA150">
            <v>1</v>
          </cell>
          <cell r="AB150">
            <v>1</v>
          </cell>
          <cell r="AC150">
            <v>1</v>
          </cell>
          <cell r="AD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</row>
        <row r="151">
          <cell r="B151" t="str">
            <v>Sales - % FX: Indian Rupee</v>
          </cell>
          <cell r="C151" t="str">
            <v>SALES_FX_INR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</row>
        <row r="152">
          <cell r="B152" t="str">
            <v>Sales - % FX: South Korean Won</v>
          </cell>
          <cell r="C152" t="str">
            <v>SALES_FX_KRW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</row>
        <row r="153">
          <cell r="B153" t="str">
            <v>Sales - % FX: Taiwan Dollar</v>
          </cell>
          <cell r="C153" t="str">
            <v>SALES_FX_TWD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</row>
        <row r="154">
          <cell r="B154" t="str">
            <v>Sales - % FX: Other Currency</v>
          </cell>
          <cell r="C154" t="str">
            <v>SALES_FX_OTH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</row>
        <row r="155">
          <cell r="A155" t="str">
            <v>Security: Beijing Shiji Information</v>
          </cell>
          <cell r="B155" t="str">
            <v>13UJO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002153.SZ</v>
          </cell>
        </row>
        <row r="158">
          <cell r="B158" t="str">
            <v>Security Name</v>
          </cell>
          <cell r="C158" t="str">
            <v>Security Name</v>
          </cell>
          <cell r="E158" t="str">
            <v>Beijing Shiji Information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  <cell r="E160" t="str">
            <v>CNY</v>
          </cell>
        </row>
        <row r="161">
          <cell r="B161" t="str">
            <v>Pricing Currency</v>
          </cell>
          <cell r="C161" t="str">
            <v>PRICE_CURRENCY_ISO</v>
          </cell>
          <cell r="E161" t="str">
            <v>CNY</v>
          </cell>
        </row>
        <row r="162">
          <cell r="B162" t="str">
            <v>Reporting Currency</v>
          </cell>
          <cell r="C162" t="str">
            <v>CURRENCY_ISO</v>
          </cell>
          <cell r="E162" t="str">
            <v>CNY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</row>
        <row r="165">
          <cell r="B165" t="str">
            <v>Asia Pacific Conviction List</v>
          </cell>
          <cell r="C165" t="str">
            <v>AEJ_CONVICTION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 t="str">
            <v>CNY</v>
          </cell>
          <cell r="E167">
            <v>96.3</v>
          </cell>
        </row>
        <row r="168">
          <cell r="B168" t="str">
            <v>Target price period</v>
          </cell>
          <cell r="C168" t="str">
            <v>TP_PERIOD</v>
          </cell>
          <cell r="E168" t="str">
            <v>12 months</v>
          </cell>
        </row>
        <row r="169">
          <cell r="B169" t="str">
            <v>Current shares outstanding (mn)</v>
          </cell>
          <cell r="C169" t="str">
            <v>NUM_SH</v>
          </cell>
          <cell r="E169">
            <v>309.12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  <cell r="E182">
            <v>47.732743440118</v>
          </cell>
        </row>
        <row r="183">
          <cell r="B183" t="str">
            <v>Target price methodology</v>
          </cell>
          <cell r="C183" t="str">
            <v>PRI_TARG_METH</v>
          </cell>
          <cell r="E183" t="str">
            <v>Long-term growth discounted PE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 t="str">
            <v>CNY</v>
          </cell>
          <cell r="F185">
            <v>0.60555128968299998</v>
          </cell>
          <cell r="G185">
            <v>1.699720859925</v>
          </cell>
          <cell r="H185">
            <v>2.0693948472439998</v>
          </cell>
          <cell r="I185">
            <v>2.3302675123580001</v>
          </cell>
          <cell r="J185">
            <v>2.822448811788</v>
          </cell>
          <cell r="O185">
            <v>3.5377525811980002</v>
          </cell>
          <cell r="T185">
            <v>4.1623020682260004</v>
          </cell>
          <cell r="Y185">
            <v>5.203634101255</v>
          </cell>
          <cell r="AD185">
            <v>6.0956404469140004</v>
          </cell>
          <cell r="AI185">
            <v>7.3190001887729998</v>
          </cell>
          <cell r="AJ185">
            <v>8.9329866150229993</v>
          </cell>
          <cell r="AK185">
            <v>11.233743441326</v>
          </cell>
          <cell r="AL185">
            <v>14.280536884135</v>
          </cell>
          <cell r="AM185">
            <v>18.030537438722</v>
          </cell>
          <cell r="AN185">
            <v>22.380174472758998</v>
          </cell>
        </row>
        <row r="186">
          <cell r="B186" t="str">
            <v>DPS, dividend per share (Pub)</v>
          </cell>
          <cell r="C186" t="str">
            <v>DPS_PUB</v>
          </cell>
          <cell r="D186" t="str">
            <v>CNY</v>
          </cell>
          <cell r="F186">
            <v>0</v>
          </cell>
          <cell r="G186">
            <v>9.0579710145000006E-2</v>
          </cell>
          <cell r="H186">
            <v>0.108695652174</v>
          </cell>
          <cell r="I186">
            <v>0.217391304348</v>
          </cell>
          <cell r="J186">
            <v>7.2463768115999999E-2</v>
          </cell>
          <cell r="O186">
            <v>0.3</v>
          </cell>
          <cell r="T186">
            <v>0.1</v>
          </cell>
          <cell r="Y186">
            <v>0.12</v>
          </cell>
          <cell r="AD186">
            <v>0.12</v>
          </cell>
          <cell r="AI186">
            <v>0.13592886020700001</v>
          </cell>
          <cell r="AJ186">
            <v>0.40349660656199998</v>
          </cell>
          <cell r="AK186">
            <v>0.57518920657600003</v>
          </cell>
          <cell r="AL186">
            <v>0.76169836070200003</v>
          </cell>
          <cell r="AM186">
            <v>0.93750013864699999</v>
          </cell>
          <cell r="AN186">
            <v>1.0874092585090001</v>
          </cell>
        </row>
        <row r="187">
          <cell r="B187" t="str">
            <v>Special dividend per share</v>
          </cell>
          <cell r="C187" t="str">
            <v>DPS_SPECIAL_PUB</v>
          </cell>
          <cell r="D187" t="str">
            <v>CNY</v>
          </cell>
        </row>
        <row r="188">
          <cell r="B188" t="str">
            <v>EBITDA (Pub)</v>
          </cell>
          <cell r="C188" t="str">
            <v>EBITDA_PUB</v>
          </cell>
          <cell r="D188" t="str">
            <v>CNY</v>
          </cell>
          <cell r="F188">
            <v>55.233035479999998</v>
          </cell>
          <cell r="G188">
            <v>92.277764079999997</v>
          </cell>
          <cell r="H188">
            <v>152.18644393</v>
          </cell>
          <cell r="I188">
            <v>140.35376746</v>
          </cell>
          <cell r="J188">
            <v>231.67601553</v>
          </cell>
          <cell r="O188">
            <v>277.62114881000002</v>
          </cell>
          <cell r="T188">
            <v>299.41452873999998</v>
          </cell>
          <cell r="Y188">
            <v>307.95073305</v>
          </cell>
          <cell r="AD188">
            <v>431.32668589000002</v>
          </cell>
          <cell r="AI188">
            <v>471.13285762252599</v>
          </cell>
          <cell r="AJ188">
            <v>702.361005565396</v>
          </cell>
          <cell r="AK188">
            <v>989.69920145619096</v>
          </cell>
          <cell r="AL188">
            <v>1317.93966408553</v>
          </cell>
          <cell r="AM188">
            <v>1627.2022820617699</v>
          </cell>
          <cell r="AN188">
            <v>1886.2024115618699</v>
          </cell>
        </row>
        <row r="189">
          <cell r="B189" t="str">
            <v>EPS (Pub)</v>
          </cell>
          <cell r="C189" t="str">
            <v>EPS_PUB</v>
          </cell>
          <cell r="D189" t="str">
            <v>CNY</v>
          </cell>
          <cell r="F189">
            <v>0.99018254157999996</v>
          </cell>
          <cell r="G189">
            <v>0.47647834062700001</v>
          </cell>
          <cell r="H189">
            <v>0.460073688082</v>
          </cell>
          <cell r="I189">
            <v>0.42593260419899998</v>
          </cell>
          <cell r="J189">
            <v>0.69195740246500004</v>
          </cell>
          <cell r="O189">
            <v>0.85440508744200006</v>
          </cell>
          <cell r="T189">
            <v>0.95360610390800005</v>
          </cell>
          <cell r="Y189">
            <v>1.1634099007180001</v>
          </cell>
          <cell r="AD189">
            <v>1.235919730817</v>
          </cell>
          <cell r="AI189">
            <v>1.359288602066</v>
          </cell>
          <cell r="AJ189">
            <v>2.0174830328120001</v>
          </cell>
          <cell r="AK189">
            <v>2.8759460328789999</v>
          </cell>
          <cell r="AL189">
            <v>3.808491803511</v>
          </cell>
          <cell r="AM189">
            <v>4.687500693234</v>
          </cell>
          <cell r="AN189">
            <v>5.4370462925460004</v>
          </cell>
        </row>
        <row r="190">
          <cell r="B190" t="str">
            <v>EV adjustment (Pub)</v>
          </cell>
          <cell r="C190" t="str">
            <v>EV_ADJ_PUB</v>
          </cell>
          <cell r="D190" t="str">
            <v>CNY</v>
          </cell>
        </row>
        <row r="191">
          <cell r="B191" t="str">
            <v>Net debt (Pub)</v>
          </cell>
          <cell r="C191" t="str">
            <v>NET_DEBT_PUB</v>
          </cell>
          <cell r="D191" t="str">
            <v>CNY</v>
          </cell>
          <cell r="F191">
            <v>-65.045692160000002</v>
          </cell>
          <cell r="G191">
            <v>-374.88984476000002</v>
          </cell>
          <cell r="H191">
            <v>-378.69028066999999</v>
          </cell>
          <cell r="I191">
            <v>-412.60944889000001</v>
          </cell>
          <cell r="J191">
            <v>-491.51100502000003</v>
          </cell>
          <cell r="O191">
            <v>-437.93111359</v>
          </cell>
          <cell r="T191">
            <v>-688.06467938000003</v>
          </cell>
          <cell r="Y191">
            <v>-394.45786126000002</v>
          </cell>
          <cell r="AD191">
            <v>-688.39992765</v>
          </cell>
          <cell r="AI191">
            <v>-947.22625944883396</v>
          </cell>
          <cell r="AJ191">
            <v>-1339.31894011142</v>
          </cell>
          <cell r="AK191">
            <v>-1804.7844809713299</v>
          </cell>
          <cell r="AL191">
            <v>-2304.75994147647</v>
          </cell>
          <cell r="AM191">
            <v>-2836.37552570559</v>
          </cell>
          <cell r="AN191">
            <v>-3364.69053546546</v>
          </cell>
        </row>
        <row r="192">
          <cell r="B192" t="str">
            <v>Net income (Pub)</v>
          </cell>
          <cell r="C192" t="str">
            <v>NI_PUB</v>
          </cell>
          <cell r="D192" t="str">
            <v>CNY</v>
          </cell>
          <cell r="F192">
            <v>57.390980110000001</v>
          </cell>
          <cell r="G192">
            <v>101.26117695000001</v>
          </cell>
          <cell r="H192">
            <v>142.21797846000001</v>
          </cell>
          <cell r="I192">
            <v>131.66428661</v>
          </cell>
          <cell r="J192">
            <v>213.89787225000001</v>
          </cell>
          <cell r="K192">
            <v>34.038561440000002</v>
          </cell>
          <cell r="L192">
            <v>101.96336092</v>
          </cell>
          <cell r="M192">
            <v>24.289886460000002</v>
          </cell>
          <cell r="N192">
            <v>103.82189181</v>
          </cell>
          <cell r="O192">
            <v>264.11370062999998</v>
          </cell>
          <cell r="P192">
            <v>39.91752134</v>
          </cell>
          <cell r="Q192">
            <v>100.31417308</v>
          </cell>
          <cell r="R192">
            <v>27.36670625</v>
          </cell>
          <cell r="S192">
            <v>127.18031817000001</v>
          </cell>
          <cell r="T192">
            <v>294.77871884000001</v>
          </cell>
          <cell r="U192">
            <v>46.097806339999998</v>
          </cell>
          <cell r="V192">
            <v>100.85949071</v>
          </cell>
          <cell r="W192">
            <v>41.023149080000003</v>
          </cell>
          <cell r="X192">
            <v>171.65282238</v>
          </cell>
          <cell r="Y192">
            <v>359.63326850999999</v>
          </cell>
          <cell r="Z192">
            <v>52.39721153</v>
          </cell>
          <cell r="AA192">
            <v>117.03627469</v>
          </cell>
          <cell r="AB192">
            <v>60.348519439999997</v>
          </cell>
          <cell r="AC192">
            <v>152.26550152999999</v>
          </cell>
          <cell r="AD192">
            <v>382.04750718999998</v>
          </cell>
          <cell r="AE192">
            <v>55.084023770000002</v>
          </cell>
          <cell r="AF192">
            <v>118.31819994</v>
          </cell>
          <cell r="AG192">
            <v>81.472854615149004</v>
          </cell>
          <cell r="AH192">
            <v>165.308214345538</v>
          </cell>
          <cell r="AI192">
            <v>420.18329267068702</v>
          </cell>
          <cell r="AJ192">
            <v>623.64435510280498</v>
          </cell>
          <cell r="AK192">
            <v>889.01243768340896</v>
          </cell>
          <cell r="AL192">
            <v>1177.2809863013799</v>
          </cell>
          <cell r="AM192">
            <v>1449.0002142926501</v>
          </cell>
          <cell r="AN192">
            <v>1680.69974995189</v>
          </cell>
        </row>
        <row r="193">
          <cell r="B193" t="str">
            <v>EBIT, operating profit (Pub)</v>
          </cell>
          <cell r="C193" t="str">
            <v>EBIT_PUB</v>
          </cell>
          <cell r="D193" t="str">
            <v>CNY</v>
          </cell>
          <cell r="F193">
            <v>50.322461850000003</v>
          </cell>
          <cell r="G193">
            <v>82.198101899999997</v>
          </cell>
          <cell r="H193">
            <v>139.85553809000001</v>
          </cell>
          <cell r="I193">
            <v>121.58363310999999</v>
          </cell>
          <cell r="J193">
            <v>207.04231779</v>
          </cell>
          <cell r="K193">
            <v>31.554128949999999</v>
          </cell>
          <cell r="L193">
            <v>101.60721722</v>
          </cell>
          <cell r="M193">
            <v>20.373823399999999</v>
          </cell>
          <cell r="N193">
            <v>100.38793873</v>
          </cell>
          <cell r="O193">
            <v>253.9231083</v>
          </cell>
          <cell r="P193">
            <v>33.637942969999997</v>
          </cell>
          <cell r="Q193">
            <v>86.01208656</v>
          </cell>
          <cell r="R193">
            <v>17.849324259999999</v>
          </cell>
          <cell r="S193">
            <v>134.68879299</v>
          </cell>
          <cell r="T193">
            <v>272.18814678000001</v>
          </cell>
          <cell r="U193">
            <v>28.270003299999999</v>
          </cell>
          <cell r="V193">
            <v>88.460965849999994</v>
          </cell>
          <cell r="W193">
            <v>24.8717158</v>
          </cell>
          <cell r="X193">
            <v>130.60547224000001</v>
          </cell>
          <cell r="Y193">
            <v>272.20815719000001</v>
          </cell>
          <cell r="Z193">
            <v>44.971047460000001</v>
          </cell>
          <cell r="AA193">
            <v>114.18189793000001</v>
          </cell>
          <cell r="AB193">
            <v>58.861726789999999</v>
          </cell>
          <cell r="AC193">
            <v>152.70851599</v>
          </cell>
          <cell r="AD193">
            <v>370.72318817000001</v>
          </cell>
          <cell r="AE193">
            <v>52.944417229999999</v>
          </cell>
          <cell r="AF193">
            <v>101.50233587</v>
          </cell>
          <cell r="AG193">
            <v>83.770876488607996</v>
          </cell>
          <cell r="AH193">
            <v>167.31755599997501</v>
          </cell>
          <cell r="AI193">
            <v>405.53518558858298</v>
          </cell>
          <cell r="AJ193">
            <v>630.84001860588296</v>
          </cell>
          <cell r="AK193">
            <v>911.10886994002703</v>
          </cell>
          <cell r="AL193">
            <v>1230.8741592061001</v>
          </cell>
          <cell r="AM193">
            <v>1530.1133628795901</v>
          </cell>
          <cell r="AN193">
            <v>1781.53615251066</v>
          </cell>
        </row>
        <row r="194">
          <cell r="B194" t="str">
            <v>Pre-tax profit (Pub)</v>
          </cell>
          <cell r="C194" t="str">
            <v>PTP_PUB</v>
          </cell>
          <cell r="D194" t="str">
            <v>CNY</v>
          </cell>
          <cell r="F194">
            <v>61.839298790000001</v>
          </cell>
          <cell r="G194">
            <v>107.2227256</v>
          </cell>
          <cell r="H194">
            <v>170.32802999</v>
          </cell>
          <cell r="I194">
            <v>144.74226050999999</v>
          </cell>
          <cell r="J194">
            <v>244.87089186</v>
          </cell>
          <cell r="O194">
            <v>305.60998791999998</v>
          </cell>
          <cell r="T194">
            <v>339.77377075999999</v>
          </cell>
          <cell r="Y194">
            <v>397.91225233</v>
          </cell>
          <cell r="AD194">
            <v>444.31158290000002</v>
          </cell>
          <cell r="AI194">
            <v>490.53492647458302</v>
          </cell>
          <cell r="AJ194">
            <v>732.18466865483697</v>
          </cell>
          <cell r="AK194">
            <v>1030.3510535768601</v>
          </cell>
          <cell r="AL194">
            <v>1364.4496445432301</v>
          </cell>
          <cell r="AM194">
            <v>1679.3678402519699</v>
          </cell>
          <cell r="AN194">
            <v>1947.90385905264</v>
          </cell>
        </row>
        <row r="195">
          <cell r="B195" t="str">
            <v>Sales, revenue (Pub)</v>
          </cell>
          <cell r="C195" t="str">
            <v>REVS_PUB</v>
          </cell>
          <cell r="D195" t="str">
            <v>CNY</v>
          </cell>
          <cell r="F195">
            <v>193.10894234</v>
          </cell>
          <cell r="G195">
            <v>279.47532860000001</v>
          </cell>
          <cell r="H195">
            <v>442.73250508000001</v>
          </cell>
          <cell r="I195">
            <v>406.62099367000002</v>
          </cell>
          <cell r="J195">
            <v>610.24736599000005</v>
          </cell>
          <cell r="K195">
            <v>135.64938233999999</v>
          </cell>
          <cell r="L195">
            <v>224.82224120000001</v>
          </cell>
          <cell r="M195">
            <v>99.292901720000003</v>
          </cell>
          <cell r="N195">
            <v>261.10719883000002</v>
          </cell>
          <cell r="O195">
            <v>720.87172409000004</v>
          </cell>
          <cell r="P195">
            <v>142.36432506</v>
          </cell>
          <cell r="Q195">
            <v>218.26986038000001</v>
          </cell>
          <cell r="R195">
            <v>122.09924633999999</v>
          </cell>
          <cell r="S195">
            <v>307.25290143000001</v>
          </cell>
          <cell r="T195">
            <v>789.98633321</v>
          </cell>
          <cell r="U195">
            <v>146.72047516000001</v>
          </cell>
          <cell r="V195">
            <v>228.07331789</v>
          </cell>
          <cell r="W195">
            <v>152.99129101</v>
          </cell>
          <cell r="X195">
            <v>566.80119663999994</v>
          </cell>
          <cell r="Y195">
            <v>1094.5862807000001</v>
          </cell>
          <cell r="Z195">
            <v>473.33481709</v>
          </cell>
          <cell r="AA195">
            <v>562.21113779999996</v>
          </cell>
          <cell r="AB195">
            <v>462.99653759</v>
          </cell>
          <cell r="AC195">
            <v>687.52956855000002</v>
          </cell>
          <cell r="AD195">
            <v>2186.07206103</v>
          </cell>
          <cell r="AE195">
            <v>413.38954395000002</v>
          </cell>
          <cell r="AF195">
            <v>492.54060661</v>
          </cell>
          <cell r="AG195">
            <v>495.79996010642299</v>
          </cell>
          <cell r="AH195">
            <v>694.48430115741598</v>
          </cell>
          <cell r="AI195">
            <v>2096.2144118238398</v>
          </cell>
          <cell r="AJ195">
            <v>2459.1069732716301</v>
          </cell>
          <cell r="AK195">
            <v>2882.8230706088402</v>
          </cell>
          <cell r="AL195">
            <v>3381.9844236838899</v>
          </cell>
          <cell r="AM195">
            <v>3836.4370465786301</v>
          </cell>
          <cell r="AN195">
            <v>4222.1211421486396</v>
          </cell>
        </row>
        <row r="196">
          <cell r="B196" t="str">
            <v>Total shareholders' equity (Pub)</v>
          </cell>
          <cell r="C196" t="str">
            <v>EQ_PUB</v>
          </cell>
          <cell r="D196" t="str">
            <v>CNY</v>
          </cell>
          <cell r="F196">
            <v>147.93928751999999</v>
          </cell>
          <cell r="G196">
            <v>543.67451788000005</v>
          </cell>
          <cell r="H196">
            <v>665.86626475000003</v>
          </cell>
          <cell r="I196">
            <v>745.21201149000001</v>
          </cell>
          <cell r="J196">
            <v>905.79653625000003</v>
          </cell>
          <cell r="O196">
            <v>1125.4207629699999</v>
          </cell>
          <cell r="T196">
            <v>1328.8855424000001</v>
          </cell>
          <cell r="Y196">
            <v>1855.7612649499999</v>
          </cell>
          <cell r="AD196">
            <v>1914.1745419199999</v>
          </cell>
          <cell r="AI196">
            <v>2313.3122318436199</v>
          </cell>
          <cell r="AJ196">
            <v>2840.2277159258601</v>
          </cell>
          <cell r="AK196">
            <v>3579.4376660725902</v>
          </cell>
          <cell r="AL196">
            <v>4558.3416524557897</v>
          </cell>
          <cell r="AM196">
            <v>5763.1789874215201</v>
          </cell>
          <cell r="AN196">
            <v>7160.6734719879796</v>
          </cell>
        </row>
        <row r="197">
          <cell r="B197" t="str">
            <v>EPS (consensus)</v>
          </cell>
          <cell r="C197" t="str">
            <v>EPS_CONS_PUB</v>
          </cell>
          <cell r="D197" t="str">
            <v>CNY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 t="str">
            <v>CNY</v>
          </cell>
          <cell r="F199">
            <v>-4.20062918</v>
          </cell>
          <cell r="G199">
            <v>-5.8756565600000004</v>
          </cell>
          <cell r="H199">
            <v>-19.55201606</v>
          </cell>
          <cell r="I199">
            <v>-3.42022834</v>
          </cell>
          <cell r="J199">
            <v>-16.221505560000001</v>
          </cell>
          <cell r="O199">
            <v>-31.275971760000001</v>
          </cell>
          <cell r="T199">
            <v>-33.53500992</v>
          </cell>
          <cell r="Y199">
            <v>-35.27909202</v>
          </cell>
          <cell r="AD199">
            <v>-49.159622980000002</v>
          </cell>
          <cell r="AI199">
            <v>-49.378907283895998</v>
          </cell>
          <cell r="AJ199">
            <v>-80.540313552032003</v>
          </cell>
          <cell r="AK199">
            <v>-113.338615893455</v>
          </cell>
          <cell r="AL199">
            <v>-150.08946089975501</v>
          </cell>
          <cell r="AM199">
            <v>-184.73046242771699</v>
          </cell>
          <cell r="AN199">
            <v>-214.26942449578999</v>
          </cell>
        </row>
        <row r="200">
          <cell r="B200" t="str">
            <v>Minority interest</v>
          </cell>
          <cell r="C200" t="str">
            <v>INC_MINORITY</v>
          </cell>
          <cell r="D200" t="str">
            <v>CNY</v>
          </cell>
          <cell r="F200">
            <v>-0.24768950000000001</v>
          </cell>
          <cell r="G200">
            <v>-8.5892090000000004E-2</v>
          </cell>
          <cell r="H200">
            <v>-8.5580354700000001</v>
          </cell>
          <cell r="I200">
            <v>-9.6577455600000004</v>
          </cell>
          <cell r="J200">
            <v>-14.751514050000001</v>
          </cell>
          <cell r="O200">
            <v>-10.220315530000001</v>
          </cell>
          <cell r="T200">
            <v>-11.460042</v>
          </cell>
          <cell r="Y200">
            <v>-2.9998917999999999</v>
          </cell>
          <cell r="AD200">
            <v>-13.10445273</v>
          </cell>
          <cell r="AI200">
            <v>-20.972726519999998</v>
          </cell>
          <cell r="AJ200">
            <v>-28</v>
          </cell>
          <cell r="AK200">
            <v>-28</v>
          </cell>
          <cell r="AL200">
            <v>-37.079197342093003</v>
          </cell>
          <cell r="AM200">
            <v>-45.637163531611002</v>
          </cell>
          <cell r="AN200">
            <v>-52.934684604954001</v>
          </cell>
        </row>
        <row r="201">
          <cell r="B201" t="str">
            <v>Net income (pre-preferred dividends)</v>
          </cell>
          <cell r="C201" t="str">
            <v>NI_PRE_PREF</v>
          </cell>
          <cell r="D201" t="str">
            <v>CNY</v>
          </cell>
          <cell r="F201">
            <v>57.390980110000001</v>
          </cell>
          <cell r="G201">
            <v>101.26117695000001</v>
          </cell>
          <cell r="H201">
            <v>142.21797846000001</v>
          </cell>
          <cell r="I201">
            <v>131.66428661</v>
          </cell>
          <cell r="J201">
            <v>213.89787225000001</v>
          </cell>
          <cell r="O201">
            <v>264.11370062999998</v>
          </cell>
          <cell r="T201">
            <v>294.77871884000001</v>
          </cell>
          <cell r="Y201">
            <v>359.63326850999999</v>
          </cell>
          <cell r="AD201">
            <v>382.04750718999998</v>
          </cell>
          <cell r="AI201">
            <v>420.18329267068702</v>
          </cell>
          <cell r="AJ201">
            <v>623.64435510280498</v>
          </cell>
          <cell r="AK201">
            <v>889.01243768340896</v>
          </cell>
          <cell r="AL201">
            <v>1177.2809863013799</v>
          </cell>
          <cell r="AM201">
            <v>1449.0002142926501</v>
          </cell>
          <cell r="AN201">
            <v>1680.69974995189</v>
          </cell>
        </row>
        <row r="202">
          <cell r="B202" t="str">
            <v>Preferred dividends</v>
          </cell>
          <cell r="C202" t="str">
            <v>PREF_DIV</v>
          </cell>
          <cell r="D202" t="str">
            <v>CNY</v>
          </cell>
        </row>
        <row r="203">
          <cell r="B203" t="str">
            <v>Net income (pre-exceptionals)</v>
          </cell>
          <cell r="C203" t="str">
            <v>NET_EARNING</v>
          </cell>
          <cell r="D203" t="str">
            <v>CNY</v>
          </cell>
          <cell r="F203">
            <v>57.390980110000001</v>
          </cell>
          <cell r="G203">
            <v>101.26117695000001</v>
          </cell>
          <cell r="H203">
            <v>142.21797846000001</v>
          </cell>
          <cell r="I203">
            <v>131.66428661</v>
          </cell>
          <cell r="J203">
            <v>213.89787225000001</v>
          </cell>
          <cell r="O203">
            <v>264.11370062999998</v>
          </cell>
          <cell r="T203">
            <v>294.77871884000001</v>
          </cell>
          <cell r="Y203">
            <v>359.63326850999999</v>
          </cell>
          <cell r="AD203">
            <v>382.04750718999998</v>
          </cell>
          <cell r="AI203">
            <v>420.18329267068702</v>
          </cell>
          <cell r="AJ203">
            <v>623.64435510280498</v>
          </cell>
          <cell r="AK203">
            <v>889.01243768340896</v>
          </cell>
          <cell r="AL203">
            <v>1177.2809863013799</v>
          </cell>
          <cell r="AM203">
            <v>1449.0002142926501</v>
          </cell>
          <cell r="AN203">
            <v>1680.69974995189</v>
          </cell>
        </row>
        <row r="204">
          <cell r="B204" t="str">
            <v>Post-tax exceptionals</v>
          </cell>
          <cell r="C204" t="str">
            <v>TAX_EXC</v>
          </cell>
          <cell r="D204" t="str">
            <v>CNY</v>
          </cell>
        </row>
        <row r="205">
          <cell r="B205" t="str">
            <v>Net income (post-exceptionals)</v>
          </cell>
          <cell r="C205" t="str">
            <v>NET_INC</v>
          </cell>
          <cell r="D205" t="str">
            <v>CNY</v>
          </cell>
          <cell r="F205">
            <v>57.390980110000001</v>
          </cell>
          <cell r="G205">
            <v>101.26117695000001</v>
          </cell>
          <cell r="H205">
            <v>142.21797846000001</v>
          </cell>
          <cell r="I205">
            <v>131.66428661</v>
          </cell>
          <cell r="J205">
            <v>213.89787225000001</v>
          </cell>
          <cell r="K205">
            <v>34.038561440000002</v>
          </cell>
          <cell r="L205">
            <v>101.96336092</v>
          </cell>
          <cell r="M205">
            <v>24.289886460000002</v>
          </cell>
          <cell r="N205">
            <v>103.82189181</v>
          </cell>
          <cell r="O205">
            <v>264.11370062999998</v>
          </cell>
          <cell r="P205">
            <v>39.91752134</v>
          </cell>
          <cell r="Q205">
            <v>100.31417308</v>
          </cell>
          <cell r="R205">
            <v>27.36670625</v>
          </cell>
          <cell r="S205">
            <v>127.18031817000001</v>
          </cell>
          <cell r="T205">
            <v>294.77871884000001</v>
          </cell>
          <cell r="U205">
            <v>46.097806339999998</v>
          </cell>
          <cell r="V205">
            <v>100.85949071</v>
          </cell>
          <cell r="W205">
            <v>41.023149080000003</v>
          </cell>
          <cell r="X205">
            <v>171.65282238</v>
          </cell>
          <cell r="Y205">
            <v>359.63326850999999</v>
          </cell>
          <cell r="Z205">
            <v>52.39721153</v>
          </cell>
          <cell r="AA205">
            <v>117.03627469</v>
          </cell>
          <cell r="AB205">
            <v>60.348519439999997</v>
          </cell>
          <cell r="AC205">
            <v>152.26550152999999</v>
          </cell>
          <cell r="AD205">
            <v>382.04750718999998</v>
          </cell>
          <cell r="AE205">
            <v>55.084023770000002</v>
          </cell>
          <cell r="AF205">
            <v>118.31819994</v>
          </cell>
          <cell r="AG205">
            <v>81.472854615149004</v>
          </cell>
          <cell r="AH205">
            <v>165.308214345538</v>
          </cell>
          <cell r="AI205">
            <v>420.18329267068702</v>
          </cell>
          <cell r="AJ205">
            <v>623.64435510280498</v>
          </cell>
          <cell r="AK205">
            <v>889.01243768340896</v>
          </cell>
          <cell r="AL205">
            <v>1177.2809863013799</v>
          </cell>
          <cell r="AM205">
            <v>1449.0002142926501</v>
          </cell>
          <cell r="AN205">
            <v>1680.69974995189</v>
          </cell>
        </row>
        <row r="206">
          <cell r="B206" t="str">
            <v>EPS (pre-exceptionals, basic)</v>
          </cell>
          <cell r="C206" t="str">
            <v>EPS</v>
          </cell>
          <cell r="D206" t="str">
            <v>CNY</v>
          </cell>
          <cell r="F206">
            <v>0.99018254157999996</v>
          </cell>
          <cell r="G206">
            <v>0.47647834062700001</v>
          </cell>
          <cell r="H206">
            <v>0.460073688082</v>
          </cell>
          <cell r="I206">
            <v>0.42593260419899998</v>
          </cell>
          <cell r="J206">
            <v>0.69195740246500004</v>
          </cell>
          <cell r="O206">
            <v>0.85440508744200006</v>
          </cell>
          <cell r="T206">
            <v>0.95360610390800005</v>
          </cell>
          <cell r="Y206">
            <v>1.1634099007180001</v>
          </cell>
          <cell r="AD206">
            <v>1.235919730817</v>
          </cell>
          <cell r="AI206">
            <v>1.359288602066</v>
          </cell>
          <cell r="AJ206">
            <v>2.0174830328120001</v>
          </cell>
          <cell r="AK206">
            <v>2.8759460328789999</v>
          </cell>
          <cell r="AL206">
            <v>3.808491803511</v>
          </cell>
          <cell r="AM206">
            <v>4.687500693234</v>
          </cell>
          <cell r="AN206">
            <v>5.4370462925460004</v>
          </cell>
        </row>
        <row r="207">
          <cell r="B207" t="str">
            <v>EPS (pre-exceptionals, diluted)</v>
          </cell>
          <cell r="C207" t="str">
            <v>EPS_FUL_DIL</v>
          </cell>
          <cell r="D207" t="str">
            <v>CNY</v>
          </cell>
          <cell r="F207">
            <v>0.24754563539499999</v>
          </cell>
          <cell r="G207">
            <v>0.32757885918099999</v>
          </cell>
          <cell r="H207">
            <v>0.460073688082</v>
          </cell>
          <cell r="I207">
            <v>0.42593260419899998</v>
          </cell>
          <cell r="J207">
            <v>0.69195740246500004</v>
          </cell>
          <cell r="O207">
            <v>0.85440508744200006</v>
          </cell>
          <cell r="T207">
            <v>0.95360610390800005</v>
          </cell>
          <cell r="Y207">
            <v>1.1634099007180001</v>
          </cell>
          <cell r="AD207">
            <v>1.235919730817</v>
          </cell>
          <cell r="AI207">
            <v>1.359288602066</v>
          </cell>
          <cell r="AJ207">
            <v>2.0174830328120001</v>
          </cell>
          <cell r="AK207">
            <v>2.8759460328789999</v>
          </cell>
          <cell r="AL207">
            <v>3.808491803511</v>
          </cell>
          <cell r="AM207">
            <v>4.687500693234</v>
          </cell>
          <cell r="AN207">
            <v>5.4370462925460004</v>
          </cell>
        </row>
        <row r="208">
          <cell r="B208" t="str">
            <v>EPS (post-exceptionals, basic)</v>
          </cell>
          <cell r="C208" t="str">
            <v>EPS_POST_BASIC</v>
          </cell>
          <cell r="D208" t="str">
            <v>CNY</v>
          </cell>
          <cell r="F208">
            <v>0.99018254157999996</v>
          </cell>
          <cell r="G208">
            <v>0.47647834062700001</v>
          </cell>
          <cell r="H208">
            <v>0.460073688082</v>
          </cell>
          <cell r="I208">
            <v>0.42593260419899998</v>
          </cell>
          <cell r="J208">
            <v>0.69195740246500004</v>
          </cell>
          <cell r="O208">
            <v>0.85440508744200006</v>
          </cell>
          <cell r="T208">
            <v>0.95360610390800005</v>
          </cell>
          <cell r="Y208">
            <v>1.1634099007180001</v>
          </cell>
          <cell r="AD208">
            <v>1.235919730817</v>
          </cell>
          <cell r="AI208">
            <v>1.359288602066</v>
          </cell>
          <cell r="AJ208">
            <v>2.0174830328120001</v>
          </cell>
          <cell r="AK208">
            <v>2.8759460328789999</v>
          </cell>
          <cell r="AL208">
            <v>3.808491803511</v>
          </cell>
          <cell r="AM208">
            <v>4.687500693234</v>
          </cell>
          <cell r="AN208">
            <v>5.4370462925460004</v>
          </cell>
        </row>
        <row r="209">
          <cell r="B209" t="str">
            <v>EPS (post-exceptionals, diluted)</v>
          </cell>
          <cell r="C209" t="str">
            <v>FULLY_DIL_EPS</v>
          </cell>
          <cell r="D209" t="str">
            <v>CNY</v>
          </cell>
          <cell r="F209">
            <v>0.24754563539499999</v>
          </cell>
          <cell r="G209">
            <v>0.32757885918099999</v>
          </cell>
          <cell r="H209">
            <v>0.460073688082</v>
          </cell>
          <cell r="I209">
            <v>0.42593260419899998</v>
          </cell>
          <cell r="J209">
            <v>0.69195740246500004</v>
          </cell>
          <cell r="O209">
            <v>0.85440508744200006</v>
          </cell>
          <cell r="T209">
            <v>0.95360610390800005</v>
          </cell>
          <cell r="Y209">
            <v>1.1634099007180001</v>
          </cell>
          <cell r="AD209">
            <v>1.235919730817</v>
          </cell>
          <cell r="AI209">
            <v>1.359288602066</v>
          </cell>
          <cell r="AJ209">
            <v>2.0174830328120001</v>
          </cell>
          <cell r="AK209">
            <v>2.8759460328789999</v>
          </cell>
          <cell r="AL209">
            <v>3.808491803511</v>
          </cell>
          <cell r="AM209">
            <v>4.687500693234</v>
          </cell>
          <cell r="AN209">
            <v>5.4370462925460004</v>
          </cell>
        </row>
        <row r="210">
          <cell r="B210" t="str">
            <v>Common dividends paid</v>
          </cell>
          <cell r="C210" t="str">
            <v>COMMON_DIV_PAID</v>
          </cell>
          <cell r="D210" t="str">
            <v>CNY</v>
          </cell>
          <cell r="F210">
            <v>0</v>
          </cell>
          <cell r="G210">
            <v>-28</v>
          </cell>
          <cell r="H210">
            <v>-33.6</v>
          </cell>
          <cell r="I210">
            <v>-67.2</v>
          </cell>
          <cell r="J210">
            <v>-22.4</v>
          </cell>
          <cell r="O210">
            <v>-92.736000000000004</v>
          </cell>
          <cell r="T210">
            <v>-30.911999999999999</v>
          </cell>
          <cell r="Y210">
            <v>-37.0944</v>
          </cell>
          <cell r="AD210">
            <v>-37.0944</v>
          </cell>
          <cell r="AI210">
            <v>-42.018329267068999</v>
          </cell>
          <cell r="AJ210">
            <v>-124.728871020561</v>
          </cell>
          <cell r="AK210">
            <v>-177.80248753668201</v>
          </cell>
          <cell r="AL210">
            <v>-235.45619726027601</v>
          </cell>
          <cell r="AM210">
            <v>-289.80004285852903</v>
          </cell>
          <cell r="AN210">
            <v>-336.139949990378</v>
          </cell>
        </row>
        <row r="211">
          <cell r="B211" t="str">
            <v>DPS, dividend per share</v>
          </cell>
          <cell r="C211" t="str">
            <v>DPS</v>
          </cell>
          <cell r="D211" t="str">
            <v>CNY</v>
          </cell>
          <cell r="G211">
            <v>9.0579710145000006E-2</v>
          </cell>
          <cell r="H211">
            <v>0.108695652174</v>
          </cell>
          <cell r="I211">
            <v>0.217391304348</v>
          </cell>
          <cell r="J211">
            <v>7.2463768115999999E-2</v>
          </cell>
          <cell r="O211">
            <v>0.3</v>
          </cell>
          <cell r="T211">
            <v>0.1</v>
          </cell>
          <cell r="Y211">
            <v>0.12</v>
          </cell>
          <cell r="AD211">
            <v>0.12</v>
          </cell>
          <cell r="AI211">
            <v>0.13592886020700001</v>
          </cell>
          <cell r="AJ211">
            <v>0.40349660656199998</v>
          </cell>
          <cell r="AK211">
            <v>0.57518920657600003</v>
          </cell>
          <cell r="AL211">
            <v>0.76169836070200003</v>
          </cell>
          <cell r="AM211">
            <v>0.93750013864699999</v>
          </cell>
          <cell r="AN211">
            <v>1.0874092585090001</v>
          </cell>
        </row>
        <row r="212">
          <cell r="B212" t="str">
            <v>Weighted average shares outstanding, basic</v>
          </cell>
          <cell r="C212" t="str">
            <v>SH</v>
          </cell>
          <cell r="F212">
            <v>57.96</v>
          </cell>
          <cell r="G212">
            <v>212.52</v>
          </cell>
          <cell r="H212">
            <v>309.12</v>
          </cell>
          <cell r="I212">
            <v>309.12</v>
          </cell>
          <cell r="J212">
            <v>309.12</v>
          </cell>
          <cell r="O212">
            <v>309.12</v>
          </cell>
          <cell r="T212">
            <v>309.12</v>
          </cell>
          <cell r="Y212">
            <v>309.12</v>
          </cell>
          <cell r="AD212">
            <v>309.12</v>
          </cell>
          <cell r="AI212">
            <v>309.12</v>
          </cell>
          <cell r="AJ212">
            <v>309.12</v>
          </cell>
          <cell r="AK212">
            <v>309.12</v>
          </cell>
          <cell r="AL212">
            <v>309.12</v>
          </cell>
          <cell r="AM212">
            <v>309.12</v>
          </cell>
          <cell r="AN212">
            <v>309.12</v>
          </cell>
        </row>
        <row r="213">
          <cell r="B213" t="str">
            <v>Diluted average shares outstanding (mn)</v>
          </cell>
          <cell r="C213" t="str">
            <v>DILUTE_SHARES</v>
          </cell>
          <cell r="F213">
            <v>231.84</v>
          </cell>
          <cell r="G213">
            <v>309.12</v>
          </cell>
          <cell r="H213">
            <v>309.12</v>
          </cell>
          <cell r="I213">
            <v>309.12</v>
          </cell>
          <cell r="J213">
            <v>309.12</v>
          </cell>
          <cell r="O213">
            <v>309.12</v>
          </cell>
          <cell r="T213">
            <v>309.12</v>
          </cell>
          <cell r="Y213">
            <v>309.12</v>
          </cell>
          <cell r="AD213">
            <v>309.12</v>
          </cell>
          <cell r="AI213">
            <v>309.12</v>
          </cell>
          <cell r="AJ213">
            <v>309.12</v>
          </cell>
          <cell r="AK213">
            <v>309.12</v>
          </cell>
          <cell r="AL213">
            <v>309.12</v>
          </cell>
          <cell r="AM213">
            <v>309.12</v>
          </cell>
          <cell r="AN213">
            <v>309.12</v>
          </cell>
        </row>
        <row r="214">
          <cell r="B214" t="str">
            <v>Period-end shares outstanding</v>
          </cell>
          <cell r="C214" t="str">
            <v>NON_OP_ADD</v>
          </cell>
          <cell r="F214">
            <v>231.84</v>
          </cell>
          <cell r="G214">
            <v>309.12</v>
          </cell>
          <cell r="H214">
            <v>309.12</v>
          </cell>
          <cell r="I214">
            <v>309.12</v>
          </cell>
          <cell r="J214">
            <v>309.12</v>
          </cell>
          <cell r="O214">
            <v>309.12</v>
          </cell>
          <cell r="T214">
            <v>309.12</v>
          </cell>
          <cell r="Y214">
            <v>309.12</v>
          </cell>
          <cell r="AD214">
            <v>309.12</v>
          </cell>
          <cell r="AI214">
            <v>309.12</v>
          </cell>
          <cell r="AJ214">
            <v>309.12</v>
          </cell>
          <cell r="AK214">
            <v>309.12</v>
          </cell>
          <cell r="AL214">
            <v>309.12</v>
          </cell>
          <cell r="AM214">
            <v>309.12</v>
          </cell>
          <cell r="AN214">
            <v>309.12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  <cell r="F216">
            <v>6.7928150256999997E-2</v>
          </cell>
          <cell r="G216">
            <v>5.4798612208000003E-2</v>
          </cell>
          <cell r="H216">
            <v>0.114790361053</v>
          </cell>
          <cell r="I216">
            <v>2.3629783920000001E-2</v>
          </cell>
          <cell r="J216">
            <v>6.6245136107000002E-2</v>
          </cell>
          <cell r="O216">
            <v>0.10233949476900001</v>
          </cell>
          <cell r="T216">
            <v>9.8698053839999994E-2</v>
          </cell>
          <cell r="Y216">
            <v>8.8660481836000005E-2</v>
          </cell>
          <cell r="AD216">
            <v>0.110642226924</v>
          </cell>
          <cell r="AI216">
            <v>0.100663387292</v>
          </cell>
          <cell r="AJ216">
            <v>0.11</v>
          </cell>
          <cell r="AK216">
            <v>0.11</v>
          </cell>
          <cell r="AL216">
            <v>0.11</v>
          </cell>
          <cell r="AM216">
            <v>0.11</v>
          </cell>
          <cell r="AN216">
            <v>0.11</v>
          </cell>
        </row>
        <row r="217">
          <cell r="B217" t="str">
            <v>Net income (consensus) (Pub)</v>
          </cell>
          <cell r="C217" t="str">
            <v>NI_CONS</v>
          </cell>
          <cell r="D217" t="str">
            <v>CNY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 t="str">
            <v>CNY</v>
          </cell>
          <cell r="F219">
            <v>0.60555128968299998</v>
          </cell>
          <cell r="G219">
            <v>1.699720859925</v>
          </cell>
          <cell r="H219">
            <v>2.0693948472439998</v>
          </cell>
          <cell r="I219">
            <v>2.3302675123580001</v>
          </cell>
          <cell r="J219">
            <v>2.822448811788</v>
          </cell>
          <cell r="O219">
            <v>3.5377525811980002</v>
          </cell>
          <cell r="T219">
            <v>4.1623020682260004</v>
          </cell>
          <cell r="Y219">
            <v>5.203634101255</v>
          </cell>
          <cell r="AD219">
            <v>6.0956404469140004</v>
          </cell>
          <cell r="AI219">
            <v>7.3190001887729998</v>
          </cell>
          <cell r="AJ219">
            <v>8.9329866150229993</v>
          </cell>
          <cell r="AK219">
            <v>11.233743441326</v>
          </cell>
          <cell r="AL219">
            <v>14.280536884135</v>
          </cell>
          <cell r="AM219">
            <v>18.030537438722</v>
          </cell>
          <cell r="AN219">
            <v>22.380174472758998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 t="str">
            <v>CNY</v>
          </cell>
          <cell r="F221">
            <v>57.390980110000001</v>
          </cell>
          <cell r="G221">
            <v>101.26117695000001</v>
          </cell>
          <cell r="H221">
            <v>142.21797846000001</v>
          </cell>
          <cell r="I221">
            <v>131.66428661</v>
          </cell>
          <cell r="J221">
            <v>213.89787225000001</v>
          </cell>
          <cell r="O221">
            <v>264.11370062999998</v>
          </cell>
          <cell r="T221">
            <v>294.77871884000001</v>
          </cell>
          <cell r="Y221">
            <v>359.63326850999999</v>
          </cell>
          <cell r="AD221">
            <v>382.04750718999998</v>
          </cell>
          <cell r="AI221">
            <v>420.18329267068702</v>
          </cell>
          <cell r="AJ221">
            <v>623.64435510280498</v>
          </cell>
          <cell r="AK221">
            <v>889.01243768340896</v>
          </cell>
          <cell r="AL221">
            <v>1177.2809863013799</v>
          </cell>
          <cell r="AM221">
            <v>1449.0002142926501</v>
          </cell>
          <cell r="AN221">
            <v>1680.69974995189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</row>
      </sheetData>
      <sheetData sheetId="18" refreshError="1">
        <row r="1">
          <cell r="A1" t="str">
            <v>e21ea329-1d72-450d-8692-22c524f46c7b</v>
          </cell>
        </row>
        <row r="2">
          <cell r="A2" t="str">
            <v>N:\DLu\CJin\Models\Shiji\WIP\[GS Shiji model20150925Initiation.xlsm]002153.SZ_Validation_Sheet</v>
          </cell>
        </row>
        <row r="3">
          <cell r="A3" t="str">
            <v>Enabled</v>
          </cell>
        </row>
        <row r="7">
          <cell r="A7" t="str">
            <v>Scalar|||208015657|||ISSR|||CURRENCY_ISO|||False|||</v>
          </cell>
          <cell r="C7" t="str">
            <v>V_KEYWORD_ISSR_208015657_CURRENCY_ISO</v>
          </cell>
        </row>
        <row r="9">
          <cell r="A9" t="str">
            <v>Vector|||208015657|||ISSR|||SALES|||False|||</v>
          </cell>
          <cell r="C9" t="str">
            <v>V_KEYWORD_ISSR_208015657_SALES</v>
          </cell>
        </row>
        <row r="10">
          <cell r="A10" t="str">
            <v>Vector|||208015657|||ISSR|||PERSONNEL|||False|||</v>
          </cell>
          <cell r="C10" t="str">
            <v>V_KEYWORD_ISSR_208015657_PERSONNEL</v>
          </cell>
        </row>
        <row r="11">
          <cell r="A11" t="str">
            <v>Vector|||208015657|||ISSR|||COST_GD_SD|||False|||</v>
          </cell>
          <cell r="C11" t="str">
            <v>V_KEYWORD_ISSR_208015657_COST_GD_SD</v>
          </cell>
        </row>
        <row r="12">
          <cell r="A12" t="str">
            <v>Vector|||208015657|||ISSR|||SEL_GL_AD|||False|||</v>
          </cell>
          <cell r="C12" t="str">
            <v>V_KEYWORD_ISSR_208015657_SEL_GL_AD</v>
          </cell>
        </row>
        <row r="13">
          <cell r="A13" t="str">
            <v>Vector|||208015657|||ISSR|||OP_COST|||False|||</v>
          </cell>
          <cell r="C13" t="str">
            <v>V_KEYWORD_ISSR_208015657_OP_COST</v>
          </cell>
        </row>
        <row r="14">
          <cell r="A14" t="str">
            <v>Vector|||208015657|||ISSR|||RD_EXP|||False|||</v>
          </cell>
          <cell r="C14" t="str">
            <v>V_KEYWORD_ISSR_208015657_RD_EXP</v>
          </cell>
        </row>
        <row r="15">
          <cell r="A15" t="str">
            <v>Vector|||208015657|||ISSR|||OTH_OP_INC_EXP|||False|||</v>
          </cell>
          <cell r="C15" t="str">
            <v>V_KEYWORD_ISSR_208015657_OTH_OP_INC_EXP</v>
          </cell>
        </row>
        <row r="16">
          <cell r="A16" t="str">
            <v>Vector|||208015657|||ISSR|||TOT_OPS_EXP_DDA|||False|||</v>
          </cell>
          <cell r="C16" t="str">
            <v>V_KEYWORD_ISSR_208015657_TOT_OPS_EXP_DDA</v>
          </cell>
        </row>
        <row r="17">
          <cell r="A17" t="str">
            <v>Vector|||208015657|||ISSR|||TOT_OPS_EXP|||False|||</v>
          </cell>
          <cell r="C17" t="str">
            <v>V_KEYWORD_ISSR_208015657_TOT_OPS_EXP</v>
          </cell>
        </row>
        <row r="18">
          <cell r="A18" t="str">
            <v>Vector|||208015657|||ISSR|||EBITDA_CALC|||False|||</v>
          </cell>
          <cell r="C18" t="str">
            <v>V_KEYWORD_ISSR_208015657_EBITDA_CALC</v>
          </cell>
        </row>
        <row r="19">
          <cell r="A19" t="str">
            <v>Vector|||208015657|||ISSR|||DEPREC|||False|||</v>
          </cell>
          <cell r="C19" t="str">
            <v>V_KEYWORD_ISSR_208015657_DEPREC</v>
          </cell>
        </row>
        <row r="20">
          <cell r="A20" t="str">
            <v>Vector|||208015657|||ISSR|||GOODWILL_AMORT|||False|||</v>
          </cell>
          <cell r="C20" t="str">
            <v>V_KEYWORD_ISSR_208015657_GOODWILL_AMORT</v>
          </cell>
        </row>
        <row r="21">
          <cell r="A21" t="str">
            <v>Vector|||208015657|||ISSR|||EBIT|||False|||</v>
          </cell>
          <cell r="C21" t="str">
            <v>V_KEYWORD_ISSR_208015657_EBIT</v>
          </cell>
        </row>
        <row r="22">
          <cell r="A22" t="str">
            <v>Vector|||208015657|||ISSR|||INT_INC_IND|||False|||</v>
          </cell>
          <cell r="C22" t="str">
            <v>V_KEYWORD_ISSR_208015657_INT_INC_IND</v>
          </cell>
        </row>
        <row r="23">
          <cell r="A23" t="str">
            <v>Vector|||208015657|||ISSR|||INT_EXP_IND|||False|||</v>
          </cell>
          <cell r="C23" t="str">
            <v>V_KEYWORD_ISSR_208015657_INT_EXP_IND</v>
          </cell>
        </row>
        <row r="24">
          <cell r="A24" t="str">
            <v>Vector|||208015657|||ISSR|||NET_INT_EXP|||False|||</v>
          </cell>
          <cell r="C24" t="str">
            <v>V_KEYWORD_ISSR_208015657_NET_INT_EXP</v>
          </cell>
        </row>
        <row r="25">
          <cell r="A25" t="str">
            <v>Vector|||208015657|||ISSR|||ASSOCIATE|||False|||</v>
          </cell>
          <cell r="C25" t="str">
            <v>V_KEYWORD_ISSR_208015657_ASSOCIATE</v>
          </cell>
        </row>
        <row r="26">
          <cell r="A26" t="str">
            <v>Vector|||208015657|||ISSR|||PROFIT_ON_DISP|||False|||</v>
          </cell>
          <cell r="C26" t="str">
            <v>V_KEYWORD_ISSR_208015657_PROFIT_ON_DISP</v>
          </cell>
        </row>
        <row r="27">
          <cell r="A27" t="str">
            <v>Vector|||208015657|||ISSR|||OTH_COST_INC|||False|||</v>
          </cell>
          <cell r="C27" t="str">
            <v>V_KEYWORD_ISSR_208015657_OTH_COST_INC</v>
          </cell>
        </row>
        <row r="28">
          <cell r="A28" t="str">
            <v>Vector|||208015657|||ISSR|||PT_PROF|||False|||</v>
          </cell>
          <cell r="C28" t="str">
            <v>V_KEYWORD_ISSR_208015657_PT_PROF</v>
          </cell>
        </row>
        <row r="30">
          <cell r="A30" t="str">
            <v>Vector|||208015657|||ISSR|||CONTRIB_MARGIN_RATIO|||False|||</v>
          </cell>
          <cell r="C30" t="str">
            <v>V_KEYWORD_ISSR_208015657_CONTRIB_MARGIN_RATIO</v>
          </cell>
        </row>
        <row r="31">
          <cell r="A31" t="str">
            <v>Vector|||208015657|||ISSR|||LEASE_PAY|||False|||</v>
          </cell>
          <cell r="C31" t="str">
            <v>V_KEYWORD_ISSR_208015657_LEASE_PAY</v>
          </cell>
        </row>
        <row r="32">
          <cell r="A32" t="str">
            <v>Vector|||208015657|||ISSR|||LEASE_DEEM_INT|||False|||</v>
          </cell>
          <cell r="C32" t="str">
            <v>V_KEYWORD_ISSR_208015657_LEASE_DEEM_INT</v>
          </cell>
        </row>
        <row r="33">
          <cell r="A33" t="str">
            <v>Vector|||208015657|||ISSR|||LEASE_DEEM_DEPR|||False|||</v>
          </cell>
          <cell r="C33" t="str">
            <v>V_KEYWORD_ISSR_208015657_LEASE_DEEM_DEPR</v>
          </cell>
        </row>
        <row r="34">
          <cell r="A34" t="str">
            <v>Vector|||208015657|||ISSR|||NET_INT_CH|||False|||</v>
          </cell>
          <cell r="C34" t="str">
            <v>V_KEYWORD_ISSR_208015657_NET_INT_CH</v>
          </cell>
        </row>
        <row r="35">
          <cell r="A35" t="str">
            <v>Vector|||208015657|||ISSR|||ASSOCIATE_OP|||False|||</v>
          </cell>
          <cell r="C35" t="str">
            <v>V_KEYWORD_ISSR_208015657_ASSOCIATE_OP</v>
          </cell>
        </row>
        <row r="37">
          <cell r="A37" t="str">
            <v>Vector|||208015657|||ISSR|||CASH_EQ|||False|||</v>
          </cell>
          <cell r="C37" t="str">
            <v>V_KEYWORD_ISSR_208015657_CASH_EQ</v>
          </cell>
        </row>
        <row r="38">
          <cell r="A38" t="str">
            <v>Vector|||208015657|||ISSR|||DEBTORS|||False|||</v>
          </cell>
          <cell r="C38" t="str">
            <v>V_KEYWORD_ISSR_208015657_DEBTORS</v>
          </cell>
        </row>
        <row r="39">
          <cell r="A39" t="str">
            <v>Vector|||208015657|||ISSR|||STOCKS|||False|||</v>
          </cell>
          <cell r="C39" t="str">
            <v>V_KEYWORD_ISSR_208015657_STOCKS</v>
          </cell>
        </row>
        <row r="40">
          <cell r="A40" t="str">
            <v>Vector|||208015657|||ISSR|||OTH_CUR_ASS|||False|||</v>
          </cell>
          <cell r="C40" t="str">
            <v>V_KEYWORD_ISSR_208015657_OTH_CUR_ASS</v>
          </cell>
        </row>
        <row r="41">
          <cell r="A41" t="str">
            <v>Vector|||208015657|||ISSR|||CUR_ASS|||False|||</v>
          </cell>
          <cell r="C41" t="str">
            <v>V_KEYWORD_ISSR_208015657_CUR_ASS</v>
          </cell>
        </row>
        <row r="42">
          <cell r="A42" t="str">
            <v>Vector|||208015657|||ISSR|||GR_FIX_ASS|||False|||</v>
          </cell>
          <cell r="C42" t="str">
            <v>V_KEYWORD_ISSR_208015657_GR_FIX_ASS</v>
          </cell>
        </row>
        <row r="43">
          <cell r="A43" t="str">
            <v>Vector|||208015657|||ISSR|||ACC_DDA|||False|||</v>
          </cell>
          <cell r="C43" t="str">
            <v>V_KEYWORD_ISSR_208015657_ACC_DDA</v>
          </cell>
        </row>
        <row r="44">
          <cell r="A44" t="str">
            <v>Vector|||208015657|||ISSR|||NET_FIX_ASS|||False|||</v>
          </cell>
          <cell r="C44" t="str">
            <v>V_KEYWORD_ISSR_208015657_NET_FIX_ASS</v>
          </cell>
        </row>
        <row r="45">
          <cell r="A45" t="str">
            <v>Vector|||208015657|||ISSR|||GR_INTANG|||False|||</v>
          </cell>
          <cell r="C45" t="str">
            <v>V_KEYWORD_ISSR_208015657_GR_INTANG</v>
          </cell>
        </row>
        <row r="46">
          <cell r="A46" t="str">
            <v>Vector|||208015657|||ISSR|||ACC_AMORT|||False|||</v>
          </cell>
          <cell r="C46" t="str">
            <v>V_KEYWORD_ISSR_208015657_ACC_AMORT</v>
          </cell>
        </row>
        <row r="47">
          <cell r="A47" t="str">
            <v>Vector|||208015657|||ISSR|||NET_INTANG|||False|||</v>
          </cell>
          <cell r="C47" t="str">
            <v>V_KEYWORD_ISSR_208015657_NET_INTANG</v>
          </cell>
        </row>
        <row r="48">
          <cell r="A48" t="str">
            <v>Vector|||208015657|||ISSR|||FIX_ASS_INV|||False|||</v>
          </cell>
          <cell r="C48" t="str">
            <v>V_KEYWORD_ISSR_208015657_FIX_ASS_INV</v>
          </cell>
        </row>
        <row r="49">
          <cell r="A49" t="str">
            <v>Vector|||208015657|||ISSR|||INV_SECUR|||False|||</v>
          </cell>
          <cell r="C49" t="str">
            <v>V_KEYWORD_ISSR_208015657_INV_SECUR</v>
          </cell>
        </row>
        <row r="50">
          <cell r="A50" t="str">
            <v>Vector|||208015657|||ISSR|||OTH_LT_ASS|||False|||</v>
          </cell>
          <cell r="C50" t="str">
            <v>V_KEYWORD_ISSR_208015657_OTH_LT_ASS</v>
          </cell>
        </row>
        <row r="51">
          <cell r="A51" t="str">
            <v>Vector|||208015657|||ISSR|||TOT_ASSET|||False|||</v>
          </cell>
          <cell r="C51" t="str">
            <v>V_KEYWORD_ISSR_208015657_TOT_ASSET</v>
          </cell>
        </row>
        <row r="52">
          <cell r="A52" t="str">
            <v>Vector|||208015657|||ISSR|||ACC_PAY_GQ|||False|||</v>
          </cell>
          <cell r="C52" t="str">
            <v>V_KEYWORD_ISSR_208015657_ACC_PAY_GQ</v>
          </cell>
        </row>
        <row r="53">
          <cell r="A53" t="str">
            <v>Vector|||208015657|||ISSR|||SHORT_T_DEBT|||False|||</v>
          </cell>
          <cell r="C53" t="str">
            <v>V_KEYWORD_ISSR_208015657_SHORT_T_DEBT</v>
          </cell>
        </row>
        <row r="54">
          <cell r="A54" t="str">
            <v>Vector|||208015657|||ISSR|||OTH_CUR_LIABS|||False|||</v>
          </cell>
          <cell r="C54" t="str">
            <v>V_KEYWORD_ISSR_208015657_OTH_CUR_LIABS</v>
          </cell>
        </row>
        <row r="55">
          <cell r="A55" t="str">
            <v>Vector|||208015657|||ISSR|||SHORT_TERM_LIABS|||False|||</v>
          </cell>
          <cell r="C55" t="str">
            <v>V_KEYWORD_ISSR_208015657_SHORT_TERM_LIABS</v>
          </cell>
        </row>
        <row r="56">
          <cell r="A56" t="str">
            <v>Vector|||208015657|||ISSR|||LT_DEBT|||False|||</v>
          </cell>
          <cell r="C56" t="str">
            <v>V_KEYWORD_ISSR_208015657_LT_DEBT</v>
          </cell>
        </row>
        <row r="57">
          <cell r="A57" t="str">
            <v>Vector|||208015657|||ISSR|||OTH_LT_CRED_GQ|||False|||</v>
          </cell>
          <cell r="C57" t="str">
            <v>V_KEYWORD_ISSR_208015657_OTH_LT_CRED_GQ</v>
          </cell>
        </row>
        <row r="58">
          <cell r="A58" t="str">
            <v>Vector|||208015657|||ISSR|||TOT_LT_LIAB|||False|||</v>
          </cell>
          <cell r="C58" t="str">
            <v>V_KEYWORD_ISSR_208015657_TOT_LT_LIAB</v>
          </cell>
        </row>
        <row r="59">
          <cell r="A59" t="str">
            <v>Vector|||208015657|||ISSR|||TOT_LIAB|||False|||</v>
          </cell>
          <cell r="C59" t="str">
            <v>V_KEYWORD_ISSR_208015657_TOT_LIAB</v>
          </cell>
        </row>
        <row r="60">
          <cell r="A60" t="str">
            <v>Vector|||208015657|||ISSR|||PREF_SH|||False|||</v>
          </cell>
          <cell r="C60" t="str">
            <v>V_KEYWORD_ISSR_208015657_PREF_SH</v>
          </cell>
        </row>
        <row r="61">
          <cell r="A61" t="str">
            <v>Vector|||208015657|||ISSR|||ORD_SH_FUND|||False|||</v>
          </cell>
          <cell r="C61" t="str">
            <v>V_KEYWORD_ISSR_208015657_ORD_SH_FUND</v>
          </cell>
        </row>
        <row r="62">
          <cell r="A62" t="str">
            <v>Vector|||208015657|||ISSR|||MINORITIES|||False|||</v>
          </cell>
          <cell r="C62" t="str">
            <v>V_KEYWORD_ISSR_208015657_MINORITIES</v>
          </cell>
        </row>
        <row r="63">
          <cell r="A63" t="str">
            <v>Vector|||208015657|||ISSR|||EQ|||False|||</v>
          </cell>
          <cell r="C63" t="str">
            <v>V_KEYWORD_ISSR_208015657_EQ</v>
          </cell>
        </row>
        <row r="64">
          <cell r="A64" t="str">
            <v>Vector|||208015657|||ISSR|||TOT_LIAB_EQ|||False|||</v>
          </cell>
          <cell r="C64" t="str">
            <v>V_KEYWORD_ISSR_208015657_TOT_LIAB_EQ</v>
          </cell>
        </row>
        <row r="66">
          <cell r="A66" t="str">
            <v>Vector|||208015657|||ISSR|||NET_DEBT|||False|||</v>
          </cell>
          <cell r="C66" t="str">
            <v>V_KEYWORD_ISSR_208015657_NET_DEBT</v>
          </cell>
        </row>
        <row r="67">
          <cell r="A67" t="str">
            <v>Vector|||208015657|||ISSR|||CAP_LEASES|||False|||</v>
          </cell>
          <cell r="C67" t="str">
            <v>V_KEYWORD_ISSR_208015657_CAP_LEASES</v>
          </cell>
        </row>
        <row r="68">
          <cell r="A68" t="str">
            <v>Vector|||208015657|||ISSR|||DEF_INC_TAX|||False|||</v>
          </cell>
          <cell r="C68" t="str">
            <v>V_KEYWORD_ISSR_208015657_DEF_INC_TAX</v>
          </cell>
        </row>
        <row r="69">
          <cell r="A69" t="str">
            <v>Vector|||208015657|||ISSR|||MV_ASSOCIATES|||False|||</v>
          </cell>
          <cell r="C69" t="str">
            <v>V_KEYWORD_ISSR_208015657_MV_ASSOCIATES</v>
          </cell>
        </row>
        <row r="70">
          <cell r="A70" t="str">
            <v>Vector|||208015657|||ISSR|||NET_DEBT_ADJ|||False|||</v>
          </cell>
          <cell r="C70" t="str">
            <v>V_KEYWORD_ISSR_208015657_NET_DEBT_ADJ</v>
          </cell>
        </row>
        <row r="71">
          <cell r="A71" t="str">
            <v>Vector|||208015657|||ISSR|||CO_BOR_MARGIN|||False|||</v>
          </cell>
          <cell r="C71" t="str">
            <v>V_KEYWORD_ISSR_208015657_CO_BOR_MARGIN</v>
          </cell>
        </row>
        <row r="72">
          <cell r="A72" t="str">
            <v>Vector|||208015657|||ISSR|||UNF_PENS|||False|||</v>
          </cell>
          <cell r="C72" t="str">
            <v>V_KEYWORD_ISSR_208015657_UNF_PENS</v>
          </cell>
        </row>
        <row r="73">
          <cell r="A73" t="str">
            <v>Vector|||208015657|||ISSR|||UNF_PENS_OFF|||False|||</v>
          </cell>
          <cell r="C73" t="str">
            <v>V_KEYWORD_ISSR_208015657_UNF_PENS_OFF</v>
          </cell>
        </row>
        <row r="74">
          <cell r="A74" t="str">
            <v>Vector|||208015657|||ISSR|||UNF_PENS_LIAB_OTH|||False|||</v>
          </cell>
          <cell r="C74" t="str">
            <v>V_KEYWORD_ISSR_208015657_UNF_PENS_LIAB_OTH</v>
          </cell>
        </row>
        <row r="75">
          <cell r="A75" t="str">
            <v>Vector|||208015657|||ISSR|||ADJ_UNF_PENS_GOOD|||False|||</v>
          </cell>
          <cell r="C75" t="str">
            <v>V_KEYWORD_ISSR_208015657_ADJ_UNF_PENS_GOOD</v>
          </cell>
        </row>
        <row r="76">
          <cell r="A76" t="str">
            <v>Vector|||208015657|||ISSR|||OTH_GCI_ADJ|||False|||</v>
          </cell>
          <cell r="C76" t="str">
            <v>V_KEYWORD_ISSR_208015657_OTH_GCI_ADJ</v>
          </cell>
        </row>
        <row r="77">
          <cell r="A77" t="str">
            <v>Vector|||208015657|||ISSR|||GCI_INFL|||False|||</v>
          </cell>
          <cell r="C77" t="str">
            <v>V_KEYWORD_ISSR_208015657_GCI_INFL</v>
          </cell>
        </row>
        <row r="78">
          <cell r="A78" t="str">
            <v>Vector|||208015657|||ISSR|||BAL_MINO_INT|||False|||</v>
          </cell>
          <cell r="C78" t="str">
            <v>V_KEYWORD_ISSR_208015657_BAL_MINO_INT</v>
          </cell>
        </row>
        <row r="80">
          <cell r="A80" t="str">
            <v>Vector|||208015657|||ISSR|||CF_INC_MINORITY|||False|||</v>
          </cell>
          <cell r="C80" t="str">
            <v>V_KEYWORD_ISSR_208015657_CF_INC_MINORITY</v>
          </cell>
        </row>
        <row r="81">
          <cell r="A81" t="str">
            <v>Vector|||208015657|||ISSR|||DEPR_AMORT|||False|||</v>
          </cell>
          <cell r="C81" t="str">
            <v>V_KEYWORD_ISSR_208015657_DEPR_AMORT</v>
          </cell>
        </row>
        <row r="82">
          <cell r="A82" t="str">
            <v>Vector|||208015657|||ISSR|||WORK_CAP|||False|||</v>
          </cell>
          <cell r="C82" t="str">
            <v>V_KEYWORD_ISSR_208015657_WORK_CAP</v>
          </cell>
        </row>
        <row r="83">
          <cell r="A83" t="str">
            <v>Vector|||208015657|||ISSR|||OTH_OP_CF|||False|||</v>
          </cell>
          <cell r="C83" t="str">
            <v>V_KEYWORD_ISSR_208015657_OTH_OP_CF</v>
          </cell>
        </row>
        <row r="84">
          <cell r="A84" t="str">
            <v>Vector|||208015657|||ISSR|||CF_OPS|||False|||</v>
          </cell>
          <cell r="C84" t="str">
            <v>V_KEYWORD_ISSR_208015657_CF_OPS</v>
          </cell>
        </row>
        <row r="85">
          <cell r="A85" t="str">
            <v>Vector|||208015657|||ISSR|||CAPEX|||False|||</v>
          </cell>
          <cell r="C85" t="str">
            <v>V_KEYWORD_ISSR_208015657_CAPEX</v>
          </cell>
        </row>
        <row r="86">
          <cell r="A86" t="str">
            <v>Vector|||208015657|||ISSR|||ACQ|||False|||</v>
          </cell>
          <cell r="C86" t="str">
            <v>V_KEYWORD_ISSR_208015657_ACQ</v>
          </cell>
        </row>
        <row r="87">
          <cell r="A87" t="str">
            <v>Vector|||208015657|||ISSR|||DIVEST|||False|||</v>
          </cell>
          <cell r="C87" t="str">
            <v>V_KEYWORD_ISSR_208015657_DIVEST</v>
          </cell>
        </row>
        <row r="88">
          <cell r="A88" t="str">
            <v>Vector|||208015657|||ISSR|||OTH_INV_CF|||False|||</v>
          </cell>
          <cell r="C88" t="str">
            <v>V_KEYWORD_ISSR_208015657_OTH_INV_CF</v>
          </cell>
        </row>
        <row r="89">
          <cell r="A89" t="str">
            <v>Vector|||208015657|||ISSR|||CF_INV|||False|||</v>
          </cell>
          <cell r="C89" t="str">
            <v>V_KEYWORD_ISSR_208015657_CF_INV</v>
          </cell>
        </row>
        <row r="90">
          <cell r="A90" t="str">
            <v>Vector|||208015657|||ISSR|||DIV_PAID|||False|||</v>
          </cell>
          <cell r="C90" t="str">
            <v>V_KEYWORD_ISSR_208015657_DIV_PAID</v>
          </cell>
        </row>
        <row r="91">
          <cell r="A91" t="str">
            <v>Vector|||208015657|||ISSR|||SH_REPUR|||False|||</v>
          </cell>
          <cell r="C91" t="str">
            <v>V_KEYWORD_ISSR_208015657_SH_REPUR</v>
          </cell>
        </row>
        <row r="92">
          <cell r="A92" t="str">
            <v>Vector|||208015657|||ISSR|||CHG_LT_DEBT|||False|||</v>
          </cell>
          <cell r="C92" t="str">
            <v>V_KEYWORD_ISSR_208015657_CHG_LT_DEBT</v>
          </cell>
        </row>
        <row r="93">
          <cell r="A93" t="str">
            <v>Vector|||208015657|||ISSR|||OTH_FIN_CF|||False|||</v>
          </cell>
          <cell r="C93" t="str">
            <v>V_KEYWORD_ISSR_208015657_OTH_FIN_CF</v>
          </cell>
        </row>
        <row r="94">
          <cell r="A94" t="str">
            <v>Vector|||208015657|||ISSR|||CF_FIN|||False|||</v>
          </cell>
          <cell r="C94" t="str">
            <v>V_KEYWORD_ISSR_208015657_CF_FIN</v>
          </cell>
        </row>
        <row r="95">
          <cell r="A95" t="str">
            <v>Vector|||208015657|||ISSR|||TOT_CF|||False|||</v>
          </cell>
          <cell r="C95" t="str">
            <v>V_KEYWORD_ISSR_208015657_TOT_CF</v>
          </cell>
        </row>
        <row r="97">
          <cell r="A97" t="str">
            <v>Vector|||208015657|||ISSR|||ASSOC_JV_ADDBK|||False|||</v>
          </cell>
          <cell r="C97" t="str">
            <v>V_KEYWORD_ISSR_208015657_ASSOC_JV_ADDBK</v>
          </cell>
        </row>
        <row r="98">
          <cell r="A98" t="str">
            <v>Vector|||208015657|||ISSR|||PL_SALE_ASSETS|||False|||</v>
          </cell>
          <cell r="C98" t="str">
            <v>V_KEYWORD_ISSR_208015657_PL_SALE_ASSETS</v>
          </cell>
        </row>
        <row r="99">
          <cell r="A99" t="str">
            <v>Vector|||208015657|||ISSR|||OTH_NONCASH_ADJ|||False|||</v>
          </cell>
          <cell r="C99" t="str">
            <v>V_KEYWORD_ISSR_208015657_OTH_NONCASH_ADJ</v>
          </cell>
        </row>
        <row r="100">
          <cell r="A100" t="str">
            <v>Vector|||208015657|||ISSR|||OTH_DACF_ADJ|||False|||</v>
          </cell>
          <cell r="C100" t="str">
            <v>V_KEYWORD_ISSR_208015657_OTH_DACF_ADJ</v>
          </cell>
        </row>
        <row r="101">
          <cell r="A101" t="str">
            <v>Vector|||208015657|||ISSR|||CASH_INT_EXP|||False|||</v>
          </cell>
          <cell r="C101" t="str">
            <v>V_KEYWORD_ISSR_208015657_CASH_INT_EXP</v>
          </cell>
        </row>
        <row r="102">
          <cell r="A102" t="str">
            <v>Vector|||208015657|||ISSR|||CASH_TAX_EXP|||False|||</v>
          </cell>
          <cell r="C102" t="str">
            <v>V_KEYWORD_ISSR_208015657_CASH_TAX_EXP</v>
          </cell>
        </row>
        <row r="103">
          <cell r="A103" t="str">
            <v>Vector|||208015657|||ISSR|||DIVDS_ASSOC_JV|||False|||</v>
          </cell>
          <cell r="C103" t="str">
            <v>V_KEYWORD_ISSR_208015657_DIVDS_ASSOC_JV</v>
          </cell>
        </row>
        <row r="104">
          <cell r="A104" t="str">
            <v>Vector|||208015657|||ISSR|||CAPEX_MAINTENANCE|||False|||</v>
          </cell>
          <cell r="C104" t="str">
            <v>V_KEYWORD_ISSR_208015657_CAPEX_MAINTENANCE</v>
          </cell>
        </row>
        <row r="105">
          <cell r="A105" t="str">
            <v>Vector|||208015657|||ISSR|||CAPEX_EXPANSION|||False|||</v>
          </cell>
          <cell r="C105" t="str">
            <v>V_KEYWORD_ISSR_208015657_CAPEX_EXPANSION</v>
          </cell>
        </row>
        <row r="106">
          <cell r="A106" t="str">
            <v>Vector|||208015657|||ISSR|||NONPPE_CAPEX|||False|||</v>
          </cell>
          <cell r="C106" t="str">
            <v>V_KEYWORD_ISSR_208015657_NONPPE_CAPEX</v>
          </cell>
        </row>
        <row r="107">
          <cell r="A107" t="str">
            <v>Vector|||208015657|||ISSR|||DIVDS_PD_MINORITIES|||False|||</v>
          </cell>
          <cell r="C107" t="str">
            <v>V_KEYWORD_ISSR_208015657_DIVDS_PD_MINORITIES</v>
          </cell>
        </row>
        <row r="109">
          <cell r="A109" t="str">
            <v>Vector|||208015657|||ISSR|||EMPLOYEES|||False|||</v>
          </cell>
          <cell r="C109" t="str">
            <v>V_KEYWORD_ISSR_208015657_EMPLOYEES</v>
          </cell>
        </row>
        <row r="111">
          <cell r="A111" t="str">
            <v>Vector|||208015657|||ISSR|||SALES_TOT_AM|||False|||</v>
          </cell>
          <cell r="C111" t="str">
            <v>V_KEYWORD_ISSR_208015657_SALES_TOT_AM</v>
          </cell>
        </row>
        <row r="112">
          <cell r="A112" t="str">
            <v>Vector|||208015657|||ISSR|||SALES_US|||False|||</v>
          </cell>
          <cell r="C112" t="str">
            <v>V_KEYWORD_ISSR_208015657_SALES_US</v>
          </cell>
        </row>
        <row r="113">
          <cell r="A113" t="str">
            <v>Vector|||208015657|||ISSR|||SALES_BRAZIL|||False|||</v>
          </cell>
          <cell r="C113" t="str">
            <v>V_KEYWORD_ISSR_208015657_SALES_BRAZIL</v>
          </cell>
        </row>
        <row r="114">
          <cell r="A114" t="str">
            <v>Vector|||208015657|||ISSR|||SALES_OTH_AM|||False|||</v>
          </cell>
          <cell r="C114" t="str">
            <v>V_KEYWORD_ISSR_208015657_SALES_OTH_AM</v>
          </cell>
        </row>
        <row r="115">
          <cell r="A115" t="str">
            <v>Vector|||208015657|||ISSR|||SALES_TOT_EMEA|||False|||</v>
          </cell>
          <cell r="C115" t="str">
            <v>V_KEYWORD_ISSR_208015657_SALES_TOT_EMEA</v>
          </cell>
        </row>
        <row r="116">
          <cell r="A116" t="str">
            <v>Vector|||208015657|||ISSR|||SALES_UK|||False|||</v>
          </cell>
          <cell r="C116" t="str">
            <v>V_KEYWORD_ISSR_208015657_SALES_UK</v>
          </cell>
        </row>
        <row r="117">
          <cell r="A117" t="str">
            <v>Vector|||208015657|||ISSR|||SALES_EU_EX_UK|||False|||</v>
          </cell>
          <cell r="C117" t="str">
            <v>V_KEYWORD_ISSR_208015657_SALES_EU_EX_UK</v>
          </cell>
        </row>
        <row r="118">
          <cell r="A118" t="str">
            <v>Vector|||208015657|||ISSR|||SALES_CEE|||False|||</v>
          </cell>
          <cell r="C118" t="str">
            <v>V_KEYWORD_ISSR_208015657_SALES_CEE</v>
          </cell>
        </row>
        <row r="119">
          <cell r="A119" t="str">
            <v>Vector|||208015657|||ISSR|||SALES_ME|||False|||</v>
          </cell>
          <cell r="C119" t="str">
            <v>V_KEYWORD_ISSR_208015657_SALES_ME</v>
          </cell>
        </row>
        <row r="120">
          <cell r="A120" t="str">
            <v>Vector|||208015657|||ISSR|||SALES_TOT_AFRICA|||False|||</v>
          </cell>
          <cell r="C120" t="str">
            <v>V_KEYWORD_ISSR_208015657_SALES_TOT_AFRICA</v>
          </cell>
        </row>
        <row r="121">
          <cell r="A121" t="str">
            <v>Vector|||208015657|||ISSR|||SALES_RUSSIA|||False|||</v>
          </cell>
          <cell r="C121" t="str">
            <v>V_KEYWORD_ISSR_208015657_SALES_RUSSIA</v>
          </cell>
        </row>
        <row r="122">
          <cell r="A122" t="str">
            <v>Vector|||208015657|||ISSR|||SALES_OTH_EMEA|||False|||</v>
          </cell>
          <cell r="C122" t="str">
            <v>V_KEYWORD_ISSR_208015657_SALES_OTH_EMEA</v>
          </cell>
        </row>
        <row r="123">
          <cell r="A123" t="str">
            <v>Vector|||208015657|||ISSR|||SALES_TOT_ASIA|||False|||</v>
          </cell>
          <cell r="C123" t="str">
            <v>V_KEYWORD_ISSR_208015657_SALES_TOT_ASIA</v>
          </cell>
        </row>
        <row r="124">
          <cell r="A124" t="str">
            <v>Vector|||208015657|||ISSR|||SALES_JAPAN|||False|||</v>
          </cell>
          <cell r="C124" t="str">
            <v>V_KEYWORD_ISSR_208015657_SALES_JAPAN</v>
          </cell>
        </row>
        <row r="125">
          <cell r="A125" t="str">
            <v>Vector|||208015657|||ISSR|||SALES_CHINA|||False|||</v>
          </cell>
          <cell r="C125" t="str">
            <v>V_KEYWORD_ISSR_208015657_SALES_CHINA</v>
          </cell>
        </row>
        <row r="126">
          <cell r="A126" t="str">
            <v>Vector|||208015657|||ISSR|||SALES_INDIA|||False|||</v>
          </cell>
          <cell r="C126" t="str">
            <v>V_KEYWORD_ISSR_208015657_SALES_INDIA</v>
          </cell>
        </row>
        <row r="127">
          <cell r="A127" t="str">
            <v>Vector|||208015657|||ISSR|||SALES_SK|||False|||</v>
          </cell>
          <cell r="C127" t="str">
            <v>V_KEYWORD_ISSR_208015657_SALES_SK</v>
          </cell>
        </row>
        <row r="128">
          <cell r="A128" t="str">
            <v>Vector|||208015657|||ISSR|||SALES_TAIWAN|||False|||</v>
          </cell>
          <cell r="C128" t="str">
            <v>V_KEYWORD_ISSR_208015657_SALES_TAIWAN</v>
          </cell>
        </row>
        <row r="129">
          <cell r="A129" t="str">
            <v>Vector|||208015657|||ISSR|||SALES_OTH_AEJ|||False|||</v>
          </cell>
          <cell r="C129" t="str">
            <v>V_KEYWORD_ISSR_208015657_SALES_OTH_AEJ</v>
          </cell>
        </row>
        <row r="130">
          <cell r="A130" t="str">
            <v>Vector|||208015657|||ISSR|||SALES_OTHER|||False|||</v>
          </cell>
          <cell r="C130" t="str">
            <v>V_KEYWORD_ISSR_208015657_SALES_OTHER</v>
          </cell>
        </row>
        <row r="131">
          <cell r="A131" t="str">
            <v>Vector|||208015657|||ISSR|||SALES_CONS|||False|||</v>
          </cell>
          <cell r="C131" t="str">
            <v>V_KEYWORD_ISSR_208015657_SALES_CONS</v>
          </cell>
        </row>
        <row r="132">
          <cell r="A132" t="str">
            <v>Vector|||208015657|||ISSR|||SALES_IND|||False|||</v>
          </cell>
          <cell r="C132" t="str">
            <v>V_KEYWORD_ISSR_208015657_SALES_IND</v>
          </cell>
        </row>
        <row r="133">
          <cell r="A133" t="str">
            <v>Vector|||208015657|||ISSR|||SALES_GOV|||False|||</v>
          </cell>
          <cell r="C133" t="str">
            <v>V_KEYWORD_ISSR_208015657_SALES_GOV</v>
          </cell>
        </row>
        <row r="134">
          <cell r="A134" t="str">
            <v>Vector|||208015657|||ISSR|||SALES_FINAN|||False|||</v>
          </cell>
          <cell r="C134" t="str">
            <v>V_KEYWORD_ISSR_208015657_SALES_FINAN</v>
          </cell>
        </row>
        <row r="144">
          <cell r="A144" t="str">
            <v>Vector|||208015657|||ISSR|||SALES_FX_GPB|||False|||</v>
          </cell>
          <cell r="C144" t="str">
            <v>V_KEYWORD_ISSR_208015657_SALES_FX_GPB</v>
          </cell>
        </row>
        <row r="145">
          <cell r="A145" t="str">
            <v>Vector|||208015657|||ISSR|||SALES_FX_EUR|||False|||</v>
          </cell>
          <cell r="C145" t="str">
            <v>V_KEYWORD_ISSR_208015657_SALES_FX_EUR</v>
          </cell>
        </row>
        <row r="146">
          <cell r="A146" t="str">
            <v>Vector|||208015657|||ISSR|||SALES_FX_RUB|||False|||</v>
          </cell>
          <cell r="C146" t="str">
            <v>V_KEYWORD_ISSR_208015657_SALES_FX_RUB</v>
          </cell>
        </row>
        <row r="147">
          <cell r="A147" t="str">
            <v>Vector|||208015657|||ISSR|||SALES_FX_USD|||False|||</v>
          </cell>
          <cell r="C147" t="str">
            <v>V_KEYWORD_ISSR_208015657_SALES_FX_USD</v>
          </cell>
        </row>
        <row r="148">
          <cell r="A148" t="str">
            <v>Vector|||208015657|||ISSR|||SALES_FX_BRL|||False|||</v>
          </cell>
          <cell r="C148" t="str">
            <v>V_KEYWORD_ISSR_208015657_SALES_FX_BRL</v>
          </cell>
        </row>
        <row r="149">
          <cell r="A149" t="str">
            <v>Vector|||208015657|||ISSR|||SALES_FX_YEN|||False|||</v>
          </cell>
          <cell r="C149" t="str">
            <v>V_KEYWORD_ISSR_208015657_SALES_FX_YEN</v>
          </cell>
        </row>
        <row r="150">
          <cell r="A150" t="str">
            <v>Vector|||208015657|||ISSR|||SALES_FX_CNY|||False|||</v>
          </cell>
          <cell r="C150" t="str">
            <v>V_KEYWORD_ISSR_208015657_SALES_FX_CNY</v>
          </cell>
        </row>
        <row r="151">
          <cell r="A151" t="str">
            <v>Vector|||208015657|||ISSR|||SALES_FX_INR|||False|||</v>
          </cell>
          <cell r="C151" t="str">
            <v>V_KEYWORD_ISSR_208015657_SALES_FX_INR</v>
          </cell>
        </row>
        <row r="152">
          <cell r="A152" t="str">
            <v>Vector|||208015657|||ISSR|||SALES_FX_KRW|||False|||</v>
          </cell>
          <cell r="C152" t="str">
            <v>V_KEYWORD_ISSR_208015657_SALES_FX_KRW</v>
          </cell>
        </row>
        <row r="153">
          <cell r="A153" t="str">
            <v>Vector|||208015657|||ISSR|||SALES_FX_TWD|||False|||</v>
          </cell>
          <cell r="C153" t="str">
            <v>V_KEYWORD_ISSR_208015657_SALES_FX_TWD</v>
          </cell>
        </row>
        <row r="154">
          <cell r="A154" t="str">
            <v>Vector|||208015657|||ISSR|||SALES_FX_OTH|||False|||</v>
          </cell>
          <cell r="C154" t="str">
            <v>V_KEYWORD_ISSR_208015657_SALES_FX_OTH</v>
          </cell>
        </row>
        <row r="160">
          <cell r="A160" t="str">
            <v>Scalar|||200017991|||EQTY|||PUB_CURRENCY_ISO|||False|||</v>
          </cell>
          <cell r="C160" t="str">
            <v>V_KEYWORD_EQTY_200017991_PUB_CURRENCY_ISO</v>
          </cell>
        </row>
        <row r="161">
          <cell r="A161" t="str">
            <v>Scalar|||200017991|||EQTY|||PRICE_CURRENCY_ISO|||False|||</v>
          </cell>
          <cell r="C161" t="str">
            <v>V_KEYWORD_EQTY_200017991_PRICE_CURRENCY_ISO</v>
          </cell>
        </row>
        <row r="162">
          <cell r="A162" t="str">
            <v>Scalar|||200017991|||EQTY|||CURRENCY_ISO|||False|||</v>
          </cell>
          <cell r="C162" t="str">
            <v>V_KEYWORD_EQTY_200017991_CURRENCY_ISO</v>
          </cell>
        </row>
        <row r="164">
          <cell r="A164" t="str">
            <v>Scalar|||200017991|||EQTY|||AEJ_LIST|||False|||</v>
          </cell>
          <cell r="C164" t="str">
            <v>V_KEYWORD_EQTY_200017991_AEJ_LIST</v>
          </cell>
        </row>
        <row r="165">
          <cell r="A165" t="str">
            <v>Scalar|||200017991|||EQTY|||AEJ_CONVICTION|||False|||</v>
          </cell>
          <cell r="C165" t="str">
            <v>V_KEYWORD_EQTY_200017991_AEJ_CONVICTION</v>
          </cell>
        </row>
        <row r="166">
          <cell r="A166" t="str">
            <v>Scalar|||200017991|||EQTY|||LEGAL_RATING|||False|||</v>
          </cell>
          <cell r="C166" t="str">
            <v>V_KEYWORD_EQTY_200017991_LEGAL_RATING</v>
          </cell>
        </row>
        <row r="167">
          <cell r="A167" t="str">
            <v>Scalar|||200017991|||EQTY|||TARGET_PRICE|||False|||</v>
          </cell>
          <cell r="C167" t="str">
            <v>V_KEYWORD_EQTY_200017991_TARGET_PRICE</v>
          </cell>
        </row>
        <row r="168">
          <cell r="A168" t="str">
            <v>Scalar|||200017991|||EQTY|||TP_PERIOD|||False|||</v>
          </cell>
          <cell r="C168" t="str">
            <v>V_KEYWORD_EQTY_200017991_TP_PERIOD</v>
          </cell>
        </row>
        <row r="169">
          <cell r="A169" t="str">
            <v>Scalar|||200017991|||EQTY|||NUM_SH|||False|||</v>
          </cell>
          <cell r="C169" t="str">
            <v>V_KEYWORD_EQTY_200017991_NUM_SH</v>
          </cell>
        </row>
        <row r="170">
          <cell r="A170" t="str">
            <v>Scalar|||200017991|||EQTY|||FREE_FLOAT|||False|||</v>
          </cell>
          <cell r="C170" t="str">
            <v>V_KEYWORD_EQTY_200017991_FREE_FLOAT</v>
          </cell>
        </row>
        <row r="171">
          <cell r="A171" t="str">
            <v>Scalar|||200017991|||EQTY|||FOREIGN_HOLDNG|||False|||</v>
          </cell>
          <cell r="C171" t="str">
            <v>V_KEYWORD_EQTY_200017991_FOREIGN_HOLDNG</v>
          </cell>
        </row>
        <row r="172">
          <cell r="A172" t="str">
            <v>Scalar|||200017991|||EQTY|||CATALYST1_DATE|||True|||</v>
          </cell>
          <cell r="C172" t="str">
            <v>V_KEYWORD_EQTY_200017991_CATALYST1_DATE</v>
          </cell>
        </row>
        <row r="173">
          <cell r="A173" t="str">
            <v>Scalar|||200017991|||EQTY|||CATALYST1_EVENT|||False|||</v>
          </cell>
          <cell r="C173" t="str">
            <v>V_KEYWORD_EQTY_200017991_CATALYST1_EVENT</v>
          </cell>
        </row>
        <row r="174">
          <cell r="A174" t="str">
            <v>Scalar|||200017991|||EQTY|||CATALYST2_DATE|||True|||</v>
          </cell>
          <cell r="C174" t="str">
            <v>V_KEYWORD_EQTY_200017991_CATALYST2_DATE</v>
          </cell>
        </row>
        <row r="175">
          <cell r="A175" t="str">
            <v>Scalar|||200017991|||EQTY|||CATALYST2_EVENT|||False|||</v>
          </cell>
          <cell r="C175" t="str">
            <v>V_KEYWORD_EQTY_200017991_CATALYST2_EVENT</v>
          </cell>
        </row>
        <row r="176">
          <cell r="A176" t="str">
            <v>Scalar|||200017991|||EQTY|||CATALYST3_DATE|||True|||</v>
          </cell>
          <cell r="C176" t="str">
            <v>V_KEYWORD_EQTY_200017991_CATALYST3_DATE</v>
          </cell>
        </row>
        <row r="177">
          <cell r="A177" t="str">
            <v>Scalar|||200017991|||EQTY|||CATALYST3_EVENT|||False|||</v>
          </cell>
          <cell r="C177" t="str">
            <v>V_KEYWORD_EQTY_200017991_CATALYST3_EVENT</v>
          </cell>
        </row>
        <row r="178">
          <cell r="A178" t="str">
            <v>Scalar|||200017991|||EQTY|||CATALYST4_DATE|||True|||</v>
          </cell>
          <cell r="C178" t="str">
            <v>V_KEYWORD_EQTY_200017991_CATALYST4_DATE</v>
          </cell>
        </row>
        <row r="179">
          <cell r="A179" t="str">
            <v>Scalar|||200017991|||EQTY|||CATALYST4_EVENT|||False|||</v>
          </cell>
          <cell r="C179" t="str">
            <v>V_KEYWORD_EQTY_200017991_CATALYST4_EVENT</v>
          </cell>
        </row>
        <row r="180">
          <cell r="A180" t="str">
            <v>Scalar|||200017991|||EQTY|||CATALYST5_DATE|||True|||</v>
          </cell>
          <cell r="C180" t="str">
            <v>V_KEYWORD_EQTY_200017991_CATALYST5_DATE</v>
          </cell>
        </row>
        <row r="181">
          <cell r="A181" t="str">
            <v>Scalar|||200017991|||EQTY|||CATALYST5_EVENT|||False|||</v>
          </cell>
          <cell r="C181" t="str">
            <v>V_KEYWORD_EQTY_200017991_CATALYST5_EVENT</v>
          </cell>
        </row>
        <row r="182">
          <cell r="A182" t="str">
            <v>Scalar|||200017991|||EQTY|||PRI_TARG_MULT|||False|||</v>
          </cell>
          <cell r="C182" t="str">
            <v>V_KEYWORD_EQTY_200017991_PRI_TARG_MULT</v>
          </cell>
        </row>
        <row r="183">
          <cell r="A183" t="str">
            <v>Scalar|||200017991|||EQTY|||PRI_TARG_METH|||False|||</v>
          </cell>
          <cell r="C183" t="str">
            <v>V_KEYWORD_EQTY_200017991_PRI_TARG_METH</v>
          </cell>
        </row>
        <row r="185">
          <cell r="A185" t="str">
            <v>Vector|||200017991|||EQTY|||BVPS_PUB|||False|||</v>
          </cell>
          <cell r="C185" t="str">
            <v>V_KEYWORD_EQTY_200017991_BVPS_PUB</v>
          </cell>
        </row>
        <row r="186">
          <cell r="A186" t="str">
            <v>Vector|||200017991|||EQTY|||DPS_PUB|||False|||</v>
          </cell>
          <cell r="C186" t="str">
            <v>V_KEYWORD_EQTY_200017991_DPS_PUB</v>
          </cell>
        </row>
        <row r="187">
          <cell r="A187" t="str">
            <v>Vector|||200017991|||EQTY|||DPS_SPECIAL_PUB|||False|||</v>
          </cell>
          <cell r="C187" t="str">
            <v>V_KEYWORD_EQTY_200017991_DPS_SPECIAL_PUB</v>
          </cell>
        </row>
        <row r="188">
          <cell r="A188" t="str">
            <v>Vector|||200017991|||EQTY|||EBITDA_PUB|||False|||</v>
          </cell>
          <cell r="C188" t="str">
            <v>V_KEYWORD_EQTY_200017991_EBITDA_PUB</v>
          </cell>
        </row>
        <row r="189">
          <cell r="A189" t="str">
            <v>Vector|||200017991|||EQTY|||EPS_PUB|||False|||</v>
          </cell>
          <cell r="C189" t="str">
            <v>V_KEYWORD_EQTY_200017991_EPS_PUB</v>
          </cell>
        </row>
        <row r="190">
          <cell r="A190" t="str">
            <v>Vector|||200017991|||EQTY|||EV_ADJ_PUB|||False|||</v>
          </cell>
          <cell r="C190" t="str">
            <v>V_KEYWORD_EQTY_200017991_EV_ADJ_PUB</v>
          </cell>
        </row>
        <row r="191">
          <cell r="A191" t="str">
            <v>Vector|||200017991|||EQTY|||NET_DEBT_PUB|||False|||</v>
          </cell>
          <cell r="C191" t="str">
            <v>V_KEYWORD_EQTY_200017991_NET_DEBT_PUB</v>
          </cell>
        </row>
        <row r="192">
          <cell r="A192" t="str">
            <v>Vector|||200017991|||EQTY|||NI_PUB|||False|||</v>
          </cell>
          <cell r="C192" t="str">
            <v>V_KEYWORD_EQTY_200017991_NI_PUB</v>
          </cell>
        </row>
        <row r="193">
          <cell r="A193" t="str">
            <v>Vector|||200017991|||EQTY|||EBIT_PUB|||False|||</v>
          </cell>
          <cell r="C193" t="str">
            <v>V_KEYWORD_EQTY_200017991_EBIT_PUB</v>
          </cell>
        </row>
        <row r="194">
          <cell r="A194" t="str">
            <v>Vector|||200017991|||EQTY|||PTP_PUB|||False|||</v>
          </cell>
          <cell r="C194" t="str">
            <v>V_KEYWORD_EQTY_200017991_PTP_PUB</v>
          </cell>
        </row>
        <row r="195">
          <cell r="A195" t="str">
            <v>Vector|||200017991|||EQTY|||REVS_PUB|||False|||</v>
          </cell>
          <cell r="C195" t="str">
            <v>V_KEYWORD_EQTY_200017991_REVS_PUB</v>
          </cell>
        </row>
        <row r="196">
          <cell r="A196" t="str">
            <v>Vector|||200017991|||EQTY|||EQ_PUB|||False|||</v>
          </cell>
          <cell r="C196" t="str">
            <v>V_KEYWORD_EQTY_200017991_EQ_PUB</v>
          </cell>
        </row>
        <row r="197">
          <cell r="A197" t="str">
            <v>Vector|||200017991|||EQTY|||EPS_CONS_PUB|||False|||</v>
          </cell>
          <cell r="C197" t="str">
            <v>V_KEYWORD_EQTY_200017991_EPS_CONS_PUB</v>
          </cell>
        </row>
        <row r="199">
          <cell r="A199" t="str">
            <v>Vector|||200017991|||EQTY|||PROV_INC_TAX|||False|||</v>
          </cell>
          <cell r="C199" t="str">
            <v>V_KEYWORD_EQTY_200017991_PROV_INC_TAX</v>
          </cell>
        </row>
        <row r="200">
          <cell r="A200" t="str">
            <v>Vector|||200017991|||EQTY|||INC_MINORITY|||False|||</v>
          </cell>
          <cell r="C200" t="str">
            <v>V_KEYWORD_EQTY_200017991_INC_MINORITY</v>
          </cell>
        </row>
        <row r="201">
          <cell r="A201" t="str">
            <v>Vector|||200017991|||EQTY|||NI_PRE_PREF|||False|||</v>
          </cell>
          <cell r="C201" t="str">
            <v>V_KEYWORD_EQTY_200017991_NI_PRE_PREF</v>
          </cell>
        </row>
        <row r="202">
          <cell r="A202" t="str">
            <v>Vector|||200017991|||EQTY|||PREF_DIV|||False|||</v>
          </cell>
          <cell r="C202" t="str">
            <v>V_KEYWORD_EQTY_200017991_PREF_DIV</v>
          </cell>
        </row>
        <row r="203">
          <cell r="A203" t="str">
            <v>Vector|||200017991|||EQTY|||NET_EARNING|||False|||</v>
          </cell>
          <cell r="C203" t="str">
            <v>V_KEYWORD_EQTY_200017991_NET_EARNING</v>
          </cell>
        </row>
        <row r="204">
          <cell r="A204" t="str">
            <v>Vector|||200017991|||EQTY|||TAX_EXC|||False|||</v>
          </cell>
          <cell r="C204" t="str">
            <v>V_KEYWORD_EQTY_200017991_TAX_EXC</v>
          </cell>
        </row>
        <row r="205">
          <cell r="A205" t="str">
            <v>Vector|||200017991|||EQTY|||NET_INC|||False|||</v>
          </cell>
          <cell r="C205" t="str">
            <v>V_KEYWORD_EQTY_200017991_NET_INC</v>
          </cell>
        </row>
        <row r="206">
          <cell r="A206" t="str">
            <v>Vector|||200017991|||EQTY|||EPS|||False|||</v>
          </cell>
          <cell r="C206" t="str">
            <v>V_KEYWORD_EQTY_200017991_EPS</v>
          </cell>
        </row>
        <row r="207">
          <cell r="A207" t="str">
            <v>Vector|||200017991|||EQTY|||EPS_FUL_DIL|||False|||</v>
          </cell>
          <cell r="C207" t="str">
            <v>V_KEYWORD_EQTY_200017991_EPS_FUL_DIL</v>
          </cell>
        </row>
        <row r="208">
          <cell r="A208" t="str">
            <v>Vector|||200017991|||EQTY|||EPS_POST_BASIC|||False|||</v>
          </cell>
          <cell r="C208" t="str">
            <v>V_KEYWORD_EQTY_200017991_EPS_POST_BASIC</v>
          </cell>
        </row>
        <row r="209">
          <cell r="A209" t="str">
            <v>Vector|||200017991|||EQTY|||FULLY_DIL_EPS|||False|||</v>
          </cell>
          <cell r="C209" t="str">
            <v>V_KEYWORD_EQTY_200017991_FULLY_DIL_EPS</v>
          </cell>
        </row>
        <row r="210">
          <cell r="A210" t="str">
            <v>Vector|||200017991|||EQTY|||COMMON_DIV_PAID|||False|||</v>
          </cell>
          <cell r="C210" t="str">
            <v>V_KEYWORD_EQTY_200017991_COMMON_DIV_PAID</v>
          </cell>
        </row>
        <row r="211">
          <cell r="A211" t="str">
            <v>Vector|||200017991|||EQTY|||DPS|||False|||</v>
          </cell>
          <cell r="C211" t="str">
            <v>V_KEYWORD_EQTY_200017991_DPS</v>
          </cell>
        </row>
        <row r="212">
          <cell r="A212" t="str">
            <v>Vector|||200017991|||EQTY|||SH|||False|||</v>
          </cell>
          <cell r="C212" t="str">
            <v>V_KEYWORD_EQTY_200017991_SH</v>
          </cell>
        </row>
        <row r="213">
          <cell r="A213" t="str">
            <v>Vector|||200017991|||EQTY|||DILUTE_SHARES|||False|||</v>
          </cell>
          <cell r="C213" t="str">
            <v>V_KEYWORD_EQTY_200017991_DILUTE_SHARES</v>
          </cell>
        </row>
        <row r="214">
          <cell r="A214" t="str">
            <v>Vector|||200017991|||EQTY|||NON_OP_ADD|||False|||</v>
          </cell>
          <cell r="C214" t="str">
            <v>V_KEYWORD_EQTY_200017991_NON_OP_ADD</v>
          </cell>
        </row>
        <row r="216">
          <cell r="A216" t="str">
            <v>Vector|||200017991|||EQTY|||MARGIN_TAX_RATE|||False|||</v>
          </cell>
          <cell r="C216" t="str">
            <v>V_KEYWORD_EQTY_200017991_MARGIN_TAX_RATE</v>
          </cell>
        </row>
        <row r="217">
          <cell r="A217" t="str">
            <v>Vector|||200017991|||EQTY|||NI_CONS|||False|||</v>
          </cell>
          <cell r="C217" t="str">
            <v>V_KEYWORD_EQTY_200017991_NI_CONS</v>
          </cell>
        </row>
        <row r="219">
          <cell r="A219" t="str">
            <v>Vector|||200017991|||EQTY|||BVPS|||False|||</v>
          </cell>
          <cell r="C219" t="str">
            <v>V_KEYWORD_EQTY_200017991_BVPS</v>
          </cell>
        </row>
        <row r="221">
          <cell r="A221" t="str">
            <v>Vector|||200017991|||EQTY|||CF_NI_PRE_PREF|||False|||</v>
          </cell>
          <cell r="C221" t="str">
            <v>V_KEYWORD_EQTY_200017991_CF_NI_PRE_PREF</v>
          </cell>
        </row>
        <row r="223">
          <cell r="A223" t="str">
            <v>Scalar|||200017991|||EQTY|||BETA_ANALYST|||False|||</v>
          </cell>
          <cell r="C223" t="str">
            <v>V_KEYWORD_EQTY_200017991_BETA_ANALYST</v>
          </cell>
        </row>
        <row r="224">
          <cell r="A224" t="str">
            <v>Scalar|||200017991|||EQTY|||MKT_EQ_RISK_PREM|||False|||</v>
          </cell>
          <cell r="C224" t="str">
            <v>V_KEYWORD_EQTY_200017991_MKT_EQ_RISK_PREM</v>
          </cell>
        </row>
        <row r="225">
          <cell r="A225" t="str">
            <v>Scalar|||200017991|||EQTY|||RISK_FR_RATE|||False|||</v>
          </cell>
          <cell r="C225" t="str">
            <v>V_KEYWORD_EQTY_200017991_RISK_FR_RATE</v>
          </cell>
        </row>
      </sheetData>
      <sheetData sheetId="19" refreshError="1"/>
      <sheetData sheetId="20" refreshError="1">
        <row r="1">
          <cell r="A1" t="str">
            <v>Issuer: Beijing Shiji Information</v>
          </cell>
          <cell r="F1" t="str">
            <v>2006</v>
          </cell>
          <cell r="G1" t="str">
            <v>2007</v>
          </cell>
          <cell r="H1" t="str">
            <v>2008</v>
          </cell>
          <cell r="I1" t="str">
            <v>2009</v>
          </cell>
          <cell r="J1" t="str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 t="str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 t="str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 t="str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 t="str">
            <v>2015 Q1</v>
          </cell>
          <cell r="AF1" t="str">
            <v>2015 Q2</v>
          </cell>
          <cell r="AG1" t="str">
            <v>2015 Q3</v>
          </cell>
          <cell r="AH1" t="str">
            <v>2015 Q4</v>
          </cell>
          <cell r="AI1" t="str">
            <v>2015</v>
          </cell>
          <cell r="AJ1" t="str">
            <v>2016</v>
          </cell>
          <cell r="AK1" t="str">
            <v>2017</v>
          </cell>
          <cell r="AL1" t="str">
            <v>2018</v>
          </cell>
          <cell r="AM1" t="str">
            <v>2019</v>
          </cell>
          <cell r="AN1" t="str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Estimate</v>
          </cell>
          <cell r="AH2" t="str">
            <v>Estimate</v>
          </cell>
          <cell r="AI2" t="str">
            <v>Estimate</v>
          </cell>
          <cell r="AJ2" t="str">
            <v>Estimate</v>
          </cell>
          <cell r="AK2" t="str">
            <v>Estimate</v>
          </cell>
          <cell r="AL2" t="str">
            <v>Estimate</v>
          </cell>
          <cell r="AM2" t="str">
            <v>Estimate</v>
          </cell>
          <cell r="AN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42094</v>
          </cell>
          <cell r="AF3">
            <v>42185</v>
          </cell>
          <cell r="AG3">
            <v>42277</v>
          </cell>
          <cell r="AH3">
            <v>42369</v>
          </cell>
          <cell r="AI3">
            <v>42369</v>
          </cell>
          <cell r="AJ3">
            <v>42735</v>
          </cell>
          <cell r="AK3">
            <v>43100</v>
          </cell>
          <cell r="AL3">
            <v>43465</v>
          </cell>
          <cell r="AM3">
            <v>43830</v>
          </cell>
          <cell r="AN3">
            <v>44196</v>
          </cell>
        </row>
        <row r="4">
          <cell r="A4" t="str">
            <v>Issuer: Beijing Shiji Information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Beijing Shiji Information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193.10894234</v>
          </cell>
          <cell r="G9">
            <v>279.47532860000001</v>
          </cell>
          <cell r="H9">
            <v>442.73250508000001</v>
          </cell>
          <cell r="I9">
            <v>406.62099367000002</v>
          </cell>
          <cell r="J9">
            <v>610.24736599000005</v>
          </cell>
          <cell r="K9">
            <v>135.64938234000002</v>
          </cell>
          <cell r="L9">
            <v>224.82224119999998</v>
          </cell>
          <cell r="M9">
            <v>99.292901719999975</v>
          </cell>
          <cell r="N9">
            <v>261.10719883000007</v>
          </cell>
          <cell r="O9">
            <v>720.87172409000004</v>
          </cell>
          <cell r="P9">
            <v>142.36432506</v>
          </cell>
          <cell r="Q9">
            <v>218.26986038000001</v>
          </cell>
          <cell r="R9">
            <v>122.09924633999998</v>
          </cell>
          <cell r="S9">
            <v>307.25290143000001</v>
          </cell>
          <cell r="T9">
            <v>789.98633321</v>
          </cell>
          <cell r="U9">
            <v>146.72047516000001</v>
          </cell>
          <cell r="V9">
            <v>228.07331789000003</v>
          </cell>
          <cell r="W9">
            <v>152.99129101</v>
          </cell>
          <cell r="X9">
            <v>566.80119664000006</v>
          </cell>
          <cell r="Y9">
            <v>1094.5862807000001</v>
          </cell>
          <cell r="Z9">
            <v>473.33481709</v>
          </cell>
          <cell r="AA9">
            <v>562.21113780000007</v>
          </cell>
          <cell r="AB9">
            <v>462.99653758999989</v>
          </cell>
          <cell r="AC9">
            <v>687.52956855000002</v>
          </cell>
          <cell r="AD9">
            <v>2186.07206103</v>
          </cell>
          <cell r="AE9">
            <v>413.38954394999996</v>
          </cell>
          <cell r="AF9">
            <v>492.54060660999994</v>
          </cell>
          <cell r="AG9">
            <v>495.79996010642344</v>
          </cell>
          <cell r="AH9">
            <v>694.48430115741621</v>
          </cell>
          <cell r="AI9">
            <v>2096.2144118238393</v>
          </cell>
          <cell r="AJ9">
            <v>2459.1069732716269</v>
          </cell>
          <cell r="AK9">
            <v>2882.8230706088375</v>
          </cell>
          <cell r="AL9">
            <v>3381.9844236838908</v>
          </cell>
          <cell r="AM9">
            <v>3836.4370465786269</v>
          </cell>
          <cell r="AN9">
            <v>4222.1211421486369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-80.100459439999995</v>
          </cell>
          <cell r="G11">
            <v>-108.33232411</v>
          </cell>
          <cell r="H11">
            <v>-162.76365452000002</v>
          </cell>
          <cell r="I11">
            <v>-120.67193789</v>
          </cell>
          <cell r="J11">
            <v>-188.02688702</v>
          </cell>
          <cell r="O11">
            <v>-249.35266579</v>
          </cell>
          <cell r="T11">
            <v>-260.27193743999999</v>
          </cell>
          <cell r="Y11">
            <v>-497.66034142000001</v>
          </cell>
          <cell r="AD11">
            <v>-1387.9238344400001</v>
          </cell>
          <cell r="AI11">
            <v>-1192.5754217672561</v>
          </cell>
          <cell r="AJ11">
            <v>-1251.5195524616279</v>
          </cell>
          <cell r="AK11">
            <v>-1304.3308663165437</v>
          </cell>
          <cell r="AL11">
            <v>-1368.1693811412049</v>
          </cell>
          <cell r="AM11">
            <v>-1418.1754742990481</v>
          </cell>
          <cell r="AN11">
            <v>-1463.1496018702285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-62.686021050000001</v>
          </cell>
          <cell r="G12">
            <v>-88.944902589999998</v>
          </cell>
          <cell r="H12">
            <v>-140.11331247000001</v>
          </cell>
          <cell r="I12">
            <v>-164.36542266999999</v>
          </cell>
          <cell r="J12">
            <v>-182.86031107000002</v>
          </cell>
          <cell r="O12">
            <v>-193.36046725</v>
          </cell>
          <cell r="T12">
            <v>-199.35844320999999</v>
          </cell>
          <cell r="Y12">
            <v>-242.29378318000002</v>
          </cell>
          <cell r="AD12">
            <v>-332.22656645999996</v>
          </cell>
          <cell r="AI12">
            <v>-383.99708512446267</v>
          </cell>
          <cell r="AJ12">
            <v>-442.8867495666309</v>
          </cell>
          <cell r="AK12">
            <v>-510.45783990877044</v>
          </cell>
          <cell r="AL12">
            <v>-600.68468195376818</v>
          </cell>
          <cell r="AM12">
            <v>-683.46888158386275</v>
          </cell>
          <cell r="AN12">
            <v>-754.43183062014157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-142.78648049</v>
          </cell>
          <cell r="G13">
            <v>-197.2772267</v>
          </cell>
          <cell r="H13">
            <v>-302.87696699000003</v>
          </cell>
          <cell r="I13">
            <v>-285.03736055999997</v>
          </cell>
          <cell r="J13">
            <v>-370.88719809000003</v>
          </cell>
          <cell r="O13">
            <v>-442.71313304</v>
          </cell>
          <cell r="T13">
            <v>-459.63038065000001</v>
          </cell>
          <cell r="Y13">
            <v>-739.9541246</v>
          </cell>
          <cell r="AD13">
            <v>-1720.1504009</v>
          </cell>
          <cell r="AI13">
            <v>-1576.5725068917188</v>
          </cell>
          <cell r="AJ13">
            <v>-1694.4063020282588</v>
          </cell>
          <cell r="AK13">
            <v>-1814.7887062253142</v>
          </cell>
          <cell r="AL13">
            <v>-1968.8540630949731</v>
          </cell>
          <cell r="AM13">
            <v>-2101.644355882911</v>
          </cell>
          <cell r="AN13">
            <v>-2217.5814324903699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-32.317850110000002</v>
          </cell>
          <cell r="O14">
            <v>-24.235482749999999</v>
          </cell>
          <cell r="T14">
            <v>-58.167805780000002</v>
          </cell>
          <cell r="Y14">
            <v>-82.423998909999995</v>
          </cell>
          <cell r="AD14">
            <v>-95.198471960000006</v>
          </cell>
          <cell r="AI14">
            <v>-114.10671934353786</v>
          </cell>
          <cell r="AJ14">
            <v>-133.86065263748571</v>
          </cell>
          <cell r="AK14">
            <v>-156.92549444349626</v>
          </cell>
          <cell r="AL14">
            <v>-182.2562013828219</v>
          </cell>
          <cell r="AM14">
            <v>-204.67932781612251</v>
          </cell>
          <cell r="AN14">
            <v>-223.00355714760613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O15">
            <v>0</v>
          </cell>
          <cell r="T15">
            <v>0</v>
          </cell>
          <cell r="Y15">
            <v>0</v>
          </cell>
          <cell r="AD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-142.78648049000003</v>
          </cell>
          <cell r="G16">
            <v>-197.27722670000003</v>
          </cell>
          <cell r="H16">
            <v>-302.87696699000003</v>
          </cell>
          <cell r="I16">
            <v>-285.03736056000002</v>
          </cell>
          <cell r="J16">
            <v>-403.20504820000002</v>
          </cell>
          <cell r="O16">
            <v>-466.94861579000002</v>
          </cell>
          <cell r="T16">
            <v>-517.79818642999999</v>
          </cell>
          <cell r="Y16">
            <v>-822.37812351000002</v>
          </cell>
          <cell r="AD16">
            <v>-1815.34887286</v>
          </cell>
          <cell r="AI16">
            <v>-1690.6792262352567</v>
          </cell>
          <cell r="AJ16">
            <v>-1828.2669546657444</v>
          </cell>
          <cell r="AK16">
            <v>-1971.7142006688105</v>
          </cell>
          <cell r="AL16">
            <v>-2151.1102644777948</v>
          </cell>
          <cell r="AM16">
            <v>-2306.3236836990336</v>
          </cell>
          <cell r="AN16">
            <v>-2440.5849896379759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-137.87590686000001</v>
          </cell>
          <cell r="G17">
            <v>-187.19756452000001</v>
          </cell>
          <cell r="H17">
            <v>-290.54606115000001</v>
          </cell>
          <cell r="I17">
            <v>-266.26722620999999</v>
          </cell>
          <cell r="J17">
            <v>-378.57135046000002</v>
          </cell>
          <cell r="O17">
            <v>-443.25057528000002</v>
          </cell>
          <cell r="T17">
            <v>-490.57180446999996</v>
          </cell>
          <cell r="Y17">
            <v>-786.63554765000003</v>
          </cell>
          <cell r="AD17">
            <v>-1754.7453751400001</v>
          </cell>
          <cell r="AI17">
            <v>-1625.0815542013138</v>
          </cell>
          <cell r="AJ17">
            <v>-1756.7459677062311</v>
          </cell>
          <cell r="AK17">
            <v>-1893.1238691526469</v>
          </cell>
          <cell r="AL17">
            <v>-2064.0447595983583</v>
          </cell>
          <cell r="AM17">
            <v>-2209.2347645168602</v>
          </cell>
          <cell r="AN17">
            <v>-2335.9187305867636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55.233035479999984</v>
          </cell>
          <cell r="G18">
            <v>92.277764079999997</v>
          </cell>
          <cell r="H18">
            <v>152.18644393</v>
          </cell>
          <cell r="I18">
            <v>140.35376746000003</v>
          </cell>
          <cell r="J18">
            <v>231.67601553000003</v>
          </cell>
          <cell r="O18">
            <v>277.62114881000002</v>
          </cell>
          <cell r="T18">
            <v>299.41452874000004</v>
          </cell>
          <cell r="Y18">
            <v>307.95073305000005</v>
          </cell>
          <cell r="AD18">
            <v>431.32668588999991</v>
          </cell>
          <cell r="AI18">
            <v>471.13285762252553</v>
          </cell>
          <cell r="AJ18">
            <v>702.36100556539577</v>
          </cell>
          <cell r="AK18">
            <v>989.69920145619062</v>
          </cell>
          <cell r="AL18">
            <v>1317.9396640855325</v>
          </cell>
          <cell r="AM18">
            <v>1627.2022820617667</v>
          </cell>
          <cell r="AN18">
            <v>1886.2024115618733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-1.5072403400000001</v>
          </cell>
          <cell r="G19">
            <v>-3.27188999</v>
          </cell>
          <cell r="H19">
            <v>-3.9145353700000003</v>
          </cell>
          <cell r="I19">
            <v>-7.74418235</v>
          </cell>
          <cell r="J19">
            <v>-9.4465745999999999</v>
          </cell>
          <cell r="O19">
            <v>-9.0629347400000011</v>
          </cell>
          <cell r="T19">
            <v>-10.135966590000001</v>
          </cell>
          <cell r="Y19">
            <v>-12.640678250000001</v>
          </cell>
          <cell r="AD19">
            <v>-32.423472449999998</v>
          </cell>
          <cell r="AI19">
            <v>-34.553418081994778</v>
          </cell>
          <cell r="AJ19">
            <v>-37.03657546722873</v>
          </cell>
          <cell r="AK19">
            <v>-39.93863028034513</v>
          </cell>
          <cell r="AL19">
            <v>-43.34144620428421</v>
          </cell>
          <cell r="AM19">
            <v>-47.232891136667199</v>
          </cell>
          <cell r="AN19">
            <v>-51.579774578509571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-3.40333329</v>
          </cell>
          <cell r="G20">
            <v>-6.8077721900000006</v>
          </cell>
          <cell r="H20">
            <v>-8.4163704700000004</v>
          </cell>
          <cell r="I20">
            <v>-11.025952</v>
          </cell>
          <cell r="J20">
            <v>-15.187123140000001</v>
          </cell>
          <cell r="O20">
            <v>-14.635105769999999</v>
          </cell>
          <cell r="T20">
            <v>-17.090415370000002</v>
          </cell>
          <cell r="Y20">
            <v>-23.101897609999998</v>
          </cell>
          <cell r="AD20">
            <v>-28.180025270000002</v>
          </cell>
          <cell r="AI20">
            <v>-31.044253951948019</v>
          </cell>
          <cell r="AJ20">
            <v>-34.484411492284579</v>
          </cell>
          <cell r="AK20">
            <v>-38.651701235818464</v>
          </cell>
          <cell r="AL20">
            <v>-43.724058675152172</v>
          </cell>
          <cell r="AM20">
            <v>-49.856028045506449</v>
          </cell>
          <cell r="AN20">
            <v>-53.086484472702956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50.322461849999968</v>
          </cell>
          <cell r="G21">
            <v>82.198101899999983</v>
          </cell>
          <cell r="H21">
            <v>139.85553808999998</v>
          </cell>
          <cell r="I21">
            <v>121.58363310999999</v>
          </cell>
          <cell r="J21">
            <v>207.04231779000003</v>
          </cell>
          <cell r="K21">
            <v>31.55412895000002</v>
          </cell>
          <cell r="L21">
            <v>101.60721721999998</v>
          </cell>
          <cell r="M21">
            <v>20.373823399999978</v>
          </cell>
          <cell r="N21">
            <v>100.38793873000007</v>
          </cell>
          <cell r="O21">
            <v>253.92310830000002</v>
          </cell>
          <cell r="P21">
            <v>33.637942969999997</v>
          </cell>
          <cell r="Q21">
            <v>86.012086560000014</v>
          </cell>
          <cell r="R21">
            <v>17.849324259999975</v>
          </cell>
          <cell r="S21">
            <v>134.68879299000002</v>
          </cell>
          <cell r="T21">
            <v>272.18814678000001</v>
          </cell>
          <cell r="U21">
            <v>28.270003300000013</v>
          </cell>
          <cell r="V21">
            <v>88.460965850000022</v>
          </cell>
          <cell r="W21">
            <v>24.87171579999999</v>
          </cell>
          <cell r="X21">
            <v>130.60547224000007</v>
          </cell>
          <cell r="Y21">
            <v>272.20815719000007</v>
          </cell>
          <cell r="Z21">
            <v>44.971047460000023</v>
          </cell>
          <cell r="AA21">
            <v>114.18189793000006</v>
          </cell>
          <cell r="AB21">
            <v>58.861726789999892</v>
          </cell>
          <cell r="AC21">
            <v>152.70851598999997</v>
          </cell>
          <cell r="AD21">
            <v>370.72318816999996</v>
          </cell>
          <cell r="AE21">
            <v>52.944417229999942</v>
          </cell>
          <cell r="AF21">
            <v>101.50233586999994</v>
          </cell>
          <cell r="AG21">
            <v>83.770876488607868</v>
          </cell>
          <cell r="AH21">
            <v>167.31755599997496</v>
          </cell>
          <cell r="AI21">
            <v>405.53518558858264</v>
          </cell>
          <cell r="AJ21">
            <v>630.84001860588251</v>
          </cell>
          <cell r="AK21">
            <v>911.10886994002703</v>
          </cell>
          <cell r="AL21">
            <v>1230.874159206096</v>
          </cell>
          <cell r="AM21">
            <v>1530.1133628795933</v>
          </cell>
          <cell r="AN21">
            <v>1781.5361525106609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0.81028093000000001</v>
          </cell>
          <cell r="G22">
            <v>1.5783812399999999</v>
          </cell>
          <cell r="H22">
            <v>4.8113008800000001</v>
          </cell>
          <cell r="I22">
            <v>3.6840692599999998</v>
          </cell>
          <cell r="J22">
            <v>4.18200124</v>
          </cell>
          <cell r="O22">
            <v>12.406744269999999</v>
          </cell>
          <cell r="T22">
            <v>3.8634738099999999</v>
          </cell>
          <cell r="Y22">
            <v>6.2818661100000002</v>
          </cell>
          <cell r="AD22">
            <v>3.4837900199999998</v>
          </cell>
          <cell r="AI22">
            <v>6.3033211000000007</v>
          </cell>
          <cell r="AJ22">
            <v>8.6815941277548117</v>
          </cell>
          <cell r="AK22">
            <v>9.8001379333974867</v>
          </cell>
          <cell r="AL22">
            <v>13.189235063350811</v>
          </cell>
          <cell r="AM22">
            <v>16.829602071217153</v>
          </cell>
          <cell r="AN22">
            <v>20.700343710696846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O23">
            <v>0</v>
          </cell>
          <cell r="T23">
            <v>0</v>
          </cell>
          <cell r="Y23">
            <v>0</v>
          </cell>
          <cell r="AD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0.81028093000000001</v>
          </cell>
          <cell r="G24">
            <v>1.5783812399999999</v>
          </cell>
          <cell r="H24">
            <v>4.8113008800000001</v>
          </cell>
          <cell r="I24">
            <v>3.6840692599999998</v>
          </cell>
          <cell r="J24">
            <v>4.18200124</v>
          </cell>
          <cell r="O24">
            <v>12.406744269999999</v>
          </cell>
          <cell r="T24">
            <v>3.8634738099999999</v>
          </cell>
          <cell r="Y24">
            <v>6.2818661100000002</v>
          </cell>
          <cell r="AD24">
            <v>3.4837900199999998</v>
          </cell>
          <cell r="AI24">
            <v>6.3033211000000007</v>
          </cell>
          <cell r="AJ24">
            <v>8.6815941277548117</v>
          </cell>
          <cell r="AK24">
            <v>9.8001379333974867</v>
          </cell>
          <cell r="AL24">
            <v>13.189235063350811</v>
          </cell>
          <cell r="AM24">
            <v>16.829602071217153</v>
          </cell>
          <cell r="AN24">
            <v>20.700343710696846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O25">
            <v>0</v>
          </cell>
          <cell r="T25">
            <v>0</v>
          </cell>
          <cell r="Y25">
            <v>0</v>
          </cell>
          <cell r="AD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O26">
            <v>0</v>
          </cell>
          <cell r="T26">
            <v>0</v>
          </cell>
          <cell r="Y26">
            <v>0</v>
          </cell>
          <cell r="AD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10.706556010000034</v>
          </cell>
          <cell r="G27">
            <v>23.446242460000022</v>
          </cell>
          <cell r="H27">
            <v>25.661191019999936</v>
          </cell>
          <cell r="I27">
            <v>19.474558140000056</v>
          </cell>
          <cell r="J27">
            <v>33.646572830000004</v>
          </cell>
          <cell r="O27">
            <v>39.280135350000016</v>
          </cell>
          <cell r="T27">
            <v>63.722150169999978</v>
          </cell>
          <cell r="Y27">
            <v>119.42222903</v>
          </cell>
          <cell r="AD27">
            <v>70.104604710000004</v>
          </cell>
          <cell r="AI27">
            <v>78.696419786000035</v>
          </cell>
          <cell r="AJ27">
            <v>92.663055921199771</v>
          </cell>
          <cell r="AK27">
            <v>109.4420457034401</v>
          </cell>
          <cell r="AL27">
            <v>120.38625027378349</v>
          </cell>
          <cell r="AM27">
            <v>132.4248753011629</v>
          </cell>
          <cell r="AN27">
            <v>145.66736283127878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61.839298790000001</v>
          </cell>
          <cell r="G28">
            <v>107.2227256</v>
          </cell>
          <cell r="H28">
            <v>170.32802998999992</v>
          </cell>
          <cell r="I28">
            <v>144.74226051000005</v>
          </cell>
          <cell r="J28">
            <v>244.87089186000003</v>
          </cell>
          <cell r="O28">
            <v>305.60998792000004</v>
          </cell>
          <cell r="T28">
            <v>339.77377075999999</v>
          </cell>
          <cell r="Y28">
            <v>397.91225233000006</v>
          </cell>
          <cell r="AD28">
            <v>444.31158289999996</v>
          </cell>
          <cell r="AI28">
            <v>490.53492647458268</v>
          </cell>
          <cell r="AJ28">
            <v>732.18466865483708</v>
          </cell>
          <cell r="AK28">
            <v>1030.3510535768646</v>
          </cell>
          <cell r="AL28">
            <v>1364.4496445432303</v>
          </cell>
          <cell r="AM28">
            <v>1679.3678402519733</v>
          </cell>
          <cell r="AN28">
            <v>1947.9038590526366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O31">
            <v>0</v>
          </cell>
          <cell r="T31">
            <v>0</v>
          </cell>
          <cell r="Y31">
            <v>0</v>
          </cell>
          <cell r="AD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O34">
            <v>0</v>
          </cell>
          <cell r="T34">
            <v>0</v>
          </cell>
          <cell r="Y34">
            <v>0</v>
          </cell>
          <cell r="AD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65.045692160000002</v>
          </cell>
          <cell r="G37">
            <v>374.88984476000002</v>
          </cell>
          <cell r="H37">
            <v>378.69028066999999</v>
          </cell>
          <cell r="I37">
            <v>412.60944889000001</v>
          </cell>
          <cell r="J37">
            <v>491.51100501999997</v>
          </cell>
          <cell r="O37">
            <v>437.93111359</v>
          </cell>
          <cell r="T37">
            <v>688.06467938000003</v>
          </cell>
          <cell r="Y37">
            <v>402.85786125999999</v>
          </cell>
          <cell r="AD37">
            <v>695.05200246000004</v>
          </cell>
          <cell r="AI37">
            <v>953.87833425883355</v>
          </cell>
          <cell r="AJ37">
            <v>1345.971014921422</v>
          </cell>
          <cell r="AK37">
            <v>1811.4365557813292</v>
          </cell>
          <cell r="AL37">
            <v>2311.4120162864715</v>
          </cell>
          <cell r="AM37">
            <v>2843.0276005155938</v>
          </cell>
          <cell r="AN37">
            <v>3371.3426102754552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58.02669075</v>
          </cell>
          <cell r="G38">
            <v>68.747168680000001</v>
          </cell>
          <cell r="H38">
            <v>81.663890250000009</v>
          </cell>
          <cell r="I38">
            <v>92.180065319999997</v>
          </cell>
          <cell r="J38">
            <v>158.42831710999999</v>
          </cell>
          <cell r="O38">
            <v>198.54760519999996</v>
          </cell>
          <cell r="T38">
            <v>183.95527200000001</v>
          </cell>
          <cell r="Y38">
            <v>354.88850059000004</v>
          </cell>
          <cell r="AD38">
            <v>309.94235418</v>
          </cell>
          <cell r="AI38">
            <v>321.61097825242467</v>
          </cell>
          <cell r="AJ38">
            <v>377.28764521427701</v>
          </cell>
          <cell r="AK38">
            <v>442.29614233998603</v>
          </cell>
          <cell r="AL38">
            <v>518.87980198985724</v>
          </cell>
          <cell r="AM38">
            <v>588.60404002302221</v>
          </cell>
          <cell r="AN38">
            <v>647.77749030225664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36.956102090000002</v>
          </cell>
          <cell r="G39">
            <v>38.793858619999995</v>
          </cell>
          <cell r="H39">
            <v>46.101855530000002</v>
          </cell>
          <cell r="I39">
            <v>59.533227650000001</v>
          </cell>
          <cell r="J39">
            <v>55.002269479999995</v>
          </cell>
          <cell r="O39">
            <v>37.178667650000001</v>
          </cell>
          <cell r="T39">
            <v>59.696208140000003</v>
          </cell>
          <cell r="Y39">
            <v>279.41412677999995</v>
          </cell>
          <cell r="AD39">
            <v>256.74188783</v>
          </cell>
          <cell r="AI39">
            <v>220.60581248518082</v>
          </cell>
          <cell r="AJ39">
            <v>231.50945648598966</v>
          </cell>
          <cell r="AK39">
            <v>241.2786355154459</v>
          </cell>
          <cell r="AL39">
            <v>253.08765587062985</v>
          </cell>
          <cell r="AM39">
            <v>262.33791762258517</v>
          </cell>
          <cell r="AN39">
            <v>270.6573528319322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14.354968219999975</v>
          </cell>
          <cell r="G40">
            <v>19.801765799999998</v>
          </cell>
          <cell r="H40">
            <v>16.916381620000003</v>
          </cell>
          <cell r="I40">
            <v>11.298142139999925</v>
          </cell>
          <cell r="J40">
            <v>16.007810690000014</v>
          </cell>
          <cell r="O40">
            <v>239.0067866499999</v>
          </cell>
          <cell r="T40">
            <v>155.72139082999999</v>
          </cell>
          <cell r="Y40">
            <v>521.07787405000022</v>
          </cell>
          <cell r="AD40">
            <v>145.22017735999992</v>
          </cell>
          <cell r="AI40">
            <v>145.22017736000009</v>
          </cell>
          <cell r="AJ40">
            <v>145.22017736000024</v>
          </cell>
          <cell r="AK40">
            <v>145.2201773599997</v>
          </cell>
          <cell r="AL40">
            <v>145.22017736000012</v>
          </cell>
          <cell r="AM40">
            <v>145.22017736000015</v>
          </cell>
          <cell r="AN40">
            <v>145.22017736000026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174.38345321999998</v>
          </cell>
          <cell r="G41">
            <v>502.23263786000001</v>
          </cell>
          <cell r="H41">
            <v>523.37240807000001</v>
          </cell>
          <cell r="I41">
            <v>575.62088399999993</v>
          </cell>
          <cell r="J41">
            <v>720.94940229999997</v>
          </cell>
          <cell r="O41">
            <v>912.66417308999985</v>
          </cell>
          <cell r="T41">
            <v>1087.43755035</v>
          </cell>
          <cell r="Y41">
            <v>1558.2383626800001</v>
          </cell>
          <cell r="AD41">
            <v>1406.95642183</v>
          </cell>
          <cell r="AI41">
            <v>1641.3153023564391</v>
          </cell>
          <cell r="AJ41">
            <v>2099.9882939816889</v>
          </cell>
          <cell r="AK41">
            <v>2640.2315109967608</v>
          </cell>
          <cell r="AL41">
            <v>3228.5996515069587</v>
          </cell>
          <cell r="AM41">
            <v>3839.1897355212013</v>
          </cell>
          <cell r="AN41">
            <v>4434.9976307696443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31.321289719999996</v>
          </cell>
          <cell r="G42">
            <v>44.018521789999994</v>
          </cell>
          <cell r="H42">
            <v>134.65728221000001</v>
          </cell>
          <cell r="I42">
            <v>153.95100389000001</v>
          </cell>
          <cell r="J42">
            <v>160.49192836999998</v>
          </cell>
          <cell r="O42">
            <v>164.96679304000003</v>
          </cell>
          <cell r="T42">
            <v>168.70739971</v>
          </cell>
          <cell r="Y42">
            <v>332.83463986000004</v>
          </cell>
          <cell r="AD42">
            <v>424.29902837999998</v>
          </cell>
          <cell r="AI42">
            <v>445.26117249823835</v>
          </cell>
          <cell r="AJ42">
            <v>469.85224223095457</v>
          </cell>
          <cell r="AK42">
            <v>498.68047293704296</v>
          </cell>
          <cell r="AL42">
            <v>532.50031717388185</v>
          </cell>
          <cell r="AM42">
            <v>570.86468763966809</v>
          </cell>
          <cell r="AN42">
            <v>613.08589906115446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-9.0016160000000003</v>
          </cell>
          <cell r="H43">
            <v>-12.58399837</v>
          </cell>
          <cell r="I43">
            <v>-18.115846949999998</v>
          </cell>
          <cell r="J43">
            <v>-25.746262659999999</v>
          </cell>
          <cell r="O43">
            <v>-33.736404460000003</v>
          </cell>
          <cell r="T43">
            <v>-43.217396090000001</v>
          </cell>
          <cell r="Y43">
            <v>-71.320354370000004</v>
          </cell>
          <cell r="AD43">
            <v>-94.006481480000005</v>
          </cell>
          <cell r="AI43">
            <v>-128.55989956199477</v>
          </cell>
          <cell r="AJ43">
            <v>-165.59647502922348</v>
          </cell>
          <cell r="AK43">
            <v>-205.53510530956862</v>
          </cell>
          <cell r="AL43">
            <v>-248.87655151385283</v>
          </cell>
          <cell r="AM43">
            <v>-296.10944265052001</v>
          </cell>
          <cell r="AN43">
            <v>-347.68921722902957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31.321289719999996</v>
          </cell>
          <cell r="G44">
            <v>35.016905789999996</v>
          </cell>
          <cell r="H44">
            <v>122.07328384</v>
          </cell>
          <cell r="I44">
            <v>135.83515694000002</v>
          </cell>
          <cell r="J44">
            <v>134.74566570999997</v>
          </cell>
          <cell r="O44">
            <v>131.23038858000001</v>
          </cell>
          <cell r="T44">
            <v>125.49000362000001</v>
          </cell>
          <cell r="Y44">
            <v>261.51428549000002</v>
          </cell>
          <cell r="AD44">
            <v>330.29254689999999</v>
          </cell>
          <cell r="AI44">
            <v>316.70127293624358</v>
          </cell>
          <cell r="AJ44">
            <v>304.25576720173109</v>
          </cell>
          <cell r="AK44">
            <v>293.14536762747434</v>
          </cell>
          <cell r="AL44">
            <v>283.62376566002899</v>
          </cell>
          <cell r="AM44">
            <v>274.75524498914808</v>
          </cell>
          <cell r="AN44">
            <v>265.3966818321249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20.191413409999999</v>
          </cell>
          <cell r="G45">
            <v>109.45581347000001</v>
          </cell>
          <cell r="H45">
            <v>163.20161541000002</v>
          </cell>
          <cell r="I45">
            <v>170.74985586999998</v>
          </cell>
          <cell r="J45">
            <v>224.71509144999999</v>
          </cell>
          <cell r="O45">
            <v>286.73425691</v>
          </cell>
          <cell r="T45">
            <v>291.21508124000002</v>
          </cell>
          <cell r="Y45">
            <v>364.64805605999999</v>
          </cell>
          <cell r="AD45">
            <v>541.39002106999999</v>
          </cell>
          <cell r="AI45">
            <v>552.80069300435377</v>
          </cell>
          <cell r="AJ45">
            <v>566.18675826810238</v>
          </cell>
          <cell r="AK45">
            <v>581.87930771245203</v>
          </cell>
          <cell r="AL45">
            <v>600.10492785073427</v>
          </cell>
          <cell r="AM45">
            <v>620.57286063234653</v>
          </cell>
          <cell r="AN45">
            <v>642.87321634710713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-13.83080232</v>
          </cell>
          <cell r="H46">
            <v>-29.075303250000001</v>
          </cell>
          <cell r="I46">
            <v>-34.22575544</v>
          </cell>
          <cell r="J46">
            <v>-49.412878579999997</v>
          </cell>
          <cell r="O46">
            <v>-63.976648179999998</v>
          </cell>
          <cell r="T46">
            <v>-61.054996119999998</v>
          </cell>
          <cell r="Y46">
            <v>-86.066647079999996</v>
          </cell>
          <cell r="AD46">
            <v>-116.08410153</v>
          </cell>
          <cell r="AI46">
            <v>-147.12835548194801</v>
          </cell>
          <cell r="AJ46">
            <v>-181.61276697423258</v>
          </cell>
          <cell r="AK46">
            <v>-220.26446821005106</v>
          </cell>
          <cell r="AL46">
            <v>-263.98852688520321</v>
          </cell>
          <cell r="AM46">
            <v>-313.84455493070965</v>
          </cell>
          <cell r="AN46">
            <v>-366.93103940341263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20.191413409999999</v>
          </cell>
          <cell r="G47">
            <v>95.625011150000006</v>
          </cell>
          <cell r="H47">
            <v>134.12631216000003</v>
          </cell>
          <cell r="I47">
            <v>136.52410042999998</v>
          </cell>
          <cell r="J47">
            <v>175.30221287000001</v>
          </cell>
          <cell r="O47">
            <v>222.75760873000002</v>
          </cell>
          <cell r="T47">
            <v>230.16008512000002</v>
          </cell>
          <cell r="Y47">
            <v>278.58140897999999</v>
          </cell>
          <cell r="AD47">
            <v>425.30591953999999</v>
          </cell>
          <cell r="AI47">
            <v>405.67233752240577</v>
          </cell>
          <cell r="AJ47">
            <v>384.57399129386977</v>
          </cell>
          <cell r="AK47">
            <v>361.61483950240097</v>
          </cell>
          <cell r="AL47">
            <v>336.11640096553106</v>
          </cell>
          <cell r="AM47">
            <v>306.72830570163688</v>
          </cell>
          <cell r="AN47">
            <v>275.94217694369451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0</v>
          </cell>
          <cell r="G49">
            <v>0.35583199999999998</v>
          </cell>
          <cell r="H49">
            <v>0.33511820000000003</v>
          </cell>
          <cell r="I49">
            <v>19.809324049999997</v>
          </cell>
          <cell r="J49">
            <v>37.675542729999989</v>
          </cell>
          <cell r="O49">
            <v>34.048170929999998</v>
          </cell>
          <cell r="T49">
            <v>80.074106060000005</v>
          </cell>
          <cell r="Y49">
            <v>279.45094512000003</v>
          </cell>
          <cell r="AD49">
            <v>235.57809361000002</v>
          </cell>
          <cell r="AI49">
            <v>335.57809361</v>
          </cell>
          <cell r="AJ49">
            <v>535.57809361</v>
          </cell>
          <cell r="AK49">
            <v>835.57809361</v>
          </cell>
          <cell r="AL49">
            <v>1335.57809361</v>
          </cell>
          <cell r="AM49">
            <v>2035.57809361</v>
          </cell>
          <cell r="AN49">
            <v>2935.57809361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0.82559849999999457</v>
          </cell>
          <cell r="G50">
            <v>0.97549518999983986</v>
          </cell>
          <cell r="H50">
            <v>2.2139813400000712</v>
          </cell>
          <cell r="I50">
            <v>1.2170487300000055</v>
          </cell>
          <cell r="J50">
            <v>1.3688726199999053</v>
          </cell>
          <cell r="O50">
            <v>1.6527464599996904</v>
          </cell>
          <cell r="T50">
            <v>2.12952154999995</v>
          </cell>
          <cell r="Y50">
            <v>6.8651747200003683</v>
          </cell>
          <cell r="AD50">
            <v>75.563992250000041</v>
          </cell>
          <cell r="AI50">
            <v>75.563992250000183</v>
          </cell>
          <cell r="AJ50">
            <v>75.563992249999956</v>
          </cell>
          <cell r="AK50">
            <v>75.563992250000751</v>
          </cell>
          <cell r="AL50">
            <v>75.563992250000865</v>
          </cell>
          <cell r="AM50">
            <v>75.563992249999956</v>
          </cell>
          <cell r="AN50">
            <v>75.563992250000865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226.72175484999997</v>
          </cell>
          <cell r="G51">
            <v>634.20588198999985</v>
          </cell>
          <cell r="H51">
            <v>782.12110361000009</v>
          </cell>
          <cell r="I51">
            <v>869.00651414999993</v>
          </cell>
          <cell r="J51">
            <v>1070.0416962299998</v>
          </cell>
          <cell r="O51">
            <v>1302.3530877899996</v>
          </cell>
          <cell r="T51">
            <v>1525.2912667000001</v>
          </cell>
          <cell r="Y51">
            <v>2384.6501769900005</v>
          </cell>
          <cell r="AD51">
            <v>2473.6969741299999</v>
          </cell>
          <cell r="AI51">
            <v>2774.8309986750887</v>
          </cell>
          <cell r="AJ51">
            <v>3399.9601383372897</v>
          </cell>
          <cell r="AK51">
            <v>4206.1338039866368</v>
          </cell>
          <cell r="AL51">
            <v>5259.4819039925196</v>
          </cell>
          <cell r="AM51">
            <v>6531.8153720719865</v>
          </cell>
          <cell r="AN51">
            <v>7987.4785754054647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69.198736580000002</v>
          </cell>
          <cell r="G52">
            <v>76.851537239999999</v>
          </cell>
          <cell r="H52">
            <v>90.451734560000006</v>
          </cell>
          <cell r="I52">
            <v>103.26566484999998</v>
          </cell>
          <cell r="J52">
            <v>126.89340847</v>
          </cell>
          <cell r="O52">
            <v>127.38931027999999</v>
          </cell>
          <cell r="T52">
            <v>142.3071755</v>
          </cell>
          <cell r="Y52">
            <v>383.00941774</v>
          </cell>
          <cell r="AD52">
            <v>416.59126722000002</v>
          </cell>
          <cell r="AI52">
            <v>313.66367257440163</v>
          </cell>
          <cell r="AJ52">
            <v>329.1667864008665</v>
          </cell>
          <cell r="AK52">
            <v>343.05688538736496</v>
          </cell>
          <cell r="AL52">
            <v>359.84728928645387</v>
          </cell>
          <cell r="AM52">
            <v>372.99957680194143</v>
          </cell>
          <cell r="AN52">
            <v>384.82838843710118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O53">
            <v>0</v>
          </cell>
          <cell r="T53">
            <v>0</v>
          </cell>
          <cell r="Y53">
            <v>8.4</v>
          </cell>
          <cell r="AD53">
            <v>6.6520748099999993</v>
          </cell>
          <cell r="AI53">
            <v>6.6520748099999993</v>
          </cell>
          <cell r="AJ53">
            <v>6.6520748099999993</v>
          </cell>
          <cell r="AK53">
            <v>6.6520748099999993</v>
          </cell>
          <cell r="AL53">
            <v>6.6520748099999993</v>
          </cell>
          <cell r="AM53">
            <v>6.6520748099999993</v>
          </cell>
          <cell r="AN53">
            <v>6.6520748099999993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9.5837307500000009</v>
          </cell>
          <cell r="G54">
            <v>12.806212700000003</v>
          </cell>
          <cell r="H54">
            <v>24.629490129999994</v>
          </cell>
          <cell r="I54">
            <v>19.155223640000003</v>
          </cell>
          <cell r="J54">
            <v>35.56927005</v>
          </cell>
          <cell r="O54">
            <v>47.222302470000017</v>
          </cell>
          <cell r="T54">
            <v>50.564306099999982</v>
          </cell>
          <cell r="Y54">
            <v>66.361664590000004</v>
          </cell>
          <cell r="AD54">
            <v>71.957467419999986</v>
          </cell>
          <cell r="AI54">
            <v>76.881396687068658</v>
          </cell>
          <cell r="AJ54">
            <v>159.59193844056102</v>
          </cell>
          <cell r="AK54">
            <v>212.66555495668183</v>
          </cell>
          <cell r="AL54">
            <v>270.31926468027632</v>
          </cell>
          <cell r="AM54">
            <v>324.66311027852902</v>
          </cell>
          <cell r="AN54">
            <v>371.00301741037833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78.782467330000003</v>
          </cell>
          <cell r="G55">
            <v>89.657749940000002</v>
          </cell>
          <cell r="H55">
            <v>115.08122469</v>
          </cell>
          <cell r="I55">
            <v>122.42088848999998</v>
          </cell>
          <cell r="J55">
            <v>162.46267852</v>
          </cell>
          <cell r="O55">
            <v>174.61161275000001</v>
          </cell>
          <cell r="T55">
            <v>192.87148159999998</v>
          </cell>
          <cell r="Y55">
            <v>457.77108233000001</v>
          </cell>
          <cell r="AD55">
            <v>495.20080945000001</v>
          </cell>
          <cell r="AI55">
            <v>397.19714407147029</v>
          </cell>
          <cell r="AJ55">
            <v>495.41079965142751</v>
          </cell>
          <cell r="AK55">
            <v>562.37451515404678</v>
          </cell>
          <cell r="AL55">
            <v>636.81862877673018</v>
          </cell>
          <cell r="AM55">
            <v>704.31476189047044</v>
          </cell>
          <cell r="AN55">
            <v>762.4834806574795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O56">
            <v>0</v>
          </cell>
          <cell r="T56">
            <v>0</v>
          </cell>
          <cell r="Y56">
            <v>0</v>
          </cell>
          <cell r="AD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0</v>
          </cell>
          <cell r="G57">
            <v>0.87361416999999997</v>
          </cell>
          <cell r="H57">
            <v>1.17361417</v>
          </cell>
          <cell r="I57">
            <v>1.37361417</v>
          </cell>
          <cell r="J57">
            <v>1.7824814600000001</v>
          </cell>
          <cell r="O57">
            <v>2.3207120699999999</v>
          </cell>
          <cell r="T57">
            <v>3.5342427000000001</v>
          </cell>
          <cell r="Y57">
            <v>71.117829709999995</v>
          </cell>
          <cell r="AD57">
            <v>64.321622759999997</v>
          </cell>
          <cell r="AI57">
            <v>64.321622759999997</v>
          </cell>
          <cell r="AJ57">
            <v>64.321622759999997</v>
          </cell>
          <cell r="AK57">
            <v>64.321622759999997</v>
          </cell>
          <cell r="AL57">
            <v>64.321622759999997</v>
          </cell>
          <cell r="AM57">
            <v>64.321622759999997</v>
          </cell>
          <cell r="AN57">
            <v>64.321622759999997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0</v>
          </cell>
          <cell r="G58">
            <v>0.87361416999999997</v>
          </cell>
          <cell r="H58">
            <v>1.17361417</v>
          </cell>
          <cell r="I58">
            <v>1.37361417</v>
          </cell>
          <cell r="J58">
            <v>1.7824814600000001</v>
          </cell>
          <cell r="O58">
            <v>2.3207120699999999</v>
          </cell>
          <cell r="T58">
            <v>3.5342427000000001</v>
          </cell>
          <cell r="Y58">
            <v>71.117829709999995</v>
          </cell>
          <cell r="AD58">
            <v>64.321622759999997</v>
          </cell>
          <cell r="AI58">
            <v>64.321622759999997</v>
          </cell>
          <cell r="AJ58">
            <v>64.321622759999997</v>
          </cell>
          <cell r="AK58">
            <v>64.321622759999997</v>
          </cell>
          <cell r="AL58">
            <v>64.321622759999997</v>
          </cell>
          <cell r="AM58">
            <v>64.321622759999997</v>
          </cell>
          <cell r="AN58">
            <v>64.321622759999997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78.782467330000003</v>
          </cell>
          <cell r="G59">
            <v>90.531364109999998</v>
          </cell>
          <cell r="H59">
            <v>116.25483885999999</v>
          </cell>
          <cell r="I59">
            <v>123.79450265999998</v>
          </cell>
          <cell r="J59">
            <v>164.24515998000001</v>
          </cell>
          <cell r="O59">
            <v>176.93232482000002</v>
          </cell>
          <cell r="T59">
            <v>196.40572429999997</v>
          </cell>
          <cell r="Y59">
            <v>528.88891204000004</v>
          </cell>
          <cell r="AD59">
            <v>559.52243221000003</v>
          </cell>
          <cell r="AI59">
            <v>461.51876683147032</v>
          </cell>
          <cell r="AJ59">
            <v>559.73242241142748</v>
          </cell>
          <cell r="AK59">
            <v>626.69613791404674</v>
          </cell>
          <cell r="AL59">
            <v>701.14025153673015</v>
          </cell>
          <cell r="AM59">
            <v>768.6363846504704</v>
          </cell>
          <cell r="AN59">
            <v>826.80510341747947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O60">
            <v>0</v>
          </cell>
          <cell r="T60">
            <v>0</v>
          </cell>
          <cell r="Y60">
            <v>0</v>
          </cell>
          <cell r="AD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140.39101099999999</v>
          </cell>
          <cell r="G61">
            <v>525.41771222</v>
          </cell>
          <cell r="H61">
            <v>639.69133518000001</v>
          </cell>
          <cell r="I61">
            <v>720.33229342000004</v>
          </cell>
          <cell r="J61">
            <v>872.47537669999997</v>
          </cell>
          <cell r="O61">
            <v>1093.5900778999999</v>
          </cell>
          <cell r="T61">
            <v>1286.6508153299999</v>
          </cell>
          <cell r="Y61">
            <v>1608.5473733799997</v>
          </cell>
          <cell r="AD61">
            <v>1884.2843749499998</v>
          </cell>
          <cell r="AI61">
            <v>2262.4493383536183</v>
          </cell>
          <cell r="AJ61">
            <v>2761.3648224358617</v>
          </cell>
          <cell r="AK61">
            <v>3472.57477258259</v>
          </cell>
          <cell r="AL61">
            <v>4414.3995616236953</v>
          </cell>
          <cell r="AM61">
            <v>5573.5997330578111</v>
          </cell>
          <cell r="AN61">
            <v>6918.159533019325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7.5482765199999999</v>
          </cell>
          <cell r="G62">
            <v>18.256805660000001</v>
          </cell>
          <cell r="H62">
            <v>26.17492957</v>
          </cell>
          <cell r="I62">
            <v>24.879718069999999</v>
          </cell>
          <cell r="J62">
            <v>33.321159549999997</v>
          </cell>
          <cell r="O62">
            <v>31.830685070000001</v>
          </cell>
          <cell r="T62">
            <v>42.234727069999998</v>
          </cell>
          <cell r="Y62">
            <v>247.21389156999999</v>
          </cell>
          <cell r="AD62">
            <v>29.890166969999999</v>
          </cell>
          <cell r="AI62">
            <v>50.862893489999998</v>
          </cell>
          <cell r="AJ62">
            <v>78.862893490000005</v>
          </cell>
          <cell r="AK62">
            <v>106.86289349</v>
          </cell>
          <cell r="AL62">
            <v>143.94209083209344</v>
          </cell>
          <cell r="AM62">
            <v>189.57925436370462</v>
          </cell>
          <cell r="AN62">
            <v>242.51393896865903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147.93928751999999</v>
          </cell>
          <cell r="G63">
            <v>543.67451788000005</v>
          </cell>
          <cell r="H63">
            <v>665.86626475000003</v>
          </cell>
          <cell r="I63">
            <v>745.21201149000001</v>
          </cell>
          <cell r="J63">
            <v>905.79653624999992</v>
          </cell>
          <cell r="O63">
            <v>1125.4207629699999</v>
          </cell>
          <cell r="T63">
            <v>1328.8855423999998</v>
          </cell>
          <cell r="Y63">
            <v>1855.7612649499997</v>
          </cell>
          <cell r="AD63">
            <v>1914.1745419199999</v>
          </cell>
          <cell r="AI63">
            <v>2313.3122318436181</v>
          </cell>
          <cell r="AJ63">
            <v>2840.2277159258615</v>
          </cell>
          <cell r="AK63">
            <v>3579.4376660725898</v>
          </cell>
          <cell r="AL63">
            <v>4558.3416524557888</v>
          </cell>
          <cell r="AM63">
            <v>5763.1789874215156</v>
          </cell>
          <cell r="AN63">
            <v>7160.6734719879842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226.72175485</v>
          </cell>
          <cell r="G64">
            <v>634.20588199000008</v>
          </cell>
          <cell r="H64">
            <v>782.12110360999998</v>
          </cell>
          <cell r="I64">
            <v>869.00651414999993</v>
          </cell>
          <cell r="J64">
            <v>1070.0416962299998</v>
          </cell>
          <cell r="O64">
            <v>1302.35308779</v>
          </cell>
          <cell r="T64">
            <v>1525.2912666999998</v>
          </cell>
          <cell r="Y64">
            <v>2384.6501769899996</v>
          </cell>
          <cell r="AD64">
            <v>2473.6969741299999</v>
          </cell>
          <cell r="AI64">
            <v>2774.8309986750883</v>
          </cell>
          <cell r="AJ64">
            <v>3399.9601383372892</v>
          </cell>
          <cell r="AK64">
            <v>4206.1338039866368</v>
          </cell>
          <cell r="AL64">
            <v>5259.4819039925187</v>
          </cell>
          <cell r="AM64">
            <v>6531.8153720719856</v>
          </cell>
          <cell r="AN64">
            <v>7987.4785754054637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-65.045692160000002</v>
          </cell>
          <cell r="G66">
            <v>-374.88984476000002</v>
          </cell>
          <cell r="H66">
            <v>-378.69028066999999</v>
          </cell>
          <cell r="I66">
            <v>-412.60944889000001</v>
          </cell>
          <cell r="J66">
            <v>-491.51100501999997</v>
          </cell>
          <cell r="O66">
            <v>-437.93111359</v>
          </cell>
          <cell r="T66">
            <v>-688.06467938000003</v>
          </cell>
          <cell r="Y66">
            <v>-394.45786126000002</v>
          </cell>
          <cell r="AD66">
            <v>-688.39992765</v>
          </cell>
          <cell r="AI66">
            <v>-947.2262594488335</v>
          </cell>
          <cell r="AJ66">
            <v>-1339.3189401114221</v>
          </cell>
          <cell r="AK66">
            <v>-1804.7844809713292</v>
          </cell>
          <cell r="AL66">
            <v>-2304.7599414764713</v>
          </cell>
          <cell r="AM66">
            <v>-2836.3755257055936</v>
          </cell>
          <cell r="AN66">
            <v>-3364.690535465455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O67">
            <v>0</v>
          </cell>
          <cell r="T67">
            <v>0</v>
          </cell>
          <cell r="Y67">
            <v>0</v>
          </cell>
          <cell r="AD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O69">
            <v>0</v>
          </cell>
          <cell r="T69">
            <v>0</v>
          </cell>
          <cell r="Y69">
            <v>0</v>
          </cell>
          <cell r="AD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O71">
            <v>0</v>
          </cell>
          <cell r="T71">
            <v>0</v>
          </cell>
          <cell r="Y71">
            <v>0</v>
          </cell>
          <cell r="AD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O72">
            <v>0</v>
          </cell>
          <cell r="T72">
            <v>0</v>
          </cell>
          <cell r="Y72">
            <v>0</v>
          </cell>
          <cell r="AD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O74">
            <v>0</v>
          </cell>
          <cell r="T74">
            <v>0</v>
          </cell>
          <cell r="Y74">
            <v>0</v>
          </cell>
          <cell r="AD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-20.191413409999999</v>
          </cell>
          <cell r="G75">
            <v>-95.625011150000006</v>
          </cell>
          <cell r="H75">
            <v>-134.12631216000003</v>
          </cell>
          <cell r="I75">
            <v>-136.52410042999998</v>
          </cell>
          <cell r="J75">
            <v>-175.30221287000001</v>
          </cell>
          <cell r="O75">
            <v>-222.75760873000002</v>
          </cell>
          <cell r="T75">
            <v>-230.16008512000002</v>
          </cell>
          <cell r="Y75">
            <v>-278.58140897999999</v>
          </cell>
          <cell r="AD75">
            <v>-425.30591953999999</v>
          </cell>
          <cell r="AI75">
            <v>-405.67233752240577</v>
          </cell>
          <cell r="AJ75">
            <v>-384.57399129386977</v>
          </cell>
          <cell r="AK75">
            <v>-361.61483950240097</v>
          </cell>
          <cell r="AL75">
            <v>-336.11640096553106</v>
          </cell>
          <cell r="AM75">
            <v>-306.72830570163688</v>
          </cell>
          <cell r="AN75">
            <v>-275.94217694369451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F76">
            <v>65.045692160000002</v>
          </cell>
          <cell r="G76">
            <v>374.88984476000002</v>
          </cell>
          <cell r="H76">
            <v>378.69028066999999</v>
          </cell>
          <cell r="I76">
            <v>412.60944889000001</v>
          </cell>
          <cell r="J76">
            <v>523.82885512999997</v>
          </cell>
          <cell r="O76">
            <v>494.48444645000001</v>
          </cell>
          <cell r="T76">
            <v>802.78581802000008</v>
          </cell>
          <cell r="Y76">
            <v>591.60299881000003</v>
          </cell>
          <cell r="AD76">
            <v>980.74353715999996</v>
          </cell>
          <cell r="AI76">
            <v>1321.3587381923712</v>
          </cell>
          <cell r="AJ76">
            <v>1823.0765887424457</v>
          </cell>
          <cell r="AK76">
            <v>2387.2998182658494</v>
          </cell>
          <cell r="AL76">
            <v>2987.1074812438133</v>
          </cell>
          <cell r="AM76">
            <v>3628.2039213290582</v>
          </cell>
          <cell r="AN76">
            <v>4265.4157688929872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O77">
            <v>1</v>
          </cell>
          <cell r="T77">
            <v>1</v>
          </cell>
          <cell r="Y77">
            <v>1</v>
          </cell>
          <cell r="AD77">
            <v>1</v>
          </cell>
          <cell r="AI77">
            <v>1</v>
          </cell>
          <cell r="AJ77">
            <v>1</v>
          </cell>
          <cell r="AK77">
            <v>1</v>
          </cell>
          <cell r="AL77">
            <v>1</v>
          </cell>
          <cell r="AM77">
            <v>1</v>
          </cell>
          <cell r="AN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7.5482765199999999</v>
          </cell>
          <cell r="G78">
            <v>18.256805660000001</v>
          </cell>
          <cell r="H78">
            <v>26.17492957</v>
          </cell>
          <cell r="I78">
            <v>24.879718069999999</v>
          </cell>
          <cell r="J78">
            <v>33.321159549999997</v>
          </cell>
          <cell r="O78">
            <v>31.830685070000001</v>
          </cell>
          <cell r="T78">
            <v>42.234727069999998</v>
          </cell>
          <cell r="Y78">
            <v>247.21389156999999</v>
          </cell>
          <cell r="AD78">
            <v>29.890166969999999</v>
          </cell>
          <cell r="AI78">
            <v>50.862893489999998</v>
          </cell>
          <cell r="AJ78">
            <v>78.862893490000005</v>
          </cell>
          <cell r="AK78">
            <v>106.86289349</v>
          </cell>
          <cell r="AL78">
            <v>143.94209083209344</v>
          </cell>
          <cell r="AM78">
            <v>189.57925436370462</v>
          </cell>
          <cell r="AN78">
            <v>242.51393896865903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0.24768950000000001</v>
          </cell>
          <cell r="G80">
            <v>8.589208999999999E-2</v>
          </cell>
          <cell r="H80">
            <v>8.5580354700000001</v>
          </cell>
          <cell r="I80">
            <v>9.6577455600000004</v>
          </cell>
          <cell r="J80">
            <v>14.751514050000001</v>
          </cell>
          <cell r="O80">
            <v>10.220315529999999</v>
          </cell>
          <cell r="T80">
            <v>11.460042</v>
          </cell>
          <cell r="Y80">
            <v>2.9998917999999999</v>
          </cell>
          <cell r="AD80">
            <v>13.10445273</v>
          </cell>
          <cell r="AI80">
            <v>20.972726519999998</v>
          </cell>
          <cell r="AJ80">
            <v>28</v>
          </cell>
          <cell r="AK80">
            <v>28</v>
          </cell>
          <cell r="AL80">
            <v>37.079197342093437</v>
          </cell>
          <cell r="AM80">
            <v>45.637163531611186</v>
          </cell>
          <cell r="AN80">
            <v>52.934684604954427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4.91057363</v>
          </cell>
          <cell r="G81">
            <v>10.07966218</v>
          </cell>
          <cell r="H81">
            <v>12.33090584</v>
          </cell>
          <cell r="I81">
            <v>18.770134349999999</v>
          </cell>
          <cell r="J81">
            <v>24.633697740000002</v>
          </cell>
          <cell r="O81">
            <v>23.698040509999998</v>
          </cell>
          <cell r="T81">
            <v>27.226381960000005</v>
          </cell>
          <cell r="Y81">
            <v>35.742575860000002</v>
          </cell>
          <cell r="AD81">
            <v>60.60349772</v>
          </cell>
          <cell r="AI81">
            <v>65.5976720339428</v>
          </cell>
          <cell r="AJ81">
            <v>71.520986959513309</v>
          </cell>
          <cell r="AK81">
            <v>78.590331516163587</v>
          </cell>
          <cell r="AL81">
            <v>87.065504879436389</v>
          </cell>
          <cell r="AM81">
            <v>97.08891918217364</v>
          </cell>
          <cell r="AN81">
            <v>104.66625905121253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-8.3839773000000015</v>
          </cell>
          <cell r="G82">
            <v>-4.9054337999999973</v>
          </cell>
          <cell r="H82">
            <v>-6.6245211600000076</v>
          </cell>
          <cell r="I82">
            <v>-11.133616900000014</v>
          </cell>
          <cell r="J82">
            <v>-38.089549999999974</v>
          </cell>
          <cell r="O82">
            <v>-21.799784449999983</v>
          </cell>
          <cell r="T82">
            <v>6.9926579299999645</v>
          </cell>
          <cell r="Y82">
            <v>-149.94890498999999</v>
          </cell>
          <cell r="AD82">
            <v>101.20023484000001</v>
          </cell>
          <cell r="AI82">
            <v>-78.460143373203891</v>
          </cell>
          <cell r="AJ82">
            <v>-51.077197136196304</v>
          </cell>
          <cell r="AK82">
            <v>-60.887577168666809</v>
          </cell>
          <cell r="AL82">
            <v>-71.60227610596624</v>
          </cell>
          <cell r="AM82">
            <v>-65.822212269632729</v>
          </cell>
          <cell r="AN82">
            <v>-55.664073853421712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0.46597663999999916</v>
          </cell>
          <cell r="G83">
            <v>-1.2134850200000056</v>
          </cell>
          <cell r="H83">
            <v>11.645828730000076</v>
          </cell>
          <cell r="I83">
            <v>-3.1047667600000235</v>
          </cell>
          <cell r="J83">
            <v>-11.927109710000053</v>
          </cell>
          <cell r="O83">
            <v>-1.0251085700000715</v>
          </cell>
          <cell r="T83">
            <v>-22.983218779999966</v>
          </cell>
          <cell r="Y83">
            <v>144.7614197499999</v>
          </cell>
          <cell r="AD83">
            <v>-72.495775530000003</v>
          </cell>
          <cell r="AI83">
            <v>0</v>
          </cell>
          <cell r="AJ83">
            <v>-7.1054273576010019E-14</v>
          </cell>
          <cell r="AK83">
            <v>0</v>
          </cell>
          <cell r="AL83">
            <v>1.9895196601282805E-13</v>
          </cell>
          <cell r="AM83">
            <v>0</v>
          </cell>
          <cell r="AN83">
            <v>-9.9475983006414026E-14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54.631242579999999</v>
          </cell>
          <cell r="G84">
            <v>105.3078124</v>
          </cell>
          <cell r="H84">
            <v>168.12822734</v>
          </cell>
          <cell r="I84">
            <v>145.85378286000002</v>
          </cell>
          <cell r="J84">
            <v>203.26642433000001</v>
          </cell>
          <cell r="O84">
            <v>275.20716364999998</v>
          </cell>
          <cell r="T84">
            <v>317.47458195000002</v>
          </cell>
          <cell r="Y84">
            <v>393.18825092999998</v>
          </cell>
          <cell r="AD84">
            <v>484.45991694999998</v>
          </cell>
          <cell r="AI84">
            <v>428.29354785142579</v>
          </cell>
          <cell r="AJ84">
            <v>672.08814492612191</v>
          </cell>
          <cell r="AK84">
            <v>934.71519203090622</v>
          </cell>
          <cell r="AL84">
            <v>1229.8234124169453</v>
          </cell>
          <cell r="AM84">
            <v>1525.9040847367971</v>
          </cell>
          <cell r="AN84">
            <v>1782.6366197546374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-13.22966364</v>
          </cell>
          <cell r="G85">
            <v>-21.463590100000001</v>
          </cell>
          <cell r="H85">
            <v>-137.64792179</v>
          </cell>
          <cell r="I85">
            <v>-54.607614640000001</v>
          </cell>
          <cell r="J85">
            <v>-14.611854920000001</v>
          </cell>
          <cell r="O85">
            <v>-36.212746670000001</v>
          </cell>
          <cell r="T85">
            <v>-53.042127189999995</v>
          </cell>
          <cell r="Y85">
            <v>-90.96757178</v>
          </cell>
          <cell r="AD85">
            <v>-13.508874460000001</v>
          </cell>
          <cell r="AI85">
            <v>-32.372816052592185</v>
          </cell>
          <cell r="AJ85">
            <v>-37.977134996464841</v>
          </cell>
          <cell r="AK85">
            <v>-44.520780150438</v>
          </cell>
          <cell r="AL85">
            <v>-52.045464375121099</v>
          </cell>
          <cell r="AM85">
            <v>-58.832303247398528</v>
          </cell>
          <cell r="AN85">
            <v>-64.521567136246972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T86">
            <v>0</v>
          </cell>
          <cell r="Y86">
            <v>0</v>
          </cell>
          <cell r="AD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O87">
            <v>0</v>
          </cell>
          <cell r="T87">
            <v>0</v>
          </cell>
          <cell r="Y87">
            <v>7.6730000000000001E-3</v>
          </cell>
          <cell r="AD87">
            <v>0.20308907999999998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-17.189719069999995</v>
          </cell>
          <cell r="G88">
            <v>-52.367351150000005</v>
          </cell>
          <cell r="H88">
            <v>1.6129760000012539E-2</v>
          </cell>
          <cell r="I88">
            <v>-23.375000000000007</v>
          </cell>
          <cell r="J88">
            <v>-42.201013279999998</v>
          </cell>
          <cell r="O88">
            <v>-263.73754890000004</v>
          </cell>
          <cell r="T88">
            <v>79.268962389999814</v>
          </cell>
          <cell r="Y88">
            <v>-441.50638947999983</v>
          </cell>
          <cell r="AD88">
            <v>176.93207366999999</v>
          </cell>
          <cell r="AI88">
            <v>-100</v>
          </cell>
          <cell r="AJ88">
            <v>-200</v>
          </cell>
          <cell r="AK88">
            <v>-300</v>
          </cell>
          <cell r="AL88">
            <v>-500</v>
          </cell>
          <cell r="AM88">
            <v>-700</v>
          </cell>
          <cell r="AN88">
            <v>-900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-30.419382709999997</v>
          </cell>
          <cell r="G89">
            <v>-73.830941250000009</v>
          </cell>
          <cell r="H89">
            <v>-137.63179202999999</v>
          </cell>
          <cell r="I89">
            <v>-77.982614640000008</v>
          </cell>
          <cell r="J89">
            <v>-56.812868199999997</v>
          </cell>
          <cell r="O89">
            <v>-299.95029557000004</v>
          </cell>
          <cell r="T89">
            <v>26.226835199999819</v>
          </cell>
          <cell r="Y89">
            <v>-532.46628825999983</v>
          </cell>
          <cell r="AD89">
            <v>163.62628828999999</v>
          </cell>
          <cell r="AI89">
            <v>-132.37281605259219</v>
          </cell>
          <cell r="AJ89">
            <v>-237.97713499646483</v>
          </cell>
          <cell r="AK89">
            <v>-344.52078015043799</v>
          </cell>
          <cell r="AL89">
            <v>-552.04546437512113</v>
          </cell>
          <cell r="AM89">
            <v>-758.8323032473985</v>
          </cell>
          <cell r="AN89">
            <v>-964.52156713624697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-28</v>
          </cell>
          <cell r="I90">
            <v>-33.6</v>
          </cell>
          <cell r="J90">
            <v>-67.2</v>
          </cell>
          <cell r="O90">
            <v>-22.4</v>
          </cell>
          <cell r="T90">
            <v>-92.736000000000004</v>
          </cell>
          <cell r="Y90">
            <v>-30.911999999999999</v>
          </cell>
          <cell r="AD90">
            <v>-37.0944</v>
          </cell>
          <cell r="AI90">
            <v>-37.0944</v>
          </cell>
          <cell r="AJ90">
            <v>-42.018329267068687</v>
          </cell>
          <cell r="AK90">
            <v>-124.72887102056104</v>
          </cell>
          <cell r="AL90">
            <v>-177.80248753668187</v>
          </cell>
          <cell r="AM90">
            <v>-235.45619726027633</v>
          </cell>
          <cell r="AN90">
            <v>-289.80004285852903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0.2</v>
          </cell>
          <cell r="G91">
            <v>284.16699999999997</v>
          </cell>
          <cell r="H91">
            <v>0</v>
          </cell>
          <cell r="I91">
            <v>0</v>
          </cell>
          <cell r="J91">
            <v>0</v>
          </cell>
          <cell r="O91">
            <v>0</v>
          </cell>
          <cell r="T91">
            <v>0</v>
          </cell>
          <cell r="Y91">
            <v>0</v>
          </cell>
          <cell r="AD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O92">
            <v>0</v>
          </cell>
          <cell r="T92">
            <v>0</v>
          </cell>
          <cell r="Y92">
            <v>-114.85059713</v>
          </cell>
          <cell r="AD92">
            <v>-1.7479251900000001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-22.26</v>
          </cell>
          <cell r="G93">
            <v>-5.7997185499999659</v>
          </cell>
          <cell r="H93">
            <v>1.304000600000002</v>
          </cell>
          <cell r="I93">
            <v>-0.35199999999999676</v>
          </cell>
          <cell r="J93">
            <v>-0.35200000000000387</v>
          </cell>
          <cell r="O93">
            <v>-6.4367595100000017</v>
          </cell>
          <cell r="T93">
            <v>-0.8318513600000017</v>
          </cell>
          <cell r="Y93">
            <v>-2.4184848099999812</v>
          </cell>
          <cell r="AD93">
            <v>-317.24973884000002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-22.060000000000002</v>
          </cell>
          <cell r="G94">
            <v>278.36728145000001</v>
          </cell>
          <cell r="H94">
            <v>-26.695999399999998</v>
          </cell>
          <cell r="I94">
            <v>-33.951999999999998</v>
          </cell>
          <cell r="J94">
            <v>-67.552000000000007</v>
          </cell>
          <cell r="O94">
            <v>-28.83675951</v>
          </cell>
          <cell r="T94">
            <v>-93.567851360000006</v>
          </cell>
          <cell r="Y94">
            <v>-148.18108193999998</v>
          </cell>
          <cell r="AD94">
            <v>-356.09206403000002</v>
          </cell>
          <cell r="AI94">
            <v>-37.0944</v>
          </cell>
          <cell r="AJ94">
            <v>-42.018329267068687</v>
          </cell>
          <cell r="AK94">
            <v>-124.72887102056104</v>
          </cell>
          <cell r="AL94">
            <v>-177.80248753668187</v>
          </cell>
          <cell r="AM94">
            <v>-235.45619726027633</v>
          </cell>
          <cell r="AN94">
            <v>-289.80004285852903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2.1518598699999991</v>
          </cell>
          <cell r="G95">
            <v>309.84415260000003</v>
          </cell>
          <cell r="H95">
            <v>3.8004359100000116</v>
          </cell>
          <cell r="I95">
            <v>33.919168220000017</v>
          </cell>
          <cell r="J95">
            <v>78.901556130000003</v>
          </cell>
          <cell r="O95">
            <v>-53.579891430000053</v>
          </cell>
          <cell r="T95">
            <v>250.13356578999981</v>
          </cell>
          <cell r="Y95">
            <v>-287.45911926999986</v>
          </cell>
          <cell r="AD95">
            <v>291.99414121000001</v>
          </cell>
          <cell r="AI95">
            <v>258.82633179883356</v>
          </cell>
          <cell r="AJ95">
            <v>392.09268066258841</v>
          </cell>
          <cell r="AK95">
            <v>465.46554085990721</v>
          </cell>
          <cell r="AL95">
            <v>499.97546050514234</v>
          </cell>
          <cell r="AM95">
            <v>531.61558422912231</v>
          </cell>
          <cell r="AN95">
            <v>528.31500975986137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F100">
            <v>0.75524004523650801</v>
          </cell>
          <cell r="G100">
            <v>1.4918881385134344</v>
          </cell>
          <cell r="H100">
            <v>4.259009914850135</v>
          </cell>
          <cell r="I100">
            <v>3.5970154994384513</v>
          </cell>
          <cell r="J100">
            <v>34.0819137294203</v>
          </cell>
          <cell r="O100">
            <v>32.892280019573349</v>
          </cell>
          <cell r="T100">
            <v>55.908913017242064</v>
          </cell>
          <cell r="Y100">
            <v>80.721789975604054</v>
          </cell>
          <cell r="AD100">
            <v>87.734183779608827</v>
          </cell>
          <cell r="AH100">
            <v>0</v>
          </cell>
          <cell r="AI100">
            <v>108.24962526599576</v>
          </cell>
          <cell r="AJ100">
            <v>126.82441302897462</v>
          </cell>
          <cell r="AK100">
            <v>148.35378287051623</v>
          </cell>
          <cell r="AL100">
            <v>173.91265612474015</v>
          </cell>
          <cell r="AM100">
            <v>197.10790148302834</v>
          </cell>
          <cell r="AN100">
            <v>216.86012030891217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0.76300000000000001</v>
          </cell>
          <cell r="O109">
            <v>1.0009999999999999</v>
          </cell>
          <cell r="T109">
            <v>1.2110000000000001</v>
          </cell>
          <cell r="Y109">
            <v>1.4379999999999999</v>
          </cell>
          <cell r="AD109">
            <v>1.722</v>
          </cell>
          <cell r="AI109">
            <v>1.8942000000000001</v>
          </cell>
          <cell r="AJ109">
            <v>2.0836200000000002</v>
          </cell>
          <cell r="AK109">
            <v>2.2919820000000004</v>
          </cell>
          <cell r="AL109">
            <v>2.2919820000000004</v>
          </cell>
          <cell r="AM109">
            <v>2.2919820000000004</v>
          </cell>
          <cell r="AN109">
            <v>2.2919820000000004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O111">
            <v>0</v>
          </cell>
          <cell r="T111">
            <v>0</v>
          </cell>
          <cell r="Y111">
            <v>0</v>
          </cell>
          <cell r="AD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O112">
            <v>0</v>
          </cell>
          <cell r="T112">
            <v>0</v>
          </cell>
          <cell r="Y112">
            <v>0</v>
          </cell>
          <cell r="AD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</row>
        <row r="113">
          <cell r="B113" t="str">
            <v>Sales - % Brazil</v>
          </cell>
          <cell r="C113" t="str">
            <v>SALES_BRAZIL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O113">
            <v>0</v>
          </cell>
          <cell r="T113">
            <v>0</v>
          </cell>
          <cell r="Y113">
            <v>0</v>
          </cell>
          <cell r="AD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B114" t="str">
            <v>Sales - % Other Americas</v>
          </cell>
          <cell r="C114" t="str">
            <v>SALES_OTH_AM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O114">
            <v>0</v>
          </cell>
          <cell r="T114">
            <v>0</v>
          </cell>
          <cell r="Y114">
            <v>0</v>
          </cell>
          <cell r="AD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</row>
        <row r="115">
          <cell r="B115" t="str">
            <v>Sales - Total % EMEA</v>
          </cell>
          <cell r="C115" t="str">
            <v>SALES_TOT_EMEA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0.13475609356622054</v>
          </cell>
          <cell r="O115">
            <v>0.10162551221314531</v>
          </cell>
          <cell r="T115">
            <v>0.10754935714151898</v>
          </cell>
          <cell r="Y115">
            <v>0.14260013032806576</v>
          </cell>
          <cell r="AD115">
            <v>7.9134247817602907E-2</v>
          </cell>
          <cell r="AI115">
            <v>7.9134247817602907E-2</v>
          </cell>
          <cell r="AJ115">
            <v>7.9134247817602907E-2</v>
          </cell>
          <cell r="AK115">
            <v>7.9134247817602907E-2</v>
          </cell>
          <cell r="AL115">
            <v>7.9134247817602907E-2</v>
          </cell>
          <cell r="AM115">
            <v>7.9134247817602907E-2</v>
          </cell>
          <cell r="AN115">
            <v>7.9134247817602907E-2</v>
          </cell>
        </row>
        <row r="116">
          <cell r="B116" t="str">
            <v>Sales - % UK</v>
          </cell>
          <cell r="C116" t="str">
            <v>SALES_UK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O116">
            <v>0</v>
          </cell>
          <cell r="T116">
            <v>0</v>
          </cell>
          <cell r="Y116">
            <v>0</v>
          </cell>
          <cell r="AD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</row>
        <row r="117">
          <cell r="B117" t="str">
            <v>Sales - % Western Europe-Ex UK</v>
          </cell>
          <cell r="C117" t="str">
            <v>SALES_EU_EX_UK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0.13475609356622054</v>
          </cell>
          <cell r="O117">
            <v>0.10162551221314531</v>
          </cell>
          <cell r="T117">
            <v>0.10754935714151898</v>
          </cell>
          <cell r="Y117">
            <v>0.14260013032806576</v>
          </cell>
          <cell r="AD117">
            <v>7.9134247817602907E-2</v>
          </cell>
          <cell r="AI117">
            <v>7.9134247817602907E-2</v>
          </cell>
          <cell r="AJ117">
            <v>7.9134247817602907E-2</v>
          </cell>
          <cell r="AK117">
            <v>7.9134247817602907E-2</v>
          </cell>
          <cell r="AL117">
            <v>7.9134247817602907E-2</v>
          </cell>
          <cell r="AM117">
            <v>7.9134247817602907E-2</v>
          </cell>
          <cell r="AN117">
            <v>7.9134247817602907E-2</v>
          </cell>
        </row>
        <row r="118">
          <cell r="B118" t="str">
            <v>Sales - % Central &amp; Eastern Europe</v>
          </cell>
          <cell r="C118" t="str">
            <v>SALES_CEE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O118">
            <v>0</v>
          </cell>
          <cell r="T118">
            <v>0</v>
          </cell>
          <cell r="Y118">
            <v>0</v>
          </cell>
          <cell r="AD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</row>
        <row r="119">
          <cell r="B119" t="str">
            <v>Sales - % Middle East</v>
          </cell>
          <cell r="C119" t="str">
            <v>SALES_ME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O119">
            <v>0</v>
          </cell>
          <cell r="T119">
            <v>0</v>
          </cell>
          <cell r="Y119">
            <v>0</v>
          </cell>
          <cell r="AD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O121">
            <v>0</v>
          </cell>
          <cell r="T121">
            <v>0</v>
          </cell>
          <cell r="Y121">
            <v>0</v>
          </cell>
          <cell r="AD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B122" t="str">
            <v>Sales - % Other EMEA</v>
          </cell>
          <cell r="C122" t="str">
            <v>SALES_OTH_EMEA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O122">
            <v>0</v>
          </cell>
          <cell r="T122">
            <v>0</v>
          </cell>
          <cell r="Y122">
            <v>0</v>
          </cell>
          <cell r="AD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  <cell r="F123">
            <v>1</v>
          </cell>
          <cell r="G123">
            <v>1</v>
          </cell>
          <cell r="H123">
            <v>1</v>
          </cell>
          <cell r="I123">
            <v>1</v>
          </cell>
          <cell r="J123">
            <v>0.86524390643377935</v>
          </cell>
          <cell r="O123">
            <v>0.89837448778685469</v>
          </cell>
          <cell r="T123">
            <v>0.89245064285848108</v>
          </cell>
          <cell r="Y123">
            <v>0.85739986967193427</v>
          </cell>
          <cell r="AD123">
            <v>0.92086575218239719</v>
          </cell>
          <cell r="AI123">
            <v>0.92086575218239719</v>
          </cell>
          <cell r="AJ123">
            <v>0.92086575218239719</v>
          </cell>
          <cell r="AK123">
            <v>0.92086575218239719</v>
          </cell>
          <cell r="AL123">
            <v>0.92086575218239719</v>
          </cell>
          <cell r="AM123">
            <v>0.92086575218239719</v>
          </cell>
          <cell r="AN123">
            <v>0.92086575218239719</v>
          </cell>
        </row>
        <row r="124">
          <cell r="B124" t="str">
            <v>Sales - % Japan</v>
          </cell>
          <cell r="C124" t="str">
            <v>SALES_JAPAN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O124">
            <v>0</v>
          </cell>
          <cell r="T124">
            <v>0</v>
          </cell>
          <cell r="Y124">
            <v>0</v>
          </cell>
          <cell r="AD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B125" t="str">
            <v>Sales - % China</v>
          </cell>
          <cell r="C125" t="str">
            <v>SALES_CHINA</v>
          </cell>
          <cell r="F125">
            <v>1</v>
          </cell>
          <cell r="G125">
            <v>1</v>
          </cell>
          <cell r="H125">
            <v>1</v>
          </cell>
          <cell r="I125">
            <v>1</v>
          </cell>
          <cell r="J125">
            <v>0.86524390643377935</v>
          </cell>
          <cell r="O125">
            <v>0.89837448778685469</v>
          </cell>
          <cell r="T125">
            <v>0.89245064285848108</v>
          </cell>
          <cell r="Y125">
            <v>0.85739986967193427</v>
          </cell>
          <cell r="AD125">
            <v>0.92086575218239719</v>
          </cell>
          <cell r="AI125">
            <v>0.92086575218239719</v>
          </cell>
          <cell r="AJ125">
            <v>0.92086575218239719</v>
          </cell>
          <cell r="AK125">
            <v>0.92086575218239719</v>
          </cell>
          <cell r="AL125">
            <v>0.92086575218239719</v>
          </cell>
          <cell r="AM125">
            <v>0.92086575218239719</v>
          </cell>
          <cell r="AN125">
            <v>0.92086575218239719</v>
          </cell>
        </row>
        <row r="126">
          <cell r="B126" t="str">
            <v>Sales - % India</v>
          </cell>
          <cell r="C126" t="str">
            <v>SALES_INDIA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O126">
            <v>0</v>
          </cell>
          <cell r="T126">
            <v>0</v>
          </cell>
          <cell r="Y126">
            <v>0</v>
          </cell>
          <cell r="AD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</row>
        <row r="127">
          <cell r="B127" t="str">
            <v>Sales - % South Korea</v>
          </cell>
          <cell r="C127" t="str">
            <v>SALES_SK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O127">
            <v>0</v>
          </cell>
          <cell r="T127">
            <v>0</v>
          </cell>
          <cell r="Y127">
            <v>0</v>
          </cell>
          <cell r="AD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O129">
            <v>0</v>
          </cell>
          <cell r="T129">
            <v>0</v>
          </cell>
          <cell r="Y129">
            <v>0</v>
          </cell>
          <cell r="AD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B130" t="str">
            <v>Sales - % Others</v>
          </cell>
          <cell r="C130" t="str">
            <v>SALES_OTHER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O130">
            <v>0</v>
          </cell>
          <cell r="T130">
            <v>0</v>
          </cell>
          <cell r="Y130">
            <v>0</v>
          </cell>
          <cell r="AD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</row>
        <row r="131">
          <cell r="B131" t="str">
            <v>Sales -% Consumer (C)</v>
          </cell>
          <cell r="C131" t="str">
            <v>SALES_CONS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O131">
            <v>0</v>
          </cell>
          <cell r="T131">
            <v>0</v>
          </cell>
          <cell r="Y131">
            <v>0</v>
          </cell>
          <cell r="AD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</row>
        <row r="132">
          <cell r="B132" t="str">
            <v>Sales -% Industry (I)</v>
          </cell>
          <cell r="C132" t="str">
            <v>SALES_IND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1</v>
          </cell>
          <cell r="O132">
            <v>1</v>
          </cell>
          <cell r="P132">
            <v>1</v>
          </cell>
          <cell r="Q132">
            <v>1</v>
          </cell>
          <cell r="R132">
            <v>1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I132">
            <v>1</v>
          </cell>
          <cell r="AJ132">
            <v>1</v>
          </cell>
          <cell r="AK132">
            <v>1</v>
          </cell>
          <cell r="AL132">
            <v>1</v>
          </cell>
          <cell r="AM132">
            <v>1</v>
          </cell>
          <cell r="AN132">
            <v>1</v>
          </cell>
        </row>
        <row r="133">
          <cell r="B133" t="str">
            <v>Sales -% Government (G)</v>
          </cell>
          <cell r="C133" t="str">
            <v>SALES_GOV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O133">
            <v>0</v>
          </cell>
          <cell r="T133">
            <v>0</v>
          </cell>
          <cell r="Y133">
            <v>0</v>
          </cell>
          <cell r="AD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</row>
        <row r="134">
          <cell r="B134" t="str">
            <v>Sales - % Industry Sub-Segment: Financial Services</v>
          </cell>
          <cell r="C134" t="str">
            <v>SALES_FINAN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O134">
            <v>0</v>
          </cell>
          <cell r="T134">
            <v>0</v>
          </cell>
          <cell r="Y134">
            <v>0</v>
          </cell>
          <cell r="AD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</row>
        <row r="135">
          <cell r="A135" t="str">
            <v>Commodities Exposure - Expense</v>
          </cell>
        </row>
        <row r="136">
          <cell r="B136" t="str">
            <v>Expense - % Oil/Petrol/Fuel</v>
          </cell>
        </row>
        <row r="137">
          <cell r="B137" t="str">
            <v>Expense - % Oil derivatives/NGLs/plastics</v>
          </cell>
        </row>
        <row r="138">
          <cell r="B138" t="str">
            <v>Expense - % Paper/pulp</v>
          </cell>
        </row>
        <row r="139">
          <cell r="B139" t="str">
            <v>Expense - % Glass</v>
          </cell>
        </row>
        <row r="140">
          <cell r="B140" t="str">
            <v>Expense - % Water</v>
          </cell>
        </row>
        <row r="141">
          <cell r="B141" t="str">
            <v>Expense - % Other commodity</v>
          </cell>
        </row>
        <row r="142">
          <cell r="B142" t="str">
            <v>Expense - % Other (Non-Commodity) cost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</row>
        <row r="145">
          <cell r="B145" t="str">
            <v>Sales - % FX: Euro</v>
          </cell>
          <cell r="C145" t="str">
            <v>SALES_FX_EUR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</row>
        <row r="146">
          <cell r="B146" t="str">
            <v>Sales - % FX: New Russian Ruble</v>
          </cell>
          <cell r="C146" t="str">
            <v>SALES_FX_RUB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</row>
        <row r="147">
          <cell r="B147" t="str">
            <v>Sales - % FX: U.S. Dollar</v>
          </cell>
          <cell r="C147" t="str">
            <v>SALES_FX_USD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</row>
        <row r="148">
          <cell r="B148" t="str">
            <v>Sales - % FX: Brazilian Real</v>
          </cell>
          <cell r="C148" t="str">
            <v>SALES_FX_BRL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</row>
        <row r="149">
          <cell r="B149" t="str">
            <v>Sales - % FX: Japanese Yen</v>
          </cell>
          <cell r="C149" t="str">
            <v>SALES_FX_YEN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B150" t="str">
            <v>Sales - % FX: Chinese Renminbi</v>
          </cell>
          <cell r="C150" t="str">
            <v>SALES_FX_CNY</v>
          </cell>
          <cell r="F150">
            <v>1</v>
          </cell>
          <cell r="G150">
            <v>1</v>
          </cell>
          <cell r="H150">
            <v>1</v>
          </cell>
          <cell r="I150">
            <v>1</v>
          </cell>
          <cell r="J150">
            <v>1</v>
          </cell>
          <cell r="K150">
            <v>1</v>
          </cell>
          <cell r="L150">
            <v>1</v>
          </cell>
          <cell r="M150">
            <v>1</v>
          </cell>
          <cell r="N150">
            <v>1</v>
          </cell>
          <cell r="O150">
            <v>1</v>
          </cell>
          <cell r="P150">
            <v>1</v>
          </cell>
          <cell r="Q150">
            <v>1</v>
          </cell>
          <cell r="R150">
            <v>1</v>
          </cell>
          <cell r="S150">
            <v>1</v>
          </cell>
          <cell r="T150">
            <v>1</v>
          </cell>
          <cell r="U150">
            <v>1</v>
          </cell>
          <cell r="V150">
            <v>1</v>
          </cell>
          <cell r="W150">
            <v>1</v>
          </cell>
          <cell r="X150">
            <v>1</v>
          </cell>
          <cell r="Y150">
            <v>1</v>
          </cell>
          <cell r="Z150">
            <v>1</v>
          </cell>
          <cell r="AA150">
            <v>1</v>
          </cell>
          <cell r="AB150">
            <v>1</v>
          </cell>
          <cell r="AC150">
            <v>1</v>
          </cell>
          <cell r="AD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</row>
        <row r="151">
          <cell r="B151" t="str">
            <v>Sales - % FX: Indian Rupee</v>
          </cell>
          <cell r="C151" t="str">
            <v>SALES_FX_INR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</row>
        <row r="152">
          <cell r="B152" t="str">
            <v>Sales - % FX: South Korean Won</v>
          </cell>
          <cell r="C152" t="str">
            <v>SALES_FX_KRW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</row>
        <row r="153">
          <cell r="B153" t="str">
            <v>Sales - % FX: Taiwan Dollar</v>
          </cell>
          <cell r="C153" t="str">
            <v>SALES_FX_TWD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</row>
        <row r="154">
          <cell r="B154" t="str">
            <v>Sales - % FX: Other Currency</v>
          </cell>
          <cell r="C154" t="str">
            <v>SALES_FX_OTH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</row>
        <row r="155">
          <cell r="A155" t="str">
            <v>Security: Beijing Shiji Information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002153.SZ</v>
          </cell>
        </row>
        <row r="158">
          <cell r="B158" t="str">
            <v>Security Name</v>
          </cell>
          <cell r="C158" t="str">
            <v>Security Name</v>
          </cell>
          <cell r="E158" t="str">
            <v>Beijing Shiji Information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  <cell r="E160" t="str">
            <v>CNY</v>
          </cell>
        </row>
        <row r="161">
          <cell r="B161" t="str">
            <v>Pricing Currency</v>
          </cell>
          <cell r="C161" t="str">
            <v>PRICE_CURRENCY_ISO</v>
          </cell>
          <cell r="E161" t="str">
            <v>CNY</v>
          </cell>
        </row>
        <row r="162">
          <cell r="B162" t="str">
            <v>Reporting Currency</v>
          </cell>
          <cell r="C162" t="str">
            <v>CURRENCY_ISO</v>
          </cell>
          <cell r="E162" t="str">
            <v>CNY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</row>
        <row r="165">
          <cell r="B165" t="str">
            <v>Asia Pacific Conviction List</v>
          </cell>
          <cell r="C165" t="str">
            <v>AEJ_CONVICTION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 t="str">
            <v>CNY</v>
          </cell>
          <cell r="E167">
            <v>96.3</v>
          </cell>
        </row>
        <row r="168">
          <cell r="B168" t="str">
            <v>Target price period</v>
          </cell>
          <cell r="C168" t="str">
            <v>TP_PERIOD</v>
          </cell>
          <cell r="E168" t="str">
            <v>12 months</v>
          </cell>
        </row>
        <row r="169">
          <cell r="B169" t="str">
            <v>Current shares outstanding (mn)</v>
          </cell>
          <cell r="C169" t="str">
            <v>NUM_SH</v>
          </cell>
          <cell r="E169">
            <v>309.12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  <cell r="E182">
            <v>47.732743440117943</v>
          </cell>
        </row>
        <row r="183">
          <cell r="B183" t="str">
            <v>Target price methodology</v>
          </cell>
          <cell r="C183" t="str">
            <v>PRI_TARG_METH</v>
          </cell>
          <cell r="E183" t="str">
            <v>Long-term growth discounted PE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 t="str">
            <v>CNY</v>
          </cell>
          <cell r="F185">
            <v>0.60555128968253968</v>
          </cell>
          <cell r="G185">
            <v>1.6997208599249483</v>
          </cell>
          <cell r="H185">
            <v>2.0693948472437889</v>
          </cell>
          <cell r="I185">
            <v>2.3302675123576604</v>
          </cell>
          <cell r="J185">
            <v>2.822448811788302</v>
          </cell>
          <cell r="O185">
            <v>3.5377525811982395</v>
          </cell>
          <cell r="T185">
            <v>4.1623020682259311</v>
          </cell>
          <cell r="Y185">
            <v>5.203634101255175</v>
          </cell>
          <cell r="AD185">
            <v>6.0956404469138192</v>
          </cell>
          <cell r="AI185">
            <v>7.3190001887733507</v>
          </cell>
          <cell r="AJ185">
            <v>8.9329866150228447</v>
          </cell>
          <cell r="AK185">
            <v>11.233743441325666</v>
          </cell>
          <cell r="AL185">
            <v>14.280536884134625</v>
          </cell>
          <cell r="AM185">
            <v>18.030537438722217</v>
          </cell>
          <cell r="AN185">
            <v>22.380174472759204</v>
          </cell>
        </row>
        <row r="186">
          <cell r="B186" t="str">
            <v>DPS, dividend per share (Pub)</v>
          </cell>
          <cell r="C186" t="str">
            <v>DPS_PUB</v>
          </cell>
          <cell r="D186" t="str">
            <v>CNY</v>
          </cell>
          <cell r="F186">
            <v>0</v>
          </cell>
          <cell r="G186">
            <v>9.0579710144927536E-2</v>
          </cell>
          <cell r="H186">
            <v>0.10869565217391304</v>
          </cell>
          <cell r="I186">
            <v>0.21739130434782608</v>
          </cell>
          <cell r="J186">
            <v>7.2463768115942018E-2</v>
          </cell>
          <cell r="O186">
            <v>0.3</v>
          </cell>
          <cell r="T186">
            <v>9.9999999999999992E-2</v>
          </cell>
          <cell r="Y186">
            <v>0.12</v>
          </cell>
          <cell r="AD186">
            <v>0.12</v>
          </cell>
          <cell r="AI186">
            <v>0.13592886020661454</v>
          </cell>
          <cell r="AJ186">
            <v>0.40349660656237396</v>
          </cell>
          <cell r="AK186">
            <v>0.57518920657570483</v>
          </cell>
          <cell r="AL186">
            <v>0.76169836070223962</v>
          </cell>
          <cell r="AM186">
            <v>0.93750013864689774</v>
          </cell>
          <cell r="AN186">
            <v>1.087409258509247</v>
          </cell>
        </row>
        <row r="187">
          <cell r="B187" t="str">
            <v>Special dividend per share</v>
          </cell>
          <cell r="C187" t="str">
            <v>DPS_SPECIAL_PUB</v>
          </cell>
          <cell r="D187" t="str">
            <v>CNY</v>
          </cell>
        </row>
        <row r="188">
          <cell r="B188" t="str">
            <v>EBITDA (Pub)</v>
          </cell>
          <cell r="C188" t="str">
            <v>EBITDA_PUB</v>
          </cell>
          <cell r="D188" t="str">
            <v>CNY</v>
          </cell>
          <cell r="F188">
            <v>55.233035479999984</v>
          </cell>
          <cell r="G188">
            <v>92.277764079999997</v>
          </cell>
          <cell r="H188">
            <v>152.18644393</v>
          </cell>
          <cell r="I188">
            <v>140.35376746000003</v>
          </cell>
          <cell r="J188">
            <v>231.67601553000003</v>
          </cell>
          <cell r="O188">
            <v>277.62114881000002</v>
          </cell>
          <cell r="T188">
            <v>299.41452874000004</v>
          </cell>
          <cell r="Y188">
            <v>307.95073305000005</v>
          </cell>
          <cell r="AD188">
            <v>431.32668588999991</v>
          </cell>
          <cell r="AI188">
            <v>471.13285762252553</v>
          </cell>
          <cell r="AJ188">
            <v>702.36100556539577</v>
          </cell>
          <cell r="AK188">
            <v>989.69920145619062</v>
          </cell>
          <cell r="AL188">
            <v>1317.9396640855325</v>
          </cell>
          <cell r="AM188">
            <v>1627.2022820617667</v>
          </cell>
          <cell r="AN188">
            <v>1886.2024115618733</v>
          </cell>
        </row>
        <row r="189">
          <cell r="B189" t="str">
            <v>EPS (Pub)</v>
          </cell>
          <cell r="C189" t="str">
            <v>EPS_PUB</v>
          </cell>
          <cell r="D189" t="str">
            <v>CNY</v>
          </cell>
          <cell r="F189">
            <v>0.99018254158040042</v>
          </cell>
          <cell r="G189">
            <v>0.47647834062676453</v>
          </cell>
          <cell r="H189">
            <v>0.46007368808229787</v>
          </cell>
          <cell r="I189">
            <v>0.42593260419901674</v>
          </cell>
          <cell r="J189">
            <v>0.69195740246506221</v>
          </cell>
          <cell r="O189">
            <v>0.85440508744177035</v>
          </cell>
          <cell r="T189">
            <v>0.95360610390786749</v>
          </cell>
          <cell r="Y189">
            <v>1.1634099007181677</v>
          </cell>
          <cell r="AD189">
            <v>1.2359197308165113</v>
          </cell>
          <cell r="AI189">
            <v>1.3592886020661454</v>
          </cell>
          <cell r="AJ189">
            <v>2.0174830328118691</v>
          </cell>
          <cell r="AK189">
            <v>2.8759460328785242</v>
          </cell>
          <cell r="AL189">
            <v>3.8084918035111981</v>
          </cell>
          <cell r="AM189">
            <v>4.6875006932344885</v>
          </cell>
          <cell r="AN189">
            <v>5.4370462925462348</v>
          </cell>
        </row>
        <row r="190">
          <cell r="B190" t="str">
            <v>EV adjustment (Pub)</v>
          </cell>
          <cell r="C190" t="str">
            <v>EV_ADJ_PUB</v>
          </cell>
          <cell r="D190" t="str">
            <v>CNY</v>
          </cell>
        </row>
        <row r="191">
          <cell r="B191" t="str">
            <v>Net debt (Pub)</v>
          </cell>
          <cell r="C191" t="str">
            <v>NET_DEBT_PUB</v>
          </cell>
          <cell r="D191" t="str">
            <v>CNY</v>
          </cell>
          <cell r="F191">
            <v>-65.045692160000002</v>
          </cell>
          <cell r="G191">
            <v>-374.88984476000002</v>
          </cell>
          <cell r="H191">
            <v>-378.69028066999999</v>
          </cell>
          <cell r="I191">
            <v>-412.60944889000001</v>
          </cell>
          <cell r="J191">
            <v>-491.51100501999997</v>
          </cell>
          <cell r="O191">
            <v>-437.93111359</v>
          </cell>
          <cell r="T191">
            <v>-688.06467938000003</v>
          </cell>
          <cell r="Y191">
            <v>-394.45786126000002</v>
          </cell>
          <cell r="AD191">
            <v>-688.39992765</v>
          </cell>
          <cell r="AI191">
            <v>-947.2262594488335</v>
          </cell>
          <cell r="AJ191">
            <v>-1339.3189401114221</v>
          </cell>
          <cell r="AK191">
            <v>-1804.7844809713292</v>
          </cell>
          <cell r="AL191">
            <v>-2304.7599414764713</v>
          </cell>
          <cell r="AM191">
            <v>-2836.3755257055936</v>
          </cell>
          <cell r="AN191">
            <v>-3364.690535465455</v>
          </cell>
        </row>
        <row r="192">
          <cell r="B192" t="str">
            <v>Net income (Pub)</v>
          </cell>
          <cell r="C192" t="str">
            <v>NI_PUB</v>
          </cell>
          <cell r="D192" t="str">
            <v>CNY</v>
          </cell>
          <cell r="F192">
            <v>57.390980110000001</v>
          </cell>
          <cell r="G192">
            <v>101.26117695000001</v>
          </cell>
          <cell r="H192">
            <v>142.21797845999993</v>
          </cell>
          <cell r="I192">
            <v>131.66428661000006</v>
          </cell>
          <cell r="J192">
            <v>213.89787225000003</v>
          </cell>
          <cell r="K192">
            <v>34.038561440000016</v>
          </cell>
          <cell r="L192">
            <v>101.96336091999999</v>
          </cell>
          <cell r="M192">
            <v>24.289886459999973</v>
          </cell>
          <cell r="N192">
            <v>103.82189181000007</v>
          </cell>
          <cell r="O192">
            <v>264.11370063000004</v>
          </cell>
          <cell r="P192">
            <v>39.917521339999993</v>
          </cell>
          <cell r="Q192">
            <v>100.31417308000002</v>
          </cell>
          <cell r="R192">
            <v>27.366706249999975</v>
          </cell>
          <cell r="S192">
            <v>127.18031817000002</v>
          </cell>
          <cell r="T192">
            <v>294.77871884000001</v>
          </cell>
          <cell r="U192">
            <v>46.097806340000012</v>
          </cell>
          <cell r="V192">
            <v>100.85949071000003</v>
          </cell>
          <cell r="W192">
            <v>41.023149079999989</v>
          </cell>
          <cell r="X192">
            <v>171.65282238000006</v>
          </cell>
          <cell r="Y192">
            <v>359.63326851000005</v>
          </cell>
          <cell r="Z192">
            <v>52.397211530000028</v>
          </cell>
          <cell r="AA192">
            <v>117.03627469000004</v>
          </cell>
          <cell r="AB192">
            <v>60.348519439999897</v>
          </cell>
          <cell r="AC192">
            <v>152.26550152999997</v>
          </cell>
          <cell r="AD192">
            <v>382.04750718999998</v>
          </cell>
          <cell r="AE192">
            <v>55.084023769999945</v>
          </cell>
          <cell r="AF192">
            <v>118.31819993999996</v>
          </cell>
          <cell r="AG192">
            <v>81.472854615148847</v>
          </cell>
          <cell r="AH192">
            <v>165.3082143455382</v>
          </cell>
          <cell r="AI192">
            <v>420.18329267068691</v>
          </cell>
          <cell r="AJ192">
            <v>623.64435510280498</v>
          </cell>
          <cell r="AK192">
            <v>889.01243768340942</v>
          </cell>
          <cell r="AL192">
            <v>1177.2809863013815</v>
          </cell>
          <cell r="AM192">
            <v>1449.0002142926451</v>
          </cell>
          <cell r="AN192">
            <v>1680.6997499518923</v>
          </cell>
        </row>
        <row r="193">
          <cell r="B193" t="str">
            <v>EBIT, operating profit (Pub)</v>
          </cell>
          <cell r="C193" t="str">
            <v>EBIT_PUB</v>
          </cell>
          <cell r="D193" t="str">
            <v>CNY</v>
          </cell>
          <cell r="F193">
            <v>50.322461849999968</v>
          </cell>
          <cell r="G193">
            <v>82.198101899999983</v>
          </cell>
          <cell r="H193">
            <v>139.85553808999998</v>
          </cell>
          <cell r="I193">
            <v>121.58363310999999</v>
          </cell>
          <cell r="J193">
            <v>207.04231779000003</v>
          </cell>
          <cell r="K193">
            <v>31.55412895000002</v>
          </cell>
          <cell r="L193">
            <v>101.60721721999998</v>
          </cell>
          <cell r="M193">
            <v>20.373823399999978</v>
          </cell>
          <cell r="N193">
            <v>100.38793873000007</v>
          </cell>
          <cell r="O193">
            <v>253.92310830000002</v>
          </cell>
          <cell r="P193">
            <v>33.637942969999997</v>
          </cell>
          <cell r="Q193">
            <v>86.012086560000014</v>
          </cell>
          <cell r="R193">
            <v>17.849324259999975</v>
          </cell>
          <cell r="S193">
            <v>134.68879299000002</v>
          </cell>
          <cell r="T193">
            <v>272.18814678000001</v>
          </cell>
          <cell r="U193">
            <v>28.270003300000013</v>
          </cell>
          <cell r="V193">
            <v>88.460965850000022</v>
          </cell>
          <cell r="W193">
            <v>24.87171579999999</v>
          </cell>
          <cell r="X193">
            <v>130.60547224000007</v>
          </cell>
          <cell r="Y193">
            <v>272.20815719000007</v>
          </cell>
          <cell r="Z193">
            <v>44.971047460000023</v>
          </cell>
          <cell r="AA193">
            <v>114.18189793000006</v>
          </cell>
          <cell r="AB193">
            <v>58.861726789999892</v>
          </cell>
          <cell r="AC193">
            <v>152.70851598999997</v>
          </cell>
          <cell r="AD193">
            <v>370.72318816999996</v>
          </cell>
          <cell r="AE193">
            <v>52.944417229999942</v>
          </cell>
          <cell r="AF193">
            <v>101.50233586999994</v>
          </cell>
          <cell r="AG193">
            <v>83.770876488607868</v>
          </cell>
          <cell r="AH193">
            <v>167.31755599997496</v>
          </cell>
          <cell r="AI193">
            <v>405.53518558858264</v>
          </cell>
          <cell r="AJ193">
            <v>630.84001860588251</v>
          </cell>
          <cell r="AK193">
            <v>911.10886994002703</v>
          </cell>
          <cell r="AL193">
            <v>1230.874159206096</v>
          </cell>
          <cell r="AM193">
            <v>1530.1133628795933</v>
          </cell>
          <cell r="AN193">
            <v>1781.5361525106609</v>
          </cell>
        </row>
        <row r="194">
          <cell r="B194" t="str">
            <v>Pre-tax profit (Pub)</v>
          </cell>
          <cell r="C194" t="str">
            <v>PTP_PUB</v>
          </cell>
          <cell r="D194" t="str">
            <v>CNY</v>
          </cell>
          <cell r="F194">
            <v>61.839298790000001</v>
          </cell>
          <cell r="G194">
            <v>107.2227256</v>
          </cell>
          <cell r="H194">
            <v>170.32802998999992</v>
          </cell>
          <cell r="I194">
            <v>144.74226051000005</v>
          </cell>
          <cell r="J194">
            <v>244.87089186000003</v>
          </cell>
          <cell r="O194">
            <v>305.60998792000004</v>
          </cell>
          <cell r="T194">
            <v>339.77377075999999</v>
          </cell>
          <cell r="Y194">
            <v>397.91225233000006</v>
          </cell>
          <cell r="AD194">
            <v>444.31158289999996</v>
          </cell>
          <cell r="AI194">
            <v>490.53492647458268</v>
          </cell>
          <cell r="AJ194">
            <v>732.18466865483708</v>
          </cell>
          <cell r="AK194">
            <v>1030.3510535768646</v>
          </cell>
          <cell r="AL194">
            <v>1364.4496445432303</v>
          </cell>
          <cell r="AM194">
            <v>1679.3678402519733</v>
          </cell>
          <cell r="AN194">
            <v>1947.9038590526366</v>
          </cell>
        </row>
        <row r="195">
          <cell r="B195" t="str">
            <v>Sales, revenue (Pub)</v>
          </cell>
          <cell r="C195" t="str">
            <v>REVS_PUB</v>
          </cell>
          <cell r="D195" t="str">
            <v>CNY</v>
          </cell>
          <cell r="F195">
            <v>193.10894234</v>
          </cell>
          <cell r="G195">
            <v>279.47532860000001</v>
          </cell>
          <cell r="H195">
            <v>442.73250508000001</v>
          </cell>
          <cell r="I195">
            <v>406.62099367000002</v>
          </cell>
          <cell r="J195">
            <v>610.24736599000005</v>
          </cell>
          <cell r="K195">
            <v>135.64938234000002</v>
          </cell>
          <cell r="L195">
            <v>224.82224119999998</v>
          </cell>
          <cell r="M195">
            <v>99.292901719999975</v>
          </cell>
          <cell r="N195">
            <v>261.10719883000007</v>
          </cell>
          <cell r="O195">
            <v>720.87172409000004</v>
          </cell>
          <cell r="P195">
            <v>142.36432506</v>
          </cell>
          <cell r="Q195">
            <v>218.26986038000001</v>
          </cell>
          <cell r="R195">
            <v>122.09924633999998</v>
          </cell>
          <cell r="S195">
            <v>307.25290143000001</v>
          </cell>
          <cell r="T195">
            <v>789.98633321</v>
          </cell>
          <cell r="U195">
            <v>146.72047516000001</v>
          </cell>
          <cell r="V195">
            <v>228.07331789000003</v>
          </cell>
          <cell r="W195">
            <v>152.99129101</v>
          </cell>
          <cell r="X195">
            <v>566.80119664000006</v>
          </cell>
          <cell r="Y195">
            <v>1094.5862807000001</v>
          </cell>
          <cell r="Z195">
            <v>473.33481709</v>
          </cell>
          <cell r="AA195">
            <v>562.21113780000007</v>
          </cell>
          <cell r="AB195">
            <v>462.99653758999989</v>
          </cell>
          <cell r="AC195">
            <v>687.52956855000002</v>
          </cell>
          <cell r="AD195">
            <v>2186.07206103</v>
          </cell>
          <cell r="AE195">
            <v>413.38954394999996</v>
          </cell>
          <cell r="AF195">
            <v>492.54060660999994</v>
          </cell>
          <cell r="AG195">
            <v>495.79996010642344</v>
          </cell>
          <cell r="AH195">
            <v>694.48430115741621</v>
          </cell>
          <cell r="AI195">
            <v>2096.2144118238393</v>
          </cell>
          <cell r="AJ195">
            <v>2459.1069732716269</v>
          </cell>
          <cell r="AK195">
            <v>2882.8230706088375</v>
          </cell>
          <cell r="AL195">
            <v>3381.9844236838908</v>
          </cell>
          <cell r="AM195">
            <v>3836.4370465786269</v>
          </cell>
          <cell r="AN195">
            <v>4222.1211421486369</v>
          </cell>
        </row>
        <row r="196">
          <cell r="B196" t="str">
            <v>Total shareholders' equity (Pub)</v>
          </cell>
          <cell r="C196" t="str">
            <v>EQ_PUB</v>
          </cell>
          <cell r="D196" t="str">
            <v>CNY</v>
          </cell>
          <cell r="F196">
            <v>147.93928751999999</v>
          </cell>
          <cell r="G196">
            <v>543.67451788000005</v>
          </cell>
          <cell r="H196">
            <v>665.86626475000003</v>
          </cell>
          <cell r="I196">
            <v>745.21201149000001</v>
          </cell>
          <cell r="J196">
            <v>905.79653624999992</v>
          </cell>
          <cell r="O196">
            <v>1125.4207629699999</v>
          </cell>
          <cell r="T196">
            <v>1328.8855423999998</v>
          </cell>
          <cell r="Y196">
            <v>1855.7612649499997</v>
          </cell>
          <cell r="AD196">
            <v>1914.1745419199999</v>
          </cell>
          <cell r="AI196">
            <v>2313.3122318436181</v>
          </cell>
          <cell r="AJ196">
            <v>2840.2277159258615</v>
          </cell>
          <cell r="AK196">
            <v>3579.4376660725898</v>
          </cell>
          <cell r="AL196">
            <v>4558.3416524557888</v>
          </cell>
          <cell r="AM196">
            <v>5763.1789874215156</v>
          </cell>
          <cell r="AN196">
            <v>7160.6734719879842</v>
          </cell>
        </row>
        <row r="197">
          <cell r="B197" t="str">
            <v>EPS (consensus)</v>
          </cell>
          <cell r="C197" t="str">
            <v>EPS_CONS_PUB</v>
          </cell>
          <cell r="D197" t="str">
            <v>CNY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 t="str">
            <v>CNY</v>
          </cell>
          <cell r="F199">
            <v>-4.20062918</v>
          </cell>
          <cell r="G199">
            <v>-5.8756565599999995</v>
          </cell>
          <cell r="H199">
            <v>-19.55201606</v>
          </cell>
          <cell r="I199">
            <v>-3.42022834</v>
          </cell>
          <cell r="J199">
            <v>-16.221505560000001</v>
          </cell>
          <cell r="O199">
            <v>-31.275971760000001</v>
          </cell>
          <cell r="T199">
            <v>-33.53500992</v>
          </cell>
          <cell r="Y199">
            <v>-35.27909202</v>
          </cell>
          <cell r="AD199">
            <v>-49.159622979999995</v>
          </cell>
          <cell r="AI199">
            <v>-49.378907283895771</v>
          </cell>
          <cell r="AJ199">
            <v>-80.540313552032131</v>
          </cell>
          <cell r="AK199">
            <v>-113.33861589345514</v>
          </cell>
          <cell r="AL199">
            <v>-150.08946089975532</v>
          </cell>
          <cell r="AM199">
            <v>-184.73046242771707</v>
          </cell>
          <cell r="AN199">
            <v>-214.26942449579002</v>
          </cell>
        </row>
        <row r="200">
          <cell r="B200" t="str">
            <v>Minority interest</v>
          </cell>
          <cell r="C200" t="str">
            <v>INC_MINORITY</v>
          </cell>
          <cell r="D200" t="str">
            <v>CNY</v>
          </cell>
          <cell r="F200">
            <v>-0.24768950000000001</v>
          </cell>
          <cell r="G200">
            <v>-8.589208999999999E-2</v>
          </cell>
          <cell r="H200">
            <v>-8.5580354700000001</v>
          </cell>
          <cell r="I200">
            <v>-9.6577455600000004</v>
          </cell>
          <cell r="J200">
            <v>-14.751514050000001</v>
          </cell>
          <cell r="O200">
            <v>-10.220315529999999</v>
          </cell>
          <cell r="T200">
            <v>-11.460042</v>
          </cell>
          <cell r="Y200">
            <v>-2.9998917999999999</v>
          </cell>
          <cell r="AD200">
            <v>-13.10445273</v>
          </cell>
          <cell r="AI200">
            <v>-20.972726519999998</v>
          </cell>
          <cell r="AJ200">
            <v>-28</v>
          </cell>
          <cell r="AK200">
            <v>-28</v>
          </cell>
          <cell r="AL200">
            <v>-37.079197342093437</v>
          </cell>
          <cell r="AM200">
            <v>-45.637163531611186</v>
          </cell>
          <cell r="AN200">
            <v>-52.934684604954427</v>
          </cell>
        </row>
        <row r="201">
          <cell r="B201" t="str">
            <v>Net income (pre-preferred dividends)</v>
          </cell>
          <cell r="C201" t="str">
            <v>NI_PRE_PREF</v>
          </cell>
          <cell r="D201" t="str">
            <v>CNY</v>
          </cell>
          <cell r="F201">
            <v>57.390980110000001</v>
          </cell>
          <cell r="G201">
            <v>101.26117695000001</v>
          </cell>
          <cell r="H201">
            <v>142.21797845999993</v>
          </cell>
          <cell r="I201">
            <v>131.66428661000006</v>
          </cell>
          <cell r="J201">
            <v>213.89787225000003</v>
          </cell>
          <cell r="O201">
            <v>264.11370063000004</v>
          </cell>
          <cell r="T201">
            <v>294.77871884000001</v>
          </cell>
          <cell r="Y201">
            <v>359.63326851000005</v>
          </cell>
          <cell r="AD201">
            <v>382.04750718999998</v>
          </cell>
          <cell r="AI201">
            <v>420.18329267068691</v>
          </cell>
          <cell r="AJ201">
            <v>623.64435510280498</v>
          </cell>
          <cell r="AK201">
            <v>889.01243768340942</v>
          </cell>
          <cell r="AL201">
            <v>1177.2809863013815</v>
          </cell>
          <cell r="AM201">
            <v>1449.0002142926451</v>
          </cell>
          <cell r="AN201">
            <v>1680.6997499518923</v>
          </cell>
        </row>
        <row r="202">
          <cell r="B202" t="str">
            <v>Preferred dividends</v>
          </cell>
          <cell r="C202" t="str">
            <v>PREF_DIV</v>
          </cell>
          <cell r="D202" t="str">
            <v>CNY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O202">
            <v>0</v>
          </cell>
          <cell r="T202">
            <v>0</v>
          </cell>
          <cell r="Y202">
            <v>0</v>
          </cell>
          <cell r="AD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B203" t="str">
            <v>Net income (pre-exceptionals)</v>
          </cell>
          <cell r="C203" t="str">
            <v>NET_EARNING</v>
          </cell>
          <cell r="D203" t="str">
            <v>CNY</v>
          </cell>
          <cell r="F203">
            <v>57.390980110000001</v>
          </cell>
          <cell r="G203">
            <v>101.26117695000001</v>
          </cell>
          <cell r="H203">
            <v>142.21797845999993</v>
          </cell>
          <cell r="I203">
            <v>131.66428661000006</v>
          </cell>
          <cell r="J203">
            <v>213.89787225000003</v>
          </cell>
          <cell r="O203">
            <v>264.11370063000004</v>
          </cell>
          <cell r="T203">
            <v>294.77871884000001</v>
          </cell>
          <cell r="Y203">
            <v>359.63326851000005</v>
          </cell>
          <cell r="AD203">
            <v>382.04750718999998</v>
          </cell>
          <cell r="AI203">
            <v>420.18329267068691</v>
          </cell>
          <cell r="AJ203">
            <v>623.64435510280498</v>
          </cell>
          <cell r="AK203">
            <v>889.01243768340942</v>
          </cell>
          <cell r="AL203">
            <v>1177.2809863013815</v>
          </cell>
          <cell r="AM203">
            <v>1449.0002142926451</v>
          </cell>
          <cell r="AN203">
            <v>1680.6997499518923</v>
          </cell>
        </row>
        <row r="204">
          <cell r="B204" t="str">
            <v>Post-tax exceptionals</v>
          </cell>
          <cell r="C204" t="str">
            <v>TAX_EXC</v>
          </cell>
          <cell r="D204" t="str">
            <v>CNY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O204">
            <v>0</v>
          </cell>
          <cell r="T204">
            <v>0</v>
          </cell>
          <cell r="Y204">
            <v>0</v>
          </cell>
          <cell r="AD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</row>
        <row r="205">
          <cell r="B205" t="str">
            <v>Net income (post-exceptionals)</v>
          </cell>
          <cell r="C205" t="str">
            <v>NET_INC</v>
          </cell>
          <cell r="D205" t="str">
            <v>CNY</v>
          </cell>
          <cell r="F205">
            <v>57.390980110000001</v>
          </cell>
          <cell r="G205">
            <v>101.26117695000001</v>
          </cell>
          <cell r="H205">
            <v>142.21797845999993</v>
          </cell>
          <cell r="I205">
            <v>131.66428661000006</v>
          </cell>
          <cell r="J205">
            <v>213.89787225000003</v>
          </cell>
          <cell r="K205">
            <v>34.038561440000016</v>
          </cell>
          <cell r="L205">
            <v>101.96336091999999</v>
          </cell>
          <cell r="M205">
            <v>24.289886459999973</v>
          </cell>
          <cell r="N205">
            <v>103.82189181000007</v>
          </cell>
          <cell r="O205">
            <v>264.11370063000004</v>
          </cell>
          <cell r="P205">
            <v>39.917521339999993</v>
          </cell>
          <cell r="Q205">
            <v>100.31417308000002</v>
          </cell>
          <cell r="R205">
            <v>27.366706249999975</v>
          </cell>
          <cell r="S205">
            <v>127.18031817000002</v>
          </cell>
          <cell r="T205">
            <v>294.77871884000001</v>
          </cell>
          <cell r="U205">
            <v>46.097806340000012</v>
          </cell>
          <cell r="V205">
            <v>100.85949071000003</v>
          </cell>
          <cell r="W205">
            <v>41.023149079999989</v>
          </cell>
          <cell r="X205">
            <v>171.65282238000006</v>
          </cell>
          <cell r="Y205">
            <v>359.63326851000005</v>
          </cell>
          <cell r="Z205">
            <v>52.397211530000028</v>
          </cell>
          <cell r="AA205">
            <v>117.03627469000004</v>
          </cell>
          <cell r="AB205">
            <v>60.348519439999897</v>
          </cell>
          <cell r="AC205">
            <v>152.26550152999997</v>
          </cell>
          <cell r="AD205">
            <v>382.04750718999998</v>
          </cell>
          <cell r="AE205">
            <v>55.084023769999945</v>
          </cell>
          <cell r="AF205">
            <v>118.31819993999996</v>
          </cell>
          <cell r="AG205">
            <v>81.472854615148847</v>
          </cell>
          <cell r="AH205">
            <v>165.3082143455382</v>
          </cell>
          <cell r="AI205">
            <v>420.18329267068691</v>
          </cell>
          <cell r="AJ205">
            <v>623.64435510280498</v>
          </cell>
          <cell r="AK205">
            <v>889.01243768340942</v>
          </cell>
          <cell r="AL205">
            <v>1177.2809863013815</v>
          </cell>
          <cell r="AM205">
            <v>1449.0002142926451</v>
          </cell>
          <cell r="AN205">
            <v>1680.6997499518923</v>
          </cell>
        </row>
        <row r="206">
          <cell r="B206" t="str">
            <v>EPS (pre-exceptionals, basic)</v>
          </cell>
          <cell r="C206" t="str">
            <v>EPS</v>
          </cell>
          <cell r="D206" t="str">
            <v>CNY</v>
          </cell>
          <cell r="F206">
            <v>0.99018254158040042</v>
          </cell>
          <cell r="G206">
            <v>0.47647834062676453</v>
          </cell>
          <cell r="H206">
            <v>0.46007368808229787</v>
          </cell>
          <cell r="I206">
            <v>0.42593260419901674</v>
          </cell>
          <cell r="J206">
            <v>0.69195740246506221</v>
          </cell>
          <cell r="O206">
            <v>0.85440508744177035</v>
          </cell>
          <cell r="T206">
            <v>0.95360610390786749</v>
          </cell>
          <cell r="Y206">
            <v>1.1634099007181677</v>
          </cell>
          <cell r="AD206">
            <v>1.2359197308165113</v>
          </cell>
          <cell r="AI206">
            <v>1.3592886020661454</v>
          </cell>
          <cell r="AJ206">
            <v>2.0174830328118691</v>
          </cell>
          <cell r="AK206">
            <v>2.8759460328785242</v>
          </cell>
          <cell r="AL206">
            <v>3.8084918035111981</v>
          </cell>
          <cell r="AM206">
            <v>4.6875006932344885</v>
          </cell>
          <cell r="AN206">
            <v>5.4370462925462348</v>
          </cell>
        </row>
        <row r="207">
          <cell r="B207" t="str">
            <v>EPS (pre-exceptionals, diluted)</v>
          </cell>
          <cell r="C207" t="str">
            <v>EPS_FUL_DIL</v>
          </cell>
          <cell r="D207" t="str">
            <v>CNY</v>
          </cell>
          <cell r="F207">
            <v>0.24754563539510011</v>
          </cell>
          <cell r="G207">
            <v>0.32757885918090063</v>
          </cell>
          <cell r="H207">
            <v>0.46007368808229787</v>
          </cell>
          <cell r="I207">
            <v>0.42593260419901674</v>
          </cell>
          <cell r="J207">
            <v>0.69195740246506221</v>
          </cell>
          <cell r="O207">
            <v>0.85440508744177035</v>
          </cell>
          <cell r="T207">
            <v>0.95360610390786749</v>
          </cell>
          <cell r="Y207">
            <v>1.1634099007181677</v>
          </cell>
          <cell r="AD207">
            <v>1.2359197308165113</v>
          </cell>
          <cell r="AI207">
            <v>1.3592886020661454</v>
          </cell>
          <cell r="AJ207">
            <v>2.0174830328118691</v>
          </cell>
          <cell r="AK207">
            <v>2.8759460328785242</v>
          </cell>
          <cell r="AL207">
            <v>3.8084918035111981</v>
          </cell>
          <cell r="AM207">
            <v>4.6875006932344885</v>
          </cell>
          <cell r="AN207">
            <v>5.4370462925462348</v>
          </cell>
        </row>
        <row r="208">
          <cell r="B208" t="str">
            <v>EPS (post-exceptionals, basic)</v>
          </cell>
          <cell r="C208" t="str">
            <v>EPS_POST_BASIC</v>
          </cell>
          <cell r="D208" t="str">
            <v>CNY</v>
          </cell>
          <cell r="F208">
            <v>0.99018254158040042</v>
          </cell>
          <cell r="G208">
            <v>0.47647834062676453</v>
          </cell>
          <cell r="H208">
            <v>0.46007368808229787</v>
          </cell>
          <cell r="I208">
            <v>0.42593260419901674</v>
          </cell>
          <cell r="J208">
            <v>0.69195740246506221</v>
          </cell>
          <cell r="O208">
            <v>0.85440508744177035</v>
          </cell>
          <cell r="T208">
            <v>0.95360610390786749</v>
          </cell>
          <cell r="Y208">
            <v>1.1634099007181677</v>
          </cell>
          <cell r="AD208">
            <v>1.2359197308165113</v>
          </cell>
          <cell r="AI208">
            <v>1.3592886020661454</v>
          </cell>
          <cell r="AJ208">
            <v>2.0174830328118691</v>
          </cell>
          <cell r="AK208">
            <v>2.8759460328785242</v>
          </cell>
          <cell r="AL208">
            <v>3.8084918035111981</v>
          </cell>
          <cell r="AM208">
            <v>4.6875006932344885</v>
          </cell>
          <cell r="AN208">
            <v>5.4370462925462348</v>
          </cell>
        </row>
        <row r="209">
          <cell r="B209" t="str">
            <v>EPS (post-exceptionals, diluted)</v>
          </cell>
          <cell r="C209" t="str">
            <v>FULLY_DIL_EPS</v>
          </cell>
          <cell r="D209" t="str">
            <v>CNY</v>
          </cell>
          <cell r="F209">
            <v>0.24754563539510011</v>
          </cell>
          <cell r="G209">
            <v>0.32757885918090063</v>
          </cell>
          <cell r="H209">
            <v>0.46007368808229787</v>
          </cell>
          <cell r="I209">
            <v>0.42593260419901674</v>
          </cell>
          <cell r="J209">
            <v>0.69195740246506221</v>
          </cell>
          <cell r="O209">
            <v>0.85440508744177035</v>
          </cell>
          <cell r="T209">
            <v>0.95360610390786749</v>
          </cell>
          <cell r="Y209">
            <v>1.1634099007181677</v>
          </cell>
          <cell r="AD209">
            <v>1.2359197308165113</v>
          </cell>
          <cell r="AI209">
            <v>1.3592886020661454</v>
          </cell>
          <cell r="AJ209">
            <v>2.0174830328118691</v>
          </cell>
          <cell r="AK209">
            <v>2.8759460328785242</v>
          </cell>
          <cell r="AL209">
            <v>3.8084918035111981</v>
          </cell>
          <cell r="AM209">
            <v>4.6875006932344885</v>
          </cell>
          <cell r="AN209">
            <v>5.4370462925462348</v>
          </cell>
        </row>
        <row r="210">
          <cell r="B210" t="str">
            <v>Common dividends paid</v>
          </cell>
          <cell r="C210" t="str">
            <v>COMMON_DIV_PAID</v>
          </cell>
          <cell r="D210" t="str">
            <v>CNY</v>
          </cell>
          <cell r="F210">
            <v>0</v>
          </cell>
          <cell r="G210">
            <v>-28</v>
          </cell>
          <cell r="H210">
            <v>-33.6</v>
          </cell>
          <cell r="I210">
            <v>-67.2</v>
          </cell>
          <cell r="J210">
            <v>-22.4</v>
          </cell>
          <cell r="O210">
            <v>-92.736000000000004</v>
          </cell>
          <cell r="T210">
            <v>-30.911999999999999</v>
          </cell>
          <cell r="Y210">
            <v>-37.0944</v>
          </cell>
          <cell r="AD210">
            <v>-37.0944</v>
          </cell>
          <cell r="AI210">
            <v>-42.018329267068687</v>
          </cell>
          <cell r="AJ210">
            <v>-124.72887102056104</v>
          </cell>
          <cell r="AK210">
            <v>-177.80248753668187</v>
          </cell>
          <cell r="AL210">
            <v>-235.45619726027633</v>
          </cell>
          <cell r="AM210">
            <v>-289.80004285852903</v>
          </cell>
          <cell r="AN210">
            <v>-336.13994999037845</v>
          </cell>
        </row>
        <row r="211">
          <cell r="B211" t="str">
            <v>DPS, dividend per share</v>
          </cell>
          <cell r="C211" t="str">
            <v>DPS</v>
          </cell>
          <cell r="D211" t="str">
            <v>CNY</v>
          </cell>
          <cell r="F211">
            <v>0</v>
          </cell>
          <cell r="G211">
            <v>9.0579710144927536E-2</v>
          </cell>
          <cell r="H211">
            <v>0.10869565217391304</v>
          </cell>
          <cell r="I211">
            <v>0.21739130434782608</v>
          </cell>
          <cell r="J211">
            <v>7.2463768115942018E-2</v>
          </cell>
          <cell r="O211">
            <v>0.3</v>
          </cell>
          <cell r="T211">
            <v>9.9999999999999992E-2</v>
          </cell>
          <cell r="Y211">
            <v>0.12</v>
          </cell>
          <cell r="AD211">
            <v>0.12</v>
          </cell>
          <cell r="AI211">
            <v>0.13592886020661454</v>
          </cell>
          <cell r="AJ211">
            <v>0.40349660656237396</v>
          </cell>
          <cell r="AK211">
            <v>0.57518920657570483</v>
          </cell>
          <cell r="AL211">
            <v>0.76169836070223962</v>
          </cell>
          <cell r="AM211">
            <v>0.93750013864689774</v>
          </cell>
          <cell r="AN211">
            <v>1.087409258509247</v>
          </cell>
        </row>
        <row r="212">
          <cell r="B212" t="str">
            <v>Weighted average shares outstanding, basic</v>
          </cell>
          <cell r="C212" t="str">
            <v>SH</v>
          </cell>
          <cell r="F212">
            <v>57.959999999999994</v>
          </cell>
          <cell r="G212">
            <v>212.52</v>
          </cell>
          <cell r="H212">
            <v>309.12</v>
          </cell>
          <cell r="I212">
            <v>309.12</v>
          </cell>
          <cell r="J212">
            <v>309.12</v>
          </cell>
          <cell r="O212">
            <v>309.12</v>
          </cell>
          <cell r="T212">
            <v>309.12</v>
          </cell>
          <cell r="Y212">
            <v>309.12</v>
          </cell>
          <cell r="AD212">
            <v>309.12</v>
          </cell>
          <cell r="AI212">
            <v>309.12</v>
          </cell>
          <cell r="AJ212">
            <v>309.12</v>
          </cell>
          <cell r="AK212">
            <v>309.12</v>
          </cell>
          <cell r="AL212">
            <v>309.12</v>
          </cell>
          <cell r="AM212">
            <v>309.12</v>
          </cell>
          <cell r="AN212">
            <v>309.12</v>
          </cell>
        </row>
        <row r="213">
          <cell r="B213" t="str">
            <v>Diluted average shares outstanding (mn)</v>
          </cell>
          <cell r="C213" t="str">
            <v>DILUTE_SHARES</v>
          </cell>
          <cell r="F213">
            <v>231.83999999999997</v>
          </cell>
          <cell r="G213">
            <v>309.12</v>
          </cell>
          <cell r="H213">
            <v>309.12</v>
          </cell>
          <cell r="I213">
            <v>309.12</v>
          </cell>
          <cell r="J213">
            <v>309.12</v>
          </cell>
          <cell r="O213">
            <v>309.12</v>
          </cell>
          <cell r="T213">
            <v>309.12</v>
          </cell>
          <cell r="Y213">
            <v>309.12</v>
          </cell>
          <cell r="AD213">
            <v>309.12</v>
          </cell>
          <cell r="AI213">
            <v>309.12</v>
          </cell>
          <cell r="AJ213">
            <v>309.12</v>
          </cell>
          <cell r="AK213">
            <v>309.12</v>
          </cell>
          <cell r="AL213">
            <v>309.12</v>
          </cell>
          <cell r="AM213">
            <v>309.12</v>
          </cell>
          <cell r="AN213">
            <v>309.12</v>
          </cell>
        </row>
        <row r="214">
          <cell r="B214" t="str">
            <v>Period-end shares outstanding</v>
          </cell>
          <cell r="C214" t="str">
            <v>NON_OP_ADD</v>
          </cell>
          <cell r="F214">
            <v>231.83999999999997</v>
          </cell>
          <cell r="G214">
            <v>309.12</v>
          </cell>
          <cell r="H214">
            <v>309.12</v>
          </cell>
          <cell r="I214">
            <v>309.12</v>
          </cell>
          <cell r="J214">
            <v>309.12</v>
          </cell>
          <cell r="O214">
            <v>309.12</v>
          </cell>
          <cell r="T214">
            <v>309.12</v>
          </cell>
          <cell r="Y214">
            <v>309.12</v>
          </cell>
          <cell r="AD214">
            <v>309.12</v>
          </cell>
          <cell r="AI214">
            <v>309.12</v>
          </cell>
          <cell r="AJ214">
            <v>309.12</v>
          </cell>
          <cell r="AK214">
            <v>309.12</v>
          </cell>
          <cell r="AL214">
            <v>309.12</v>
          </cell>
          <cell r="AM214">
            <v>309.12</v>
          </cell>
          <cell r="AN214">
            <v>309.12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  <cell r="F216">
            <v>6.7928150257086706E-2</v>
          </cell>
          <cell r="G216">
            <v>5.4798612207634455E-2</v>
          </cell>
          <cell r="H216">
            <v>0.11479036105300996</v>
          </cell>
          <cell r="I216">
            <v>2.3629783920389311E-2</v>
          </cell>
          <cell r="J216">
            <v>6.624513610737498E-2</v>
          </cell>
          <cell r="O216">
            <v>0.10233949476869571</v>
          </cell>
          <cell r="T216">
            <v>9.8698053840322875E-2</v>
          </cell>
          <cell r="Y216">
            <v>8.8660481835935112E-2</v>
          </cell>
          <cell r="AD216">
            <v>0.11064222692358713</v>
          </cell>
          <cell r="AI216">
            <v>0.1006633872918616</v>
          </cell>
          <cell r="AJ216">
            <v>0.11000000000000007</v>
          </cell>
          <cell r="AK216">
            <v>0.11000000000000003</v>
          </cell>
          <cell r="AL216">
            <v>0.11</v>
          </cell>
          <cell r="AM216">
            <v>0.11</v>
          </cell>
          <cell r="AN216">
            <v>0.11</v>
          </cell>
        </row>
        <row r="217">
          <cell r="B217" t="str">
            <v>Net income (consensus) (Pub)</v>
          </cell>
          <cell r="C217" t="str">
            <v>NI_CONS</v>
          </cell>
          <cell r="D217" t="str">
            <v>CNY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 t="str">
            <v>CNY</v>
          </cell>
          <cell r="F219">
            <v>0.60555128968253968</v>
          </cell>
          <cell r="G219">
            <v>1.6997208599249483</v>
          </cell>
          <cell r="H219">
            <v>2.0693948472437889</v>
          </cell>
          <cell r="I219">
            <v>2.3302675123576604</v>
          </cell>
          <cell r="J219">
            <v>2.822448811788302</v>
          </cell>
          <cell r="O219">
            <v>3.5377525811982395</v>
          </cell>
          <cell r="T219">
            <v>4.1623020682259311</v>
          </cell>
          <cell r="Y219">
            <v>5.203634101255175</v>
          </cell>
          <cell r="AD219">
            <v>6.0956404469138192</v>
          </cell>
          <cell r="AI219">
            <v>7.3190001887733507</v>
          </cell>
          <cell r="AJ219">
            <v>8.9329866150228447</v>
          </cell>
          <cell r="AK219">
            <v>11.233743441325666</v>
          </cell>
          <cell r="AL219">
            <v>14.280536884134625</v>
          </cell>
          <cell r="AM219">
            <v>18.030537438722217</v>
          </cell>
          <cell r="AN219">
            <v>22.380174472759204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 t="str">
            <v>CNY</v>
          </cell>
          <cell r="F221">
            <v>57.390980110000001</v>
          </cell>
          <cell r="G221">
            <v>101.26117695000001</v>
          </cell>
          <cell r="H221">
            <v>142.21797845999993</v>
          </cell>
          <cell r="I221">
            <v>131.66428661000006</v>
          </cell>
          <cell r="J221">
            <v>213.89787225000003</v>
          </cell>
          <cell r="O221">
            <v>264.11370063000004</v>
          </cell>
          <cell r="T221">
            <v>294.77871884000001</v>
          </cell>
          <cell r="Y221">
            <v>359.63326851000005</v>
          </cell>
          <cell r="AD221">
            <v>382.04750718999998</v>
          </cell>
          <cell r="AI221">
            <v>420.18329267068691</v>
          </cell>
          <cell r="AJ221">
            <v>623.64435510280498</v>
          </cell>
          <cell r="AK221">
            <v>889.01243768340942</v>
          </cell>
          <cell r="AL221">
            <v>1177.2809863013815</v>
          </cell>
          <cell r="AM221">
            <v>1449.0002142926451</v>
          </cell>
          <cell r="AN221">
            <v>1680.6997499518923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O225">
            <v>0</v>
          </cell>
          <cell r="T225">
            <v>0</v>
          </cell>
          <cell r="Y225">
            <v>0</v>
          </cell>
          <cell r="AD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</row>
      </sheetData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Valuation"/>
      <sheetName val="AFOSHEET"/>
      <sheetName val="Model"/>
      <sheetName val="Revenue"/>
      <sheetName val="Company Data"/>
      <sheetName val="Basic Data"/>
      <sheetName val="Raw Data"/>
      <sheetName val="Industry Data"/>
      <sheetName val="Ratios"/>
      <sheetName val="002230.SZ_Exchange_Sheet"/>
      <sheetName val="Act Vs Est"/>
      <sheetName val="Act Vs Est_output"/>
      <sheetName val="Market Data"/>
      <sheetName val="002230.SZ_Live_Sheet"/>
      <sheetName val="002230.SZ_Validation_Sheet"/>
      <sheetName val="002230.SZ_Annotation_Sheet"/>
      <sheetName val="exhibit"/>
      <sheetName val="First Tak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Issuer: Anhui USTC iFLYTEK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 t="str">
            <v>2010 Q1</v>
          </cell>
          <cell r="W1" t="str">
            <v>2010 Q2</v>
          </cell>
          <cell r="X1" t="str">
            <v>2010 Q3</v>
          </cell>
          <cell r="Y1" t="str">
            <v>2010 Q4</v>
          </cell>
          <cell r="Z1">
            <v>2010</v>
          </cell>
          <cell r="AA1" t="str">
            <v>2011 Q1</v>
          </cell>
          <cell r="AB1" t="str">
            <v>2011 Q2</v>
          </cell>
          <cell r="AC1" t="str">
            <v>2011 Q3</v>
          </cell>
          <cell r="AD1" t="str">
            <v>2011 Q4</v>
          </cell>
          <cell r="AE1">
            <v>2011</v>
          </cell>
          <cell r="AF1" t="str">
            <v>2012 Q1</v>
          </cell>
          <cell r="AG1" t="str">
            <v>2012 Q2</v>
          </cell>
          <cell r="AH1" t="str">
            <v>2012 Q3</v>
          </cell>
          <cell r="AI1" t="str">
            <v>2012 Q4</v>
          </cell>
          <cell r="AJ1">
            <v>2012</v>
          </cell>
          <cell r="AK1" t="str">
            <v>2013 Q1</v>
          </cell>
          <cell r="AL1" t="str">
            <v>2013 Q2</v>
          </cell>
          <cell r="AM1" t="str">
            <v>2013 Q3</v>
          </cell>
          <cell r="AN1" t="str">
            <v>2013 Q4</v>
          </cell>
          <cell r="AO1">
            <v>2013</v>
          </cell>
          <cell r="AP1" t="str">
            <v>2014 Q1</v>
          </cell>
          <cell r="AQ1" t="str">
            <v>2014 Q2</v>
          </cell>
          <cell r="AR1" t="str">
            <v>2014 Q3</v>
          </cell>
          <cell r="AS1" t="str">
            <v>2014 Q4</v>
          </cell>
          <cell r="AT1">
            <v>2014</v>
          </cell>
          <cell r="AU1" t="str">
            <v>2015 Q1</v>
          </cell>
          <cell r="AV1" t="str">
            <v>2015 Q2</v>
          </cell>
          <cell r="AW1" t="str">
            <v>2015 Q3</v>
          </cell>
          <cell r="AX1" t="str">
            <v>2015 Q4</v>
          </cell>
          <cell r="AY1">
            <v>2015</v>
          </cell>
          <cell r="AZ1" t="str">
            <v>2016 Q1</v>
          </cell>
          <cell r="BA1" t="str">
            <v>2016 Q2</v>
          </cell>
          <cell r="BB1" t="str">
            <v>2016 Q3</v>
          </cell>
          <cell r="BC1" t="str">
            <v>2016 Q4</v>
          </cell>
          <cell r="BD1">
            <v>2016</v>
          </cell>
          <cell r="BE1" t="str">
            <v>2017 Q1</v>
          </cell>
          <cell r="BF1" t="str">
            <v>2017 Q2</v>
          </cell>
          <cell r="BG1" t="str">
            <v>2017 Q3</v>
          </cell>
          <cell r="BH1" t="str">
            <v>2017 Q4</v>
          </cell>
          <cell r="BI1" t="str">
            <v>2017</v>
          </cell>
          <cell r="BJ1" t="str">
            <v>2018 Q1</v>
          </cell>
          <cell r="BK1" t="str">
            <v>2018 Q2</v>
          </cell>
          <cell r="BL1" t="str">
            <v>2018 Q3</v>
          </cell>
          <cell r="BM1" t="str">
            <v>2018 Q4</v>
          </cell>
          <cell r="BN1" t="str">
            <v>2018</v>
          </cell>
          <cell r="BO1" t="str">
            <v>2019 Q1</v>
          </cell>
          <cell r="BP1" t="str">
            <v>2019 Q2</v>
          </cell>
          <cell r="BQ1" t="str">
            <v>2019 Q3</v>
          </cell>
          <cell r="BR1" t="str">
            <v>2019 Q4</v>
          </cell>
          <cell r="BS1" t="str">
            <v>2019</v>
          </cell>
          <cell r="BT1" t="str">
            <v>2020 Q1</v>
          </cell>
          <cell r="BU1" t="str">
            <v>2020 Q2</v>
          </cell>
          <cell r="BV1" t="str">
            <v>2020 Q3</v>
          </cell>
          <cell r="BW1" t="str">
            <v>2020 Q4</v>
          </cell>
          <cell r="BX1" t="str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  <cell r="BF2" t="str">
            <v>Estimate</v>
          </cell>
          <cell r="BG2" t="str">
            <v>Estimate</v>
          </cell>
          <cell r="BH2" t="str">
            <v>Estimate</v>
          </cell>
          <cell r="BI2" t="str">
            <v>Estimate</v>
          </cell>
          <cell r="BJ2" t="str">
            <v>Estimate</v>
          </cell>
          <cell r="BK2" t="str">
            <v>Estimate</v>
          </cell>
          <cell r="BL2" t="str">
            <v>Estimate</v>
          </cell>
          <cell r="BM2" t="str">
            <v>Estimate</v>
          </cell>
          <cell r="BN2" t="str">
            <v>Estimate</v>
          </cell>
          <cell r="BO2" t="str">
            <v>Estimate</v>
          </cell>
          <cell r="BP2" t="str">
            <v>Estimate</v>
          </cell>
          <cell r="BQ2" t="str">
            <v>Estimate</v>
          </cell>
          <cell r="BR2" t="str">
            <v>Estimate</v>
          </cell>
          <cell r="BS2" t="str">
            <v>Estimate</v>
          </cell>
          <cell r="BT2" t="str">
            <v>Estimate</v>
          </cell>
          <cell r="BU2" t="str">
            <v>Estimate</v>
          </cell>
          <cell r="BV2" t="str">
            <v>Estimate</v>
          </cell>
          <cell r="BW2" t="str">
            <v>Estimate</v>
          </cell>
          <cell r="BX2" t="str">
            <v>Estimate</v>
          </cell>
        </row>
        <row r="3"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41729</v>
          </cell>
          <cell r="AQ3">
            <v>41820</v>
          </cell>
          <cell r="AR3">
            <v>41912</v>
          </cell>
          <cell r="AS3">
            <v>42004</v>
          </cell>
          <cell r="AT3">
            <v>42004</v>
          </cell>
          <cell r="AU3">
            <v>42094</v>
          </cell>
          <cell r="AV3">
            <v>42185</v>
          </cell>
          <cell r="AW3">
            <v>42277</v>
          </cell>
          <cell r="AX3">
            <v>42369</v>
          </cell>
          <cell r="AY3">
            <v>42369</v>
          </cell>
          <cell r="AZ3">
            <v>42460</v>
          </cell>
          <cell r="BA3">
            <v>42551</v>
          </cell>
          <cell r="BB3">
            <v>42643</v>
          </cell>
          <cell r="BC3">
            <v>42735</v>
          </cell>
          <cell r="BD3">
            <v>42735</v>
          </cell>
          <cell r="BE3">
            <v>42825</v>
          </cell>
          <cell r="BF3">
            <v>42916</v>
          </cell>
          <cell r="BG3">
            <v>43008</v>
          </cell>
          <cell r="BH3">
            <v>43100</v>
          </cell>
          <cell r="BI3">
            <v>43100</v>
          </cell>
          <cell r="BJ3">
            <v>43190</v>
          </cell>
          <cell r="BK3">
            <v>43281</v>
          </cell>
          <cell r="BL3">
            <v>43373</v>
          </cell>
          <cell r="BM3">
            <v>43465</v>
          </cell>
          <cell r="BN3">
            <v>43465</v>
          </cell>
          <cell r="BO3">
            <v>43555</v>
          </cell>
          <cell r="BP3">
            <v>43646</v>
          </cell>
          <cell r="BQ3">
            <v>43738</v>
          </cell>
          <cell r="BR3">
            <v>43830</v>
          </cell>
          <cell r="BS3">
            <v>43830</v>
          </cell>
          <cell r="BT3">
            <v>43921</v>
          </cell>
          <cell r="BU3">
            <v>44012</v>
          </cell>
          <cell r="BV3">
            <v>44104</v>
          </cell>
          <cell r="BW3">
            <v>44196</v>
          </cell>
          <cell r="BX3">
            <v>44196</v>
          </cell>
        </row>
        <row r="4">
          <cell r="A4" t="str">
            <v>Issuer: Anhui USTC iFLYTEK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Anhui USTC iFLYTEK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81.567521810000002</v>
          </cell>
          <cell r="R9">
            <v>171.35527556</v>
          </cell>
          <cell r="S9">
            <v>205.81020808000002</v>
          </cell>
          <cell r="T9">
            <v>257.55214083999999</v>
          </cell>
          <cell r="U9">
            <v>307.12515289999999</v>
          </cell>
          <cell r="V9">
            <v>56.149818959999998</v>
          </cell>
          <cell r="W9">
            <v>100.95747109999999</v>
          </cell>
          <cell r="X9">
            <v>91.656234120000022</v>
          </cell>
          <cell r="Y9">
            <v>187.29381423999999</v>
          </cell>
          <cell r="Z9">
            <v>436.05733842000001</v>
          </cell>
          <cell r="AA9">
            <v>85.70098981999999</v>
          </cell>
          <cell r="AB9">
            <v>135.60514433000003</v>
          </cell>
          <cell r="AC9">
            <v>121.29126283999997</v>
          </cell>
          <cell r="AD9">
            <v>214.41613370000005</v>
          </cell>
          <cell r="AE9">
            <v>557.01353069000004</v>
          </cell>
          <cell r="AF9">
            <v>130.06769266000001</v>
          </cell>
          <cell r="AG9">
            <v>173.60203297000001</v>
          </cell>
          <cell r="AH9">
            <v>223.27271113999996</v>
          </cell>
          <cell r="AI9">
            <v>256.99824694000006</v>
          </cell>
          <cell r="AJ9">
            <v>783.94068371000003</v>
          </cell>
          <cell r="AK9">
            <v>173.04575912000001</v>
          </cell>
          <cell r="AL9">
            <v>246.05492519000001</v>
          </cell>
          <cell r="AM9">
            <v>338.35138807999999</v>
          </cell>
          <cell r="AN9">
            <v>496.25567838999996</v>
          </cell>
          <cell r="AO9">
            <v>1253.70775078</v>
          </cell>
          <cell r="AP9">
            <v>261.93893664000001</v>
          </cell>
          <cell r="AQ9">
            <v>385.75291031</v>
          </cell>
          <cell r="AR9">
            <v>457.65699877000009</v>
          </cell>
          <cell r="AS9">
            <v>669.86176722999994</v>
          </cell>
          <cell r="AT9">
            <v>1775.21061295</v>
          </cell>
          <cell r="AU9">
            <v>406.10641343999998</v>
          </cell>
          <cell r="AV9">
            <v>633.04558938000002</v>
          </cell>
          <cell r="AW9">
            <v>696.75566694205588</v>
          </cell>
          <cell r="AX9">
            <v>947.43920193344468</v>
          </cell>
          <cell r="AY9">
            <v>2683.3468716955003</v>
          </cell>
          <cell r="BD9">
            <v>4339.5862437711257</v>
          </cell>
          <cell r="BI9">
            <v>6465.648050367713</v>
          </cell>
          <cell r="BN9">
            <v>8961.0792271181981</v>
          </cell>
          <cell r="BS9">
            <v>11389.031717876065</v>
          </cell>
          <cell r="BX9">
            <v>13457.948315675589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-38.670562320000002</v>
          </cell>
          <cell r="R11">
            <v>-100.84862429</v>
          </cell>
          <cell r="S11">
            <v>-118.43721120999999</v>
          </cell>
          <cell r="T11">
            <v>-132.51299926000002</v>
          </cell>
          <cell r="U11">
            <v>-136.15412576</v>
          </cell>
          <cell r="V11">
            <v>-19.886910180000001</v>
          </cell>
          <cell r="W11">
            <v>-41.114451759999994</v>
          </cell>
          <cell r="X11">
            <v>-32.557379420000004</v>
          </cell>
          <cell r="Y11">
            <v>-94.47910035999999</v>
          </cell>
          <cell r="Z11">
            <v>-188.03784171999999</v>
          </cell>
          <cell r="AE11">
            <v>-238.18190433000001</v>
          </cell>
          <cell r="AJ11">
            <v>-362.68015957</v>
          </cell>
          <cell r="AO11">
            <v>-589.17146577999995</v>
          </cell>
          <cell r="AT11">
            <v>-787.58372898000005</v>
          </cell>
          <cell r="AY11">
            <v>-1198.5440272498063</v>
          </cell>
          <cell r="BD11">
            <v>-1950.3687209593213</v>
          </cell>
          <cell r="BI11">
            <v>-2800.0126299280914</v>
          </cell>
          <cell r="BN11">
            <v>-3876.5221198818012</v>
          </cell>
          <cell r="BS11">
            <v>-4898.0967600125196</v>
          </cell>
          <cell r="BX11">
            <v>-5789.0488946785417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-30.424841219999998</v>
          </cell>
          <cell r="R12">
            <v>-30.735141069999997</v>
          </cell>
          <cell r="S12">
            <v>-30.43567792</v>
          </cell>
          <cell r="T12">
            <v>-43.755671269999993</v>
          </cell>
          <cell r="U12">
            <v>-76.036322139999996</v>
          </cell>
          <cell r="V12">
            <v>-34.071344259999996</v>
          </cell>
          <cell r="W12">
            <v>-38.965258309999996</v>
          </cell>
          <cell r="X12">
            <v>-40.78135185</v>
          </cell>
          <cell r="Y12">
            <v>-50.034409610000012</v>
          </cell>
          <cell r="Z12">
            <v>-101.42310028</v>
          </cell>
          <cell r="AE12">
            <v>-138.3742732</v>
          </cell>
          <cell r="AJ12">
            <v>-203.78864164999993</v>
          </cell>
          <cell r="AO12">
            <v>-265.26587710999996</v>
          </cell>
          <cell r="AT12">
            <v>151.35627917000011</v>
          </cell>
          <cell r="AY12">
            <v>-588.7928078761372</v>
          </cell>
          <cell r="BD12">
            <v>-933.49202863795233</v>
          </cell>
          <cell r="BI12">
            <v>-1378.8360565343128</v>
          </cell>
          <cell r="BN12">
            <v>-1907.9634525414926</v>
          </cell>
          <cell r="BS12">
            <v>-2420.7103726471564</v>
          </cell>
          <cell r="BX12">
            <v>-2855.0911610700391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-69.095403540000007</v>
          </cell>
          <cell r="R13">
            <v>-131.58376536</v>
          </cell>
          <cell r="S13">
            <v>-148.87288912999998</v>
          </cell>
          <cell r="T13">
            <v>-176.26867053000001</v>
          </cell>
          <cell r="U13">
            <v>-212.19044789999998</v>
          </cell>
          <cell r="V13">
            <v>-53.958254439999997</v>
          </cell>
          <cell r="W13">
            <v>-80.07971006999999</v>
          </cell>
          <cell r="X13">
            <v>-73.338731270000011</v>
          </cell>
          <cell r="Y13">
            <v>-144.51350997</v>
          </cell>
          <cell r="Z13">
            <v>-289.46094199999999</v>
          </cell>
          <cell r="AE13">
            <v>-376.55617753000001</v>
          </cell>
          <cell r="AJ13">
            <v>-566.46880121999993</v>
          </cell>
          <cell r="AO13">
            <v>-854.43734288999985</v>
          </cell>
          <cell r="AT13">
            <v>-636.22744980999994</v>
          </cell>
          <cell r="AY13">
            <v>-1787.3368351259435</v>
          </cell>
          <cell r="BD13">
            <v>-2883.8607495972738</v>
          </cell>
          <cell r="BI13">
            <v>-4178.8486864624047</v>
          </cell>
          <cell r="BN13">
            <v>-5784.4855724232939</v>
          </cell>
          <cell r="BS13">
            <v>-7318.8071326596764</v>
          </cell>
          <cell r="BX13">
            <v>-8644.1400557485813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Q14">
            <v>0</v>
          </cell>
          <cell r="R14">
            <v>0</v>
          </cell>
          <cell r="S14">
            <v>-16.365500000000001</v>
          </cell>
          <cell r="T14">
            <v>-21.283100000000001</v>
          </cell>
          <cell r="U14">
            <v>-45.167140360000005</v>
          </cell>
          <cell r="Z14">
            <v>-62.429263749999997</v>
          </cell>
          <cell r="AE14">
            <v>-75.96649124999999</v>
          </cell>
          <cell r="AJ14">
            <v>-103.22157700000002</v>
          </cell>
          <cell r="AO14">
            <v>-192.09591624000001</v>
          </cell>
          <cell r="AT14">
            <v>-315.2086432000001</v>
          </cell>
          <cell r="AY14">
            <v>-433.57720466951315</v>
          </cell>
          <cell r="BD14">
            <v>-715.21747959623156</v>
          </cell>
          <cell r="BI14">
            <v>-1086.9311329764323</v>
          </cell>
          <cell r="BN14">
            <v>-1476.305917477187</v>
          </cell>
          <cell r="BS14">
            <v>-1838.7764021974931</v>
          </cell>
          <cell r="BX14">
            <v>-2129.3499947933428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E15">
            <v>0</v>
          </cell>
          <cell r="AJ15">
            <v>0</v>
          </cell>
          <cell r="AO15">
            <v>0</v>
          </cell>
          <cell r="AT15">
            <v>0</v>
          </cell>
          <cell r="AY15">
            <v>0</v>
          </cell>
          <cell r="BD15">
            <v>0</v>
          </cell>
          <cell r="BI15">
            <v>0</v>
          </cell>
          <cell r="BN15">
            <v>0</v>
          </cell>
          <cell r="BS15">
            <v>0</v>
          </cell>
          <cell r="BX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-69.095403540000007</v>
          </cell>
          <cell r="R16">
            <v>-131.58376536</v>
          </cell>
          <cell r="S16">
            <v>-165.23838912999997</v>
          </cell>
          <cell r="T16">
            <v>-197.55177052999997</v>
          </cell>
          <cell r="U16">
            <v>-257.35758826</v>
          </cell>
          <cell r="V16">
            <v>-53.958254439999997</v>
          </cell>
          <cell r="W16">
            <v>-80.07971006999999</v>
          </cell>
          <cell r="X16">
            <v>-73.338731270000011</v>
          </cell>
          <cell r="Y16">
            <v>-171.75622530999999</v>
          </cell>
          <cell r="Z16">
            <v>-351.89020575000001</v>
          </cell>
          <cell r="AE16">
            <v>-452.52266878</v>
          </cell>
          <cell r="AJ16">
            <v>-669.69037822000007</v>
          </cell>
          <cell r="AO16">
            <v>-1046.5332591299998</v>
          </cell>
          <cell r="AT16">
            <v>-951.43609301000004</v>
          </cell>
          <cell r="AY16">
            <v>-2220.9140397954566</v>
          </cell>
          <cell r="BD16">
            <v>-3599.0782291935056</v>
          </cell>
          <cell r="BI16">
            <v>-5265.779819438837</v>
          </cell>
          <cell r="BN16">
            <v>-7260.7914899004818</v>
          </cell>
          <cell r="BS16">
            <v>-9157.5835348571691</v>
          </cell>
          <cell r="BX16">
            <v>-10773.490050541923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-69.095403540000007</v>
          </cell>
          <cell r="R17">
            <v>-131.58376536</v>
          </cell>
          <cell r="S17">
            <v>-165.23838912999997</v>
          </cell>
          <cell r="T17">
            <v>-185.61078011999999</v>
          </cell>
          <cell r="U17">
            <v>-238.45604829000001</v>
          </cell>
          <cell r="V17">
            <v>-53.958254439999997</v>
          </cell>
          <cell r="W17">
            <v>-80.07971006999999</v>
          </cell>
          <cell r="X17">
            <v>-73.338731270000011</v>
          </cell>
          <cell r="Y17">
            <v>-144.51350997</v>
          </cell>
          <cell r="Z17">
            <v>-324.64749040999999</v>
          </cell>
          <cell r="AE17">
            <v>-406.22062713000003</v>
          </cell>
          <cell r="AJ17">
            <v>-607.15638615</v>
          </cell>
          <cell r="AO17">
            <v>-915.12744895999981</v>
          </cell>
          <cell r="AT17">
            <v>-756.95247399000004</v>
          </cell>
          <cell r="AY17">
            <v>-1962.7892366048513</v>
          </cell>
          <cell r="BD17">
            <v>-3244.9095687107351</v>
          </cell>
          <cell r="BI17">
            <v>-4778.4767264747798</v>
          </cell>
          <cell r="BN17">
            <v>-6602.7268695531056</v>
          </cell>
          <cell r="BS17">
            <v>-8299.9088258717784</v>
          </cell>
          <cell r="BX17">
            <v>-9683.6539350061157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12.472118269999996</v>
          </cell>
          <cell r="R18">
            <v>39.771510199999994</v>
          </cell>
          <cell r="S18">
            <v>40.571818950000051</v>
          </cell>
          <cell r="T18">
            <v>71.941360720000006</v>
          </cell>
          <cell r="U18">
            <v>68.669104609999977</v>
          </cell>
          <cell r="V18">
            <v>2.19156452</v>
          </cell>
          <cell r="W18">
            <v>20.877761030000002</v>
          </cell>
          <cell r="X18">
            <v>18.317502850000011</v>
          </cell>
          <cell r="Y18">
            <v>42.780304269999988</v>
          </cell>
          <cell r="Z18">
            <v>111.40984801000002</v>
          </cell>
          <cell r="AE18">
            <v>150.79290356000001</v>
          </cell>
          <cell r="AJ18">
            <v>176.78429756000003</v>
          </cell>
          <cell r="AO18">
            <v>338.58030182000016</v>
          </cell>
          <cell r="AT18">
            <v>1018.25813896</v>
          </cell>
          <cell r="AY18">
            <v>720.557635090649</v>
          </cell>
          <cell r="BD18">
            <v>1094.6766750603906</v>
          </cell>
          <cell r="BI18">
            <v>1687.1713238929333</v>
          </cell>
          <cell r="BN18">
            <v>2358.3523575650925</v>
          </cell>
          <cell r="BS18">
            <v>3089.1228920042868</v>
          </cell>
          <cell r="BX18">
            <v>3774.294380669473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-7.91606656</v>
          </cell>
          <cell r="U19">
            <v>-7.3222759499999999</v>
          </cell>
          <cell r="V19">
            <v>0</v>
          </cell>
          <cell r="W19">
            <v>0</v>
          </cell>
          <cell r="X19">
            <v>0</v>
          </cell>
          <cell r="Y19">
            <v>-9.6905041000000001</v>
          </cell>
          <cell r="Z19">
            <v>-9.6905041000000001</v>
          </cell>
          <cell r="AE19">
            <v>-19.952591579999996</v>
          </cell>
          <cell r="AJ19">
            <v>-26.314714800000001</v>
          </cell>
          <cell r="AO19">
            <v>-40.333606700000004</v>
          </cell>
          <cell r="AT19">
            <v>-60.02650955</v>
          </cell>
          <cell r="AY19">
            <v>-85.145108163013646</v>
          </cell>
          <cell r="BD19">
            <v>-117.64312805112951</v>
          </cell>
          <cell r="BI19">
            <v>-157.99274264706918</v>
          </cell>
          <cell r="BN19">
            <v>-202.73085277755632</v>
          </cell>
          <cell r="BS19">
            <v>-245.3755841508729</v>
          </cell>
          <cell r="BX19">
            <v>-295.76710161913678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-4.0249238500000004</v>
          </cell>
          <cell r="U20">
            <v>-11.57926402</v>
          </cell>
          <cell r="V20">
            <v>0</v>
          </cell>
          <cell r="W20">
            <v>0</v>
          </cell>
          <cell r="X20">
            <v>0</v>
          </cell>
          <cell r="Y20">
            <v>-17.552211240000002</v>
          </cell>
          <cell r="Z20">
            <v>-17.552211240000002</v>
          </cell>
          <cell r="AE20">
            <v>-26.34945007</v>
          </cell>
          <cell r="AJ20">
            <v>-36.219277269999992</v>
          </cell>
          <cell r="AO20">
            <v>-91.072203469999991</v>
          </cell>
          <cell r="AT20">
            <v>-134.45710947000001</v>
          </cell>
          <cell r="AY20">
            <v>-172.97969502759173</v>
          </cell>
          <cell r="BD20">
            <v>-236.52553243164061</v>
          </cell>
          <cell r="BI20">
            <v>-329.31035031698809</v>
          </cell>
          <cell r="BN20">
            <v>-455.33376756981943</v>
          </cell>
          <cell r="BS20">
            <v>-612.29912483451756</v>
          </cell>
          <cell r="BX20">
            <v>-794.06901391667145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12.472118269999996</v>
          </cell>
          <cell r="R21">
            <v>39.771510199999994</v>
          </cell>
          <cell r="S21">
            <v>40.571818950000051</v>
          </cell>
          <cell r="T21">
            <v>60.000370310000022</v>
          </cell>
          <cell r="U21">
            <v>49.767564639999989</v>
          </cell>
          <cell r="Z21">
            <v>84.167132670000001</v>
          </cell>
          <cell r="AA21">
            <v>12.648045909999986</v>
          </cell>
          <cell r="AB21">
            <v>26.953563280000026</v>
          </cell>
          <cell r="AC21">
            <v>19.65236462</v>
          </cell>
          <cell r="AD21">
            <v>45.236888100000002</v>
          </cell>
          <cell r="AE21">
            <v>104.49086191000004</v>
          </cell>
          <cell r="AF21">
            <v>17.949241840000006</v>
          </cell>
          <cell r="AG21">
            <v>24.095082220000023</v>
          </cell>
          <cell r="AH21">
            <v>26.14764686999996</v>
          </cell>
          <cell r="AI21">
            <v>46.058334560000077</v>
          </cell>
          <cell r="AJ21">
            <v>114.25030548999996</v>
          </cell>
          <cell r="AK21">
            <v>22.08792960000001</v>
          </cell>
          <cell r="AL21">
            <v>29.530183860000015</v>
          </cell>
          <cell r="AM21">
            <v>37.521235820000001</v>
          </cell>
          <cell r="AN21">
            <v>118.03514237</v>
          </cell>
          <cell r="AO21">
            <v>207.17449165000016</v>
          </cell>
          <cell r="AP21">
            <v>24.546475390000012</v>
          </cell>
          <cell r="AQ21">
            <v>33.33592895999999</v>
          </cell>
          <cell r="AR21">
            <v>46.099997580000149</v>
          </cell>
          <cell r="AS21">
            <v>162.90166785999983</v>
          </cell>
          <cell r="AT21">
            <v>823.77451994</v>
          </cell>
          <cell r="AU21">
            <v>28.643835369999977</v>
          </cell>
          <cell r="AV21">
            <v>51.454069019999935</v>
          </cell>
          <cell r="AW21">
            <v>107.4474124701801</v>
          </cell>
          <cell r="AX21">
            <v>274.8875150398639</v>
          </cell>
          <cell r="AY21">
            <v>462.43283190004377</v>
          </cell>
          <cell r="BD21">
            <v>740.50801457762009</v>
          </cell>
          <cell r="BI21">
            <v>1199.8682309288761</v>
          </cell>
          <cell r="BN21">
            <v>1700.2877372177163</v>
          </cell>
          <cell r="BS21">
            <v>2231.4481830188961</v>
          </cell>
          <cell r="BX21">
            <v>2684.4582651336659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1.0295775199999999</v>
          </cell>
          <cell r="U22">
            <v>5.7287251599999998</v>
          </cell>
          <cell r="Z22">
            <v>2.4427254300000003</v>
          </cell>
          <cell r="AE22">
            <v>2.9356787599999996</v>
          </cell>
          <cell r="AJ22">
            <v>12.71050816</v>
          </cell>
          <cell r="AO22">
            <v>19.974768530000002</v>
          </cell>
          <cell r="AT22">
            <v>41.807006389999998</v>
          </cell>
          <cell r="AY22">
            <v>20.224040952760003</v>
          </cell>
          <cell r="BD22">
            <v>68.536437054959919</v>
          </cell>
          <cell r="BI22">
            <v>58.250232841337521</v>
          </cell>
          <cell r="BN22">
            <v>58.250232841337521</v>
          </cell>
          <cell r="BS22">
            <v>58.250232841337521</v>
          </cell>
          <cell r="BX22">
            <v>58.250232841337521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-1.4890466100000002</v>
          </cell>
          <cell r="R23">
            <v>-3.8333374900000003</v>
          </cell>
          <cell r="S23">
            <v>-2.8954402099999998</v>
          </cell>
          <cell r="T23">
            <v>0</v>
          </cell>
          <cell r="U23">
            <v>0</v>
          </cell>
          <cell r="Z23">
            <v>0</v>
          </cell>
          <cell r="AE23">
            <v>0</v>
          </cell>
          <cell r="AJ23">
            <v>0</v>
          </cell>
          <cell r="AO23">
            <v>0</v>
          </cell>
          <cell r="AT23">
            <v>0</v>
          </cell>
          <cell r="AY23">
            <v>0</v>
          </cell>
          <cell r="BD23">
            <v>0</v>
          </cell>
          <cell r="BI23">
            <v>0</v>
          </cell>
          <cell r="BN23">
            <v>0</v>
          </cell>
          <cell r="BS23">
            <v>0</v>
          </cell>
          <cell r="BX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-1.4890466100000002</v>
          </cell>
          <cell r="R24">
            <v>-3.8333374900000003</v>
          </cell>
          <cell r="S24">
            <v>-2.8954402099999998</v>
          </cell>
          <cell r="T24">
            <v>1.0295775199999999</v>
          </cell>
          <cell r="U24">
            <v>5.7287251599999998</v>
          </cell>
          <cell r="Z24">
            <v>2.4427254300000003</v>
          </cell>
          <cell r="AE24">
            <v>2.9356787599999996</v>
          </cell>
          <cell r="AJ24">
            <v>12.71050816</v>
          </cell>
          <cell r="AO24">
            <v>19.974768530000002</v>
          </cell>
          <cell r="AT24">
            <v>41.807006389999998</v>
          </cell>
          <cell r="AY24">
            <v>20.224040952760003</v>
          </cell>
          <cell r="BD24">
            <v>68.536437054959919</v>
          </cell>
          <cell r="BI24">
            <v>58.250232841337521</v>
          </cell>
          <cell r="BN24">
            <v>58.250232841337521</v>
          </cell>
          <cell r="BS24">
            <v>58.250232841337521</v>
          </cell>
          <cell r="BX24">
            <v>58.250232841337521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Z25">
            <v>0</v>
          </cell>
          <cell r="AE25">
            <v>0</v>
          </cell>
          <cell r="AJ25">
            <v>0</v>
          </cell>
          <cell r="AO25">
            <v>0</v>
          </cell>
          <cell r="AT25">
            <v>0</v>
          </cell>
          <cell r="AY25">
            <v>0</v>
          </cell>
          <cell r="BD25">
            <v>0</v>
          </cell>
          <cell r="BI25">
            <v>0</v>
          </cell>
          <cell r="BN25">
            <v>0</v>
          </cell>
          <cell r="BS25">
            <v>0</v>
          </cell>
          <cell r="BX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E26">
            <v>0</v>
          </cell>
          <cell r="AJ26">
            <v>0</v>
          </cell>
          <cell r="AO26">
            <v>0</v>
          </cell>
          <cell r="AT26">
            <v>0</v>
          </cell>
          <cell r="AY26">
            <v>0</v>
          </cell>
          <cell r="BD26">
            <v>0</v>
          </cell>
          <cell r="BI26">
            <v>0</v>
          </cell>
          <cell r="BN26">
            <v>0</v>
          </cell>
          <cell r="BS26">
            <v>0</v>
          </cell>
          <cell r="BX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8.9049110000007703E-2</v>
          </cell>
          <cell r="R27">
            <v>1.3006776399999986</v>
          </cell>
          <cell r="S27">
            <v>17.680467789999984</v>
          </cell>
          <cell r="T27">
            <v>16.459418629999949</v>
          </cell>
          <cell r="U27">
            <v>31.898788729999989</v>
          </cell>
          <cell r="Z27">
            <v>25.373073470000033</v>
          </cell>
          <cell r="AE27">
            <v>36.312044589999971</v>
          </cell>
          <cell r="AJ27">
            <v>75.72993014000015</v>
          </cell>
          <cell r="AO27">
            <v>93.434732069999882</v>
          </cell>
          <cell r="AT27">
            <v>-431.83229630000005</v>
          </cell>
          <cell r="AY27">
            <v>161.15068108929984</v>
          </cell>
          <cell r="BD27">
            <v>184.88960654220946</v>
          </cell>
          <cell r="BI27">
            <v>213.71326223642652</v>
          </cell>
          <cell r="BN27">
            <v>329.55963321474428</v>
          </cell>
          <cell r="BS27">
            <v>398.77625543249951</v>
          </cell>
          <cell r="BX27">
            <v>458.97395292642614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11.072120770000003</v>
          </cell>
          <cell r="R28">
            <v>37.238850349999993</v>
          </cell>
          <cell r="S28">
            <v>55.356846530000034</v>
          </cell>
          <cell r="T28">
            <v>77.489366459999971</v>
          </cell>
          <cell r="U28">
            <v>87.395078529999978</v>
          </cell>
          <cell r="Z28">
            <v>111.98293157000003</v>
          </cell>
          <cell r="AE28">
            <v>143.73858526000001</v>
          </cell>
          <cell r="AJ28">
            <v>202.69074379000011</v>
          </cell>
          <cell r="AO28">
            <v>320.58399225000005</v>
          </cell>
          <cell r="AT28">
            <v>433.74923002999998</v>
          </cell>
          <cell r="AY28">
            <v>643.8075539421036</v>
          </cell>
          <cell r="BD28">
            <v>993.93405817478947</v>
          </cell>
          <cell r="BI28">
            <v>1471.8317260066401</v>
          </cell>
          <cell r="BN28">
            <v>2088.0976032737981</v>
          </cell>
          <cell r="BS28">
            <v>2688.4746712927331</v>
          </cell>
          <cell r="BX28">
            <v>3201.6824509014295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O31">
            <v>0</v>
          </cell>
          <cell r="AT31">
            <v>0</v>
          </cell>
          <cell r="AY31">
            <v>0</v>
          </cell>
          <cell r="BD31">
            <v>0</v>
          </cell>
          <cell r="BI31">
            <v>0</v>
          </cell>
          <cell r="BN31">
            <v>0</v>
          </cell>
          <cell r="BS31">
            <v>0</v>
          </cell>
          <cell r="BX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-1.4890466100000002</v>
          </cell>
          <cell r="R34">
            <v>-3.8333374900000003</v>
          </cell>
          <cell r="S34">
            <v>-2.8954402099999998</v>
          </cell>
          <cell r="T34">
            <v>0</v>
          </cell>
          <cell r="U34">
            <v>0</v>
          </cell>
          <cell r="Z34">
            <v>0</v>
          </cell>
          <cell r="AE34">
            <v>0</v>
          </cell>
          <cell r="AJ34">
            <v>0</v>
          </cell>
          <cell r="AO34">
            <v>0</v>
          </cell>
          <cell r="AT34">
            <v>0</v>
          </cell>
          <cell r="AY34">
            <v>0</v>
          </cell>
          <cell r="BD34">
            <v>0</v>
          </cell>
          <cell r="BI34">
            <v>0</v>
          </cell>
          <cell r="BN34">
            <v>0</v>
          </cell>
          <cell r="BS34">
            <v>0</v>
          </cell>
          <cell r="BX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44.511241200000001</v>
          </cell>
          <cell r="R37">
            <v>73.23962453</v>
          </cell>
          <cell r="S37">
            <v>93.23248341</v>
          </cell>
          <cell r="T37">
            <v>355.00052118000002</v>
          </cell>
          <cell r="U37">
            <v>366.29073161000002</v>
          </cell>
          <cell r="Z37">
            <v>306.12261293</v>
          </cell>
          <cell r="AE37">
            <v>659.07535571000005</v>
          </cell>
          <cell r="AJ37">
            <v>529.10201397000003</v>
          </cell>
          <cell r="AO37">
            <v>1754.69009448</v>
          </cell>
          <cell r="AT37">
            <v>1067.0087636799999</v>
          </cell>
          <cell r="AY37">
            <v>2855.6848772899966</v>
          </cell>
          <cell r="BD37">
            <v>2427.0930350557301</v>
          </cell>
          <cell r="BI37">
            <v>1903.4114950938419</v>
          </cell>
          <cell r="BN37">
            <v>1546.1251377687536</v>
          </cell>
          <cell r="BS37">
            <v>1593.9555756769287</v>
          </cell>
          <cell r="BX37">
            <v>1999.0439146374076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72.470230810000004</v>
          </cell>
          <cell r="R38">
            <v>88.466526849999994</v>
          </cell>
          <cell r="S38">
            <v>101.7836132</v>
          </cell>
          <cell r="T38">
            <v>113.09061826</v>
          </cell>
          <cell r="U38">
            <v>142.67497501</v>
          </cell>
          <cell r="Z38">
            <v>193.40666041000003</v>
          </cell>
          <cell r="AE38">
            <v>312.80662601</v>
          </cell>
          <cell r="AJ38">
            <v>475.29767036999993</v>
          </cell>
          <cell r="AO38">
            <v>788.22821091999992</v>
          </cell>
          <cell r="AT38">
            <v>1288.8555792</v>
          </cell>
          <cell r="AY38">
            <v>1911.4312730199258</v>
          </cell>
          <cell r="BD38">
            <v>3031.7756037431327</v>
          </cell>
          <cell r="BI38">
            <v>4428.5407701048271</v>
          </cell>
          <cell r="BN38">
            <v>6014.9913729406435</v>
          </cell>
          <cell r="BS38">
            <v>7488.7042978750806</v>
          </cell>
          <cell r="BX38">
            <v>8664.7370642777114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12.327531800000001</v>
          </cell>
          <cell r="R39">
            <v>22.52821625</v>
          </cell>
          <cell r="S39">
            <v>6.4795394900000005</v>
          </cell>
          <cell r="T39">
            <v>9.7786412699999996</v>
          </cell>
          <cell r="U39">
            <v>36.212879960000002</v>
          </cell>
          <cell r="Z39">
            <v>36.512838039999998</v>
          </cell>
          <cell r="AE39">
            <v>51.329430739999999</v>
          </cell>
          <cell r="AJ39">
            <v>88.066010419999998</v>
          </cell>
          <cell r="AO39">
            <v>121.68747478</v>
          </cell>
          <cell r="AT39">
            <v>180.64697163</v>
          </cell>
          <cell r="AY39">
            <v>295.53140397940427</v>
          </cell>
          <cell r="BD39">
            <v>480.91283530503813</v>
          </cell>
          <cell r="BI39">
            <v>690.41407313295406</v>
          </cell>
          <cell r="BN39">
            <v>955.85476928592357</v>
          </cell>
          <cell r="BS39">
            <v>1207.7498860304843</v>
          </cell>
          <cell r="BX39">
            <v>1427.4367137563529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2.6934295899999956</v>
          </cell>
          <cell r="R40">
            <v>0.35519549000001405</v>
          </cell>
          <cell r="S40">
            <v>1.2419850199999942</v>
          </cell>
          <cell r="T40">
            <v>32.062683209999953</v>
          </cell>
          <cell r="U40">
            <v>20.267582859999926</v>
          </cell>
          <cell r="Z40">
            <v>11.213221679999968</v>
          </cell>
          <cell r="AE40">
            <v>8.6320113100000171</v>
          </cell>
          <cell r="AJ40">
            <v>13.097969280000086</v>
          </cell>
          <cell r="AO40">
            <v>17.419040780000046</v>
          </cell>
          <cell r="AT40">
            <v>28.034688019999578</v>
          </cell>
          <cell r="AY40">
            <v>28.034688020000488</v>
          </cell>
          <cell r="BD40">
            <v>28.034688020000544</v>
          </cell>
          <cell r="BI40">
            <v>28.034688020000772</v>
          </cell>
          <cell r="BN40">
            <v>28.034688019998839</v>
          </cell>
          <cell r="BS40">
            <v>28.034688020000203</v>
          </cell>
          <cell r="BX40">
            <v>28.034688019999749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132.0024334</v>
          </cell>
          <cell r="R41">
            <v>184.58956312000001</v>
          </cell>
          <cell r="S41">
            <v>202.73762112</v>
          </cell>
          <cell r="T41">
            <v>509.93246391999998</v>
          </cell>
          <cell r="U41">
            <v>565.44616943999995</v>
          </cell>
          <cell r="Z41">
            <v>547.25533306</v>
          </cell>
          <cell r="AE41">
            <v>1031.8434237700001</v>
          </cell>
          <cell r="AJ41">
            <v>1105.56366404</v>
          </cell>
          <cell r="AO41">
            <v>2682.0248209599999</v>
          </cell>
          <cell r="AT41">
            <v>2564.5460025299994</v>
          </cell>
          <cell r="AY41">
            <v>5090.6822423093272</v>
          </cell>
          <cell r="BD41">
            <v>5967.8161621239014</v>
          </cell>
          <cell r="BI41">
            <v>7050.4010263516238</v>
          </cell>
          <cell r="BN41">
            <v>8545.005968015319</v>
          </cell>
          <cell r="BS41">
            <v>10318.444447602493</v>
          </cell>
          <cell r="BX41">
            <v>12119.252380691472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26.727039640000001</v>
          </cell>
          <cell r="R42">
            <v>27.86299683</v>
          </cell>
          <cell r="S42">
            <v>46.526115539999999</v>
          </cell>
          <cell r="T42">
            <v>69.099430030000008</v>
          </cell>
          <cell r="U42">
            <v>111.1161614</v>
          </cell>
          <cell r="Z42">
            <v>226.73777235</v>
          </cell>
          <cell r="AE42">
            <v>243.78371622000003</v>
          </cell>
          <cell r="AJ42">
            <v>343.66951596000001</v>
          </cell>
          <cell r="AO42">
            <v>663.81153130999996</v>
          </cell>
          <cell r="AT42">
            <v>961.86862831000008</v>
          </cell>
          <cell r="AY42">
            <v>1364.3706590643253</v>
          </cell>
          <cell r="BD42">
            <v>1885.1210083168601</v>
          </cell>
          <cell r="BI42">
            <v>2531.6858133536311</v>
          </cell>
          <cell r="BN42">
            <v>3248.5721515230875</v>
          </cell>
          <cell r="BS42">
            <v>3931.9140545956516</v>
          </cell>
          <cell r="BX42">
            <v>4739.3909535361863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-23.196250600000003</v>
          </cell>
          <cell r="U43">
            <v>-29.509659129999999</v>
          </cell>
          <cell r="Z43">
            <v>-38.425759970000001</v>
          </cell>
          <cell r="AE43">
            <v>-55.887049009999998</v>
          </cell>
          <cell r="AJ43">
            <v>-80.666196200000002</v>
          </cell>
          <cell r="AO43">
            <v>-134.20652748999998</v>
          </cell>
          <cell r="AT43">
            <v>-195.05128316</v>
          </cell>
          <cell r="AY43">
            <v>-280.19639132301364</v>
          </cell>
          <cell r="BD43">
            <v>-397.83951937414315</v>
          </cell>
          <cell r="BI43">
            <v>-555.83226202121227</v>
          </cell>
          <cell r="BN43">
            <v>-758.56311479876854</v>
          </cell>
          <cell r="BS43">
            <v>-1003.9386989496414</v>
          </cell>
          <cell r="BX43">
            <v>-1299.7058005687782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26.727039640000001</v>
          </cell>
          <cell r="R44">
            <v>27.86299683</v>
          </cell>
          <cell r="S44">
            <v>46.526115539999999</v>
          </cell>
          <cell r="T44">
            <v>45.903179430000009</v>
          </cell>
          <cell r="U44">
            <v>81.606502269999993</v>
          </cell>
          <cell r="Z44">
            <v>188.31201238</v>
          </cell>
          <cell r="AE44">
            <v>187.89666721000003</v>
          </cell>
          <cell r="AJ44">
            <v>263.00331976000001</v>
          </cell>
          <cell r="AO44">
            <v>529.60500381999998</v>
          </cell>
          <cell r="AT44">
            <v>766.81734515000005</v>
          </cell>
          <cell r="AY44">
            <v>1084.1742677413117</v>
          </cell>
          <cell r="BD44">
            <v>1487.2814889427168</v>
          </cell>
          <cell r="BI44">
            <v>1975.8535513324189</v>
          </cell>
          <cell r="BN44">
            <v>2490.0090367243192</v>
          </cell>
          <cell r="BS44">
            <v>2927.97535564601</v>
          </cell>
          <cell r="BX44">
            <v>3439.6851529674082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5.40807532</v>
          </cell>
          <cell r="R45">
            <v>5.6337620800000003</v>
          </cell>
          <cell r="S45">
            <v>19.301997239999999</v>
          </cell>
          <cell r="T45">
            <v>47.149565350000003</v>
          </cell>
          <cell r="U45">
            <v>86.708309159999999</v>
          </cell>
          <cell r="Z45">
            <v>134.99300958000001</v>
          </cell>
          <cell r="AE45">
            <v>216.35611690000002</v>
          </cell>
          <cell r="AJ45">
            <v>498.54782094000001</v>
          </cell>
          <cell r="AO45">
            <v>1177.4373886800001</v>
          </cell>
          <cell r="AT45">
            <v>1585.5327940399998</v>
          </cell>
          <cell r="AY45">
            <v>1898.2882758845637</v>
          </cell>
          <cell r="BD45">
            <v>2414.2014397818139</v>
          </cell>
          <cell r="BI45">
            <v>3167.4987588885056</v>
          </cell>
          <cell r="BN45">
            <v>4190.652163991148</v>
          </cell>
          <cell r="BS45">
            <v>5465.0156376170826</v>
          </cell>
          <cell r="BX45">
            <v>6940.7610586956162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-9.0888122200000012</v>
          </cell>
          <cell r="U46">
            <v>-12.57681816</v>
          </cell>
          <cell r="Z46">
            <v>-29.702264120000002</v>
          </cell>
          <cell r="AE46">
            <v>-54.020726840000002</v>
          </cell>
          <cell r="AJ46">
            <v>-70.81440662</v>
          </cell>
          <cell r="AO46">
            <v>-161.04180102000001</v>
          </cell>
          <cell r="AT46">
            <v>-293.32787704999998</v>
          </cell>
          <cell r="AY46">
            <v>-466.30757207759171</v>
          </cell>
          <cell r="BD46">
            <v>-702.83310450923227</v>
          </cell>
          <cell r="BI46">
            <v>-1032.1434548262205</v>
          </cell>
          <cell r="BN46">
            <v>-1487.4772223960399</v>
          </cell>
          <cell r="BS46">
            <v>-2099.7763472305573</v>
          </cell>
          <cell r="BX46">
            <v>-2893.8453611472287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5.40807532</v>
          </cell>
          <cell r="R47">
            <v>5.6337620800000003</v>
          </cell>
          <cell r="S47">
            <v>19.301997239999999</v>
          </cell>
          <cell r="T47">
            <v>38.060753130000002</v>
          </cell>
          <cell r="U47">
            <v>74.131490999999997</v>
          </cell>
          <cell r="Z47">
            <v>105.29074546000001</v>
          </cell>
          <cell r="AE47">
            <v>162.33539006000001</v>
          </cell>
          <cell r="AJ47">
            <v>427.73341432000001</v>
          </cell>
          <cell r="AO47">
            <v>1016.3955876600002</v>
          </cell>
          <cell r="AT47">
            <v>1292.2049169899997</v>
          </cell>
          <cell r="AY47">
            <v>1431.9807038069721</v>
          </cell>
          <cell r="BD47">
            <v>1711.3683352725816</v>
          </cell>
          <cell r="BI47">
            <v>2135.3553040622851</v>
          </cell>
          <cell r="BN47">
            <v>2703.1749415951081</v>
          </cell>
          <cell r="BS47">
            <v>3365.2392903865252</v>
          </cell>
          <cell r="BX47">
            <v>4046.9156975483875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2.4887962000000003</v>
          </cell>
          <cell r="R49">
            <v>0.22942704999999999</v>
          </cell>
          <cell r="S49">
            <v>0</v>
          </cell>
          <cell r="T49">
            <v>0.42038601000000003</v>
          </cell>
          <cell r="U49">
            <v>2.7288515699999998</v>
          </cell>
          <cell r="Z49">
            <v>14.68380477</v>
          </cell>
          <cell r="AE49">
            <v>36.321705399999999</v>
          </cell>
          <cell r="AJ49">
            <v>38.455062660000003</v>
          </cell>
          <cell r="AO49">
            <v>55.58502489</v>
          </cell>
          <cell r="AT49">
            <v>166.74107865000002</v>
          </cell>
          <cell r="AY49">
            <v>166.74107865000002</v>
          </cell>
          <cell r="BD49">
            <v>166.74107865000002</v>
          </cell>
          <cell r="BI49">
            <v>166.74107865000002</v>
          </cell>
          <cell r="BN49">
            <v>166.74107865000002</v>
          </cell>
          <cell r="BS49">
            <v>166.74107865000002</v>
          </cell>
          <cell r="BX49">
            <v>166.74107865000002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1.0842075399999986</v>
          </cell>
          <cell r="R50">
            <v>1.1294158899999989</v>
          </cell>
          <cell r="S50">
            <v>1.9231614500000092</v>
          </cell>
          <cell r="T50">
            <v>2.4096135899999864</v>
          </cell>
          <cell r="U50">
            <v>4.3064922099999059</v>
          </cell>
          <cell r="Z50">
            <v>9.5321660700001534</v>
          </cell>
          <cell r="AE50">
            <v>12.806070439999914</v>
          </cell>
          <cell r="AJ50">
            <v>18.625509180000286</v>
          </cell>
          <cell r="AO50">
            <v>43.917002429999457</v>
          </cell>
          <cell r="AT50">
            <v>379.58656434000017</v>
          </cell>
          <cell r="AY50">
            <v>379.58656434000017</v>
          </cell>
          <cell r="BD50">
            <v>379.58656434000062</v>
          </cell>
          <cell r="BI50">
            <v>379.58656434000017</v>
          </cell>
          <cell r="BN50">
            <v>379.58656434000062</v>
          </cell>
          <cell r="BS50">
            <v>379.58656434000108</v>
          </cell>
          <cell r="BX50">
            <v>379.58656433999971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167.7105521</v>
          </cell>
          <cell r="R51">
            <v>219.44516497000001</v>
          </cell>
          <cell r="S51">
            <v>270.48889535000001</v>
          </cell>
          <cell r="T51">
            <v>596.72639607999997</v>
          </cell>
          <cell r="U51">
            <v>728.21950648999984</v>
          </cell>
          <cell r="Z51">
            <v>865.07406174000016</v>
          </cell>
          <cell r="AE51">
            <v>1431.20325688</v>
          </cell>
          <cell r="AJ51">
            <v>1853.3809699600004</v>
          </cell>
          <cell r="AO51">
            <v>4327.5274397599997</v>
          </cell>
          <cell r="AT51">
            <v>5169.8959076599995</v>
          </cell>
          <cell r="AY51">
            <v>8153.1648568476112</v>
          </cell>
          <cell r="BD51">
            <v>9712.7936293292005</v>
          </cell>
          <cell r="BI51">
            <v>11707.937524736328</v>
          </cell>
          <cell r="BN51">
            <v>14284.517589324747</v>
          </cell>
          <cell r="BS51">
            <v>17157.986736625029</v>
          </cell>
          <cell r="BX51">
            <v>20152.180874197267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21.16937948</v>
          </cell>
          <cell r="R52">
            <v>20.30004787</v>
          </cell>
          <cell r="S52">
            <v>39.475269909999994</v>
          </cell>
          <cell r="T52">
            <v>34.494775160000003</v>
          </cell>
          <cell r="U52">
            <v>59.117944750000007</v>
          </cell>
          <cell r="Z52">
            <v>122.00855874</v>
          </cell>
          <cell r="AE52">
            <v>175.75753794000002</v>
          </cell>
          <cell r="AJ52">
            <v>276.07101305000003</v>
          </cell>
          <cell r="AO52">
            <v>605.23643172999994</v>
          </cell>
          <cell r="AT52">
            <v>899.48564320999992</v>
          </cell>
          <cell r="AY52">
            <v>1368.836233656717</v>
          </cell>
          <cell r="BD52">
            <v>2227.4821062400461</v>
          </cell>
          <cell r="BI52">
            <v>3197.8455988276896</v>
          </cell>
          <cell r="BN52">
            <v>4427.3083154416217</v>
          </cell>
          <cell r="BS52">
            <v>5594.030898010793</v>
          </cell>
          <cell r="BX52">
            <v>6611.5717948463334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40</v>
          </cell>
          <cell r="R53">
            <v>48</v>
          </cell>
          <cell r="S53">
            <v>43</v>
          </cell>
          <cell r="T53">
            <v>5</v>
          </cell>
          <cell r="U53">
            <v>38</v>
          </cell>
          <cell r="Z53">
            <v>19.8</v>
          </cell>
          <cell r="AE53">
            <v>0</v>
          </cell>
          <cell r="AJ53">
            <v>0</v>
          </cell>
          <cell r="AO53">
            <v>9.5413701399999997</v>
          </cell>
          <cell r="AT53">
            <v>9</v>
          </cell>
          <cell r="AY53">
            <v>9</v>
          </cell>
          <cell r="BD53">
            <v>9</v>
          </cell>
          <cell r="BI53">
            <v>9</v>
          </cell>
          <cell r="BN53">
            <v>9</v>
          </cell>
          <cell r="BS53">
            <v>9</v>
          </cell>
          <cell r="BX53">
            <v>9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2.4278052599999995</v>
          </cell>
          <cell r="R54">
            <v>4.4886693699999967</v>
          </cell>
          <cell r="S54">
            <v>4.2448171300000013</v>
          </cell>
          <cell r="T54">
            <v>8.0259425899999997</v>
          </cell>
          <cell r="U54">
            <v>8.8355894500000005</v>
          </cell>
          <cell r="Z54">
            <v>27.824096419999986</v>
          </cell>
          <cell r="AE54">
            <v>36.714711809999983</v>
          </cell>
          <cell r="AJ54">
            <v>50.506101300000012</v>
          </cell>
          <cell r="AO54">
            <v>99.265276750000027</v>
          </cell>
          <cell r="AT54">
            <v>167.4343895400001</v>
          </cell>
          <cell r="AY54">
            <v>191.13380695739488</v>
          </cell>
          <cell r="BD54">
            <v>291.66991329336633</v>
          </cell>
          <cell r="BI54">
            <v>431.70000434824078</v>
          </cell>
          <cell r="BN54">
            <v>582.39129540771319</v>
          </cell>
          <cell r="BS54">
            <v>748.71123206951688</v>
          </cell>
          <cell r="BX54">
            <v>890.88302700584791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63.597184740000003</v>
          </cell>
          <cell r="R55">
            <v>72.788717239999997</v>
          </cell>
          <cell r="S55">
            <v>86.720087039999996</v>
          </cell>
          <cell r="T55">
            <v>47.520717750000003</v>
          </cell>
          <cell r="U55">
            <v>105.95353420000001</v>
          </cell>
          <cell r="Z55">
            <v>169.63265515999998</v>
          </cell>
          <cell r="AE55">
            <v>212.47224975</v>
          </cell>
          <cell r="AJ55">
            <v>326.57711435000004</v>
          </cell>
          <cell r="AO55">
            <v>714.04307861999996</v>
          </cell>
          <cell r="AT55">
            <v>1075.92003275</v>
          </cell>
          <cell r="AY55">
            <v>1568.9700406141119</v>
          </cell>
          <cell r="BD55">
            <v>2528.1520195334124</v>
          </cell>
          <cell r="BI55">
            <v>3638.5456031759304</v>
          </cell>
          <cell r="BN55">
            <v>5018.6996108493349</v>
          </cell>
          <cell r="BS55">
            <v>6351.7421300803098</v>
          </cell>
          <cell r="BX55">
            <v>7511.4548218521813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3</v>
          </cell>
          <cell r="S56">
            <v>0</v>
          </cell>
          <cell r="T56">
            <v>0</v>
          </cell>
          <cell r="U56">
            <v>0</v>
          </cell>
          <cell r="Z56">
            <v>0</v>
          </cell>
          <cell r="AE56">
            <v>0</v>
          </cell>
          <cell r="AJ56">
            <v>3</v>
          </cell>
          <cell r="AO56">
            <v>0</v>
          </cell>
          <cell r="AT56">
            <v>0</v>
          </cell>
          <cell r="AY56">
            <v>0</v>
          </cell>
          <cell r="BD56">
            <v>0</v>
          </cell>
          <cell r="BI56">
            <v>0</v>
          </cell>
          <cell r="BN56">
            <v>0</v>
          </cell>
          <cell r="BS56">
            <v>0</v>
          </cell>
          <cell r="BX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10.576555150000001</v>
          </cell>
          <cell r="R57">
            <v>16.81056444</v>
          </cell>
          <cell r="S57">
            <v>11.78301098</v>
          </cell>
          <cell r="T57">
            <v>18.80762593</v>
          </cell>
          <cell r="U57">
            <v>23.229388649999997</v>
          </cell>
          <cell r="Z57">
            <v>33.977243979999997</v>
          </cell>
          <cell r="AE57">
            <v>32.946100909999998</v>
          </cell>
          <cell r="AJ57">
            <v>41.07175762</v>
          </cell>
          <cell r="AO57">
            <v>152.43179019999999</v>
          </cell>
          <cell r="AT57">
            <v>192.55668764999999</v>
          </cell>
          <cell r="AY57">
            <v>192.55668764999999</v>
          </cell>
          <cell r="BD57">
            <v>192.55668764999999</v>
          </cell>
          <cell r="BI57">
            <v>192.55668764999999</v>
          </cell>
          <cell r="BN57">
            <v>192.55668764999999</v>
          </cell>
          <cell r="BS57">
            <v>192.55668764999999</v>
          </cell>
          <cell r="BX57">
            <v>192.55668764999999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10.576555150000001</v>
          </cell>
          <cell r="R58">
            <v>19.81056444</v>
          </cell>
          <cell r="S58">
            <v>11.78301098</v>
          </cell>
          <cell r="T58">
            <v>18.80762593</v>
          </cell>
          <cell r="U58">
            <v>23.229388649999997</v>
          </cell>
          <cell r="Z58">
            <v>33.977243979999997</v>
          </cell>
          <cell r="AE58">
            <v>32.946100909999998</v>
          </cell>
          <cell r="AJ58">
            <v>44.07175762</v>
          </cell>
          <cell r="AO58">
            <v>152.43179019999999</v>
          </cell>
          <cell r="AT58">
            <v>192.55668764999999</v>
          </cell>
          <cell r="AY58">
            <v>192.55668764999999</v>
          </cell>
          <cell r="BD58">
            <v>192.55668764999999</v>
          </cell>
          <cell r="BI58">
            <v>192.55668764999999</v>
          </cell>
          <cell r="BN58">
            <v>192.55668764999999</v>
          </cell>
          <cell r="BS58">
            <v>192.55668764999999</v>
          </cell>
          <cell r="BX58">
            <v>192.55668764999999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74.173739890000007</v>
          </cell>
          <cell r="R59">
            <v>92.59928167999999</v>
          </cell>
          <cell r="S59">
            <v>98.503098019999996</v>
          </cell>
          <cell r="T59">
            <v>66.328343680000003</v>
          </cell>
          <cell r="U59">
            <v>129.18292285000001</v>
          </cell>
          <cell r="Z59">
            <v>203.60989913999998</v>
          </cell>
          <cell r="AE59">
            <v>245.41835065999999</v>
          </cell>
          <cell r="AJ59">
            <v>370.64887197000007</v>
          </cell>
          <cell r="AO59">
            <v>866.47486881999998</v>
          </cell>
          <cell r="AT59">
            <v>1268.4767204</v>
          </cell>
          <cell r="AY59">
            <v>1761.5267282641119</v>
          </cell>
          <cell r="BD59">
            <v>2720.7087071834126</v>
          </cell>
          <cell r="BI59">
            <v>3831.1022908259306</v>
          </cell>
          <cell r="BN59">
            <v>5211.2562984993347</v>
          </cell>
          <cell r="BS59">
            <v>6544.2988177303096</v>
          </cell>
          <cell r="BX59">
            <v>7704.0115095021811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Z60">
            <v>0</v>
          </cell>
          <cell r="AE60">
            <v>0</v>
          </cell>
          <cell r="AJ60">
            <v>0</v>
          </cell>
          <cell r="AO60">
            <v>0</v>
          </cell>
          <cell r="AT60">
            <v>0</v>
          </cell>
          <cell r="AY60">
            <v>0</v>
          </cell>
          <cell r="BD60">
            <v>0</v>
          </cell>
          <cell r="BI60">
            <v>0</v>
          </cell>
          <cell r="BN60">
            <v>0</v>
          </cell>
          <cell r="BS60">
            <v>0</v>
          </cell>
          <cell r="BX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91.491114980000006</v>
          </cell>
          <cell r="R61">
            <v>126.84588329</v>
          </cell>
          <cell r="S61">
            <v>169.38517163</v>
          </cell>
          <cell r="T61">
            <v>530.39805239999998</v>
          </cell>
          <cell r="U61">
            <v>583.87641056000007</v>
          </cell>
          <cell r="Z61">
            <v>652.86585320000006</v>
          </cell>
          <cell r="AE61">
            <v>1176.5634750499999</v>
          </cell>
          <cell r="AJ61">
            <v>1344.5112634699999</v>
          </cell>
          <cell r="AO61">
            <v>3310.5569594300005</v>
          </cell>
          <cell r="AT61">
            <v>3706.6276464299999</v>
          </cell>
          <cell r="AY61">
            <v>6190.653510343499</v>
          </cell>
          <cell r="BD61">
            <v>6774.843816145788</v>
          </cell>
          <cell r="BI61">
            <v>7643.3376401503974</v>
          </cell>
          <cell r="BN61">
            <v>8817.780449033331</v>
          </cell>
          <cell r="BS61">
            <v>10329.90312932053</v>
          </cell>
          <cell r="BX61">
            <v>12130.677635690587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2.04569723</v>
          </cell>
          <cell r="R62">
            <v>0</v>
          </cell>
          <cell r="S62">
            <v>2.6006257000000002</v>
          </cell>
          <cell r="T62">
            <v>0</v>
          </cell>
          <cell r="U62">
            <v>15.16017308</v>
          </cell>
          <cell r="Z62">
            <v>8.5983093999999998</v>
          </cell>
          <cell r="AE62">
            <v>9.2214311700000007</v>
          </cell>
          <cell r="AJ62">
            <v>138.22083452000001</v>
          </cell>
          <cell r="AO62">
            <v>150.49561151</v>
          </cell>
          <cell r="AT62">
            <v>194.79154083</v>
          </cell>
          <cell r="AY62">
            <v>200.98461824</v>
          </cell>
          <cell r="BD62">
            <v>217.241106</v>
          </cell>
          <cell r="BI62">
            <v>233.49759376</v>
          </cell>
          <cell r="BN62">
            <v>255.4808417920828</v>
          </cell>
          <cell r="BS62">
            <v>283.78478957418793</v>
          </cell>
          <cell r="BX62">
            <v>317.49172900450151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93.536812210000008</v>
          </cell>
          <cell r="R63">
            <v>126.84588329</v>
          </cell>
          <cell r="S63">
            <v>171.98579733</v>
          </cell>
          <cell r="T63">
            <v>530.39805239999998</v>
          </cell>
          <cell r="U63">
            <v>599.03658364000012</v>
          </cell>
          <cell r="Z63">
            <v>661.46416260000001</v>
          </cell>
          <cell r="AE63">
            <v>1185.7849062199998</v>
          </cell>
          <cell r="AJ63">
            <v>1482.7320979899998</v>
          </cell>
          <cell r="AO63">
            <v>3461.0525709400004</v>
          </cell>
          <cell r="AT63">
            <v>3901.4191872599999</v>
          </cell>
          <cell r="AY63">
            <v>6391.6381285834987</v>
          </cell>
          <cell r="BD63">
            <v>6992.0849221457884</v>
          </cell>
          <cell r="BI63">
            <v>7876.8352339103976</v>
          </cell>
          <cell r="BN63">
            <v>9073.2612908254141</v>
          </cell>
          <cell r="BS63">
            <v>10613.687918894717</v>
          </cell>
          <cell r="BX63">
            <v>12448.169364695088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167.71055210000003</v>
          </cell>
          <cell r="R64">
            <v>219.44516497000001</v>
          </cell>
          <cell r="S64">
            <v>270.48889535000001</v>
          </cell>
          <cell r="T64">
            <v>596.72639607999997</v>
          </cell>
          <cell r="U64">
            <v>728.21950649000019</v>
          </cell>
          <cell r="Z64">
            <v>865.07406173999993</v>
          </cell>
          <cell r="AE64">
            <v>1431.2032568799998</v>
          </cell>
          <cell r="AJ64">
            <v>1853.3809699599999</v>
          </cell>
          <cell r="AO64">
            <v>4327.5274397600006</v>
          </cell>
          <cell r="AT64">
            <v>5169.8959076600004</v>
          </cell>
          <cell r="AY64">
            <v>8153.1648568476103</v>
          </cell>
          <cell r="BD64">
            <v>9712.7936293292005</v>
          </cell>
          <cell r="BI64">
            <v>11707.937524736328</v>
          </cell>
          <cell r="BN64">
            <v>14284.517589324749</v>
          </cell>
          <cell r="BS64">
            <v>17157.986736625026</v>
          </cell>
          <cell r="BX64">
            <v>20152.180874197271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-4.5112412000000006</v>
          </cell>
          <cell r="R66">
            <v>-22.23962453</v>
          </cell>
          <cell r="S66">
            <v>-50.23248341</v>
          </cell>
          <cell r="T66">
            <v>-350.00052118000002</v>
          </cell>
          <cell r="U66">
            <v>-328.29073161000002</v>
          </cell>
          <cell r="Z66">
            <v>-286.32261292999999</v>
          </cell>
          <cell r="AE66">
            <v>-659.07535571000005</v>
          </cell>
          <cell r="AJ66">
            <v>-526.10201397000003</v>
          </cell>
          <cell r="AO66">
            <v>-1745.1487243399999</v>
          </cell>
          <cell r="AT66">
            <v>-1058.0087636799999</v>
          </cell>
          <cell r="AY66">
            <v>-2846.6848772899966</v>
          </cell>
          <cell r="BD66">
            <v>-2418.0930350557301</v>
          </cell>
          <cell r="BI66">
            <v>-1894.4114950938419</v>
          </cell>
          <cell r="BN66">
            <v>-1537.1251377687536</v>
          </cell>
          <cell r="BS66">
            <v>-1584.9555756769287</v>
          </cell>
          <cell r="BX66">
            <v>-1990.0439146374076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Z67">
            <v>0</v>
          </cell>
          <cell r="AE67">
            <v>0</v>
          </cell>
          <cell r="AJ67">
            <v>0</v>
          </cell>
          <cell r="AO67">
            <v>0</v>
          </cell>
          <cell r="AT67">
            <v>0</v>
          </cell>
          <cell r="AY67">
            <v>0</v>
          </cell>
          <cell r="BD67">
            <v>0</v>
          </cell>
          <cell r="BI67">
            <v>0</v>
          </cell>
          <cell r="BN67">
            <v>0</v>
          </cell>
          <cell r="BS67">
            <v>0</v>
          </cell>
          <cell r="BX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Z69">
            <v>0</v>
          </cell>
          <cell r="AE69">
            <v>0</v>
          </cell>
          <cell r="AJ69">
            <v>0</v>
          </cell>
          <cell r="AO69">
            <v>0</v>
          </cell>
          <cell r="AT69">
            <v>0</v>
          </cell>
          <cell r="AY69">
            <v>0</v>
          </cell>
          <cell r="BD69">
            <v>0</v>
          </cell>
          <cell r="BI69">
            <v>0</v>
          </cell>
          <cell r="BN69">
            <v>0</v>
          </cell>
          <cell r="BS69">
            <v>0</v>
          </cell>
          <cell r="BX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F71" t="e">
            <v>#VALUE!</v>
          </cell>
          <cell r="G71" t="e">
            <v>#VALUE!</v>
          </cell>
          <cell r="H71" t="e">
            <v>#VALUE!</v>
          </cell>
          <cell r="I71" t="e">
            <v>#VALUE!</v>
          </cell>
          <cell r="J71" t="e">
            <v>#VALUE!</v>
          </cell>
          <cell r="K71" t="e">
            <v>#VALUE!</v>
          </cell>
          <cell r="L71" t="e">
            <v>#VALUE!</v>
          </cell>
          <cell r="M71" t="e">
            <v>#VALUE!</v>
          </cell>
          <cell r="N71" t="e">
            <v>#VALUE!</v>
          </cell>
          <cell r="O71" t="e">
            <v>#VALUE!</v>
          </cell>
          <cell r="P71" t="e">
            <v>#VALUE!</v>
          </cell>
          <cell r="Q71">
            <v>3.7226165250000005E-2</v>
          </cell>
          <cell r="R71">
            <v>7.5163480196078436E-2</v>
          </cell>
          <cell r="S71">
            <v>6.7335818837209294E-2</v>
          </cell>
          <cell r="T71">
            <v>0</v>
          </cell>
          <cell r="U71">
            <v>0</v>
          </cell>
          <cell r="Z71">
            <v>0</v>
          </cell>
          <cell r="AE71" t="e">
            <v>#VALUE!</v>
          </cell>
          <cell r="AJ71">
            <v>0</v>
          </cell>
          <cell r="AO71">
            <v>0</v>
          </cell>
          <cell r="AT71">
            <v>0</v>
          </cell>
          <cell r="AY71">
            <v>0</v>
          </cell>
          <cell r="BD71">
            <v>0</v>
          </cell>
          <cell r="BI71">
            <v>0</v>
          </cell>
          <cell r="BN71">
            <v>0</v>
          </cell>
          <cell r="BS71">
            <v>0</v>
          </cell>
          <cell r="BX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Z72">
            <v>0</v>
          </cell>
          <cell r="AE72">
            <v>0</v>
          </cell>
          <cell r="AJ72">
            <v>0</v>
          </cell>
          <cell r="AO72">
            <v>0</v>
          </cell>
          <cell r="AT72">
            <v>0</v>
          </cell>
          <cell r="AY72">
            <v>0</v>
          </cell>
          <cell r="BD72">
            <v>0</v>
          </cell>
          <cell r="BI72">
            <v>0</v>
          </cell>
          <cell r="BN72">
            <v>0</v>
          </cell>
          <cell r="BS72">
            <v>0</v>
          </cell>
          <cell r="BX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Z74">
            <v>0</v>
          </cell>
          <cell r="AE74">
            <v>0</v>
          </cell>
          <cell r="AJ74">
            <v>0</v>
          </cell>
          <cell r="AO74">
            <v>0</v>
          </cell>
          <cell r="AT74">
            <v>0</v>
          </cell>
          <cell r="AY74">
            <v>0</v>
          </cell>
          <cell r="BD74">
            <v>0</v>
          </cell>
          <cell r="BI74">
            <v>0</v>
          </cell>
          <cell r="BN74">
            <v>0</v>
          </cell>
          <cell r="BS74">
            <v>0</v>
          </cell>
          <cell r="BX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-5.40807532</v>
          </cell>
          <cell r="R75">
            <v>-5.6337620800000003</v>
          </cell>
          <cell r="S75">
            <v>-19.301997239999999</v>
          </cell>
          <cell r="T75">
            <v>-38.060753130000002</v>
          </cell>
          <cell r="U75">
            <v>-74.131490999999997</v>
          </cell>
          <cell r="Z75">
            <v>-105.29074546000001</v>
          </cell>
          <cell r="AE75">
            <v>-162.33539006000001</v>
          </cell>
          <cell r="AJ75">
            <v>-427.73341432000001</v>
          </cell>
          <cell r="AO75">
            <v>-1016.3955876600002</v>
          </cell>
          <cell r="AT75">
            <v>-1292.2049169899997</v>
          </cell>
          <cell r="AY75">
            <v>-1431.9807038069721</v>
          </cell>
          <cell r="BD75">
            <v>-1711.3683352725816</v>
          </cell>
          <cell r="BI75">
            <v>-2135.3553040622851</v>
          </cell>
          <cell r="BN75">
            <v>-2703.1749415951081</v>
          </cell>
          <cell r="BS75">
            <v>-3365.2392903865252</v>
          </cell>
          <cell r="BX75">
            <v>-4046.9156975483875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Q76">
            <v>4.5112412000000006</v>
          </cell>
          <cell r="R76">
            <v>22.23962453</v>
          </cell>
          <cell r="S76">
            <v>66.597983409999998</v>
          </cell>
          <cell r="T76">
            <v>387.64912118000001</v>
          </cell>
          <cell r="U76">
            <v>411.10647197000003</v>
          </cell>
          <cell r="Z76">
            <v>431.56761703999996</v>
          </cell>
          <cell r="AE76">
            <v>880.28685107000001</v>
          </cell>
          <cell r="AJ76">
            <v>834.16958633000002</v>
          </cell>
          <cell r="AO76">
            <v>2224.0291129399998</v>
          </cell>
          <cell r="AT76">
            <v>1806.93065512</v>
          </cell>
          <cell r="AY76">
            <v>3966.75470964951</v>
          </cell>
          <cell r="BD76">
            <v>4177.4138557614751</v>
          </cell>
          <cell r="BI76">
            <v>4637.4418717760191</v>
          </cell>
          <cell r="BN76">
            <v>5564.3655156881177</v>
          </cell>
          <cell r="BS76">
            <v>7135.7637125937863</v>
          </cell>
          <cell r="BX76">
            <v>9236.6248416780945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Z77">
            <v>1</v>
          </cell>
          <cell r="AE77">
            <v>1</v>
          </cell>
          <cell r="AJ77">
            <v>1</v>
          </cell>
          <cell r="AO77">
            <v>1</v>
          </cell>
          <cell r="AT77">
            <v>1</v>
          </cell>
          <cell r="AY77">
            <v>1</v>
          </cell>
          <cell r="BD77">
            <v>1</v>
          </cell>
          <cell r="BI77">
            <v>1</v>
          </cell>
          <cell r="BN77">
            <v>1</v>
          </cell>
          <cell r="BS77">
            <v>1</v>
          </cell>
          <cell r="BX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2.04569723</v>
          </cell>
          <cell r="R78">
            <v>0</v>
          </cell>
          <cell r="S78">
            <v>2.6006257000000002</v>
          </cell>
          <cell r="T78">
            <v>0</v>
          </cell>
          <cell r="U78">
            <v>15.16017308</v>
          </cell>
          <cell r="Z78">
            <v>8.5983093999999998</v>
          </cell>
          <cell r="AE78">
            <v>9.2214311700000007</v>
          </cell>
          <cell r="AJ78">
            <v>138.22083452000001</v>
          </cell>
          <cell r="AO78">
            <v>150.49561151</v>
          </cell>
          <cell r="AT78">
            <v>194.79154083</v>
          </cell>
          <cell r="AY78">
            <v>200.98461824</v>
          </cell>
          <cell r="BD78">
            <v>217.241106</v>
          </cell>
          <cell r="BI78">
            <v>233.49759376</v>
          </cell>
          <cell r="BN78">
            <v>255.4808417920828</v>
          </cell>
          <cell r="BS78">
            <v>283.78478957418793</v>
          </cell>
          <cell r="BX78">
            <v>317.49172900450151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-5.49276E-2</v>
          </cell>
          <cell r="R80">
            <v>0</v>
          </cell>
          <cell r="S80">
            <v>5.9096219999999998E-2</v>
          </cell>
          <cell r="T80">
            <v>0.19837819000000001</v>
          </cell>
          <cell r="U80">
            <v>-0.21912482</v>
          </cell>
          <cell r="Z80">
            <v>-2.4884029999999998E-2</v>
          </cell>
          <cell r="AE80">
            <v>-3.808748E-2</v>
          </cell>
          <cell r="AJ80">
            <v>-0.66809665000000007</v>
          </cell>
          <cell r="AO80">
            <v>-0.54761555000000006</v>
          </cell>
          <cell r="AT80">
            <v>9.0566635600000005</v>
          </cell>
          <cell r="AY80">
            <v>6.193077409999999</v>
          </cell>
          <cell r="BD80">
            <v>16.256487759999999</v>
          </cell>
          <cell r="BI80">
            <v>16.256487759999999</v>
          </cell>
          <cell r="BN80">
            <v>21.983248032082805</v>
          </cell>
          <cell r="BS80">
            <v>28.303947782105126</v>
          </cell>
          <cell r="BX80">
            <v>33.706939430313604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11.940990410000001</v>
          </cell>
          <cell r="U81">
            <v>18.901539970000002</v>
          </cell>
          <cell r="Z81">
            <v>27.242715340000004</v>
          </cell>
          <cell r="AE81">
            <v>46.302041649999993</v>
          </cell>
          <cell r="AJ81">
            <v>62.533992069999996</v>
          </cell>
          <cell r="AO81">
            <v>131.40581017</v>
          </cell>
          <cell r="AT81">
            <v>194.48361901999999</v>
          </cell>
          <cell r="AY81">
            <v>258.12480319060535</v>
          </cell>
          <cell r="BD81">
            <v>354.16866048277012</v>
          </cell>
          <cell r="BI81">
            <v>487.30309296405727</v>
          </cell>
          <cell r="BN81">
            <v>658.06462034737569</v>
          </cell>
          <cell r="BS81">
            <v>857.67470898539045</v>
          </cell>
          <cell r="BX81">
            <v>1089.8361155358082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21.906812449999983</v>
          </cell>
          <cell r="T82">
            <v>-19.586601589999987</v>
          </cell>
          <cell r="U82">
            <v>-31.395425849999995</v>
          </cell>
          <cell r="Z82">
            <v>11.858970509999963</v>
          </cell>
          <cell r="AE82">
            <v>-80.467579099999952</v>
          </cell>
          <cell r="AJ82">
            <v>-98.914148929999925</v>
          </cell>
          <cell r="AO82">
            <v>-17.386586230000091</v>
          </cell>
          <cell r="AT82">
            <v>-265.33765364999999</v>
          </cell>
          <cell r="AY82">
            <v>-268.10953572261303</v>
          </cell>
          <cell r="BD82">
            <v>-447.07988946551177</v>
          </cell>
          <cell r="BI82">
            <v>-635.90291160196671</v>
          </cell>
          <cell r="BN82">
            <v>-622.4285823748537</v>
          </cell>
          <cell r="BS82">
            <v>-558.88545910982657</v>
          </cell>
          <cell r="BX82">
            <v>-378.17869729295899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28.538741668233079</v>
          </cell>
          <cell r="R83">
            <v>25.448631793745726</v>
          </cell>
          <cell r="S83">
            <v>53.473207684914691</v>
          </cell>
          <cell r="T83">
            <v>67.753403193642228</v>
          </cell>
          <cell r="U83">
            <v>78.606939548451052</v>
          </cell>
          <cell r="Z83">
            <v>49.551686285761591</v>
          </cell>
          <cell r="AE83">
            <v>150.51985815951286</v>
          </cell>
          <cell r="AJ83">
            <v>197.71329325217692</v>
          </cell>
          <cell r="AO83">
            <v>179.82603584743663</v>
          </cell>
          <cell r="AT83">
            <v>478.79525630263322</v>
          </cell>
          <cell r="AY83">
            <v>562.44815981754505</v>
          </cell>
          <cell r="BD83">
            <v>866.64791655131262</v>
          </cell>
          <cell r="BI83">
            <v>1290.3049294215948</v>
          </cell>
          <cell r="BN83">
            <v>1746.0302607286242</v>
          </cell>
          <cell r="BS83">
            <v>2248.8520561090854</v>
          </cell>
          <cell r="BX83">
            <v>2678.2727914761449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28.629321539999999</v>
          </cell>
          <cell r="R84">
            <v>25.650367489999997</v>
          </cell>
          <cell r="S84">
            <v>75.68401652</v>
          </cell>
          <cell r="T84">
            <v>60.881253749999999</v>
          </cell>
          <cell r="U84">
            <v>66.526996249999996</v>
          </cell>
          <cell r="Z84">
            <v>89.336357239999998</v>
          </cell>
          <cell r="AE84">
            <v>117.53648731</v>
          </cell>
          <cell r="AJ84">
            <v>162.0594782</v>
          </cell>
          <cell r="AO84">
            <v>296.06878043</v>
          </cell>
          <cell r="AT84">
            <v>420.07525039999996</v>
          </cell>
          <cell r="AY84">
            <v>563.47930674888551</v>
          </cell>
          <cell r="BD84">
            <v>795.27108833291345</v>
          </cell>
          <cell r="BI84">
            <v>1163.916107934941</v>
          </cell>
          <cell r="BN84">
            <v>1810.5190007552505</v>
          </cell>
          <cell r="BS84">
            <v>2583.9927204743867</v>
          </cell>
          <cell r="BX84">
            <v>3433.0875015090646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-9.7096433100000006</v>
          </cell>
          <cell r="R85">
            <v>-5.9845536199999998</v>
          </cell>
          <cell r="S85">
            <v>-31.41783427</v>
          </cell>
          <cell r="T85">
            <v>-52.627736890000001</v>
          </cell>
          <cell r="U85">
            <v>-76.923779030000006</v>
          </cell>
          <cell r="Z85">
            <v>-96.577825629999992</v>
          </cell>
          <cell r="AE85">
            <v>-138.98453274000002</v>
          </cell>
          <cell r="AJ85">
            <v>-278.34613254000004</v>
          </cell>
          <cell r="AO85">
            <v>-342.94307997999999</v>
          </cell>
          <cell r="AT85">
            <v>-580.17809428999999</v>
          </cell>
          <cell r="AY85">
            <v>-715.25751259888909</v>
          </cell>
          <cell r="BD85">
            <v>-1036.6635131497851</v>
          </cell>
          <cell r="BI85">
            <v>-1399.862124143463</v>
          </cell>
          <cell r="BN85">
            <v>-1740.0397432720983</v>
          </cell>
          <cell r="BS85">
            <v>-1957.7053766984986</v>
          </cell>
          <cell r="BX85">
            <v>-2283.2223200190688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Z86" t="str">
            <v>0</v>
          </cell>
          <cell r="AE86" t="str">
            <v>0</v>
          </cell>
          <cell r="AJ86" t="str">
            <v>0</v>
          </cell>
          <cell r="AO86" t="str">
            <v>0</v>
          </cell>
          <cell r="AT86" t="str">
            <v>0</v>
          </cell>
          <cell r="AY86" t="str">
            <v>0</v>
          </cell>
          <cell r="BD86" t="str">
            <v>0</v>
          </cell>
          <cell r="BI86" t="str">
            <v>0</v>
          </cell>
          <cell r="BN86" t="str">
            <v>0</v>
          </cell>
          <cell r="BS86" t="str">
            <v>0</v>
          </cell>
          <cell r="BX86" t="str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2.5000000000000001E-2</v>
          </cell>
          <cell r="R87">
            <v>0.23023809000000001</v>
          </cell>
          <cell r="S87">
            <v>1.5900999999999998E-2</v>
          </cell>
          <cell r="T87">
            <v>2.1100000000000001E-2</v>
          </cell>
          <cell r="U87">
            <v>3.3730243999999998</v>
          </cell>
          <cell r="Z87">
            <v>5.5449999999999999E-2</v>
          </cell>
          <cell r="AE87">
            <v>8.1820000000000004E-2</v>
          </cell>
          <cell r="AJ87">
            <v>0.13931870000000002</v>
          </cell>
          <cell r="AO87">
            <v>0.36365673999999998</v>
          </cell>
          <cell r="AT87">
            <v>5.8266999999999999E-2</v>
          </cell>
          <cell r="AY87">
            <v>0</v>
          </cell>
          <cell r="BD87">
            <v>0</v>
          </cell>
          <cell r="BI87">
            <v>0</v>
          </cell>
          <cell r="BN87">
            <v>0</v>
          </cell>
          <cell r="BS87">
            <v>0</v>
          </cell>
          <cell r="BX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-1.7224529299999989</v>
          </cell>
          <cell r="R88">
            <v>1.8683718899999995</v>
          </cell>
          <cell r="S88">
            <v>-2.9144779000000018</v>
          </cell>
          <cell r="T88">
            <v>-4.0631474100000089</v>
          </cell>
          <cell r="U88">
            <v>4.0314680000000269E-2</v>
          </cell>
          <cell r="Z88">
            <v>-2.3085505800000088</v>
          </cell>
          <cell r="AE88">
            <v>2.9336705899999846</v>
          </cell>
          <cell r="AJ88">
            <v>12.489043529999993</v>
          </cell>
          <cell r="AO88">
            <v>-374.38072346000001</v>
          </cell>
          <cell r="AT88">
            <v>-537.97519733000001</v>
          </cell>
          <cell r="AY88">
            <v>0</v>
          </cell>
          <cell r="BD88">
            <v>0</v>
          </cell>
          <cell r="BI88">
            <v>0</v>
          </cell>
          <cell r="BN88">
            <v>0</v>
          </cell>
          <cell r="BS88">
            <v>0</v>
          </cell>
          <cell r="BX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-11.40709624</v>
          </cell>
          <cell r="R89">
            <v>-3.8859436400000003</v>
          </cell>
          <cell r="S89">
            <v>-34.316411170000002</v>
          </cell>
          <cell r="T89">
            <v>-56.669784300000011</v>
          </cell>
          <cell r="U89">
            <v>-73.510439950000006</v>
          </cell>
          <cell r="Z89">
            <v>-98.830926210000001</v>
          </cell>
          <cell r="AE89">
            <v>-135.96904215000004</v>
          </cell>
          <cell r="AJ89">
            <v>-265.71777031000005</v>
          </cell>
          <cell r="AO89">
            <v>-716.9601467</v>
          </cell>
          <cell r="AT89">
            <v>-1118.09502462</v>
          </cell>
          <cell r="AY89">
            <v>-715.25751259888909</v>
          </cell>
          <cell r="BD89">
            <v>-1036.6635131497851</v>
          </cell>
          <cell r="BI89">
            <v>-1399.862124143463</v>
          </cell>
          <cell r="BN89">
            <v>-1740.0397432720983</v>
          </cell>
          <cell r="BS89">
            <v>-1957.7053766984986</v>
          </cell>
          <cell r="BX89">
            <v>-2283.2223200190688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-19.685089380000001</v>
          </cell>
          <cell r="U90">
            <v>-20.100000000000001</v>
          </cell>
          <cell r="Z90">
            <v>-26.8</v>
          </cell>
          <cell r="AE90">
            <v>-32.1</v>
          </cell>
          <cell r="AJ90">
            <v>-32.1</v>
          </cell>
          <cell r="AO90">
            <v>-37.799999999999997</v>
          </cell>
          <cell r="AT90">
            <v>-70.3</v>
          </cell>
          <cell r="AY90">
            <v>-163.5</v>
          </cell>
          <cell r="BD90">
            <v>-187.19941741739473</v>
          </cell>
          <cell r="BI90">
            <v>-287.73552375336624</v>
          </cell>
          <cell r="BN90">
            <v>-427.76561480824063</v>
          </cell>
          <cell r="BS90">
            <v>-578.45690586771298</v>
          </cell>
          <cell r="BX90">
            <v>-744.7768425295169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12.02</v>
          </cell>
          <cell r="R91">
            <v>0</v>
          </cell>
          <cell r="S91">
            <v>0</v>
          </cell>
          <cell r="T91">
            <v>321.52</v>
          </cell>
          <cell r="U91">
            <v>12.08</v>
          </cell>
          <cell r="Z91">
            <v>1.35</v>
          </cell>
          <cell r="AE91">
            <v>425.95997814999998</v>
          </cell>
          <cell r="AJ91">
            <v>10.797499999999999</v>
          </cell>
          <cell r="AO91">
            <v>1740.8142656</v>
          </cell>
          <cell r="AT91">
            <v>124.10967932999999</v>
          </cell>
          <cell r="AY91">
            <v>2103.9543194600001</v>
          </cell>
          <cell r="BD91">
            <v>0</v>
          </cell>
          <cell r="BI91">
            <v>0</v>
          </cell>
          <cell r="BN91">
            <v>0</v>
          </cell>
          <cell r="BS91">
            <v>0</v>
          </cell>
          <cell r="BX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11</v>
          </cell>
          <cell r="S92">
            <v>-8</v>
          </cell>
          <cell r="T92">
            <v>-38</v>
          </cell>
          <cell r="U92">
            <v>33</v>
          </cell>
          <cell r="Z92">
            <v>-18.2</v>
          </cell>
          <cell r="AE92">
            <v>-19.8</v>
          </cell>
          <cell r="AJ92">
            <v>3</v>
          </cell>
          <cell r="AO92">
            <v>-19.65237166</v>
          </cell>
          <cell r="AT92">
            <v>-18.922849239999998</v>
          </cell>
          <cell r="AY92">
            <v>0</v>
          </cell>
          <cell r="BD92">
            <v>0</v>
          </cell>
          <cell r="BI92">
            <v>0</v>
          </cell>
          <cell r="BN92">
            <v>0</v>
          </cell>
          <cell r="BS92">
            <v>0</v>
          </cell>
          <cell r="BX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-1.6819461400000009</v>
          </cell>
          <cell r="R93">
            <v>-4.0360405200000002</v>
          </cell>
          <cell r="S93">
            <v>-13.367902579999999</v>
          </cell>
          <cell r="T93">
            <v>-6.2457409400000188</v>
          </cell>
          <cell r="U93">
            <v>-6.7043920099999994</v>
          </cell>
          <cell r="Z93">
            <v>-6.9980710799999954</v>
          </cell>
          <cell r="AE93">
            <v>-2.6973552699999566</v>
          </cell>
          <cell r="AJ93">
            <v>-8.0283325300000001</v>
          </cell>
          <cell r="AO93">
            <v>-36.860205319999949</v>
          </cell>
          <cell r="AT93">
            <v>-24.545885730000002</v>
          </cell>
          <cell r="AY93">
            <v>0</v>
          </cell>
          <cell r="BD93">
            <v>0</v>
          </cell>
          <cell r="BI93">
            <v>0</v>
          </cell>
          <cell r="BN93">
            <v>0</v>
          </cell>
          <cell r="BS93">
            <v>0</v>
          </cell>
          <cell r="BX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10.338053859999999</v>
          </cell>
          <cell r="R94">
            <v>6.9639594799999998</v>
          </cell>
          <cell r="S94">
            <v>-21.367902579999999</v>
          </cell>
          <cell r="T94">
            <v>257.58916967999994</v>
          </cell>
          <cell r="U94">
            <v>18.275607989999997</v>
          </cell>
          <cell r="Z94">
            <v>-50.648071079999994</v>
          </cell>
          <cell r="AE94">
            <v>371.36262288</v>
          </cell>
          <cell r="AJ94">
            <v>-26.330832530000002</v>
          </cell>
          <cell r="AO94">
            <v>1646.5016886200001</v>
          </cell>
          <cell r="AT94">
            <v>10.340944359999995</v>
          </cell>
          <cell r="AY94">
            <v>1940.4543194600001</v>
          </cell>
          <cell r="BD94">
            <v>-187.19941741739473</v>
          </cell>
          <cell r="BI94">
            <v>-287.73552375336624</v>
          </cell>
          <cell r="BN94">
            <v>-427.76561480824063</v>
          </cell>
          <cell r="BS94">
            <v>-578.45690586771298</v>
          </cell>
          <cell r="BX94">
            <v>-744.7768425295169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27.560279159999997</v>
          </cell>
          <cell r="R95">
            <v>28.728383329999996</v>
          </cell>
          <cell r="S95">
            <v>19.999702769999999</v>
          </cell>
          <cell r="T95">
            <v>261.80063912999992</v>
          </cell>
          <cell r="U95">
            <v>11.292164289999988</v>
          </cell>
          <cell r="Z95">
            <v>-60.142640049999997</v>
          </cell>
          <cell r="AE95">
            <v>352.93006803999998</v>
          </cell>
          <cell r="AJ95">
            <v>-129.98912464000006</v>
          </cell>
          <cell r="AO95">
            <v>1225.6103223500002</v>
          </cell>
          <cell r="AT95">
            <v>-687.67882986000006</v>
          </cell>
          <cell r="AY95">
            <v>1788.6761136099965</v>
          </cell>
          <cell r="BD95">
            <v>-428.59184223426638</v>
          </cell>
          <cell r="BI95">
            <v>-523.68153996188823</v>
          </cell>
          <cell r="BN95">
            <v>-357.28635732508843</v>
          </cell>
          <cell r="BS95">
            <v>47.830437908175099</v>
          </cell>
          <cell r="BX95">
            <v>405.08833896047895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Q100">
            <v>0</v>
          </cell>
          <cell r="R100">
            <v>0</v>
          </cell>
          <cell r="S100">
            <v>15.833513503007703</v>
          </cell>
          <cell r="T100">
            <v>20.163519542772949</v>
          </cell>
          <cell r="U100">
            <v>46.074403600914671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58.433136932575216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72.782843681094263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103.88252515924179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184.0965644062328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319.44445101332906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404.16137113536973</v>
          </cell>
          <cell r="BD100">
            <v>700.13763904831842</v>
          </cell>
          <cell r="BI100">
            <v>1020.9776374308716</v>
          </cell>
          <cell r="BN100">
            <v>1304.084514177712</v>
          </cell>
          <cell r="BS100">
            <v>1612.1930747260897</v>
          </cell>
          <cell r="BX100">
            <v>1859.2372797865958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Z109">
            <v>0</v>
          </cell>
          <cell r="AE109">
            <v>0</v>
          </cell>
          <cell r="AJ109">
            <v>1.6679999999999999</v>
          </cell>
          <cell r="AO109">
            <v>2.2749999999999999</v>
          </cell>
          <cell r="AT109">
            <v>2.597</v>
          </cell>
          <cell r="AY109">
            <v>2.8047600000000004</v>
          </cell>
          <cell r="BD109">
            <v>3.0291408000000004</v>
          </cell>
          <cell r="BI109">
            <v>3.2714720640000006</v>
          </cell>
          <cell r="BN109">
            <v>3.5331898291200008</v>
          </cell>
          <cell r="BS109">
            <v>3.8158450154496011</v>
          </cell>
          <cell r="BX109">
            <v>4.1211126166855694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J111">
            <v>0</v>
          </cell>
          <cell r="AO111">
            <v>0</v>
          </cell>
          <cell r="AT111">
            <v>0</v>
          </cell>
          <cell r="AY111">
            <v>0</v>
          </cell>
          <cell r="BD111">
            <v>0</v>
          </cell>
          <cell r="BI111">
            <v>0</v>
          </cell>
          <cell r="BN111">
            <v>0</v>
          </cell>
          <cell r="BS111">
            <v>0</v>
          </cell>
          <cell r="BX111">
            <v>0</v>
          </cell>
        </row>
        <row r="112">
          <cell r="B112" t="str">
            <v>Sales - % United States</v>
          </cell>
          <cell r="C112" t="str">
            <v>SALES_US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J112">
            <v>0</v>
          </cell>
          <cell r="AO112">
            <v>0</v>
          </cell>
          <cell r="AT112">
            <v>0</v>
          </cell>
          <cell r="AY112">
            <v>0</v>
          </cell>
          <cell r="BD112">
            <v>0</v>
          </cell>
          <cell r="BI112">
            <v>0</v>
          </cell>
          <cell r="BN112">
            <v>0</v>
          </cell>
          <cell r="BS112">
            <v>0</v>
          </cell>
          <cell r="BX112">
            <v>0</v>
          </cell>
        </row>
        <row r="113">
          <cell r="B113" t="str">
            <v>Sales - % Canada</v>
          </cell>
          <cell r="C113" t="str">
            <v>SALES_CANADA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J113">
            <v>0</v>
          </cell>
          <cell r="AO113">
            <v>0</v>
          </cell>
          <cell r="AT113">
            <v>0</v>
          </cell>
          <cell r="AY113">
            <v>0</v>
          </cell>
          <cell r="BD113">
            <v>0</v>
          </cell>
          <cell r="BI113">
            <v>0</v>
          </cell>
          <cell r="BN113">
            <v>0</v>
          </cell>
          <cell r="BS113">
            <v>0</v>
          </cell>
          <cell r="BX113">
            <v>0</v>
          </cell>
        </row>
        <row r="114">
          <cell r="B114" t="str">
            <v>Sales - % Brazil</v>
          </cell>
          <cell r="C114" t="str">
            <v>SALES_BRAZIL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J114">
            <v>0</v>
          </cell>
          <cell r="AO114">
            <v>0</v>
          </cell>
          <cell r="AT114">
            <v>0</v>
          </cell>
          <cell r="AY114">
            <v>0</v>
          </cell>
          <cell r="BD114">
            <v>0</v>
          </cell>
          <cell r="BI114">
            <v>0</v>
          </cell>
          <cell r="BN114">
            <v>0</v>
          </cell>
          <cell r="BS114">
            <v>0</v>
          </cell>
          <cell r="BX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J115">
            <v>0</v>
          </cell>
          <cell r="AO115">
            <v>0</v>
          </cell>
          <cell r="AT115">
            <v>0</v>
          </cell>
          <cell r="AY115">
            <v>0</v>
          </cell>
          <cell r="BD115">
            <v>0</v>
          </cell>
          <cell r="BI115">
            <v>0</v>
          </cell>
          <cell r="BN115">
            <v>0</v>
          </cell>
          <cell r="BS115">
            <v>0</v>
          </cell>
          <cell r="BX115">
            <v>0</v>
          </cell>
        </row>
        <row r="116">
          <cell r="B116" t="str">
            <v>Sales - Total % EMEA</v>
          </cell>
          <cell r="C116" t="str">
            <v>SALES_TOT_EMEA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J116">
            <v>0</v>
          </cell>
          <cell r="AO116">
            <v>0</v>
          </cell>
          <cell r="AT116">
            <v>0</v>
          </cell>
          <cell r="AY116">
            <v>0</v>
          </cell>
          <cell r="BD116">
            <v>0</v>
          </cell>
          <cell r="BI116">
            <v>0</v>
          </cell>
          <cell r="BN116">
            <v>0</v>
          </cell>
          <cell r="BS116">
            <v>0</v>
          </cell>
          <cell r="BX116">
            <v>0</v>
          </cell>
        </row>
        <row r="117">
          <cell r="B117" t="str">
            <v>Sales - % UK</v>
          </cell>
          <cell r="C117" t="str">
            <v>SALES_UK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J117">
            <v>0</v>
          </cell>
          <cell r="AO117">
            <v>0</v>
          </cell>
          <cell r="AT117">
            <v>0</v>
          </cell>
          <cell r="AY117">
            <v>0</v>
          </cell>
          <cell r="BD117">
            <v>0</v>
          </cell>
          <cell r="BI117">
            <v>0</v>
          </cell>
          <cell r="BN117">
            <v>0</v>
          </cell>
          <cell r="BS117">
            <v>0</v>
          </cell>
          <cell r="BX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J118">
            <v>0</v>
          </cell>
          <cell r="AO118">
            <v>0</v>
          </cell>
          <cell r="AT118">
            <v>0</v>
          </cell>
          <cell r="AY118">
            <v>0</v>
          </cell>
          <cell r="BD118">
            <v>0</v>
          </cell>
          <cell r="BI118">
            <v>0</v>
          </cell>
          <cell r="BN118">
            <v>0</v>
          </cell>
          <cell r="BS118">
            <v>0</v>
          </cell>
          <cell r="BX118">
            <v>0</v>
          </cell>
        </row>
        <row r="119">
          <cell r="B119" t="str">
            <v>Sales - % Austria</v>
          </cell>
          <cell r="C119" t="str">
            <v>SALES_AUSTRIA</v>
          </cell>
        </row>
        <row r="120">
          <cell r="B120" t="str">
            <v>Sales - % Belgium</v>
          </cell>
          <cell r="C120" t="str">
            <v>SALES_BEL</v>
          </cell>
        </row>
        <row r="121">
          <cell r="B121" t="str">
            <v>Sales - % Denmark</v>
          </cell>
          <cell r="C121" t="str">
            <v>SALES_DEN</v>
          </cell>
        </row>
        <row r="122">
          <cell r="B122" t="str">
            <v>Sales - % Finland</v>
          </cell>
          <cell r="C122" t="str">
            <v>SALES_FIN</v>
          </cell>
        </row>
        <row r="123">
          <cell r="B123" t="str">
            <v>Sales - % France</v>
          </cell>
          <cell r="C123" t="str">
            <v>SALES_FRA</v>
          </cell>
        </row>
        <row r="124">
          <cell r="B124" t="str">
            <v>Sales - % Germany</v>
          </cell>
          <cell r="C124" t="str">
            <v>SALES_GER</v>
          </cell>
        </row>
        <row r="125">
          <cell r="B125" t="str">
            <v>Sales - % Greece</v>
          </cell>
          <cell r="C125" t="str">
            <v>SALES_GRE</v>
          </cell>
        </row>
        <row r="126">
          <cell r="B126" t="str">
            <v>Sales - % Iceland</v>
          </cell>
          <cell r="C126" t="str">
            <v>SALES_ICE</v>
          </cell>
        </row>
        <row r="127">
          <cell r="B127" t="str">
            <v>Sales - % Ireland</v>
          </cell>
          <cell r="C127" t="str">
            <v>SALES_IRE</v>
          </cell>
        </row>
        <row r="128">
          <cell r="B128" t="str">
            <v>Sales - % Italy</v>
          </cell>
          <cell r="C128" t="str">
            <v>SALES_ITA</v>
          </cell>
        </row>
        <row r="129">
          <cell r="B129" t="str">
            <v>Sales - % Netherlands</v>
          </cell>
          <cell r="C129" t="str">
            <v>SALES_NETH</v>
          </cell>
        </row>
        <row r="130">
          <cell r="B130" t="str">
            <v>Sales - % Norway</v>
          </cell>
          <cell r="C130" t="str">
            <v>SALES_NOR</v>
          </cell>
        </row>
        <row r="131">
          <cell r="B131" t="str">
            <v>Sales - % Portugal</v>
          </cell>
          <cell r="C131" t="str">
            <v>SALES_POR</v>
          </cell>
        </row>
        <row r="132">
          <cell r="B132" t="str">
            <v>Sales - % Spain</v>
          </cell>
          <cell r="C132" t="str">
            <v>SALES_SPA</v>
          </cell>
        </row>
        <row r="133">
          <cell r="B133" t="str">
            <v>Sales - % Sweden</v>
          </cell>
          <cell r="C133" t="str">
            <v>SALES_SWE</v>
          </cell>
        </row>
        <row r="134">
          <cell r="B134" t="str">
            <v>Sales - % Switzerland</v>
          </cell>
          <cell r="C134" t="str">
            <v>SALES_SWIT</v>
          </cell>
        </row>
        <row r="135">
          <cell r="B135" t="str">
            <v>Sales - % Central &amp; Eastern Europe</v>
          </cell>
          <cell r="C135" t="str">
            <v>SALES_CEE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J135">
            <v>0</v>
          </cell>
          <cell r="AO135">
            <v>0</v>
          </cell>
          <cell r="AT135">
            <v>0</v>
          </cell>
          <cell r="AY135">
            <v>0</v>
          </cell>
          <cell r="BD135">
            <v>0</v>
          </cell>
          <cell r="BI135">
            <v>0</v>
          </cell>
          <cell r="BN135">
            <v>0</v>
          </cell>
          <cell r="BS135">
            <v>0</v>
          </cell>
          <cell r="BX135">
            <v>0</v>
          </cell>
        </row>
        <row r="136">
          <cell r="B136" t="str">
            <v>Sales - % Middle East</v>
          </cell>
          <cell r="C136" t="str">
            <v>SALES_ME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J136">
            <v>0</v>
          </cell>
          <cell r="AO136">
            <v>0</v>
          </cell>
          <cell r="AT136">
            <v>0</v>
          </cell>
          <cell r="AY136">
            <v>0</v>
          </cell>
          <cell r="BD136">
            <v>0</v>
          </cell>
          <cell r="BI136">
            <v>0</v>
          </cell>
          <cell r="BN136">
            <v>0</v>
          </cell>
          <cell r="BS136">
            <v>0</v>
          </cell>
          <cell r="BX136">
            <v>0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J138">
            <v>0</v>
          </cell>
          <cell r="AO138">
            <v>0</v>
          </cell>
          <cell r="AT138">
            <v>0</v>
          </cell>
          <cell r="AY138">
            <v>0</v>
          </cell>
          <cell r="BD138">
            <v>0</v>
          </cell>
          <cell r="BI138">
            <v>0</v>
          </cell>
          <cell r="BN138">
            <v>0</v>
          </cell>
          <cell r="BS138">
            <v>0</v>
          </cell>
          <cell r="BX138">
            <v>0</v>
          </cell>
        </row>
        <row r="139">
          <cell r="B139" t="str">
            <v>Sales - % Other EMEA</v>
          </cell>
          <cell r="C139" t="str">
            <v>SALES_OTH_EMEA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J139">
            <v>0</v>
          </cell>
          <cell r="AO139">
            <v>0</v>
          </cell>
          <cell r="AT139">
            <v>0</v>
          </cell>
          <cell r="AY139">
            <v>0</v>
          </cell>
          <cell r="BD139">
            <v>0</v>
          </cell>
          <cell r="BI139">
            <v>0</v>
          </cell>
          <cell r="BN139">
            <v>0</v>
          </cell>
          <cell r="BS139">
            <v>0</v>
          </cell>
          <cell r="BX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J140">
            <v>0</v>
          </cell>
          <cell r="AO140">
            <v>0</v>
          </cell>
          <cell r="AT140">
            <v>0</v>
          </cell>
          <cell r="AY140">
            <v>0</v>
          </cell>
          <cell r="BD140">
            <v>0</v>
          </cell>
          <cell r="BI140">
            <v>0</v>
          </cell>
          <cell r="BN140">
            <v>0</v>
          </cell>
          <cell r="BS140">
            <v>0</v>
          </cell>
          <cell r="BX140">
            <v>0</v>
          </cell>
        </row>
        <row r="141">
          <cell r="B141" t="str">
            <v>Sales - % Japan</v>
          </cell>
          <cell r="C141" t="str">
            <v>SALES_JAPAN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J141">
            <v>0</v>
          </cell>
          <cell r="AO141">
            <v>0</v>
          </cell>
          <cell r="AT141">
            <v>0</v>
          </cell>
          <cell r="AY141">
            <v>0</v>
          </cell>
          <cell r="BD141">
            <v>0</v>
          </cell>
          <cell r="BI141">
            <v>0</v>
          </cell>
          <cell r="BN141">
            <v>0</v>
          </cell>
          <cell r="BS141">
            <v>0</v>
          </cell>
          <cell r="BX141">
            <v>0</v>
          </cell>
        </row>
        <row r="142">
          <cell r="B142" t="str">
            <v>Sales - % China</v>
          </cell>
          <cell r="C142" t="str">
            <v>SALES_CHINA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J142">
            <v>1</v>
          </cell>
          <cell r="AO142">
            <v>1</v>
          </cell>
          <cell r="AT142">
            <v>1</v>
          </cell>
          <cell r="AY142">
            <v>1</v>
          </cell>
          <cell r="BD142">
            <v>1</v>
          </cell>
          <cell r="BI142">
            <v>1</v>
          </cell>
          <cell r="BN142">
            <v>1</v>
          </cell>
          <cell r="BS142">
            <v>1</v>
          </cell>
          <cell r="BX142">
            <v>1</v>
          </cell>
        </row>
        <row r="143">
          <cell r="B143" t="str">
            <v>Sales - % India</v>
          </cell>
          <cell r="C143" t="str">
            <v>SALES_INDIA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J143">
            <v>0</v>
          </cell>
          <cell r="AO143">
            <v>0</v>
          </cell>
          <cell r="AT143">
            <v>0</v>
          </cell>
          <cell r="AY143">
            <v>0</v>
          </cell>
          <cell r="BD143">
            <v>0</v>
          </cell>
          <cell r="BI143">
            <v>0</v>
          </cell>
          <cell r="BN143">
            <v>0</v>
          </cell>
          <cell r="BS143">
            <v>0</v>
          </cell>
          <cell r="BX143">
            <v>0</v>
          </cell>
        </row>
        <row r="144">
          <cell r="B144" t="str">
            <v>Sales - % South Korea</v>
          </cell>
          <cell r="C144" t="str">
            <v>SALES_SK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J144">
            <v>0</v>
          </cell>
          <cell r="AO144">
            <v>0</v>
          </cell>
          <cell r="AT144">
            <v>0</v>
          </cell>
          <cell r="AY144">
            <v>0</v>
          </cell>
          <cell r="BD144">
            <v>0</v>
          </cell>
          <cell r="BI144">
            <v>0</v>
          </cell>
          <cell r="BN144">
            <v>0</v>
          </cell>
          <cell r="BS144">
            <v>0</v>
          </cell>
          <cell r="BX144">
            <v>0</v>
          </cell>
        </row>
        <row r="145">
          <cell r="B145" t="str">
            <v>Sales - % Taiwan</v>
          </cell>
          <cell r="C145" t="str">
            <v>SALES_TAIWAN</v>
          </cell>
        </row>
        <row r="146">
          <cell r="B146" t="str">
            <v>Sales - % Australia</v>
          </cell>
          <cell r="C146" t="str">
            <v>SALES_AUSTRA</v>
          </cell>
        </row>
        <row r="147">
          <cell r="B147" t="str">
            <v>Sales - % New Zealand</v>
          </cell>
          <cell r="C147" t="str">
            <v>SALES_NZ</v>
          </cell>
        </row>
        <row r="148">
          <cell r="B148" t="str">
            <v>Sales - % Other Asia</v>
          </cell>
          <cell r="C148" t="str">
            <v>SALES_OTH_AEJ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J148">
            <v>0</v>
          </cell>
          <cell r="AO148">
            <v>0</v>
          </cell>
          <cell r="AT148">
            <v>0</v>
          </cell>
          <cell r="AY148">
            <v>0</v>
          </cell>
          <cell r="BD148">
            <v>0</v>
          </cell>
          <cell r="BI148">
            <v>0</v>
          </cell>
          <cell r="BN148">
            <v>0</v>
          </cell>
          <cell r="BS148">
            <v>0</v>
          </cell>
          <cell r="BX148">
            <v>0</v>
          </cell>
        </row>
        <row r="149">
          <cell r="B149" t="str">
            <v>Sales - % Others</v>
          </cell>
          <cell r="C149" t="str">
            <v>SALES_OTHER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J149">
            <v>0</v>
          </cell>
          <cell r="AO149">
            <v>0</v>
          </cell>
          <cell r="AT149">
            <v>0</v>
          </cell>
          <cell r="AY149">
            <v>0</v>
          </cell>
          <cell r="BD149">
            <v>0</v>
          </cell>
          <cell r="BI149">
            <v>0</v>
          </cell>
          <cell r="BN149">
            <v>0</v>
          </cell>
          <cell r="BS149">
            <v>0</v>
          </cell>
          <cell r="BX149">
            <v>0</v>
          </cell>
        </row>
        <row r="150">
          <cell r="B150" t="str">
            <v>Operating Profit - % Total Americas</v>
          </cell>
          <cell r="C150" t="str">
            <v>OP_TOT_AM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J150">
            <v>0</v>
          </cell>
          <cell r="AO150">
            <v>0</v>
          </cell>
          <cell r="AT150">
            <v>0</v>
          </cell>
          <cell r="AY150">
            <v>0</v>
          </cell>
          <cell r="BD150">
            <v>0</v>
          </cell>
          <cell r="BI150">
            <v>0</v>
          </cell>
          <cell r="BN150">
            <v>0</v>
          </cell>
          <cell r="BS150">
            <v>0</v>
          </cell>
          <cell r="BX150">
            <v>0</v>
          </cell>
        </row>
        <row r="151">
          <cell r="B151" t="str">
            <v>Operating Profit - % United States</v>
          </cell>
          <cell r="C151" t="str">
            <v>OP_US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J151">
            <v>0</v>
          </cell>
          <cell r="AO151">
            <v>0</v>
          </cell>
          <cell r="AT151">
            <v>0</v>
          </cell>
          <cell r="AY151">
            <v>0</v>
          </cell>
          <cell r="BD151">
            <v>0</v>
          </cell>
          <cell r="BI151">
            <v>0</v>
          </cell>
          <cell r="BN151">
            <v>0</v>
          </cell>
          <cell r="BS151">
            <v>0</v>
          </cell>
          <cell r="BX151">
            <v>0</v>
          </cell>
        </row>
        <row r="152">
          <cell r="B152" t="str">
            <v>Operating Profit - % Canada</v>
          </cell>
          <cell r="C152" t="str">
            <v>OP_CANADA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J152">
            <v>0</v>
          </cell>
          <cell r="AO152">
            <v>0</v>
          </cell>
          <cell r="AT152">
            <v>0</v>
          </cell>
          <cell r="AY152">
            <v>0</v>
          </cell>
          <cell r="BD152">
            <v>0</v>
          </cell>
          <cell r="BI152">
            <v>0</v>
          </cell>
          <cell r="BN152">
            <v>0</v>
          </cell>
          <cell r="BS152">
            <v>0</v>
          </cell>
          <cell r="BX152">
            <v>0</v>
          </cell>
        </row>
        <row r="153">
          <cell r="B153" t="str">
            <v>Operating Profit - % Brazil</v>
          </cell>
          <cell r="C153" t="str">
            <v>OP_BRAZIL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J153">
            <v>0</v>
          </cell>
          <cell r="AO153">
            <v>0</v>
          </cell>
          <cell r="AT153">
            <v>0</v>
          </cell>
          <cell r="AY153">
            <v>0</v>
          </cell>
          <cell r="BD153">
            <v>0</v>
          </cell>
          <cell r="BI153">
            <v>0</v>
          </cell>
          <cell r="BN153">
            <v>0</v>
          </cell>
          <cell r="BS153">
            <v>0</v>
          </cell>
          <cell r="BX153">
            <v>0</v>
          </cell>
        </row>
        <row r="154">
          <cell r="B154" t="str">
            <v>Operating Profit - % Other Americas</v>
          </cell>
          <cell r="C154" t="str">
            <v>OP_OTH_AM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J154">
            <v>0</v>
          </cell>
          <cell r="AO154">
            <v>0</v>
          </cell>
          <cell r="AT154">
            <v>0</v>
          </cell>
          <cell r="AY154">
            <v>0</v>
          </cell>
          <cell r="BD154">
            <v>0</v>
          </cell>
          <cell r="BI154">
            <v>0</v>
          </cell>
          <cell r="BN154">
            <v>0</v>
          </cell>
          <cell r="BS154">
            <v>0</v>
          </cell>
          <cell r="BX154">
            <v>0</v>
          </cell>
        </row>
        <row r="155">
          <cell r="B155" t="str">
            <v>Operating Profit - Total % EMEA</v>
          </cell>
          <cell r="C155" t="str">
            <v>OP_TOT_EMEA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J155">
            <v>0</v>
          </cell>
          <cell r="AO155">
            <v>0</v>
          </cell>
          <cell r="AT155">
            <v>0</v>
          </cell>
          <cell r="AY155">
            <v>0</v>
          </cell>
          <cell r="BD155">
            <v>0</v>
          </cell>
          <cell r="BI155">
            <v>0</v>
          </cell>
          <cell r="BN155">
            <v>0</v>
          </cell>
          <cell r="BS155">
            <v>0</v>
          </cell>
          <cell r="BX155">
            <v>0</v>
          </cell>
        </row>
        <row r="156">
          <cell r="B156" t="str">
            <v>Operating Profit - % UK</v>
          </cell>
          <cell r="C156" t="str">
            <v>OP_UK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J156">
            <v>0</v>
          </cell>
          <cell r="AO156">
            <v>0</v>
          </cell>
          <cell r="AT156">
            <v>0</v>
          </cell>
          <cell r="AY156">
            <v>0</v>
          </cell>
          <cell r="BD156">
            <v>0</v>
          </cell>
          <cell r="BI156">
            <v>0</v>
          </cell>
          <cell r="BN156">
            <v>0</v>
          </cell>
          <cell r="BS156">
            <v>0</v>
          </cell>
          <cell r="BX156">
            <v>0</v>
          </cell>
        </row>
        <row r="157">
          <cell r="B157" t="str">
            <v>Operating Profit - % Europe-Ex UK</v>
          </cell>
          <cell r="C157" t="str">
            <v>OP_EU_EX_UK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J157">
            <v>0</v>
          </cell>
          <cell r="AO157">
            <v>0</v>
          </cell>
          <cell r="AT157">
            <v>0</v>
          </cell>
          <cell r="AY157">
            <v>0</v>
          </cell>
          <cell r="BD157">
            <v>0</v>
          </cell>
          <cell r="BI157">
            <v>0</v>
          </cell>
          <cell r="BN157">
            <v>0</v>
          </cell>
          <cell r="BS157">
            <v>0</v>
          </cell>
          <cell r="BX157">
            <v>0</v>
          </cell>
        </row>
        <row r="158">
          <cell r="B158" t="str">
            <v>Operating Profit - % Austria</v>
          </cell>
          <cell r="C158" t="str">
            <v>OP_AUSTRIA</v>
          </cell>
        </row>
        <row r="159">
          <cell r="B159" t="str">
            <v>Operating Profit - % Belgium</v>
          </cell>
          <cell r="C159" t="str">
            <v>OP_BEL</v>
          </cell>
        </row>
        <row r="160">
          <cell r="B160" t="str">
            <v>Operating Profit - % Denmark</v>
          </cell>
          <cell r="C160" t="str">
            <v>OP_DEN</v>
          </cell>
        </row>
        <row r="161">
          <cell r="B161" t="str">
            <v>Operating Profit - % Finland</v>
          </cell>
          <cell r="C161" t="str">
            <v>OP_FIN</v>
          </cell>
        </row>
        <row r="162">
          <cell r="B162" t="str">
            <v>Operating Profit - % France</v>
          </cell>
          <cell r="C162" t="str">
            <v>OP_FRA</v>
          </cell>
        </row>
        <row r="163">
          <cell r="B163" t="str">
            <v>Operating Profit - % Germany</v>
          </cell>
          <cell r="C163" t="str">
            <v>OP_GER</v>
          </cell>
        </row>
        <row r="164">
          <cell r="B164" t="str">
            <v>Operating Profit - % Greece</v>
          </cell>
          <cell r="C164" t="str">
            <v>OP_GRE</v>
          </cell>
        </row>
        <row r="165">
          <cell r="B165" t="str">
            <v>Operating Profit - % Iceland</v>
          </cell>
          <cell r="C165" t="str">
            <v>OP_ICE</v>
          </cell>
        </row>
        <row r="166">
          <cell r="B166" t="str">
            <v>Operating Profit - % Ireland</v>
          </cell>
          <cell r="C166" t="str">
            <v>OP_IRE</v>
          </cell>
        </row>
        <row r="167">
          <cell r="B167" t="str">
            <v>Operating Profit - % Italy</v>
          </cell>
          <cell r="C167" t="str">
            <v>OP_ITA</v>
          </cell>
        </row>
        <row r="168">
          <cell r="B168" t="str">
            <v>Operating Profit - % Netherlands</v>
          </cell>
          <cell r="C168" t="str">
            <v>OP_NETH</v>
          </cell>
        </row>
        <row r="169">
          <cell r="B169" t="str">
            <v>Operating Profit - % Norway</v>
          </cell>
          <cell r="C169" t="str">
            <v>OP_NOR</v>
          </cell>
        </row>
        <row r="170">
          <cell r="B170" t="str">
            <v>Operating Profit - % Portugal</v>
          </cell>
          <cell r="C170" t="str">
            <v>OP_POR</v>
          </cell>
        </row>
        <row r="171">
          <cell r="B171" t="str">
            <v>Operating Profit - % Spain</v>
          </cell>
          <cell r="C171" t="str">
            <v>OP_SPA</v>
          </cell>
        </row>
        <row r="172">
          <cell r="B172" t="str">
            <v>Operating Profit - % Sweden</v>
          </cell>
          <cell r="C172" t="str">
            <v>OP_SWE</v>
          </cell>
        </row>
        <row r="173">
          <cell r="B173" t="str">
            <v>Operating Profit - % Switzerland</v>
          </cell>
          <cell r="C173" t="str">
            <v>OP_SWIT</v>
          </cell>
        </row>
        <row r="174">
          <cell r="B174" t="str">
            <v>Operating Profit - % Central &amp; Eastern Europe</v>
          </cell>
          <cell r="C174" t="str">
            <v>OP_CEE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J174">
            <v>0</v>
          </cell>
          <cell r="AO174">
            <v>0</v>
          </cell>
          <cell r="AT174">
            <v>0</v>
          </cell>
          <cell r="AY174">
            <v>0</v>
          </cell>
          <cell r="BD174">
            <v>0</v>
          </cell>
          <cell r="BI174">
            <v>0</v>
          </cell>
          <cell r="BN174">
            <v>0</v>
          </cell>
          <cell r="BS174">
            <v>0</v>
          </cell>
          <cell r="BX174">
            <v>0</v>
          </cell>
        </row>
        <row r="175">
          <cell r="B175" t="str">
            <v>Operating Profit - % Middle East</v>
          </cell>
          <cell r="C175" t="str">
            <v>OP_ME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J175">
            <v>0</v>
          </cell>
          <cell r="AO175">
            <v>0</v>
          </cell>
          <cell r="AT175">
            <v>0</v>
          </cell>
          <cell r="AY175">
            <v>0</v>
          </cell>
          <cell r="BD175">
            <v>0</v>
          </cell>
          <cell r="BI175">
            <v>0</v>
          </cell>
          <cell r="BN175">
            <v>0</v>
          </cell>
          <cell r="BS175">
            <v>0</v>
          </cell>
          <cell r="BX175">
            <v>0</v>
          </cell>
        </row>
        <row r="176">
          <cell r="B176" t="str">
            <v>Operating Profit - % Russia</v>
          </cell>
          <cell r="C176" t="str">
            <v>OP_RUSSIA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J176">
            <v>0</v>
          </cell>
          <cell r="AO176">
            <v>0</v>
          </cell>
          <cell r="AT176">
            <v>0</v>
          </cell>
          <cell r="AY176">
            <v>0</v>
          </cell>
          <cell r="BD176">
            <v>0</v>
          </cell>
          <cell r="BI176">
            <v>0</v>
          </cell>
          <cell r="BN176">
            <v>0</v>
          </cell>
          <cell r="BS176">
            <v>0</v>
          </cell>
          <cell r="BX176">
            <v>0</v>
          </cell>
        </row>
        <row r="177">
          <cell r="B177" t="str">
            <v>Operating Profit - % Other EMEA</v>
          </cell>
          <cell r="C177" t="str">
            <v>OP_OTH_EMEA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J177">
            <v>0</v>
          </cell>
          <cell r="AO177">
            <v>0</v>
          </cell>
          <cell r="AT177">
            <v>0</v>
          </cell>
          <cell r="AY177">
            <v>0</v>
          </cell>
          <cell r="BD177">
            <v>0</v>
          </cell>
          <cell r="BI177">
            <v>0</v>
          </cell>
          <cell r="BN177">
            <v>0</v>
          </cell>
          <cell r="BS177">
            <v>0</v>
          </cell>
          <cell r="BX177">
            <v>0</v>
          </cell>
        </row>
        <row r="178">
          <cell r="B178" t="str">
            <v>Operating Profit - Total % Asia (incl Australia &amp; New Zealand)</v>
          </cell>
          <cell r="C178" t="str">
            <v>OP_TOT_ASIA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J178">
            <v>0</v>
          </cell>
          <cell r="AO178">
            <v>0</v>
          </cell>
          <cell r="AT178">
            <v>0</v>
          </cell>
          <cell r="AY178">
            <v>0</v>
          </cell>
          <cell r="BD178">
            <v>0</v>
          </cell>
          <cell r="BI178">
            <v>0</v>
          </cell>
          <cell r="BN178">
            <v>0</v>
          </cell>
          <cell r="BS178">
            <v>0</v>
          </cell>
          <cell r="BX178">
            <v>0</v>
          </cell>
        </row>
        <row r="179">
          <cell r="B179" t="str">
            <v>Operating Profit - % Japan</v>
          </cell>
          <cell r="C179" t="str">
            <v>OP_JAPAN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J179">
            <v>0</v>
          </cell>
          <cell r="AO179">
            <v>0</v>
          </cell>
          <cell r="AT179">
            <v>0</v>
          </cell>
          <cell r="AY179">
            <v>0</v>
          </cell>
          <cell r="BD179">
            <v>0</v>
          </cell>
          <cell r="BI179">
            <v>0</v>
          </cell>
          <cell r="BN179">
            <v>0</v>
          </cell>
          <cell r="BS179">
            <v>0</v>
          </cell>
          <cell r="BX179">
            <v>0</v>
          </cell>
        </row>
        <row r="180">
          <cell r="B180" t="str">
            <v>Operating Profit - % Greater China (incl HK)</v>
          </cell>
          <cell r="C180" t="str">
            <v>OP_CHINA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1</v>
          </cell>
          <cell r="AA180">
            <v>1</v>
          </cell>
          <cell r="AB180">
            <v>1</v>
          </cell>
          <cell r="AC180">
            <v>1</v>
          </cell>
          <cell r="AD180">
            <v>1</v>
          </cell>
          <cell r="AE180">
            <v>1</v>
          </cell>
          <cell r="AJ180">
            <v>1</v>
          </cell>
          <cell r="AO180">
            <v>1</v>
          </cell>
          <cell r="AT180">
            <v>1</v>
          </cell>
          <cell r="AY180">
            <v>1</v>
          </cell>
          <cell r="BD180">
            <v>1</v>
          </cell>
          <cell r="BI180">
            <v>1</v>
          </cell>
          <cell r="BN180">
            <v>1</v>
          </cell>
          <cell r="BS180">
            <v>1</v>
          </cell>
          <cell r="BX180">
            <v>1</v>
          </cell>
        </row>
        <row r="181">
          <cell r="B181" t="str">
            <v>Operating Profit - % India</v>
          </cell>
          <cell r="C181" t="str">
            <v>OP_INDIA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J181">
            <v>0</v>
          </cell>
          <cell r="AO181">
            <v>0</v>
          </cell>
          <cell r="AT181">
            <v>0</v>
          </cell>
          <cell r="AY181">
            <v>0</v>
          </cell>
          <cell r="BD181">
            <v>0</v>
          </cell>
          <cell r="BI181">
            <v>0</v>
          </cell>
          <cell r="BN181">
            <v>0</v>
          </cell>
          <cell r="BS181">
            <v>0</v>
          </cell>
          <cell r="BX181">
            <v>0</v>
          </cell>
        </row>
        <row r="182">
          <cell r="B182" t="str">
            <v>Operating Profit - % South Korea</v>
          </cell>
          <cell r="C182" t="str">
            <v>OP_SK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J182">
            <v>0</v>
          </cell>
          <cell r="AO182">
            <v>0</v>
          </cell>
          <cell r="AT182">
            <v>0</v>
          </cell>
          <cell r="AY182">
            <v>0</v>
          </cell>
          <cell r="BD182">
            <v>0</v>
          </cell>
          <cell r="BI182">
            <v>0</v>
          </cell>
          <cell r="BN182">
            <v>0</v>
          </cell>
          <cell r="BS182">
            <v>0</v>
          </cell>
          <cell r="BX182">
            <v>0</v>
          </cell>
        </row>
        <row r="183">
          <cell r="B183" t="str">
            <v>Operating Profit - % Australia</v>
          </cell>
          <cell r="C183" t="str">
            <v>OP_AUSTRA</v>
          </cell>
        </row>
        <row r="184">
          <cell r="B184" t="str">
            <v>Operating Profit - % New Zealand</v>
          </cell>
          <cell r="C184" t="str">
            <v>OP_NZ</v>
          </cell>
        </row>
        <row r="185">
          <cell r="B185" t="str">
            <v>Operating Profit - % Other AEJ (incl Taiwan)</v>
          </cell>
          <cell r="C185" t="str">
            <v>OP_OTH_AEJ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J185">
            <v>0</v>
          </cell>
          <cell r="AO185">
            <v>0</v>
          </cell>
          <cell r="AT185">
            <v>0</v>
          </cell>
          <cell r="AY185">
            <v>0</v>
          </cell>
          <cell r="BD185">
            <v>0</v>
          </cell>
          <cell r="BI185">
            <v>0</v>
          </cell>
          <cell r="BN185">
            <v>0</v>
          </cell>
          <cell r="BS185">
            <v>0</v>
          </cell>
          <cell r="BX185">
            <v>0</v>
          </cell>
        </row>
        <row r="186">
          <cell r="B186" t="str">
            <v>Operating Profit - % Others</v>
          </cell>
          <cell r="C186" t="str">
            <v>OP_OTHER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J186">
            <v>0</v>
          </cell>
          <cell r="AO186">
            <v>0</v>
          </cell>
          <cell r="AT186">
            <v>0</v>
          </cell>
          <cell r="AY186">
            <v>0</v>
          </cell>
          <cell r="BD186">
            <v>0</v>
          </cell>
          <cell r="BI186">
            <v>0</v>
          </cell>
          <cell r="BN186">
            <v>0</v>
          </cell>
          <cell r="BS186">
            <v>0</v>
          </cell>
          <cell r="BX186">
            <v>0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0">
          <cell r="B190" t="str">
            <v>Sales - % Industry Sub-Segment: Financial Services</v>
          </cell>
          <cell r="C190" t="str">
            <v>SALES_FINAN</v>
          </cell>
        </row>
        <row r="191">
          <cell r="B191" t="str">
            <v>Operating Profit - % Consumer (C)</v>
          </cell>
          <cell r="C191" t="str">
            <v>OP_CONS</v>
          </cell>
        </row>
        <row r="192">
          <cell r="B192" t="str">
            <v>Operating Profit - % Industry (I)</v>
          </cell>
          <cell r="C192" t="str">
            <v>OP_IND</v>
          </cell>
        </row>
        <row r="193">
          <cell r="B193" t="str">
            <v>Operating Profit - % Government (G)</v>
          </cell>
          <cell r="C193" t="str">
            <v>OP_GOV</v>
          </cell>
        </row>
        <row r="194">
          <cell r="A194" t="str">
            <v>FX Exposure - Sales</v>
          </cell>
        </row>
        <row r="195">
          <cell r="B195" t="str">
            <v>Sales - % FX: British Pounds/Pence</v>
          </cell>
          <cell r="C195" t="str">
            <v>SALES_FX_GPB</v>
          </cell>
        </row>
        <row r="196">
          <cell r="B196" t="str">
            <v>Sales - % FX: Euro</v>
          </cell>
          <cell r="C196" t="str">
            <v>SALES_FX_EUR</v>
          </cell>
        </row>
        <row r="197">
          <cell r="B197" t="str">
            <v>Sales - % FX: New Russian Ruble</v>
          </cell>
          <cell r="C197" t="str">
            <v>SALES_FX_RUB</v>
          </cell>
        </row>
        <row r="198">
          <cell r="B198" t="str">
            <v>Sales - % FX: U.S. Dollar</v>
          </cell>
          <cell r="C198" t="str">
            <v>SALES_FX_USD</v>
          </cell>
        </row>
        <row r="199">
          <cell r="B199" t="str">
            <v>Sales - % FX: Brazilian Real</v>
          </cell>
          <cell r="C199" t="str">
            <v>SALES_FX_BRL</v>
          </cell>
        </row>
        <row r="200">
          <cell r="B200" t="str">
            <v>Sales - % FX: Japanese Yen</v>
          </cell>
          <cell r="C200" t="str">
            <v>SALES_FX_YEN</v>
          </cell>
        </row>
        <row r="201">
          <cell r="B201" t="str">
            <v>Sales - % FX: Chinese Renminbi</v>
          </cell>
          <cell r="C201" t="str">
            <v>SALES_FX_CNY</v>
          </cell>
        </row>
        <row r="202">
          <cell r="B202" t="str">
            <v>Sales - % FX: Indian Rupee</v>
          </cell>
          <cell r="C202" t="str">
            <v>SALES_FX_INR</v>
          </cell>
        </row>
        <row r="203">
          <cell r="B203" t="str">
            <v>Sales - % FX: South Korean Won</v>
          </cell>
          <cell r="C203" t="str">
            <v>SALES_FX_KRW</v>
          </cell>
        </row>
        <row r="204">
          <cell r="B204" t="str">
            <v>Sales - % FX: Taiwan Dollar</v>
          </cell>
          <cell r="C204" t="str">
            <v>SALES_FX_TWD</v>
          </cell>
        </row>
        <row r="205">
          <cell r="B205" t="str">
            <v>Sales - % FX: Other Currency</v>
          </cell>
          <cell r="C205" t="str">
            <v>SALES_FX_OTH</v>
          </cell>
        </row>
        <row r="206">
          <cell r="A206" t="str">
            <v>Security: Anhui USTC iFLYTEK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002230.SZ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Anhui USTC iFLYTEK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</row>
        <row r="215">
          <cell r="B215" t="str">
            <v>Asia Pacific Investment List</v>
          </cell>
          <cell r="C215" t="str">
            <v>AEJ_LIST</v>
          </cell>
          <cell r="E215" t="str">
            <v>Buy</v>
          </cell>
        </row>
        <row r="216">
          <cell r="B216" t="str">
            <v>Asia Pacific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38.6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Current shares outstanding (mn)</v>
          </cell>
          <cell r="C220" t="str">
            <v>NUM_SH</v>
          </cell>
          <cell r="E220">
            <v>1283.6217290000002</v>
          </cell>
        </row>
        <row r="221">
          <cell r="B221" t="str">
            <v>Free float</v>
          </cell>
          <cell r="C221" t="str">
            <v>FREE_FLOAT</v>
          </cell>
        </row>
        <row r="222">
          <cell r="B222" t="str">
            <v>Foreign ownership</v>
          </cell>
          <cell r="C222" t="str">
            <v>FOREIGN_HOLDNG</v>
          </cell>
        </row>
        <row r="223">
          <cell r="B223" t="str">
            <v>SH Guangxin</v>
          </cell>
          <cell r="C223" t="str">
            <v>ACT1</v>
          </cell>
          <cell r="E223">
            <v>7.4700000000000003E-2</v>
          </cell>
        </row>
        <row r="224">
          <cell r="B224" t="str">
            <v>Liu Qingfeng</v>
          </cell>
          <cell r="C224" t="str">
            <v>ACT2</v>
          </cell>
          <cell r="E224">
            <v>6.8000000000000005E-2</v>
          </cell>
        </row>
        <row r="225">
          <cell r="B225" t="str">
            <v>USTC AM</v>
          </cell>
          <cell r="C225" t="str">
            <v>ACT3</v>
          </cell>
          <cell r="E225">
            <v>5.7700000000000001E-2</v>
          </cell>
        </row>
        <row r="226">
          <cell r="B226" t="str">
            <v>Catalyst 1 date</v>
          </cell>
          <cell r="C226" t="str">
            <v>CATALYST1_DATE</v>
          </cell>
        </row>
        <row r="227">
          <cell r="B227" t="str">
            <v>Catalyst 1 description</v>
          </cell>
          <cell r="C227" t="str">
            <v>CATALYST1_EVENT</v>
          </cell>
        </row>
        <row r="228">
          <cell r="B228" t="str">
            <v>Catalyst 2 date</v>
          </cell>
          <cell r="C228" t="str">
            <v>CATALYST2_DATE</v>
          </cell>
        </row>
        <row r="229">
          <cell r="B229" t="str">
            <v>Catalyst 2 description</v>
          </cell>
          <cell r="C229" t="str">
            <v>CATALYST2_EVENT</v>
          </cell>
        </row>
        <row r="230">
          <cell r="B230" t="str">
            <v>Catalyst 3 date</v>
          </cell>
          <cell r="C230" t="str">
            <v>CATALYST3_DATE</v>
          </cell>
        </row>
        <row r="231">
          <cell r="B231" t="str">
            <v>Catalyst 3 description</v>
          </cell>
          <cell r="C231" t="str">
            <v>CATALYST3_EVENT</v>
          </cell>
        </row>
        <row r="232">
          <cell r="B232" t="str">
            <v>Catalyst 4 date</v>
          </cell>
          <cell r="C232" t="str">
            <v>CATALYST4_DATE</v>
          </cell>
        </row>
        <row r="233">
          <cell r="B233" t="str">
            <v>Catalyst 4 description</v>
          </cell>
          <cell r="C233" t="str">
            <v>CATALYST4_EVENT</v>
          </cell>
        </row>
        <row r="234">
          <cell r="B234" t="str">
            <v>Catalyst 5 date</v>
          </cell>
          <cell r="C234" t="str">
            <v>CATALYST5_DATE</v>
          </cell>
        </row>
        <row r="235">
          <cell r="B235" t="str">
            <v>Catalyst 5 description</v>
          </cell>
          <cell r="C235" t="str">
            <v>CATALYST5_EVENT</v>
          </cell>
        </row>
        <row r="236">
          <cell r="B236" t="str">
            <v>Target price multiple</v>
          </cell>
          <cell r="C236" t="str">
            <v>PRI_TARG_MULT</v>
          </cell>
          <cell r="E236">
            <v>56.825703586106876</v>
          </cell>
        </row>
        <row r="237">
          <cell r="B237" t="str">
            <v>Target price methodology</v>
          </cell>
          <cell r="C237" t="str">
            <v>PRI_TARG_METH</v>
          </cell>
          <cell r="E237" t="str">
            <v>Long-term growth discounted PE</v>
          </cell>
        </row>
        <row r="238">
          <cell r="A238" t="str">
            <v>Publishing Items</v>
          </cell>
        </row>
        <row r="239">
          <cell r="B239" t="str">
            <v>Book value per share, BVPS (Pub)</v>
          </cell>
          <cell r="C239" t="str">
            <v>BVPS_PUB</v>
          </cell>
          <cell r="D239" t="str">
            <v>CNY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7.1275760539887212E-2</v>
          </cell>
          <cell r="R239">
            <v>9.8818741085676953E-2</v>
          </cell>
          <cell r="S239">
            <v>0.1319587911323056</v>
          </cell>
          <cell r="T239">
            <v>0.41320432680210567</v>
          </cell>
          <cell r="U239">
            <v>0.45486641225282654</v>
          </cell>
          <cell r="Z239">
            <v>0.50861234151015211</v>
          </cell>
          <cell r="AE239">
            <v>0.91659672664360115</v>
          </cell>
          <cell r="AJ239">
            <v>1.047435730553919</v>
          </cell>
          <cell r="AO239">
            <v>2.5790751937559326</v>
          </cell>
          <cell r="AT239">
            <v>2.8876323629373521</v>
          </cell>
          <cell r="AY239">
            <v>4.8228020533481466</v>
          </cell>
          <cell r="BD239">
            <v>5.2779130043425644</v>
          </cell>
          <cell r="BI239">
            <v>5.954509391255713</v>
          </cell>
          <cell r="BN239">
            <v>6.8694540220215687</v>
          </cell>
          <cell r="BS239">
            <v>8.0474667076320028</v>
          </cell>
          <cell r="BX239">
            <v>9.4503523597570585</v>
          </cell>
        </row>
        <row r="240">
          <cell r="B240" t="str">
            <v>DPS, dividend per share (Pub)</v>
          </cell>
          <cell r="C240" t="str">
            <v>DPS_PUB</v>
          </cell>
          <cell r="D240" t="str">
            <v>CNY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2.8461060625850246E-2</v>
          </cell>
          <cell r="T240">
            <v>2.1793404461963744E-2</v>
          </cell>
          <cell r="U240">
            <v>2.9057872615951656E-2</v>
          </cell>
          <cell r="Z240">
            <v>3.4804392200449556E-2</v>
          </cell>
          <cell r="AE240">
            <v>3.3292004056110165E-2</v>
          </cell>
          <cell r="AJ240">
            <v>3.9203668379596698E-2</v>
          </cell>
          <cell r="AO240">
            <v>5.8845347391562157E-2</v>
          </cell>
          <cell r="AT240">
            <v>0.13574312093340693</v>
          </cell>
          <cell r="AY240">
            <v>0.14583690287264894</v>
          </cell>
          <cell r="BD240">
            <v>0.22415912511665359</v>
          </cell>
          <cell r="BI240">
            <v>0.33324896668856607</v>
          </cell>
          <cell r="BN240">
            <v>0.45064437037721172</v>
          </cell>
          <cell r="BS240">
            <v>0.58021520336036381</v>
          </cell>
          <cell r="BX240">
            <v>0.69097353015114582</v>
          </cell>
        </row>
        <row r="241">
          <cell r="B241" t="str">
            <v>Special dividend per share</v>
          </cell>
          <cell r="C241" t="str">
            <v>DPS_SPECIAL_PUB</v>
          </cell>
          <cell r="D241" t="str">
            <v>CNY</v>
          </cell>
        </row>
        <row r="242">
          <cell r="B242" t="str">
            <v>EBITDA (Pub)</v>
          </cell>
          <cell r="C242" t="str">
            <v>EBITDA_PUB</v>
          </cell>
          <cell r="D242" t="str">
            <v>CNY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12.472118269999996</v>
          </cell>
          <cell r="R242">
            <v>39.771510199999994</v>
          </cell>
          <cell r="S242">
            <v>40.571818950000051</v>
          </cell>
          <cell r="T242">
            <v>71.941360720000006</v>
          </cell>
          <cell r="U242">
            <v>68.669104609999977</v>
          </cell>
          <cell r="Z242">
            <v>111.40984801000002</v>
          </cell>
          <cell r="AE242">
            <v>150.79290356000001</v>
          </cell>
          <cell r="AJ242">
            <v>176.78429756000003</v>
          </cell>
          <cell r="AO242">
            <v>338.58030182000016</v>
          </cell>
          <cell r="AT242">
            <v>1018.25813896</v>
          </cell>
          <cell r="AY242">
            <v>720.557635090649</v>
          </cell>
          <cell r="BD242">
            <v>1094.6766750603906</v>
          </cell>
          <cell r="BI242">
            <v>1687.1713238929333</v>
          </cell>
          <cell r="BN242">
            <v>2358.3523575650925</v>
          </cell>
          <cell r="BS242">
            <v>3089.1228920042868</v>
          </cell>
          <cell r="BX242">
            <v>3774.294380669473</v>
          </cell>
        </row>
        <row r="243">
          <cell r="B243" t="str">
            <v>EPS (Pub)</v>
          </cell>
          <cell r="C243" t="str">
            <v>EPS_PUB</v>
          </cell>
          <cell r="D243" t="str">
            <v>CNY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1.5881484741801542E-2</v>
          </cell>
          <cell r="R243">
            <v>5.5900602081714351E-2</v>
          </cell>
          <cell r="S243">
            <v>7.7348799308523036E-2</v>
          </cell>
          <cell r="T243">
            <v>8.0811796242292303E-2</v>
          </cell>
          <cell r="U243">
            <v>8.7032511690812955E-2</v>
          </cell>
          <cell r="Z243">
            <v>0.10966012048906519</v>
          </cell>
          <cell r="AE243">
            <v>0.13906468178623463</v>
          </cell>
          <cell r="AJ243">
            <v>0.18917831382161421</v>
          </cell>
          <cell r="AO243">
            <v>0.24536145510585727</v>
          </cell>
          <cell r="AT243">
            <v>0.31549114553001895</v>
          </cell>
          <cell r="AY243">
            <v>0.45449676173620812</v>
          </cell>
          <cell r="BD243">
            <v>0.67927007611107137</v>
          </cell>
          <cell r="BI243">
            <v>1.0098453536017153</v>
          </cell>
          <cell r="BN243">
            <v>1.3655890011430658</v>
          </cell>
          <cell r="BS243">
            <v>1.7582278889707994</v>
          </cell>
          <cell r="BX243">
            <v>2.0938591822761996</v>
          </cell>
        </row>
        <row r="244">
          <cell r="B244" t="str">
            <v>EV adjustment (Pub)</v>
          </cell>
          <cell r="C244" t="str">
            <v>EV_ADJ_PUB</v>
          </cell>
          <cell r="D244" t="str">
            <v>CNY</v>
          </cell>
        </row>
        <row r="245">
          <cell r="B245" t="str">
            <v>Net debt (Pub)</v>
          </cell>
          <cell r="C245" t="str">
            <v>NET_DEBT_PUB</v>
          </cell>
          <cell r="D245" t="str">
            <v>CNY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-4.5112412000000006</v>
          </cell>
          <cell r="R245">
            <v>-22.23962453</v>
          </cell>
          <cell r="S245">
            <v>-50.23248341</v>
          </cell>
          <cell r="T245">
            <v>-350.00052118000002</v>
          </cell>
          <cell r="U245">
            <v>-328.29073161000002</v>
          </cell>
          <cell r="Z245">
            <v>-286.32261292999999</v>
          </cell>
          <cell r="AE245">
            <v>-659.07535571000005</v>
          </cell>
          <cell r="AJ245">
            <v>-526.10201397000003</v>
          </cell>
          <cell r="AO245">
            <v>-1745.1487243399999</v>
          </cell>
          <cell r="AT245">
            <v>-1058.0087636799999</v>
          </cell>
          <cell r="AY245">
            <v>-2846.6848772899966</v>
          </cell>
          <cell r="BD245">
            <v>-2418.0930350557301</v>
          </cell>
          <cell r="BI245">
            <v>-1894.4114950938419</v>
          </cell>
          <cell r="BN245">
            <v>-1537.1251377687536</v>
          </cell>
          <cell r="BS245">
            <v>-1584.9555756769287</v>
          </cell>
          <cell r="BX245">
            <v>-1990.0439146374076</v>
          </cell>
        </row>
        <row r="246">
          <cell r="B246" t="str">
            <v>Net income (Pub)</v>
          </cell>
          <cell r="C246" t="str">
            <v>NI_PUB</v>
          </cell>
          <cell r="D246" t="str">
            <v>CNY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9.9858428500000027</v>
          </cell>
          <cell r="R246">
            <v>35.148768309999994</v>
          </cell>
          <cell r="S246">
            <v>53.49828834000003</v>
          </cell>
          <cell r="T246">
            <v>69.872748859999973</v>
          </cell>
          <cell r="U246">
            <v>80.269858159999984</v>
          </cell>
          <cell r="Z246">
            <v>101.13924264000003</v>
          </cell>
          <cell r="AA246">
            <v>14.520532709999987</v>
          </cell>
          <cell r="AB246">
            <v>25.594970610000026</v>
          </cell>
          <cell r="AC246">
            <v>29.574224519999998</v>
          </cell>
          <cell r="AD246">
            <v>62.939174069999993</v>
          </cell>
          <cell r="AE246">
            <v>132.62890191</v>
          </cell>
          <cell r="AF246">
            <v>19.859722680000004</v>
          </cell>
          <cell r="AG246">
            <v>38.557491630000015</v>
          </cell>
          <cell r="AH246">
            <v>41.247854119999957</v>
          </cell>
          <cell r="AI246">
            <v>82.739807450000072</v>
          </cell>
          <cell r="AJ246">
            <v>182.40487588000011</v>
          </cell>
          <cell r="AK246">
            <v>34.320470540000009</v>
          </cell>
          <cell r="AL246">
            <v>48.174532520000014</v>
          </cell>
          <cell r="AM246">
            <v>57.774514350000004</v>
          </cell>
          <cell r="AN246">
            <v>138.71664989999999</v>
          </cell>
          <cell r="AO246">
            <v>278.98616731000004</v>
          </cell>
          <cell r="AP246">
            <v>50.896334140000015</v>
          </cell>
          <cell r="AQ246">
            <v>65.898005099999992</v>
          </cell>
          <cell r="AR246">
            <v>81.289577330000157</v>
          </cell>
          <cell r="AS246">
            <v>181.34596997999978</v>
          </cell>
          <cell r="AT246">
            <v>379.42988654999999</v>
          </cell>
          <cell r="AU246">
            <v>66.586553259999988</v>
          </cell>
          <cell r="AV246">
            <v>76.505739879999936</v>
          </cell>
          <cell r="AW246">
            <v>147.60952494958408</v>
          </cell>
          <cell r="AX246">
            <v>276.56914378130949</v>
          </cell>
          <cell r="AY246">
            <v>567.27096187089319</v>
          </cell>
          <cell r="BD246">
            <v>871.92582955565513</v>
          </cell>
          <cell r="BI246">
            <v>1296.2594388128505</v>
          </cell>
          <cell r="BN246">
            <v>1752.8997147506454</v>
          </cell>
          <cell r="BS246">
            <v>2256.8995228167178</v>
          </cell>
          <cell r="BX246">
            <v>2687.7231438359017</v>
          </cell>
        </row>
        <row r="247">
          <cell r="B247" t="str">
            <v>EBIT, operating profit (Pub)</v>
          </cell>
          <cell r="C247" t="str">
            <v>EBIT_PUB</v>
          </cell>
          <cell r="D247" t="str">
            <v>CNY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12.472118269999996</v>
          </cell>
          <cell r="R247">
            <v>39.771510199999994</v>
          </cell>
          <cell r="S247">
            <v>40.571818950000051</v>
          </cell>
          <cell r="T247">
            <v>60.000370310000022</v>
          </cell>
          <cell r="U247">
            <v>49.767564639999989</v>
          </cell>
          <cell r="Z247">
            <v>84.167132670000001</v>
          </cell>
          <cell r="AA247">
            <v>12.648045909999986</v>
          </cell>
          <cell r="AB247">
            <v>26.953563280000026</v>
          </cell>
          <cell r="AC247">
            <v>19.65236462</v>
          </cell>
          <cell r="AD247">
            <v>45.236888100000002</v>
          </cell>
          <cell r="AE247">
            <v>104.49086191000004</v>
          </cell>
          <cell r="AF247">
            <v>17.949241840000006</v>
          </cell>
          <cell r="AG247">
            <v>24.095082220000023</v>
          </cell>
          <cell r="AH247">
            <v>26.14764686999996</v>
          </cell>
          <cell r="AI247">
            <v>46.058334560000077</v>
          </cell>
          <cell r="AJ247">
            <v>114.25030548999996</v>
          </cell>
          <cell r="AK247">
            <v>22.08792960000001</v>
          </cell>
          <cell r="AL247">
            <v>29.530183860000015</v>
          </cell>
          <cell r="AM247">
            <v>37.521235820000001</v>
          </cell>
          <cell r="AN247">
            <v>118.03514237</v>
          </cell>
          <cell r="AO247">
            <v>207.17449165000016</v>
          </cell>
          <cell r="AP247">
            <v>24.546475390000012</v>
          </cell>
          <cell r="AQ247">
            <v>33.33592895999999</v>
          </cell>
          <cell r="AR247">
            <v>46.099997580000149</v>
          </cell>
          <cell r="AS247">
            <v>162.90166785999983</v>
          </cell>
          <cell r="AT247">
            <v>823.77451994</v>
          </cell>
          <cell r="AU247">
            <v>28.643835369999977</v>
          </cell>
          <cell r="AV247">
            <v>51.454069019999935</v>
          </cell>
          <cell r="AW247">
            <v>107.4474124701801</v>
          </cell>
          <cell r="AX247">
            <v>274.8875150398639</v>
          </cell>
          <cell r="AY247">
            <v>462.43283190004377</v>
          </cell>
          <cell r="BD247">
            <v>740.50801457762009</v>
          </cell>
          <cell r="BI247">
            <v>1199.8682309288761</v>
          </cell>
          <cell r="BN247">
            <v>1700.2877372177163</v>
          </cell>
          <cell r="BS247">
            <v>2231.4481830188961</v>
          </cell>
          <cell r="BX247">
            <v>2684.4582651336659</v>
          </cell>
        </row>
        <row r="248">
          <cell r="B248" t="str">
            <v>Pre-tax profit (Pub)</v>
          </cell>
          <cell r="C248" t="str">
            <v>PTP_PUB</v>
          </cell>
          <cell r="D248" t="str">
            <v>CNY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11.072120770000003</v>
          </cell>
          <cell r="R248">
            <v>37.238850349999993</v>
          </cell>
          <cell r="S248">
            <v>55.356846530000034</v>
          </cell>
          <cell r="T248">
            <v>77.489366459999971</v>
          </cell>
          <cell r="U248">
            <v>87.395078529999978</v>
          </cell>
          <cell r="Z248">
            <v>111.98293157000003</v>
          </cell>
          <cell r="AE248">
            <v>143.73858526000001</v>
          </cell>
          <cell r="AJ248">
            <v>202.69074379000011</v>
          </cell>
          <cell r="AO248">
            <v>320.58399225000005</v>
          </cell>
          <cell r="AT248">
            <v>433.74923002999998</v>
          </cell>
          <cell r="AY248">
            <v>643.8075539421036</v>
          </cell>
          <cell r="BD248">
            <v>993.93405817478947</v>
          </cell>
          <cell r="BI248">
            <v>1471.8317260066401</v>
          </cell>
          <cell r="BN248">
            <v>2088.0976032737981</v>
          </cell>
          <cell r="BS248">
            <v>2688.4746712927331</v>
          </cell>
          <cell r="BX248">
            <v>3201.6824509014295</v>
          </cell>
        </row>
        <row r="249">
          <cell r="B249" t="str">
            <v>Sales, revenue (Pub)</v>
          </cell>
          <cell r="C249" t="str">
            <v>REVS_PUB</v>
          </cell>
          <cell r="D249" t="str">
            <v>CNY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81.567521810000002</v>
          </cell>
          <cell r="R249">
            <v>171.35527556</v>
          </cell>
          <cell r="S249">
            <v>205.81020808000002</v>
          </cell>
          <cell r="T249">
            <v>257.55214083999999</v>
          </cell>
          <cell r="U249">
            <v>307.12515289999999</v>
          </cell>
          <cell r="Z249">
            <v>436.05733842000001</v>
          </cell>
          <cell r="AA249">
            <v>85.70098981999999</v>
          </cell>
          <cell r="AB249">
            <v>135.60514433000003</v>
          </cell>
          <cell r="AC249">
            <v>121.29126283999997</v>
          </cell>
          <cell r="AD249">
            <v>214.41613370000005</v>
          </cell>
          <cell r="AE249">
            <v>557.01353069000004</v>
          </cell>
          <cell r="AF249">
            <v>130.06769266000001</v>
          </cell>
          <cell r="AG249">
            <v>173.60203297000001</v>
          </cell>
          <cell r="AH249">
            <v>223.27271113999996</v>
          </cell>
          <cell r="AI249">
            <v>256.99824694000006</v>
          </cell>
          <cell r="AJ249">
            <v>783.94068371000003</v>
          </cell>
          <cell r="AK249">
            <v>173.04575912000001</v>
          </cell>
          <cell r="AL249">
            <v>246.05492519000001</v>
          </cell>
          <cell r="AM249">
            <v>338.35138807999999</v>
          </cell>
          <cell r="AN249">
            <v>496.25567838999996</v>
          </cell>
          <cell r="AO249">
            <v>1253.70775078</v>
          </cell>
          <cell r="AP249">
            <v>261.93893664000001</v>
          </cell>
          <cell r="AQ249">
            <v>385.75291031</v>
          </cell>
          <cell r="AR249">
            <v>457.65699877000009</v>
          </cell>
          <cell r="AS249">
            <v>669.86176722999994</v>
          </cell>
          <cell r="AT249">
            <v>1775.21061295</v>
          </cell>
          <cell r="AU249">
            <v>406.10641343999998</v>
          </cell>
          <cell r="AV249">
            <v>633.04558938000002</v>
          </cell>
          <cell r="AW249">
            <v>696.75566694205588</v>
          </cell>
          <cell r="AX249">
            <v>947.43920193344468</v>
          </cell>
          <cell r="AY249">
            <v>2683.3468716955003</v>
          </cell>
          <cell r="BD249">
            <v>4339.5862437711257</v>
          </cell>
          <cell r="BI249">
            <v>6465.648050367713</v>
          </cell>
          <cell r="BN249">
            <v>8961.0792271181981</v>
          </cell>
          <cell r="BS249">
            <v>11389.031717876065</v>
          </cell>
          <cell r="BX249">
            <v>13457.948315675589</v>
          </cell>
        </row>
        <row r="250">
          <cell r="B250" t="str">
            <v>Total shareholders' equity (Pub)</v>
          </cell>
          <cell r="C250" t="str">
            <v>EQ_PUB</v>
          </cell>
          <cell r="D250" t="str">
            <v>CNY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93.536812210000008</v>
          </cell>
          <cell r="R250">
            <v>126.84588329</v>
          </cell>
          <cell r="S250">
            <v>171.98579733</v>
          </cell>
          <cell r="T250">
            <v>530.39805239999998</v>
          </cell>
          <cell r="U250">
            <v>599.03658364000012</v>
          </cell>
          <cell r="Z250">
            <v>661.46416260000001</v>
          </cell>
          <cell r="AE250">
            <v>1185.7849062199998</v>
          </cell>
          <cell r="AJ250">
            <v>1482.7320979899998</v>
          </cell>
          <cell r="AO250">
            <v>3461.0525709400004</v>
          </cell>
          <cell r="AT250">
            <v>3901.4191872599999</v>
          </cell>
          <cell r="AY250">
            <v>6391.6381285834987</v>
          </cell>
          <cell r="BD250">
            <v>6992.0849221457884</v>
          </cell>
          <cell r="BI250">
            <v>7876.8352339103976</v>
          </cell>
          <cell r="BN250">
            <v>9073.2612908254141</v>
          </cell>
          <cell r="BS250">
            <v>10613.687918894717</v>
          </cell>
          <cell r="BX250">
            <v>12448.169364695088</v>
          </cell>
        </row>
        <row r="251">
          <cell r="B251" t="str">
            <v>EPS (consensus)</v>
          </cell>
          <cell r="C251" t="str">
            <v>EPS_CONS_PUB</v>
          </cell>
          <cell r="D251" t="str">
            <v>CNY</v>
          </cell>
        </row>
        <row r="252">
          <cell r="A252" t="str">
            <v>Income Statement</v>
          </cell>
        </row>
        <row r="253">
          <cell r="B253" t="str">
            <v>Provision for income tax</v>
          </cell>
          <cell r="C253" t="str">
            <v>PROV_INC_TAX</v>
          </cell>
          <cell r="D253" t="str">
            <v>CNY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-1.14120552</v>
          </cell>
          <cell r="R253">
            <v>-2.09008204</v>
          </cell>
          <cell r="S253">
            <v>-1.7994619700000001</v>
          </cell>
          <cell r="T253">
            <v>-7.41823941</v>
          </cell>
          <cell r="U253">
            <v>-7.3443451900000003</v>
          </cell>
          <cell r="Z253">
            <v>-10.868572960000002</v>
          </cell>
          <cell r="AE253">
            <v>-11.147770830000001</v>
          </cell>
          <cell r="AJ253">
            <v>-20.953964559999999</v>
          </cell>
          <cell r="AO253">
            <v>-42.145440489999999</v>
          </cell>
          <cell r="AT253">
            <v>-45.262679920000004</v>
          </cell>
          <cell r="AY253">
            <v>-70.343514661210406</v>
          </cell>
          <cell r="BD253">
            <v>-105.75174085913437</v>
          </cell>
          <cell r="BI253">
            <v>-159.31579943378961</v>
          </cell>
          <cell r="BN253">
            <v>-313.2146404910697</v>
          </cell>
          <cell r="BS253">
            <v>-403.27120069390998</v>
          </cell>
          <cell r="BX253">
            <v>-480.2523676352144</v>
          </cell>
        </row>
        <row r="254">
          <cell r="B254" t="str">
            <v>Minority interest</v>
          </cell>
          <cell r="C254" t="str">
            <v>INC_MINORITY</v>
          </cell>
          <cell r="D254" t="str">
            <v>CNY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5.49276E-2</v>
          </cell>
          <cell r="R254">
            <v>0</v>
          </cell>
          <cell r="S254">
            <v>-5.9096219999999998E-2</v>
          </cell>
          <cell r="T254">
            <v>-0.19837819000000001</v>
          </cell>
          <cell r="U254">
            <v>0.21912482</v>
          </cell>
          <cell r="Z254">
            <v>2.4884029999999998E-2</v>
          </cell>
          <cell r="AE254">
            <v>3.808748E-2</v>
          </cell>
          <cell r="AJ254">
            <v>0.66809665000000007</v>
          </cell>
          <cell r="AO254">
            <v>0.54761555000000006</v>
          </cell>
          <cell r="AT254">
            <v>-9.0566635600000005</v>
          </cell>
          <cell r="AY254">
            <v>-6.193077409999999</v>
          </cell>
          <cell r="BD254">
            <v>-16.256487759999999</v>
          </cell>
          <cell r="BI254">
            <v>-16.256487759999999</v>
          </cell>
          <cell r="BN254">
            <v>-21.983248032082805</v>
          </cell>
          <cell r="BS254">
            <v>-28.303947782105126</v>
          </cell>
          <cell r="BX254">
            <v>-33.706939430313604</v>
          </cell>
        </row>
        <row r="255">
          <cell r="B255" t="str">
            <v>Net income (pre-preferred dividends)</v>
          </cell>
          <cell r="C255" t="str">
            <v>NI_PRE_PREF</v>
          </cell>
          <cell r="D255" t="str">
            <v>CNY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9.9858428500000027</v>
          </cell>
          <cell r="R255">
            <v>35.148768309999994</v>
          </cell>
          <cell r="S255">
            <v>53.49828834000003</v>
          </cell>
          <cell r="T255">
            <v>69.872748859999973</v>
          </cell>
          <cell r="U255">
            <v>80.269858159999984</v>
          </cell>
          <cell r="Z255">
            <v>101.13924264000003</v>
          </cell>
          <cell r="AE255">
            <v>132.62890191</v>
          </cell>
          <cell r="AJ255">
            <v>182.40487588000011</v>
          </cell>
          <cell r="AO255">
            <v>278.98616731000004</v>
          </cell>
          <cell r="AT255">
            <v>379.42988654999999</v>
          </cell>
          <cell r="AY255">
            <v>567.27096187089319</v>
          </cell>
          <cell r="BD255">
            <v>871.92582955565513</v>
          </cell>
          <cell r="BI255">
            <v>1296.2594388128505</v>
          </cell>
          <cell r="BN255">
            <v>1752.8997147506454</v>
          </cell>
          <cell r="BS255">
            <v>2256.8995228167178</v>
          </cell>
          <cell r="BX255">
            <v>2687.7231438359017</v>
          </cell>
        </row>
        <row r="256">
          <cell r="B256" t="str">
            <v>Preferred dividends</v>
          </cell>
          <cell r="C256" t="str">
            <v>PREF_DIV</v>
          </cell>
          <cell r="D256" t="str">
            <v>CNY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Z256">
            <v>0</v>
          </cell>
          <cell r="AE256">
            <v>0</v>
          </cell>
          <cell r="AJ256">
            <v>0</v>
          </cell>
          <cell r="AO256">
            <v>0</v>
          </cell>
          <cell r="AT256">
            <v>0</v>
          </cell>
          <cell r="AY256">
            <v>0</v>
          </cell>
          <cell r="BD256">
            <v>0</v>
          </cell>
          <cell r="BI256">
            <v>0</v>
          </cell>
          <cell r="BN256">
            <v>0</v>
          </cell>
          <cell r="BS256">
            <v>0</v>
          </cell>
          <cell r="BX256">
            <v>0</v>
          </cell>
        </row>
        <row r="257">
          <cell r="B257" t="str">
            <v>Net income (pre-exceptionals)</v>
          </cell>
          <cell r="C257" t="str">
            <v>NET_EARNING</v>
          </cell>
          <cell r="D257" t="str">
            <v>CNY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9.9858428500000027</v>
          </cell>
          <cell r="R257">
            <v>35.148768309999994</v>
          </cell>
          <cell r="S257">
            <v>53.49828834000003</v>
          </cell>
          <cell r="T257">
            <v>69.872748859999973</v>
          </cell>
          <cell r="U257">
            <v>80.269858159999984</v>
          </cell>
          <cell r="Z257">
            <v>101.13924264000003</v>
          </cell>
          <cell r="AE257">
            <v>132.62890191</v>
          </cell>
          <cell r="AJ257">
            <v>182.40487588000011</v>
          </cell>
          <cell r="AO257">
            <v>278.98616731000004</v>
          </cell>
          <cell r="AT257">
            <v>379.42988654999999</v>
          </cell>
          <cell r="AY257">
            <v>567.27096187089319</v>
          </cell>
          <cell r="BD257">
            <v>871.92582955565513</v>
          </cell>
          <cell r="BI257">
            <v>1296.2594388128505</v>
          </cell>
          <cell r="BN257">
            <v>1752.8997147506454</v>
          </cell>
          <cell r="BS257">
            <v>2256.8995228167178</v>
          </cell>
          <cell r="BX257">
            <v>2687.7231438359017</v>
          </cell>
        </row>
        <row r="258">
          <cell r="B258" t="str">
            <v>Post-tax exceptionals</v>
          </cell>
          <cell r="C258" t="str">
            <v>TAX_EXC</v>
          </cell>
          <cell r="D258" t="str">
            <v>CNY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Z258">
            <v>0</v>
          </cell>
          <cell r="AE258">
            <v>0</v>
          </cell>
          <cell r="AJ258">
            <v>0</v>
          </cell>
          <cell r="AO258">
            <v>0</v>
          </cell>
          <cell r="AT258">
            <v>0</v>
          </cell>
          <cell r="AY258">
            <v>0</v>
          </cell>
          <cell r="BD258">
            <v>0</v>
          </cell>
          <cell r="BI258">
            <v>0</v>
          </cell>
          <cell r="BN258">
            <v>0</v>
          </cell>
          <cell r="BS258">
            <v>0</v>
          </cell>
          <cell r="BX258">
            <v>0</v>
          </cell>
        </row>
        <row r="259">
          <cell r="B259" t="str">
            <v>Net income (post-exceptionals)</v>
          </cell>
          <cell r="C259" t="str">
            <v>NET_INC</v>
          </cell>
          <cell r="D259" t="str">
            <v>CNY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9.9858428500000027</v>
          </cell>
          <cell r="R259">
            <v>35.148768309999994</v>
          </cell>
          <cell r="S259">
            <v>53.49828834000003</v>
          </cell>
          <cell r="T259">
            <v>69.872748859999973</v>
          </cell>
          <cell r="U259">
            <v>80.269858159999984</v>
          </cell>
          <cell r="Z259">
            <v>101.13924264000003</v>
          </cell>
          <cell r="AA259">
            <v>14.520532709999987</v>
          </cell>
          <cell r="AB259">
            <v>25.594970610000026</v>
          </cell>
          <cell r="AC259">
            <v>29.574224519999998</v>
          </cell>
          <cell r="AD259">
            <v>62.939174069999993</v>
          </cell>
          <cell r="AE259">
            <v>132.62890191</v>
          </cell>
          <cell r="AF259">
            <v>19.859722680000004</v>
          </cell>
          <cell r="AG259">
            <v>38.557491630000015</v>
          </cell>
          <cell r="AH259">
            <v>41.247854119999957</v>
          </cell>
          <cell r="AI259">
            <v>82.739807450000072</v>
          </cell>
          <cell r="AJ259">
            <v>182.40487588000011</v>
          </cell>
          <cell r="AK259">
            <v>34.320470540000009</v>
          </cell>
          <cell r="AL259">
            <v>48.174532520000014</v>
          </cell>
          <cell r="AM259">
            <v>57.774514350000004</v>
          </cell>
          <cell r="AN259">
            <v>138.71664989999999</v>
          </cell>
          <cell r="AO259">
            <v>278.98616731000004</v>
          </cell>
          <cell r="AP259">
            <v>50.896334140000015</v>
          </cell>
          <cell r="AQ259">
            <v>65.898005099999992</v>
          </cell>
          <cell r="AR259">
            <v>81.289577330000157</v>
          </cell>
          <cell r="AS259">
            <v>181.34596997999978</v>
          </cell>
          <cell r="AT259">
            <v>379.42988654999999</v>
          </cell>
          <cell r="AU259">
            <v>66.586553259999988</v>
          </cell>
          <cell r="AV259">
            <v>76.505739879999936</v>
          </cell>
          <cell r="AW259">
            <v>147.60952494958408</v>
          </cell>
          <cell r="AX259">
            <v>276.56914378130949</v>
          </cell>
          <cell r="AY259">
            <v>567.27096187089319</v>
          </cell>
          <cell r="BD259">
            <v>871.92582955565513</v>
          </cell>
          <cell r="BI259">
            <v>1296.2594388128505</v>
          </cell>
          <cell r="BN259">
            <v>1752.8997147506454</v>
          </cell>
          <cell r="BS259">
            <v>2256.8995228167178</v>
          </cell>
          <cell r="BX259">
            <v>2687.7231438359017</v>
          </cell>
        </row>
        <row r="260">
          <cell r="B260" t="str">
            <v>EPS (pre-exceptionals, basic)</v>
          </cell>
          <cell r="C260" t="str">
            <v>EPS</v>
          </cell>
          <cell r="D260" t="str">
            <v>CNY</v>
          </cell>
          <cell r="Q260">
            <v>1.5881484741801542E-2</v>
          </cell>
          <cell r="R260">
            <v>5.5900602081714351E-2</v>
          </cell>
          <cell r="S260">
            <v>7.7348799308523036E-2</v>
          </cell>
          <cell r="T260">
            <v>8.0811796242292303E-2</v>
          </cell>
          <cell r="U260">
            <v>8.7032511690812955E-2</v>
          </cell>
          <cell r="Z260">
            <v>0.10966012048906519</v>
          </cell>
          <cell r="AE260">
            <v>0.13906468178623463</v>
          </cell>
          <cell r="AJ260">
            <v>0.18917831382161421</v>
          </cell>
          <cell r="AO260">
            <v>0.24536145510585727</v>
          </cell>
          <cell r="AT260">
            <v>0.31549114553001895</v>
          </cell>
          <cell r="AY260">
            <v>0.45449676173620812</v>
          </cell>
          <cell r="BD260">
            <v>0.67927007611107137</v>
          </cell>
          <cell r="BI260">
            <v>1.0098453536017153</v>
          </cell>
          <cell r="BN260">
            <v>1.3655890011430658</v>
          </cell>
          <cell r="BS260">
            <v>1.7582278889707994</v>
          </cell>
          <cell r="BX260">
            <v>2.0938591822761996</v>
          </cell>
        </row>
        <row r="261">
          <cell r="B261" t="str">
            <v>EPS (pre-exceptionals, diluted)</v>
          </cell>
          <cell r="C261" t="str">
            <v>EPS_FUL_DIL</v>
          </cell>
          <cell r="D261" t="str">
            <v>CNY</v>
          </cell>
          <cell r="Q261">
            <v>1.5881484741801542E-2</v>
          </cell>
          <cell r="R261">
            <v>5.5900602081714351E-2</v>
          </cell>
          <cell r="S261">
            <v>7.7348799308523036E-2</v>
          </cell>
          <cell r="T261">
            <v>7.5759456555979862E-2</v>
          </cell>
          <cell r="U261">
            <v>8.7032511690812955E-2</v>
          </cell>
          <cell r="Z261">
            <v>0.10966012048906519</v>
          </cell>
          <cell r="AE261">
            <v>0.13755395452788649</v>
          </cell>
          <cell r="AJ261">
            <v>0.18917831388415399</v>
          </cell>
          <cell r="AO261">
            <v>0.23352827784918115</v>
          </cell>
          <cell r="AT261">
            <v>0.31501527202266377</v>
          </cell>
          <cell r="AY261">
            <v>0.45449676173620812</v>
          </cell>
          <cell r="BD261">
            <v>0.67927007611107137</v>
          </cell>
          <cell r="BI261">
            <v>1.0098453536017153</v>
          </cell>
          <cell r="BN261">
            <v>1.3655890011430658</v>
          </cell>
          <cell r="BS261">
            <v>1.7582278889707994</v>
          </cell>
          <cell r="BX261">
            <v>2.0938591822761996</v>
          </cell>
        </row>
        <row r="262">
          <cell r="B262" t="str">
            <v>EPS (post-exceptionals, basic)</v>
          </cell>
          <cell r="C262" t="str">
            <v>EPS_POST_BASIC</v>
          </cell>
          <cell r="D262" t="str">
            <v>CNY</v>
          </cell>
          <cell r="Q262">
            <v>1.5881484741801542E-2</v>
          </cell>
          <cell r="R262">
            <v>5.5900602081714351E-2</v>
          </cell>
          <cell r="S262">
            <v>7.7348799308523036E-2</v>
          </cell>
          <cell r="T262">
            <v>8.0811796242292303E-2</v>
          </cell>
          <cell r="U262">
            <v>8.7032511690812955E-2</v>
          </cell>
          <cell r="Z262">
            <v>0.10966012048906519</v>
          </cell>
          <cell r="AE262">
            <v>0.13906468178623463</v>
          </cell>
          <cell r="AJ262">
            <v>0.18917831382161421</v>
          </cell>
          <cell r="AO262">
            <v>0.24536145510585727</v>
          </cell>
          <cell r="AT262">
            <v>0.31549114553001895</v>
          </cell>
          <cell r="AY262">
            <v>0.45449676173620812</v>
          </cell>
          <cell r="BD262">
            <v>0.67927007611107137</v>
          </cell>
          <cell r="BI262">
            <v>1.0098453536017153</v>
          </cell>
          <cell r="BN262">
            <v>1.3655890011430658</v>
          </cell>
          <cell r="BS262">
            <v>1.7582278889707994</v>
          </cell>
          <cell r="BX262">
            <v>2.0938591822761996</v>
          </cell>
        </row>
        <row r="263">
          <cell r="B263" t="str">
            <v>EPS (post-exceptionals, diluted)</v>
          </cell>
          <cell r="C263" t="str">
            <v>FULLY_DIL_EPS</v>
          </cell>
          <cell r="D263" t="str">
            <v>CNY</v>
          </cell>
          <cell r="Q263">
            <v>1.5881484741801542E-2</v>
          </cell>
          <cell r="R263">
            <v>5.5900602081714351E-2</v>
          </cell>
          <cell r="S263">
            <v>7.7348799308523036E-2</v>
          </cell>
          <cell r="T263">
            <v>7.5759456555979862E-2</v>
          </cell>
          <cell r="U263">
            <v>8.7032511690812955E-2</v>
          </cell>
          <cell r="Z263">
            <v>0.10966012048906519</v>
          </cell>
          <cell r="AE263">
            <v>0.13755395452788649</v>
          </cell>
          <cell r="AJ263">
            <v>0.18917831388415399</v>
          </cell>
          <cell r="AO263">
            <v>0.23352827784918115</v>
          </cell>
          <cell r="AT263">
            <v>0.31501527202266377</v>
          </cell>
          <cell r="AY263">
            <v>0.45449676173620812</v>
          </cell>
          <cell r="BD263">
            <v>0.67927007611107137</v>
          </cell>
          <cell r="BI263">
            <v>1.0098453536017153</v>
          </cell>
          <cell r="BN263">
            <v>1.3655890011430658</v>
          </cell>
          <cell r="BS263">
            <v>1.7582278889707994</v>
          </cell>
          <cell r="BX263">
            <v>2.0938591822761996</v>
          </cell>
        </row>
        <row r="264">
          <cell r="B264" t="str">
            <v>Common dividends paid</v>
          </cell>
          <cell r="C264" t="str">
            <v>COMMON_DIV_PAID</v>
          </cell>
          <cell r="D264" t="str">
            <v>CNY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-19.685089380000001</v>
          </cell>
          <cell r="T264">
            <v>-20.100000000000001</v>
          </cell>
          <cell r="U264">
            <v>-26.8</v>
          </cell>
          <cell r="Z264">
            <v>-32.1</v>
          </cell>
          <cell r="AE264">
            <v>-32.1</v>
          </cell>
          <cell r="AJ264">
            <v>-37.799999999999997</v>
          </cell>
          <cell r="AO264">
            <v>-70.3</v>
          </cell>
          <cell r="AT264">
            <v>-163.5</v>
          </cell>
          <cell r="AY264">
            <v>-187.19941741739473</v>
          </cell>
          <cell r="BD264">
            <v>-287.73552375336624</v>
          </cell>
          <cell r="BI264">
            <v>-427.76561480824063</v>
          </cell>
          <cell r="BN264">
            <v>-578.45690586771298</v>
          </cell>
          <cell r="BS264">
            <v>-744.7768425295169</v>
          </cell>
          <cell r="BX264">
            <v>-886.94863746584758</v>
          </cell>
        </row>
        <row r="265">
          <cell r="B265" t="str">
            <v>DPS, dividend per share</v>
          </cell>
          <cell r="C265" t="str">
            <v>DPS</v>
          </cell>
          <cell r="D265" t="str">
            <v>CNY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2.8461060625850246E-2</v>
          </cell>
          <cell r="T265">
            <v>2.1793404461963744E-2</v>
          </cell>
          <cell r="U265">
            <v>2.9057872615951656E-2</v>
          </cell>
          <cell r="Z265">
            <v>3.4804392200449556E-2</v>
          </cell>
          <cell r="AE265">
            <v>3.3292004056110165E-2</v>
          </cell>
          <cell r="AJ265">
            <v>3.9203668379596698E-2</v>
          </cell>
          <cell r="AO265">
            <v>5.8845347391562157E-2</v>
          </cell>
          <cell r="AT265">
            <v>0.13574312093340693</v>
          </cell>
          <cell r="AY265">
            <v>0.14583690287264894</v>
          </cell>
          <cell r="BD265">
            <v>0.22415912511665359</v>
          </cell>
          <cell r="BI265">
            <v>0.33324896668856607</v>
          </cell>
          <cell r="BN265">
            <v>0.45064437037721172</v>
          </cell>
          <cell r="BS265">
            <v>0.58021520336036381</v>
          </cell>
          <cell r="BX265">
            <v>0.69097353015114582</v>
          </cell>
        </row>
        <row r="266">
          <cell r="B266" t="str">
            <v>Weighted average shares outstanding, basic</v>
          </cell>
          <cell r="C266" t="str">
            <v>SH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628.77262499999995</v>
          </cell>
          <cell r="R266">
            <v>628.77262499999995</v>
          </cell>
          <cell r="S266">
            <v>691.64988749999998</v>
          </cell>
          <cell r="T266">
            <v>864.63551249999989</v>
          </cell>
          <cell r="U266">
            <v>922.2973874999999</v>
          </cell>
          <cell r="Z266">
            <v>922.2973874999999</v>
          </cell>
          <cell r="AE266">
            <v>953.72096068124984</v>
          </cell>
          <cell r="AJ266">
            <v>964.19548411874985</v>
          </cell>
          <cell r="AO266">
            <v>1137.0415422000001</v>
          </cell>
          <cell r="AT266">
            <v>1202.6641378874999</v>
          </cell>
          <cell r="AY266">
            <v>1248.1298210000002</v>
          </cell>
          <cell r="BD266">
            <v>1283.6217290000002</v>
          </cell>
          <cell r="BI266">
            <v>1283.6217290000002</v>
          </cell>
          <cell r="BN266">
            <v>1283.6217290000002</v>
          </cell>
          <cell r="BS266">
            <v>1283.6217290000002</v>
          </cell>
          <cell r="BX266">
            <v>1283.6217290000002</v>
          </cell>
        </row>
        <row r="267">
          <cell r="B267" t="str">
            <v>Diluted average shares outstanding (mn)</v>
          </cell>
          <cell r="C267" t="str">
            <v>DILUTE_SHARES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628.77262499999995</v>
          </cell>
          <cell r="R267">
            <v>628.77262499999995</v>
          </cell>
          <cell r="S267">
            <v>691.64988749999998</v>
          </cell>
          <cell r="T267">
            <v>922.2973874999999</v>
          </cell>
          <cell r="U267">
            <v>922.2973874999999</v>
          </cell>
          <cell r="Z267">
            <v>922.2973874999999</v>
          </cell>
          <cell r="AE267">
            <v>964.19548507499985</v>
          </cell>
          <cell r="AJ267">
            <v>964.19548379999992</v>
          </cell>
          <cell r="AO267">
            <v>1194.6568950000001</v>
          </cell>
          <cell r="AT267">
            <v>1204.4809260000002</v>
          </cell>
          <cell r="AY267">
            <v>1248.1298210000002</v>
          </cell>
          <cell r="BD267">
            <v>1283.6217290000002</v>
          </cell>
          <cell r="BI267">
            <v>1283.6217290000002</v>
          </cell>
          <cell r="BN267">
            <v>1283.6217290000002</v>
          </cell>
          <cell r="BS267">
            <v>1283.6217290000002</v>
          </cell>
          <cell r="BX267">
            <v>1283.6217290000002</v>
          </cell>
        </row>
        <row r="268">
          <cell r="B268" t="str">
            <v>Period-end shares outstanding</v>
          </cell>
          <cell r="C268" t="str">
            <v>NON_OP_ADD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628.77262499999995</v>
          </cell>
          <cell r="R268">
            <v>628.77262499999995</v>
          </cell>
          <cell r="S268">
            <v>691.64988749999998</v>
          </cell>
          <cell r="T268">
            <v>922.2973874999999</v>
          </cell>
          <cell r="U268">
            <v>922.2973874999999</v>
          </cell>
          <cell r="Z268">
            <v>922.2973874999999</v>
          </cell>
          <cell r="AE268">
            <v>964.19548507499985</v>
          </cell>
          <cell r="AJ268">
            <v>964.19548379999992</v>
          </cell>
          <cell r="AO268">
            <v>1194.6568950000001</v>
          </cell>
          <cell r="AT268">
            <v>1204.4809260000002</v>
          </cell>
          <cell r="AY268">
            <v>1283.6217290000002</v>
          </cell>
          <cell r="BD268">
            <v>1283.6217290000002</v>
          </cell>
          <cell r="BI268">
            <v>1283.6217290000002</v>
          </cell>
          <cell r="BN268">
            <v>1283.6217290000002</v>
          </cell>
          <cell r="BS268">
            <v>1283.6217290000002</v>
          </cell>
          <cell r="BX268">
            <v>1283.6217290000002</v>
          </cell>
        </row>
        <row r="269">
          <cell r="A269" t="str">
            <v>Additional Income Statement Items</v>
          </cell>
        </row>
        <row r="270">
          <cell r="B270" t="str">
            <v>Marginal tax rate</v>
          </cell>
          <cell r="C270" t="str">
            <v>MARGIN_TAX_RATE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5.6126384685772135E-2</v>
          </cell>
          <cell r="S270">
            <v>3.250658378859788E-2</v>
          </cell>
          <cell r="T270">
            <v>9.5732353339464935E-2</v>
          </cell>
          <cell r="U270">
            <v>8.4036141548621851E-2</v>
          </cell>
          <cell r="Z270">
            <v>9.7055620956003508E-2</v>
          </cell>
          <cell r="AE270">
            <v>7.7555868591829211E-2</v>
          </cell>
          <cell r="AJ270">
            <v>0.10337899091094942</v>
          </cell>
          <cell r="AO270">
            <v>0.13146458185327559</v>
          </cell>
          <cell r="AT270">
            <v>0.10435218505602752</v>
          </cell>
          <cell r="AY270">
            <v>0.10926171063152246</v>
          </cell>
          <cell r="BD270">
            <v>0.10639713971903886</v>
          </cell>
          <cell r="BI270">
            <v>0.10824321600000003</v>
          </cell>
          <cell r="BN270">
            <v>0.15</v>
          </cell>
          <cell r="BS270">
            <v>0.15</v>
          </cell>
          <cell r="BX270">
            <v>0.15</v>
          </cell>
        </row>
        <row r="271">
          <cell r="B271" t="str">
            <v>Net income (consensus) (Pub)</v>
          </cell>
          <cell r="C271" t="str">
            <v>NI_CONS</v>
          </cell>
          <cell r="D271" t="str">
            <v>CNY</v>
          </cell>
          <cell r="R271">
            <v>0.94387361531422787</v>
          </cell>
          <cell r="S271">
            <v>0.96749341621140217</v>
          </cell>
          <cell r="T271">
            <v>0.90426764666053505</v>
          </cell>
          <cell r="U271">
            <v>0.91596385845137818</v>
          </cell>
        </row>
        <row r="272">
          <cell r="A272" t="str">
            <v>Balance Sheet</v>
          </cell>
        </row>
        <row r="273">
          <cell r="B273" t="str">
            <v>BVPS, book value per share</v>
          </cell>
          <cell r="C273" t="str">
            <v>BVPS</v>
          </cell>
          <cell r="D273" t="str">
            <v>CNY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0.14550747176692053</v>
          </cell>
          <cell r="R273">
            <v>0.20173569625426999</v>
          </cell>
          <cell r="S273">
            <v>0.24490016508533013</v>
          </cell>
          <cell r="T273">
            <v>0.57508354635776304</v>
          </cell>
          <cell r="U273">
            <v>0.63306740154893926</v>
          </cell>
          <cell r="Z273">
            <v>0.70786913423844011</v>
          </cell>
          <cell r="AE273">
            <v>1.2202540804870923</v>
          </cell>
          <cell r="AJ273">
            <v>1.3944384578230276</v>
          </cell>
          <cell r="AO273">
            <v>2.7711361925634725</v>
          </cell>
          <cell r="AT273">
            <v>3.0773651673667097</v>
          </cell>
          <cell r="AY273">
            <v>4.8228020533481466</v>
          </cell>
          <cell r="BD273">
            <v>5.2779130043425644</v>
          </cell>
          <cell r="BI273">
            <v>5.954509391255713</v>
          </cell>
          <cell r="BN273">
            <v>6.8694540220215687</v>
          </cell>
          <cell r="BS273">
            <v>8.0474667076320028</v>
          </cell>
          <cell r="BX273">
            <v>9.4503523597570585</v>
          </cell>
        </row>
        <row r="274">
          <cell r="A274" t="str">
            <v>Cash Flow Statement</v>
          </cell>
        </row>
        <row r="275">
          <cell r="B275" t="str">
            <v>Net income (pre-preferred dividends)</v>
          </cell>
          <cell r="C275" t="str">
            <v>CF_NI_PRE_PREF</v>
          </cell>
          <cell r="D275" t="str">
            <v>CNY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9.9858428500000027</v>
          </cell>
          <cell r="R275">
            <v>35.148768309999994</v>
          </cell>
          <cell r="S275">
            <v>53.49828834000003</v>
          </cell>
          <cell r="T275">
            <v>69.872748859999973</v>
          </cell>
          <cell r="U275">
            <v>80.269858159999984</v>
          </cell>
          <cell r="Z275">
            <v>101.13924264000003</v>
          </cell>
          <cell r="AE275">
            <v>132.62890191</v>
          </cell>
          <cell r="AJ275">
            <v>182.40487588000011</v>
          </cell>
          <cell r="AO275">
            <v>278.98616731000004</v>
          </cell>
          <cell r="AT275">
            <v>379.42988654999999</v>
          </cell>
          <cell r="AY275">
            <v>567.27096187089319</v>
          </cell>
          <cell r="BD275">
            <v>871.92582955565513</v>
          </cell>
          <cell r="BI275">
            <v>1296.2594388128505</v>
          </cell>
          <cell r="BN275">
            <v>1752.8997147506454</v>
          </cell>
          <cell r="BS275">
            <v>2256.8995228167178</v>
          </cell>
          <cell r="BX275">
            <v>2687.7231438359017</v>
          </cell>
        </row>
        <row r="276">
          <cell r="A276" t="str">
            <v>Other Items</v>
          </cell>
        </row>
        <row r="277">
          <cell r="B277" t="str">
            <v>Beta</v>
          </cell>
          <cell r="C277" t="str">
            <v>BETA_ANALYST</v>
          </cell>
        </row>
        <row r="278">
          <cell r="B278" t="str">
            <v>Market equity risk premium</v>
          </cell>
          <cell r="C278" t="str">
            <v>MKT_EQ_RISK_PREM</v>
          </cell>
        </row>
        <row r="279">
          <cell r="B279" t="str">
            <v>Risk-free rate</v>
          </cell>
          <cell r="C279" t="str">
            <v>RISK_FR_RATE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Z279">
            <v>0</v>
          </cell>
          <cell r="AE279">
            <v>0</v>
          </cell>
          <cell r="AJ279">
            <v>0</v>
          </cell>
          <cell r="AO279">
            <v>0</v>
          </cell>
          <cell r="AT279">
            <v>0</v>
          </cell>
          <cell r="AY279">
            <v>0</v>
          </cell>
          <cell r="BD279">
            <v>0</v>
          </cell>
          <cell r="BI279">
            <v>0</v>
          </cell>
          <cell r="BN279">
            <v>0</v>
          </cell>
          <cell r="BS279">
            <v>0</v>
          </cell>
          <cell r="BX279">
            <v>0</v>
          </cell>
        </row>
      </sheetData>
      <sheetData sheetId="12" refreshError="1"/>
      <sheetData sheetId="13" refreshError="1"/>
      <sheetData sheetId="14" refreshError="1"/>
      <sheetData sheetId="15" refreshError="1">
        <row r="1">
          <cell r="A1" t="str">
            <v>Issuer: Anhui USTC iFLYTEK</v>
          </cell>
          <cell r="C1">
            <v>1862803354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 t="str">
            <v>2010 Q1</v>
          </cell>
          <cell r="W1" t="str">
            <v>2010 Q2</v>
          </cell>
          <cell r="X1" t="str">
            <v>2010 Q3</v>
          </cell>
          <cell r="Y1" t="str">
            <v>2010 Q4</v>
          </cell>
          <cell r="Z1">
            <v>2010</v>
          </cell>
          <cell r="AA1" t="str">
            <v>2011 Q1</v>
          </cell>
          <cell r="AB1" t="str">
            <v>2011 Q2</v>
          </cell>
          <cell r="AC1" t="str">
            <v>2011 Q3</v>
          </cell>
          <cell r="AD1" t="str">
            <v>2011 Q4</v>
          </cell>
          <cell r="AE1">
            <v>2011</v>
          </cell>
          <cell r="AF1" t="str">
            <v>2012 Q1</v>
          </cell>
          <cell r="AG1" t="str">
            <v>2012 Q2</v>
          </cell>
          <cell r="AH1" t="str">
            <v>2012 Q3</v>
          </cell>
          <cell r="AI1" t="str">
            <v>2012 Q4</v>
          </cell>
          <cell r="AJ1">
            <v>2012</v>
          </cell>
          <cell r="AK1" t="str">
            <v>2013 Q1</v>
          </cell>
          <cell r="AL1" t="str">
            <v>2013 Q2</v>
          </cell>
          <cell r="AM1" t="str">
            <v>2013 Q3</v>
          </cell>
          <cell r="AN1" t="str">
            <v>2013 Q4</v>
          </cell>
          <cell r="AO1">
            <v>2013</v>
          </cell>
          <cell r="AP1" t="str">
            <v>2014 Q1</v>
          </cell>
          <cell r="AQ1" t="str">
            <v>2014 Q2</v>
          </cell>
          <cell r="AR1" t="str">
            <v>2014 Q3</v>
          </cell>
          <cell r="AS1" t="str">
            <v>2014 Q4</v>
          </cell>
          <cell r="AT1">
            <v>2014</v>
          </cell>
          <cell r="AU1" t="str">
            <v>2015 Q1</v>
          </cell>
          <cell r="AV1" t="str">
            <v>2015 Q2</v>
          </cell>
          <cell r="AW1" t="str">
            <v>2015 Q3</v>
          </cell>
          <cell r="AX1" t="str">
            <v>2015 Q4</v>
          </cell>
          <cell r="AY1">
            <v>2015</v>
          </cell>
          <cell r="AZ1" t="str">
            <v>2016 Q1</v>
          </cell>
          <cell r="BA1" t="str">
            <v>2016 Q2</v>
          </cell>
          <cell r="BB1" t="str">
            <v>2016 Q3</v>
          </cell>
          <cell r="BC1" t="str">
            <v>2016 Q4</v>
          </cell>
          <cell r="BD1">
            <v>2016</v>
          </cell>
          <cell r="BE1" t="str">
            <v>2017 Q1</v>
          </cell>
          <cell r="BF1" t="str">
            <v>2017 Q2</v>
          </cell>
          <cell r="BG1" t="str">
            <v>2017 Q3</v>
          </cell>
          <cell r="BH1" t="str">
            <v>2017 Q4</v>
          </cell>
          <cell r="BI1">
            <v>2017</v>
          </cell>
          <cell r="BJ1" t="str">
            <v>2018 Q1</v>
          </cell>
          <cell r="BK1" t="str">
            <v>2018 Q2</v>
          </cell>
          <cell r="BL1" t="str">
            <v>2018 Q3</v>
          </cell>
          <cell r="BM1" t="str">
            <v>2018 Q4</v>
          </cell>
          <cell r="BN1">
            <v>2018</v>
          </cell>
          <cell r="BO1" t="str">
            <v>2019 Q1</v>
          </cell>
          <cell r="BP1" t="str">
            <v>2019 Q2</v>
          </cell>
          <cell r="BQ1" t="str">
            <v>2019 Q3</v>
          </cell>
          <cell r="BR1" t="str">
            <v>2019 Q4</v>
          </cell>
          <cell r="BS1">
            <v>2019</v>
          </cell>
          <cell r="BT1" t="str">
            <v>2020 Q1</v>
          </cell>
          <cell r="BU1" t="str">
            <v>2020 Q2</v>
          </cell>
          <cell r="BV1" t="str">
            <v>2020 Q3</v>
          </cell>
          <cell r="BW1" t="str">
            <v>2020 Q4</v>
          </cell>
          <cell r="BX1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  <cell r="BE2" t="str">
            <v>Estimate</v>
          </cell>
          <cell r="BF2" t="str">
            <v>Estimate</v>
          </cell>
          <cell r="BG2" t="str">
            <v>Estimate</v>
          </cell>
          <cell r="BH2" t="str">
            <v>Estimate</v>
          </cell>
          <cell r="BI2" t="str">
            <v>Estimate</v>
          </cell>
          <cell r="BJ2" t="str">
            <v>Estimate</v>
          </cell>
          <cell r="BK2" t="str">
            <v>Estimate</v>
          </cell>
          <cell r="BL2" t="str">
            <v>Estimate</v>
          </cell>
          <cell r="BM2" t="str">
            <v>Estimate</v>
          </cell>
          <cell r="BN2" t="str">
            <v>Estimate</v>
          </cell>
          <cell r="BO2" t="str">
            <v>Estimate</v>
          </cell>
          <cell r="BP2" t="str">
            <v>Estimate</v>
          </cell>
          <cell r="BQ2" t="str">
            <v>Estimate</v>
          </cell>
          <cell r="BR2" t="str">
            <v>Estimate</v>
          </cell>
          <cell r="BS2" t="str">
            <v>Estimate</v>
          </cell>
          <cell r="BT2" t="str">
            <v>Estimate</v>
          </cell>
          <cell r="BU2" t="str">
            <v>Estimate</v>
          </cell>
          <cell r="BV2" t="str">
            <v>Estimate</v>
          </cell>
          <cell r="BW2" t="str">
            <v>Estimate</v>
          </cell>
          <cell r="BX2" t="str">
            <v>Estimate</v>
          </cell>
        </row>
        <row r="3"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41729</v>
          </cell>
          <cell r="AQ3">
            <v>41820</v>
          </cell>
          <cell r="AR3">
            <v>41912</v>
          </cell>
          <cell r="AS3">
            <v>42004</v>
          </cell>
          <cell r="AT3">
            <v>42004</v>
          </cell>
          <cell r="AU3">
            <v>42094</v>
          </cell>
          <cell r="AV3">
            <v>42185</v>
          </cell>
          <cell r="AW3">
            <v>42277</v>
          </cell>
          <cell r="AX3">
            <v>42369</v>
          </cell>
          <cell r="AY3">
            <v>42369</v>
          </cell>
          <cell r="AZ3">
            <v>42460</v>
          </cell>
          <cell r="BA3">
            <v>42551</v>
          </cell>
          <cell r="BB3">
            <v>42643</v>
          </cell>
          <cell r="BC3">
            <v>42735</v>
          </cell>
          <cell r="BD3">
            <v>42735</v>
          </cell>
          <cell r="BE3">
            <v>42825</v>
          </cell>
          <cell r="BF3">
            <v>42916</v>
          </cell>
          <cell r="BG3">
            <v>43008</v>
          </cell>
          <cell r="BH3">
            <v>43100</v>
          </cell>
          <cell r="BI3">
            <v>43100</v>
          </cell>
          <cell r="BJ3">
            <v>43190</v>
          </cell>
          <cell r="BK3">
            <v>43281</v>
          </cell>
          <cell r="BL3">
            <v>43373</v>
          </cell>
          <cell r="BM3">
            <v>43465</v>
          </cell>
          <cell r="BN3">
            <v>43465</v>
          </cell>
          <cell r="BO3">
            <v>43555</v>
          </cell>
          <cell r="BP3">
            <v>43646</v>
          </cell>
          <cell r="BQ3">
            <v>43738</v>
          </cell>
          <cell r="BR3">
            <v>43830</v>
          </cell>
          <cell r="BS3">
            <v>43830</v>
          </cell>
          <cell r="BT3">
            <v>43921</v>
          </cell>
          <cell r="BU3">
            <v>44012</v>
          </cell>
          <cell r="BV3">
            <v>44104</v>
          </cell>
          <cell r="BW3">
            <v>44196</v>
          </cell>
          <cell r="BX3">
            <v>44196</v>
          </cell>
        </row>
        <row r="4">
          <cell r="A4" t="str">
            <v>Issuer: Anhui USTC iFLYTEK</v>
          </cell>
          <cell r="B4" t="str">
            <v>13UJL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Anhui USTC iFLYTEK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81.567521810000002</v>
          </cell>
          <cell r="R9">
            <v>171.35527556</v>
          </cell>
          <cell r="S9">
            <v>205.81020808</v>
          </cell>
          <cell r="T9">
            <v>257.55214083999999</v>
          </cell>
          <cell r="U9">
            <v>307.12515289999999</v>
          </cell>
          <cell r="V9">
            <v>56.149818959999998</v>
          </cell>
          <cell r="W9">
            <v>100.95747110000001</v>
          </cell>
          <cell r="X9">
            <v>91.656234119999993</v>
          </cell>
          <cell r="Y9">
            <v>187.29381423999999</v>
          </cell>
          <cell r="Z9">
            <v>436.05733842000001</v>
          </cell>
          <cell r="AA9">
            <v>85.700989820000004</v>
          </cell>
          <cell r="AB9">
            <v>135.60514433</v>
          </cell>
          <cell r="AC9">
            <v>121.29126284</v>
          </cell>
          <cell r="AD9">
            <v>214.41613369999999</v>
          </cell>
          <cell r="AE9">
            <v>557.01353069000004</v>
          </cell>
          <cell r="AF9">
            <v>130.06769266000001</v>
          </cell>
          <cell r="AG9">
            <v>173.60203297000001</v>
          </cell>
          <cell r="AH9">
            <v>223.27271114000001</v>
          </cell>
          <cell r="AI9">
            <v>256.99824694</v>
          </cell>
          <cell r="AJ9">
            <v>783.94068371000003</v>
          </cell>
          <cell r="AK9">
            <v>173.04575912000001</v>
          </cell>
          <cell r="AL9">
            <v>246.05492519000001</v>
          </cell>
          <cell r="AM9">
            <v>338.35138807999999</v>
          </cell>
          <cell r="AN9">
            <v>496.25567839000001</v>
          </cell>
          <cell r="AO9">
            <v>1253.70775078</v>
          </cell>
          <cell r="AP9">
            <v>261.93893664000001</v>
          </cell>
          <cell r="AQ9">
            <v>385.75291031</v>
          </cell>
          <cell r="AR9">
            <v>457.65699876999997</v>
          </cell>
          <cell r="AS9">
            <v>669.86176723000005</v>
          </cell>
          <cell r="AT9">
            <v>1775.21061295</v>
          </cell>
          <cell r="AU9">
            <v>406.10641343999998</v>
          </cell>
          <cell r="AV9">
            <v>633.04558938000002</v>
          </cell>
          <cell r="AW9">
            <v>696.755666942056</v>
          </cell>
          <cell r="AX9">
            <v>947.439201933444</v>
          </cell>
          <cell r="AY9">
            <v>2683.3468716954999</v>
          </cell>
          <cell r="BD9">
            <v>4339.5862437711303</v>
          </cell>
          <cell r="BI9">
            <v>6465.6480503677103</v>
          </cell>
          <cell r="BN9">
            <v>8961.0792271181999</v>
          </cell>
          <cell r="BS9">
            <v>11389.0317178761</v>
          </cell>
          <cell r="BX9">
            <v>13457.9483156756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-38.670562320000002</v>
          </cell>
          <cell r="R11">
            <v>-100.84862429</v>
          </cell>
          <cell r="S11">
            <v>-118.43721121</v>
          </cell>
          <cell r="T11">
            <v>-132.51299925999999</v>
          </cell>
          <cell r="U11">
            <v>-136.15412576</v>
          </cell>
          <cell r="V11">
            <v>-19.886910180000001</v>
          </cell>
          <cell r="W11">
            <v>-41.114451760000001</v>
          </cell>
          <cell r="X11">
            <v>-32.557379419999997</v>
          </cell>
          <cell r="Y11">
            <v>-94.479100360000004</v>
          </cell>
          <cell r="Z11">
            <v>-188.03784171999999</v>
          </cell>
          <cell r="AE11">
            <v>-238.18190433000001</v>
          </cell>
          <cell r="AJ11">
            <v>-362.68015957</v>
          </cell>
          <cell r="AO11">
            <v>-589.17146577999995</v>
          </cell>
          <cell r="AT11">
            <v>-787.58372898000005</v>
          </cell>
          <cell r="AY11">
            <v>-1198.5440272498099</v>
          </cell>
          <cell r="BD11">
            <v>-1950.3687209593199</v>
          </cell>
          <cell r="BI11">
            <v>-2800.0126299280901</v>
          </cell>
          <cell r="BN11">
            <v>-3876.5221198817999</v>
          </cell>
          <cell r="BS11">
            <v>-4898.0967600125196</v>
          </cell>
          <cell r="BX11">
            <v>-5789.0488946785399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-30.424841220000001</v>
          </cell>
          <cell r="R12">
            <v>-30.735141070000001</v>
          </cell>
          <cell r="S12">
            <v>-30.43567792</v>
          </cell>
          <cell r="T12">
            <v>-43.755671270000001</v>
          </cell>
          <cell r="U12">
            <v>-76.036322139999996</v>
          </cell>
          <cell r="V12">
            <v>-34.071344259999996</v>
          </cell>
          <cell r="W12">
            <v>-38.965258310000003</v>
          </cell>
          <cell r="X12">
            <v>-40.78135185</v>
          </cell>
          <cell r="Y12">
            <v>-50.034409609999997</v>
          </cell>
          <cell r="Z12">
            <v>-101.42310028</v>
          </cell>
          <cell r="AE12">
            <v>-138.3742732</v>
          </cell>
          <cell r="AJ12">
            <v>-203.78864164999999</v>
          </cell>
          <cell r="AO12">
            <v>-265.26587711000002</v>
          </cell>
          <cell r="AT12">
            <v>151.35627916999999</v>
          </cell>
          <cell r="AY12">
            <v>-588.79280787613698</v>
          </cell>
          <cell r="BD12">
            <v>-933.49202863795199</v>
          </cell>
          <cell r="BI12">
            <v>-1378.83605653431</v>
          </cell>
          <cell r="BN12">
            <v>-1907.9634525414899</v>
          </cell>
          <cell r="BS12">
            <v>-2420.7103726471601</v>
          </cell>
          <cell r="BX12">
            <v>-2855.09116107004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-69.095403540000007</v>
          </cell>
          <cell r="R13">
            <v>-131.58376536</v>
          </cell>
          <cell r="S13">
            <v>-148.87288913</v>
          </cell>
          <cell r="T13">
            <v>-176.26867053000001</v>
          </cell>
          <cell r="U13">
            <v>-212.19044790000001</v>
          </cell>
          <cell r="V13">
            <v>-53.958254439999997</v>
          </cell>
          <cell r="W13">
            <v>-80.079710070000004</v>
          </cell>
          <cell r="X13">
            <v>-73.338731269999997</v>
          </cell>
          <cell r="Y13">
            <v>-144.51350997</v>
          </cell>
          <cell r="Z13">
            <v>-289.46094199999999</v>
          </cell>
          <cell r="AE13">
            <v>-376.55617753000001</v>
          </cell>
          <cell r="AJ13">
            <v>-566.46880122000005</v>
          </cell>
          <cell r="AO13">
            <v>-854.43734288999997</v>
          </cell>
          <cell r="AT13">
            <v>-636.22744981000005</v>
          </cell>
          <cell r="AY13">
            <v>-1787.3368351259401</v>
          </cell>
          <cell r="BD13">
            <v>-2883.8607495972701</v>
          </cell>
          <cell r="BI13">
            <v>-4178.8486864624001</v>
          </cell>
          <cell r="BN13">
            <v>-5784.4855724232903</v>
          </cell>
          <cell r="BS13">
            <v>-7318.8071326596701</v>
          </cell>
          <cell r="BX13">
            <v>-8644.1400557485795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Q14">
            <v>0</v>
          </cell>
          <cell r="R14">
            <v>0</v>
          </cell>
          <cell r="S14">
            <v>-16.365500000000001</v>
          </cell>
          <cell r="T14">
            <v>-21.283100000000001</v>
          </cell>
          <cell r="U14">
            <v>-45.167140359999998</v>
          </cell>
          <cell r="Z14">
            <v>-62.429263749999997</v>
          </cell>
          <cell r="AE14">
            <v>-75.966491250000004</v>
          </cell>
          <cell r="AJ14">
            <v>-103.221577</v>
          </cell>
          <cell r="AO14">
            <v>-192.09591624000001</v>
          </cell>
          <cell r="AT14">
            <v>-315.20864319999998</v>
          </cell>
          <cell r="AY14">
            <v>-433.57720466951298</v>
          </cell>
          <cell r="BD14">
            <v>-715.21747959623201</v>
          </cell>
          <cell r="BI14">
            <v>-1086.93113297643</v>
          </cell>
          <cell r="BN14">
            <v>-1476.30591747719</v>
          </cell>
          <cell r="BS14">
            <v>-1838.7764021974899</v>
          </cell>
          <cell r="BX14">
            <v>-2129.3499947933401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Z15">
            <v>0</v>
          </cell>
          <cell r="AE15">
            <v>0</v>
          </cell>
          <cell r="AJ15">
            <v>0</v>
          </cell>
          <cell r="AO15">
            <v>0</v>
          </cell>
          <cell r="AT15">
            <v>0</v>
          </cell>
          <cell r="AY15">
            <v>0</v>
          </cell>
          <cell r="BD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-69.095403540000007</v>
          </cell>
          <cell r="R16">
            <v>-131.58376536</v>
          </cell>
          <cell r="S16">
            <v>-165.23838913</v>
          </cell>
          <cell r="T16">
            <v>-197.55177053</v>
          </cell>
          <cell r="U16">
            <v>-257.35758826</v>
          </cell>
          <cell r="V16">
            <v>-53.958254439999997</v>
          </cell>
          <cell r="W16">
            <v>-80.079710070000004</v>
          </cell>
          <cell r="X16">
            <v>-73.338731269999997</v>
          </cell>
          <cell r="Y16">
            <v>-171.75622530999999</v>
          </cell>
          <cell r="Z16">
            <v>-351.89020575000001</v>
          </cell>
          <cell r="AE16">
            <v>-452.52266878</v>
          </cell>
          <cell r="AJ16">
            <v>-669.69037821999996</v>
          </cell>
          <cell r="AO16">
            <v>-1046.53325913</v>
          </cell>
          <cell r="AT16">
            <v>-951.43609301000004</v>
          </cell>
          <cell r="AY16">
            <v>-2220.9140397954602</v>
          </cell>
          <cell r="BD16">
            <v>-3599.0782291935002</v>
          </cell>
          <cell r="BI16">
            <v>-5265.7798194388397</v>
          </cell>
          <cell r="BN16">
            <v>-7260.79148990048</v>
          </cell>
          <cell r="BS16">
            <v>-9157.5835348571709</v>
          </cell>
          <cell r="BX16">
            <v>-10773.490050541899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-69.095403540000007</v>
          </cell>
          <cell r="R17">
            <v>-131.58376536</v>
          </cell>
          <cell r="S17">
            <v>-165.23838913</v>
          </cell>
          <cell r="T17">
            <v>-185.61078011999999</v>
          </cell>
          <cell r="U17">
            <v>-238.45604829000001</v>
          </cell>
          <cell r="V17">
            <v>-53.958254439999997</v>
          </cell>
          <cell r="W17">
            <v>-80.079710070000004</v>
          </cell>
          <cell r="X17">
            <v>-73.338731269999997</v>
          </cell>
          <cell r="Y17">
            <v>-144.51350997</v>
          </cell>
          <cell r="Z17">
            <v>-324.64749040999999</v>
          </cell>
          <cell r="AE17">
            <v>-406.22062713000003</v>
          </cell>
          <cell r="AJ17">
            <v>-607.15638615</v>
          </cell>
          <cell r="AO17">
            <v>-915.12744896000004</v>
          </cell>
          <cell r="AT17">
            <v>-756.95247399000004</v>
          </cell>
          <cell r="AY17">
            <v>-1962.78923660485</v>
          </cell>
          <cell r="BD17">
            <v>-3244.9095687107301</v>
          </cell>
          <cell r="BI17">
            <v>-4778.4767264747798</v>
          </cell>
          <cell r="BN17">
            <v>-6602.7268695531102</v>
          </cell>
          <cell r="BS17">
            <v>-8299.9088258717802</v>
          </cell>
          <cell r="BX17">
            <v>-9683.6539350061103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12.472118269999999</v>
          </cell>
          <cell r="R18">
            <v>39.771510200000002</v>
          </cell>
          <cell r="S18">
            <v>40.571818950000001</v>
          </cell>
          <cell r="T18">
            <v>71.941360720000006</v>
          </cell>
          <cell r="U18">
            <v>68.669104610000005</v>
          </cell>
          <cell r="V18">
            <v>2.19156452</v>
          </cell>
          <cell r="W18">
            <v>20.877761029999998</v>
          </cell>
          <cell r="X18">
            <v>18.31750285</v>
          </cell>
          <cell r="Y18">
            <v>42.780304270000002</v>
          </cell>
          <cell r="Z18">
            <v>111.40984801</v>
          </cell>
          <cell r="AE18">
            <v>150.79290356000001</v>
          </cell>
          <cell r="AJ18">
            <v>176.78429756</v>
          </cell>
          <cell r="AO18">
            <v>338.58030181999999</v>
          </cell>
          <cell r="AT18">
            <v>1018.25813896</v>
          </cell>
          <cell r="AY18">
            <v>720.557635090649</v>
          </cell>
          <cell r="BD18">
            <v>1094.6766750603899</v>
          </cell>
          <cell r="BI18">
            <v>1687.1713238929301</v>
          </cell>
          <cell r="BN18">
            <v>2358.3523575650902</v>
          </cell>
          <cell r="BS18">
            <v>3089.12289200429</v>
          </cell>
          <cell r="BX18">
            <v>3774.2943806694698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-7.91606656</v>
          </cell>
          <cell r="U19">
            <v>-7.3222759499999999</v>
          </cell>
          <cell r="Y19">
            <v>-9.6905041000000001</v>
          </cell>
          <cell r="Z19">
            <v>-9.6905041000000001</v>
          </cell>
          <cell r="AE19">
            <v>-19.95259158</v>
          </cell>
          <cell r="AJ19">
            <v>-26.314714800000001</v>
          </cell>
          <cell r="AO19">
            <v>-40.333606699999997</v>
          </cell>
          <cell r="AT19">
            <v>-60.02650955</v>
          </cell>
          <cell r="AY19">
            <v>-85.145108163014001</v>
          </cell>
          <cell r="BD19">
            <v>-117.64312805113001</v>
          </cell>
          <cell r="BI19">
            <v>-157.99274264706901</v>
          </cell>
          <cell r="BN19">
            <v>-202.73085277755601</v>
          </cell>
          <cell r="BS19">
            <v>-245.37558415087301</v>
          </cell>
          <cell r="BX19">
            <v>-295.76710161913701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-4.0249238500000004</v>
          </cell>
          <cell r="U20">
            <v>-11.57926402</v>
          </cell>
          <cell r="Y20">
            <v>-17.552211239999998</v>
          </cell>
          <cell r="Z20">
            <v>-17.552211239999998</v>
          </cell>
          <cell r="AE20">
            <v>-26.34945007</v>
          </cell>
          <cell r="AJ20">
            <v>-36.219277269999999</v>
          </cell>
          <cell r="AO20">
            <v>-91.072203470000005</v>
          </cell>
          <cell r="AT20">
            <v>-134.45710947000001</v>
          </cell>
          <cell r="AY20">
            <v>-172.97969502759199</v>
          </cell>
          <cell r="BD20">
            <v>-236.52553243164101</v>
          </cell>
          <cell r="BI20">
            <v>-329.31035031698798</v>
          </cell>
          <cell r="BN20">
            <v>-455.33376756981897</v>
          </cell>
          <cell r="BS20">
            <v>-612.29912483451801</v>
          </cell>
          <cell r="BX20">
            <v>-794.069013916671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12.472118269999999</v>
          </cell>
          <cell r="R21">
            <v>39.771510200000002</v>
          </cell>
          <cell r="S21">
            <v>40.571818950000001</v>
          </cell>
          <cell r="T21">
            <v>60.000370310000001</v>
          </cell>
          <cell r="U21">
            <v>49.767564640000003</v>
          </cell>
          <cell r="Z21">
            <v>84.167132670000001</v>
          </cell>
          <cell r="AA21">
            <v>12.64804591</v>
          </cell>
          <cell r="AB21">
            <v>26.953563280000001</v>
          </cell>
          <cell r="AC21">
            <v>19.65236462</v>
          </cell>
          <cell r="AD21">
            <v>45.236888100000002</v>
          </cell>
          <cell r="AE21">
            <v>104.49086191000001</v>
          </cell>
          <cell r="AF21">
            <v>17.949241839999999</v>
          </cell>
          <cell r="AG21">
            <v>24.095082219999998</v>
          </cell>
          <cell r="AH21">
            <v>26.147646869999999</v>
          </cell>
          <cell r="AI21">
            <v>46.058334559999999</v>
          </cell>
          <cell r="AJ21">
            <v>114.25030549</v>
          </cell>
          <cell r="AK21">
            <v>22.087929599999999</v>
          </cell>
          <cell r="AL21">
            <v>29.530183860000001</v>
          </cell>
          <cell r="AM21">
            <v>37.521235820000001</v>
          </cell>
          <cell r="AN21">
            <v>118.03514237</v>
          </cell>
          <cell r="AO21">
            <v>207.17449164999999</v>
          </cell>
          <cell r="AP21">
            <v>24.546475390000001</v>
          </cell>
          <cell r="AQ21">
            <v>33.335928959999997</v>
          </cell>
          <cell r="AR21">
            <v>46.09999758</v>
          </cell>
          <cell r="AS21">
            <v>162.90166786</v>
          </cell>
          <cell r="AT21">
            <v>823.77451994</v>
          </cell>
          <cell r="AU21">
            <v>28.643835370000001</v>
          </cell>
          <cell r="AV21">
            <v>51.454069019999999</v>
          </cell>
          <cell r="AW21">
            <v>107.44741247018</v>
          </cell>
          <cell r="AX21">
            <v>274.88751503986401</v>
          </cell>
          <cell r="AY21">
            <v>462.43283190004399</v>
          </cell>
          <cell r="BD21">
            <v>740.508014577621</v>
          </cell>
          <cell r="BI21">
            <v>1199.8682309288799</v>
          </cell>
          <cell r="BN21">
            <v>1700.28773721772</v>
          </cell>
          <cell r="BS21">
            <v>2231.4481830189002</v>
          </cell>
          <cell r="BX21">
            <v>2684.45826513367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1.0295775199999999</v>
          </cell>
          <cell r="U22">
            <v>5.7287251599999998</v>
          </cell>
          <cell r="Z22">
            <v>2.4427254299999999</v>
          </cell>
          <cell r="AE22">
            <v>2.9356787600000001</v>
          </cell>
          <cell r="AJ22">
            <v>12.71050816</v>
          </cell>
          <cell r="AO22">
            <v>19.974768529999999</v>
          </cell>
          <cell r="AT22">
            <v>41.807006389999998</v>
          </cell>
          <cell r="AY22">
            <v>20.224040952759999</v>
          </cell>
          <cell r="BD22">
            <v>68.536437054960004</v>
          </cell>
          <cell r="BI22">
            <v>58.250232841337997</v>
          </cell>
          <cell r="BN22">
            <v>58.250232841337997</v>
          </cell>
          <cell r="BS22">
            <v>58.250232841337997</v>
          </cell>
          <cell r="BX22">
            <v>58.250232841337997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-1.4890466099999999</v>
          </cell>
          <cell r="R23">
            <v>-3.8333374899999999</v>
          </cell>
          <cell r="S23">
            <v>-2.8954402099999998</v>
          </cell>
          <cell r="T23">
            <v>0</v>
          </cell>
          <cell r="U23">
            <v>0</v>
          </cell>
          <cell r="Z23">
            <v>0</v>
          </cell>
          <cell r="AE23">
            <v>0</v>
          </cell>
          <cell r="AJ23">
            <v>0</v>
          </cell>
          <cell r="AO23">
            <v>0</v>
          </cell>
          <cell r="AT23">
            <v>0</v>
          </cell>
          <cell r="AY23">
            <v>0</v>
          </cell>
          <cell r="BD23">
            <v>0</v>
          </cell>
          <cell r="BI23">
            <v>0</v>
          </cell>
          <cell r="BN23">
            <v>0</v>
          </cell>
          <cell r="BS23">
            <v>0</v>
          </cell>
          <cell r="BX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-1.4890466099999999</v>
          </cell>
          <cell r="R24">
            <v>-3.8333374899999999</v>
          </cell>
          <cell r="S24">
            <v>-2.8954402099999998</v>
          </cell>
          <cell r="T24">
            <v>1.0295775199999999</v>
          </cell>
          <cell r="U24">
            <v>5.7287251599999998</v>
          </cell>
          <cell r="Z24">
            <v>2.4427254299999999</v>
          </cell>
          <cell r="AE24">
            <v>2.9356787600000001</v>
          </cell>
          <cell r="AJ24">
            <v>12.71050816</v>
          </cell>
          <cell r="AO24">
            <v>19.974768529999999</v>
          </cell>
          <cell r="AT24">
            <v>41.807006389999998</v>
          </cell>
          <cell r="AY24">
            <v>20.224040952759999</v>
          </cell>
          <cell r="BD24">
            <v>68.536437054960004</v>
          </cell>
          <cell r="BI24">
            <v>58.250232841337997</v>
          </cell>
          <cell r="BN24">
            <v>58.250232841337997</v>
          </cell>
          <cell r="BS24">
            <v>58.250232841337997</v>
          </cell>
          <cell r="BX24">
            <v>58.250232841337997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Z25">
            <v>0</v>
          </cell>
          <cell r="AE25">
            <v>0</v>
          </cell>
          <cell r="AJ25">
            <v>0</v>
          </cell>
          <cell r="AO25">
            <v>0</v>
          </cell>
          <cell r="AT25">
            <v>0</v>
          </cell>
          <cell r="AY25">
            <v>0</v>
          </cell>
          <cell r="BD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E26">
            <v>0</v>
          </cell>
          <cell r="AJ26">
            <v>0</v>
          </cell>
          <cell r="AO26">
            <v>0</v>
          </cell>
          <cell r="AT26">
            <v>0</v>
          </cell>
          <cell r="AY26">
            <v>0</v>
          </cell>
          <cell r="BD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8.9049110000000001E-2</v>
          </cell>
          <cell r="R27">
            <v>1.30067764</v>
          </cell>
          <cell r="S27">
            <v>17.680467790000002</v>
          </cell>
          <cell r="T27">
            <v>16.459418629999998</v>
          </cell>
          <cell r="U27">
            <v>31.89878873</v>
          </cell>
          <cell r="Z27">
            <v>25.373073470000001</v>
          </cell>
          <cell r="AE27">
            <v>36.312044589999999</v>
          </cell>
          <cell r="AJ27">
            <v>75.729930139999993</v>
          </cell>
          <cell r="AO27">
            <v>93.434732069999995</v>
          </cell>
          <cell r="AT27">
            <v>-431.8322963</v>
          </cell>
          <cell r="AY27">
            <v>161.15068108930001</v>
          </cell>
          <cell r="BD27">
            <v>184.88960654220901</v>
          </cell>
          <cell r="BI27">
            <v>213.713262236426</v>
          </cell>
          <cell r="BN27">
            <v>329.559633214744</v>
          </cell>
          <cell r="BS27">
            <v>398.776255432499</v>
          </cell>
          <cell r="BX27">
            <v>458.973952926425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11.07212077</v>
          </cell>
          <cell r="R28">
            <v>37.23885035</v>
          </cell>
          <cell r="S28">
            <v>55.356846529999999</v>
          </cell>
          <cell r="T28">
            <v>77.489366459999999</v>
          </cell>
          <cell r="U28">
            <v>87.395078530000006</v>
          </cell>
          <cell r="Z28">
            <v>111.98293157000001</v>
          </cell>
          <cell r="AE28">
            <v>143.73858526000001</v>
          </cell>
          <cell r="AJ28">
            <v>202.69074379</v>
          </cell>
          <cell r="AO28">
            <v>320.58399224999999</v>
          </cell>
          <cell r="AT28">
            <v>433.74923002999998</v>
          </cell>
          <cell r="AY28">
            <v>643.80755394210405</v>
          </cell>
          <cell r="BD28">
            <v>993.93405817479004</v>
          </cell>
          <cell r="BI28">
            <v>1471.8317260066401</v>
          </cell>
          <cell r="BN28">
            <v>2088.0976032737999</v>
          </cell>
          <cell r="BS28">
            <v>2688.4746712927299</v>
          </cell>
          <cell r="BX28">
            <v>3201.68245090143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O31">
            <v>0</v>
          </cell>
          <cell r="AT31">
            <v>0</v>
          </cell>
          <cell r="AY31">
            <v>0</v>
          </cell>
          <cell r="BD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-1.4890466099999999</v>
          </cell>
          <cell r="R34">
            <v>-3.8333374899999999</v>
          </cell>
          <cell r="S34">
            <v>-2.8954402099999998</v>
          </cell>
          <cell r="T34">
            <v>0</v>
          </cell>
          <cell r="U34">
            <v>0</v>
          </cell>
          <cell r="Z34">
            <v>0</v>
          </cell>
          <cell r="AE34">
            <v>0</v>
          </cell>
          <cell r="AJ34">
            <v>0</v>
          </cell>
          <cell r="AO34">
            <v>0</v>
          </cell>
          <cell r="AT34">
            <v>0</v>
          </cell>
          <cell r="AY34">
            <v>0</v>
          </cell>
          <cell r="BD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44.511241200000001</v>
          </cell>
          <cell r="R37">
            <v>73.23962453</v>
          </cell>
          <cell r="S37">
            <v>93.23248341</v>
          </cell>
          <cell r="T37">
            <v>355.00052118000002</v>
          </cell>
          <cell r="U37">
            <v>366.29073161000002</v>
          </cell>
          <cell r="Z37">
            <v>306.12261293</v>
          </cell>
          <cell r="AE37">
            <v>659.07535571000005</v>
          </cell>
          <cell r="AJ37">
            <v>529.10201397000003</v>
          </cell>
          <cell r="AO37">
            <v>1754.69009448</v>
          </cell>
          <cell r="AT37">
            <v>1067.0087636799999</v>
          </cell>
          <cell r="AY37">
            <v>2855.6848772899998</v>
          </cell>
          <cell r="BD37">
            <v>2427.0930350557301</v>
          </cell>
          <cell r="BI37">
            <v>1903.4114950938399</v>
          </cell>
          <cell r="BN37">
            <v>1546.1251377687499</v>
          </cell>
          <cell r="BS37">
            <v>1593.95557567693</v>
          </cell>
          <cell r="BX37">
            <v>1999.0439146374099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72.470230810000004</v>
          </cell>
          <cell r="R38">
            <v>88.466526849999994</v>
          </cell>
          <cell r="S38">
            <v>101.7836132</v>
          </cell>
          <cell r="T38">
            <v>113.09061826</v>
          </cell>
          <cell r="U38">
            <v>142.67497501</v>
          </cell>
          <cell r="Z38">
            <v>193.40666041</v>
          </cell>
          <cell r="AE38">
            <v>312.80662601</v>
          </cell>
          <cell r="AJ38">
            <v>475.29767036999999</v>
          </cell>
          <cell r="AO38">
            <v>788.22821092000004</v>
          </cell>
          <cell r="AT38">
            <v>1288.8555792</v>
          </cell>
          <cell r="AY38">
            <v>1911.4312730199299</v>
          </cell>
          <cell r="BD38">
            <v>3031.77560374313</v>
          </cell>
          <cell r="BI38">
            <v>4428.5407701048298</v>
          </cell>
          <cell r="BN38">
            <v>6014.9913729406398</v>
          </cell>
          <cell r="BS38">
            <v>7488.7042978750796</v>
          </cell>
          <cell r="BX38">
            <v>8664.7370642777096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12.327531799999999</v>
          </cell>
          <cell r="R39">
            <v>22.52821625</v>
          </cell>
          <cell r="S39">
            <v>6.4795394899999996</v>
          </cell>
          <cell r="T39">
            <v>9.7786412699999996</v>
          </cell>
          <cell r="U39">
            <v>36.212879960000002</v>
          </cell>
          <cell r="Z39">
            <v>36.512838039999998</v>
          </cell>
          <cell r="AE39">
            <v>51.329430739999999</v>
          </cell>
          <cell r="AJ39">
            <v>88.066010419999998</v>
          </cell>
          <cell r="AO39">
            <v>121.68747478</v>
          </cell>
          <cell r="AT39">
            <v>180.64697163</v>
          </cell>
          <cell r="AY39">
            <v>295.53140397940399</v>
          </cell>
          <cell r="BD39">
            <v>480.91283530503802</v>
          </cell>
          <cell r="BI39">
            <v>690.41407313295394</v>
          </cell>
          <cell r="BN39">
            <v>955.85476928592402</v>
          </cell>
          <cell r="BS39">
            <v>1207.74988603048</v>
          </cell>
          <cell r="BX39">
            <v>1427.4367137563499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2.69342959</v>
          </cell>
          <cell r="R40">
            <v>0.35519549</v>
          </cell>
          <cell r="S40">
            <v>1.24198502</v>
          </cell>
          <cell r="T40">
            <v>32.062683210000003</v>
          </cell>
          <cell r="U40">
            <v>20.267582860000001</v>
          </cell>
          <cell r="Z40">
            <v>11.21322168</v>
          </cell>
          <cell r="AE40">
            <v>8.6320113099999993</v>
          </cell>
          <cell r="AJ40">
            <v>13.097969279999999</v>
          </cell>
          <cell r="AO40">
            <v>17.41904078</v>
          </cell>
          <cell r="AT40">
            <v>28.034688020000001</v>
          </cell>
          <cell r="AY40">
            <v>28.034688020000001</v>
          </cell>
          <cell r="BD40">
            <v>28.034688020000999</v>
          </cell>
          <cell r="BI40">
            <v>28.034688020000999</v>
          </cell>
          <cell r="BN40">
            <v>28.034688019998999</v>
          </cell>
          <cell r="BS40">
            <v>28.034688019998999</v>
          </cell>
          <cell r="BX40">
            <v>28.034688020000001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132.0024334</v>
          </cell>
          <cell r="R41">
            <v>184.58956312000001</v>
          </cell>
          <cell r="S41">
            <v>202.73762112</v>
          </cell>
          <cell r="T41">
            <v>509.93246391999998</v>
          </cell>
          <cell r="U41">
            <v>565.44616943999995</v>
          </cell>
          <cell r="Z41">
            <v>547.25533306</v>
          </cell>
          <cell r="AE41">
            <v>1031.8434237700001</v>
          </cell>
          <cell r="AJ41">
            <v>1105.56366404</v>
          </cell>
          <cell r="AO41">
            <v>2682.0248209599999</v>
          </cell>
          <cell r="AT41">
            <v>2564.5460025299999</v>
          </cell>
          <cell r="AY41">
            <v>5090.6822423093299</v>
          </cell>
          <cell r="BD41">
            <v>5967.8161621238996</v>
          </cell>
          <cell r="BI41">
            <v>7050.4010263516202</v>
          </cell>
          <cell r="BN41">
            <v>8545.0059680153208</v>
          </cell>
          <cell r="BS41">
            <v>10318.4444476025</v>
          </cell>
          <cell r="BX41">
            <v>12119.2523806915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26.727039640000001</v>
          </cell>
          <cell r="R42">
            <v>27.86299683</v>
          </cell>
          <cell r="S42">
            <v>46.526115539999999</v>
          </cell>
          <cell r="T42">
            <v>69.099430029999994</v>
          </cell>
          <cell r="U42">
            <v>111.1161614</v>
          </cell>
          <cell r="Z42">
            <v>226.73777235</v>
          </cell>
          <cell r="AE42">
            <v>243.78371622</v>
          </cell>
          <cell r="AJ42">
            <v>343.66951596000001</v>
          </cell>
          <cell r="AO42">
            <v>663.81153130999996</v>
          </cell>
          <cell r="AT42">
            <v>961.86862830999996</v>
          </cell>
          <cell r="AY42">
            <v>1364.3706590643301</v>
          </cell>
          <cell r="BD42">
            <v>1885.1210083168601</v>
          </cell>
          <cell r="BI42">
            <v>2531.6858133536298</v>
          </cell>
          <cell r="BN42">
            <v>3248.5721515230898</v>
          </cell>
          <cell r="BS42">
            <v>3931.9140545956502</v>
          </cell>
          <cell r="BX42">
            <v>4739.39095353619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-23.196250599999999</v>
          </cell>
          <cell r="U43">
            <v>-29.509659129999999</v>
          </cell>
          <cell r="Z43">
            <v>-38.425759970000001</v>
          </cell>
          <cell r="AE43">
            <v>-55.887049009999998</v>
          </cell>
          <cell r="AJ43">
            <v>-80.666196200000002</v>
          </cell>
          <cell r="AO43">
            <v>-134.20652749000001</v>
          </cell>
          <cell r="AT43">
            <v>-195.05128316</v>
          </cell>
          <cell r="AY43">
            <v>-280.19639132301398</v>
          </cell>
          <cell r="BD43">
            <v>-397.83951937414298</v>
          </cell>
          <cell r="BI43">
            <v>-555.83226202121205</v>
          </cell>
          <cell r="BN43">
            <v>-758.56311479876899</v>
          </cell>
          <cell r="BS43">
            <v>-1003.93869894964</v>
          </cell>
          <cell r="BX43">
            <v>-1299.70580056878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26.727039640000001</v>
          </cell>
          <cell r="R44">
            <v>27.86299683</v>
          </cell>
          <cell r="S44">
            <v>46.526115539999999</v>
          </cell>
          <cell r="T44">
            <v>45.903179430000002</v>
          </cell>
          <cell r="U44">
            <v>81.606502269999993</v>
          </cell>
          <cell r="Z44">
            <v>188.31201238</v>
          </cell>
          <cell r="AE44">
            <v>187.89666721</v>
          </cell>
          <cell r="AJ44">
            <v>263.00331976000001</v>
          </cell>
          <cell r="AO44">
            <v>529.60500381999998</v>
          </cell>
          <cell r="AT44">
            <v>766.81734515000005</v>
          </cell>
          <cell r="AY44">
            <v>1084.1742677413099</v>
          </cell>
          <cell r="BD44">
            <v>1487.28148894272</v>
          </cell>
          <cell r="BI44">
            <v>1975.85355133242</v>
          </cell>
          <cell r="BN44">
            <v>2490.0090367243201</v>
          </cell>
          <cell r="BS44">
            <v>2927.97535564601</v>
          </cell>
          <cell r="BX44">
            <v>3439.68515296741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5.40807532</v>
          </cell>
          <cell r="R45">
            <v>5.6337620800000003</v>
          </cell>
          <cell r="S45">
            <v>19.301997239999999</v>
          </cell>
          <cell r="T45">
            <v>47.149565350000003</v>
          </cell>
          <cell r="U45">
            <v>86.708309159999999</v>
          </cell>
          <cell r="Z45">
            <v>134.99300958000001</v>
          </cell>
          <cell r="AE45">
            <v>216.35611689999999</v>
          </cell>
          <cell r="AJ45">
            <v>498.54782094000001</v>
          </cell>
          <cell r="AO45">
            <v>1177.4373886799999</v>
          </cell>
          <cell r="AT45">
            <v>1585.53279404</v>
          </cell>
          <cell r="AY45">
            <v>1898.2882758845601</v>
          </cell>
          <cell r="BD45">
            <v>2414.2014397818102</v>
          </cell>
          <cell r="BI45">
            <v>3167.4987588885101</v>
          </cell>
          <cell r="BN45">
            <v>4190.6521639911498</v>
          </cell>
          <cell r="BS45">
            <v>5465.0156376170798</v>
          </cell>
          <cell r="BX45">
            <v>6940.7610586956198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-9.0888122199999994</v>
          </cell>
          <cell r="U46">
            <v>-12.57681816</v>
          </cell>
          <cell r="Z46">
            <v>-29.702264119999999</v>
          </cell>
          <cell r="AE46">
            <v>-54.020726840000002</v>
          </cell>
          <cell r="AJ46">
            <v>-70.81440662</v>
          </cell>
          <cell r="AO46">
            <v>-161.04180102000001</v>
          </cell>
          <cell r="AT46">
            <v>-293.32787704999998</v>
          </cell>
          <cell r="AY46">
            <v>-466.307572077592</v>
          </cell>
          <cell r="BD46">
            <v>-702.83310450923204</v>
          </cell>
          <cell r="BI46">
            <v>-1032.14345482622</v>
          </cell>
          <cell r="BN46">
            <v>-1487.4772223960399</v>
          </cell>
          <cell r="BS46">
            <v>-2099.7763472305601</v>
          </cell>
          <cell r="BX46">
            <v>-2893.8453611472301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5.40807532</v>
          </cell>
          <cell r="R47">
            <v>5.6337620800000003</v>
          </cell>
          <cell r="S47">
            <v>19.301997239999999</v>
          </cell>
          <cell r="T47">
            <v>38.060753130000002</v>
          </cell>
          <cell r="U47">
            <v>74.131490999999997</v>
          </cell>
          <cell r="Z47">
            <v>105.29074546</v>
          </cell>
          <cell r="AE47">
            <v>162.33539006000001</v>
          </cell>
          <cell r="AJ47">
            <v>427.73341432000001</v>
          </cell>
          <cell r="AO47">
            <v>1016.39558766</v>
          </cell>
          <cell r="AT47">
            <v>1292.2049169899999</v>
          </cell>
          <cell r="AY47">
            <v>1431.98070380697</v>
          </cell>
          <cell r="BD47">
            <v>1711.36833527258</v>
          </cell>
          <cell r="BI47">
            <v>2135.3553040622901</v>
          </cell>
          <cell r="BN47">
            <v>2703.1749415951099</v>
          </cell>
          <cell r="BS47">
            <v>3365.2392903865298</v>
          </cell>
          <cell r="BX47">
            <v>4046.9156975483902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2.4887961999999999</v>
          </cell>
          <cell r="R49">
            <v>0.22942704999999999</v>
          </cell>
          <cell r="S49">
            <v>0</v>
          </cell>
          <cell r="T49">
            <v>0.42038600999999998</v>
          </cell>
          <cell r="U49">
            <v>2.7288515699999998</v>
          </cell>
          <cell r="Z49">
            <v>14.68380477</v>
          </cell>
          <cell r="AE49">
            <v>36.321705399999999</v>
          </cell>
          <cell r="AJ49">
            <v>38.455062660000003</v>
          </cell>
          <cell r="AO49">
            <v>55.58502489</v>
          </cell>
          <cell r="AT49">
            <v>166.74107864999999</v>
          </cell>
          <cell r="AY49">
            <v>166.74107864999999</v>
          </cell>
          <cell r="BD49">
            <v>166.74107864999999</v>
          </cell>
          <cell r="BI49">
            <v>166.74107864999999</v>
          </cell>
          <cell r="BN49">
            <v>166.74107864999999</v>
          </cell>
          <cell r="BS49">
            <v>166.74107864999999</v>
          </cell>
          <cell r="BX49">
            <v>166.74107864999999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1.08420754</v>
          </cell>
          <cell r="R50">
            <v>1.12941589</v>
          </cell>
          <cell r="S50">
            <v>1.9231614500000001</v>
          </cell>
          <cell r="T50">
            <v>2.4096135900000002</v>
          </cell>
          <cell r="U50">
            <v>4.30649221</v>
          </cell>
          <cell r="Z50">
            <v>9.5321660700000006</v>
          </cell>
          <cell r="AE50">
            <v>12.806070439999999</v>
          </cell>
          <cell r="AJ50">
            <v>18.625509180000002</v>
          </cell>
          <cell r="AO50">
            <v>43.917002429999997</v>
          </cell>
          <cell r="AT50">
            <v>379.58656434</v>
          </cell>
          <cell r="AY50">
            <v>379.58656434</v>
          </cell>
          <cell r="BD50">
            <v>379.58656434</v>
          </cell>
          <cell r="BI50">
            <v>379.58656434</v>
          </cell>
          <cell r="BN50">
            <v>379.58656434000102</v>
          </cell>
          <cell r="BS50">
            <v>379.58656434000102</v>
          </cell>
          <cell r="BX50">
            <v>379.58656433999801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167.7105521</v>
          </cell>
          <cell r="R51">
            <v>219.44516497000001</v>
          </cell>
          <cell r="S51">
            <v>270.48889535000001</v>
          </cell>
          <cell r="T51">
            <v>596.72639607999997</v>
          </cell>
          <cell r="U51">
            <v>728.21950648999996</v>
          </cell>
          <cell r="Z51">
            <v>865.07406174000005</v>
          </cell>
          <cell r="AE51">
            <v>1431.20325688</v>
          </cell>
          <cell r="AJ51">
            <v>1853.3809699599999</v>
          </cell>
          <cell r="AO51">
            <v>4327.5274397599997</v>
          </cell>
          <cell r="AT51">
            <v>5169.8959076600004</v>
          </cell>
          <cell r="AY51">
            <v>8153.1648568476103</v>
          </cell>
          <cell r="BD51">
            <v>9712.7936293292005</v>
          </cell>
          <cell r="BI51">
            <v>11707.9375247363</v>
          </cell>
          <cell r="BN51">
            <v>14284.5175893247</v>
          </cell>
          <cell r="BS51">
            <v>17157.986736625</v>
          </cell>
          <cell r="BX51">
            <v>20152.1808741973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21.16937948</v>
          </cell>
          <cell r="R52">
            <v>20.30004787</v>
          </cell>
          <cell r="S52">
            <v>39.475269910000002</v>
          </cell>
          <cell r="T52">
            <v>34.494775160000003</v>
          </cell>
          <cell r="U52">
            <v>59.117944749999999</v>
          </cell>
          <cell r="Z52">
            <v>122.00855874</v>
          </cell>
          <cell r="AE52">
            <v>175.75753793999999</v>
          </cell>
          <cell r="AJ52">
            <v>276.07101304999998</v>
          </cell>
          <cell r="AO52">
            <v>605.23643173000005</v>
          </cell>
          <cell r="AT52">
            <v>899.48564321000003</v>
          </cell>
          <cell r="AY52">
            <v>1368.83623365672</v>
          </cell>
          <cell r="BD52">
            <v>2227.4821062400501</v>
          </cell>
          <cell r="BI52">
            <v>3197.8455988276901</v>
          </cell>
          <cell r="BN52">
            <v>4427.3083154416199</v>
          </cell>
          <cell r="BS52">
            <v>5594.0308980107902</v>
          </cell>
          <cell r="BX52">
            <v>6611.5717948463298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40</v>
          </cell>
          <cell r="R53">
            <v>48</v>
          </cell>
          <cell r="S53">
            <v>43</v>
          </cell>
          <cell r="T53">
            <v>5</v>
          </cell>
          <cell r="U53">
            <v>38</v>
          </cell>
          <cell r="Z53">
            <v>19.8</v>
          </cell>
          <cell r="AE53">
            <v>0</v>
          </cell>
          <cell r="AJ53">
            <v>0</v>
          </cell>
          <cell r="AO53">
            <v>9.5413701399999997</v>
          </cell>
          <cell r="AT53">
            <v>9</v>
          </cell>
          <cell r="AY53">
            <v>9</v>
          </cell>
          <cell r="BD53">
            <v>9</v>
          </cell>
          <cell r="BI53">
            <v>9</v>
          </cell>
          <cell r="BN53">
            <v>9</v>
          </cell>
          <cell r="BS53">
            <v>9</v>
          </cell>
          <cell r="BX53">
            <v>9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2.42780526</v>
          </cell>
          <cell r="R54">
            <v>4.4886693700000002</v>
          </cell>
          <cell r="S54">
            <v>4.2448171300000004</v>
          </cell>
          <cell r="T54">
            <v>8.0259425899999997</v>
          </cell>
          <cell r="U54">
            <v>8.8355894500000005</v>
          </cell>
          <cell r="Z54">
            <v>27.82409642</v>
          </cell>
          <cell r="AE54">
            <v>36.714711809999997</v>
          </cell>
          <cell r="AJ54">
            <v>50.506101299999997</v>
          </cell>
          <cell r="AO54">
            <v>99.265276749999998</v>
          </cell>
          <cell r="AT54">
            <v>167.43438954000001</v>
          </cell>
          <cell r="AY54">
            <v>191.133806957395</v>
          </cell>
          <cell r="BD54">
            <v>291.66991329336599</v>
          </cell>
          <cell r="BI54">
            <v>431.70000434823999</v>
          </cell>
          <cell r="BN54">
            <v>582.39129540771296</v>
          </cell>
          <cell r="BS54">
            <v>748.711232069517</v>
          </cell>
          <cell r="BX54">
            <v>890.88302700584802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63.597184740000003</v>
          </cell>
          <cell r="R55">
            <v>72.788717239999997</v>
          </cell>
          <cell r="S55">
            <v>86.720087039999996</v>
          </cell>
          <cell r="T55">
            <v>47.520717750000003</v>
          </cell>
          <cell r="U55">
            <v>105.95353420000001</v>
          </cell>
          <cell r="Z55">
            <v>169.63265516000001</v>
          </cell>
          <cell r="AE55">
            <v>212.47224975</v>
          </cell>
          <cell r="AJ55">
            <v>326.57711434999999</v>
          </cell>
          <cell r="AO55">
            <v>714.04307861999996</v>
          </cell>
          <cell r="AT55">
            <v>1075.92003275</v>
          </cell>
          <cell r="AY55">
            <v>1568.9700406141101</v>
          </cell>
          <cell r="BD55">
            <v>2528.1520195334101</v>
          </cell>
          <cell r="BI55">
            <v>3638.54560317593</v>
          </cell>
          <cell r="BN55">
            <v>5018.6996108493304</v>
          </cell>
          <cell r="BS55">
            <v>6351.7421300803098</v>
          </cell>
          <cell r="BX55">
            <v>7511.4548218521804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3</v>
          </cell>
          <cell r="S56">
            <v>0</v>
          </cell>
          <cell r="T56">
            <v>0</v>
          </cell>
          <cell r="U56">
            <v>0</v>
          </cell>
          <cell r="Z56">
            <v>0</v>
          </cell>
          <cell r="AE56">
            <v>0</v>
          </cell>
          <cell r="AJ56">
            <v>3</v>
          </cell>
          <cell r="AO56">
            <v>0</v>
          </cell>
          <cell r="AT56">
            <v>0</v>
          </cell>
          <cell r="AY56">
            <v>0</v>
          </cell>
          <cell r="BD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10.576555150000001</v>
          </cell>
          <cell r="R57">
            <v>16.81056444</v>
          </cell>
          <cell r="S57">
            <v>11.78301098</v>
          </cell>
          <cell r="T57">
            <v>18.80762593</v>
          </cell>
          <cell r="U57">
            <v>23.229388650000001</v>
          </cell>
          <cell r="Z57">
            <v>33.977243979999997</v>
          </cell>
          <cell r="AE57">
            <v>32.946100909999998</v>
          </cell>
          <cell r="AJ57">
            <v>41.07175762</v>
          </cell>
          <cell r="AO57">
            <v>152.43179019999999</v>
          </cell>
          <cell r="AT57">
            <v>192.55668764999999</v>
          </cell>
          <cell r="AY57">
            <v>192.55668764999999</v>
          </cell>
          <cell r="BD57">
            <v>192.55668764999999</v>
          </cell>
          <cell r="BI57">
            <v>192.55668764999999</v>
          </cell>
          <cell r="BN57">
            <v>192.55668764999999</v>
          </cell>
          <cell r="BS57">
            <v>192.55668764999999</v>
          </cell>
          <cell r="BX57">
            <v>192.55668764999999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10.576555150000001</v>
          </cell>
          <cell r="R58">
            <v>19.81056444</v>
          </cell>
          <cell r="S58">
            <v>11.78301098</v>
          </cell>
          <cell r="T58">
            <v>18.80762593</v>
          </cell>
          <cell r="U58">
            <v>23.229388650000001</v>
          </cell>
          <cell r="Z58">
            <v>33.977243979999997</v>
          </cell>
          <cell r="AE58">
            <v>32.946100909999998</v>
          </cell>
          <cell r="AJ58">
            <v>44.07175762</v>
          </cell>
          <cell r="AO58">
            <v>152.43179019999999</v>
          </cell>
          <cell r="AT58">
            <v>192.55668764999999</v>
          </cell>
          <cell r="AY58">
            <v>192.55668764999999</v>
          </cell>
          <cell r="BD58">
            <v>192.55668764999999</v>
          </cell>
          <cell r="BI58">
            <v>192.55668764999999</v>
          </cell>
          <cell r="BN58">
            <v>192.55668764999999</v>
          </cell>
          <cell r="BS58">
            <v>192.55668764999999</v>
          </cell>
          <cell r="BX58">
            <v>192.55668764999999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74.173739889999993</v>
          </cell>
          <cell r="R59">
            <v>92.599281680000004</v>
          </cell>
          <cell r="S59">
            <v>98.503098019999996</v>
          </cell>
          <cell r="T59">
            <v>66.328343680000003</v>
          </cell>
          <cell r="U59">
            <v>129.18292285000001</v>
          </cell>
          <cell r="Z59">
            <v>203.60989914000001</v>
          </cell>
          <cell r="AE59">
            <v>245.41835065999999</v>
          </cell>
          <cell r="AJ59">
            <v>370.64887197000002</v>
          </cell>
          <cell r="AO59">
            <v>866.47486881999998</v>
          </cell>
          <cell r="AT59">
            <v>1268.4767204</v>
          </cell>
          <cell r="AY59">
            <v>1761.52672826411</v>
          </cell>
          <cell r="BD59">
            <v>2720.7087071834098</v>
          </cell>
          <cell r="BI59">
            <v>3831.1022908259301</v>
          </cell>
          <cell r="BN59">
            <v>5211.2562984993301</v>
          </cell>
          <cell r="BS59">
            <v>6544.2988177303096</v>
          </cell>
          <cell r="BX59">
            <v>7704.0115095021802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Z60">
            <v>0</v>
          </cell>
          <cell r="AE60">
            <v>0</v>
          </cell>
          <cell r="AJ60">
            <v>0</v>
          </cell>
          <cell r="AO60">
            <v>0</v>
          </cell>
          <cell r="AT60">
            <v>0</v>
          </cell>
          <cell r="AY60">
            <v>0</v>
          </cell>
          <cell r="BD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91.491114980000006</v>
          </cell>
          <cell r="R61">
            <v>126.84588329</v>
          </cell>
          <cell r="S61">
            <v>169.38517163</v>
          </cell>
          <cell r="T61">
            <v>530.39805239999998</v>
          </cell>
          <cell r="U61">
            <v>583.87641055999995</v>
          </cell>
          <cell r="Z61">
            <v>652.86585319999995</v>
          </cell>
          <cell r="AE61">
            <v>1176.5634750500001</v>
          </cell>
          <cell r="AJ61">
            <v>1344.5112634699999</v>
          </cell>
          <cell r="AO61">
            <v>3310.55695943</v>
          </cell>
          <cell r="AT61">
            <v>3706.6276464299999</v>
          </cell>
          <cell r="AY61">
            <v>6190.6535103434999</v>
          </cell>
          <cell r="BD61">
            <v>6774.8438161457898</v>
          </cell>
          <cell r="BI61">
            <v>7643.3376401504001</v>
          </cell>
          <cell r="BN61">
            <v>8817.7804490333292</v>
          </cell>
          <cell r="BS61">
            <v>10329.903129320501</v>
          </cell>
          <cell r="BX61">
            <v>12130.677635690599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2.04569723</v>
          </cell>
          <cell r="R62">
            <v>0</v>
          </cell>
          <cell r="S62">
            <v>2.6006257000000002</v>
          </cell>
          <cell r="T62">
            <v>0</v>
          </cell>
          <cell r="U62">
            <v>15.16017308</v>
          </cell>
          <cell r="Z62">
            <v>8.5983093999999998</v>
          </cell>
          <cell r="AE62">
            <v>9.2214311700000007</v>
          </cell>
          <cell r="AJ62">
            <v>138.22083452000001</v>
          </cell>
          <cell r="AO62">
            <v>150.49561151</v>
          </cell>
          <cell r="AT62">
            <v>194.79154083</v>
          </cell>
          <cell r="AY62">
            <v>200.98461824</v>
          </cell>
          <cell r="BD62">
            <v>217.241106</v>
          </cell>
          <cell r="BI62">
            <v>233.49759376</v>
          </cell>
          <cell r="BN62">
            <v>255.480841792083</v>
          </cell>
          <cell r="BS62">
            <v>283.78478957418798</v>
          </cell>
          <cell r="BX62">
            <v>317.49172900450202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93.536812209999994</v>
          </cell>
          <cell r="R63">
            <v>126.84588329</v>
          </cell>
          <cell r="S63">
            <v>171.98579733</v>
          </cell>
          <cell r="T63">
            <v>530.39805239999998</v>
          </cell>
          <cell r="U63">
            <v>599.03658364</v>
          </cell>
          <cell r="Z63">
            <v>661.46416260000001</v>
          </cell>
          <cell r="AE63">
            <v>1185.78490622</v>
          </cell>
          <cell r="AJ63">
            <v>1482.7320979900001</v>
          </cell>
          <cell r="AO63">
            <v>3461.0525709399999</v>
          </cell>
          <cell r="AT63">
            <v>3901.4191872599999</v>
          </cell>
          <cell r="AY63">
            <v>6391.6381285834996</v>
          </cell>
          <cell r="BD63">
            <v>6992.0849221457902</v>
          </cell>
          <cell r="BI63">
            <v>7876.8352339104003</v>
          </cell>
          <cell r="BN63">
            <v>9073.2612908254105</v>
          </cell>
          <cell r="BS63">
            <v>10613.6879188947</v>
          </cell>
          <cell r="BX63">
            <v>12448.169364695101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167.7105521</v>
          </cell>
          <cell r="R64">
            <v>219.44516497000001</v>
          </cell>
          <cell r="S64">
            <v>270.48889535000001</v>
          </cell>
          <cell r="T64">
            <v>596.72639607999997</v>
          </cell>
          <cell r="U64">
            <v>728.21950648999996</v>
          </cell>
          <cell r="Z64">
            <v>865.07406174000005</v>
          </cell>
          <cell r="AE64">
            <v>1431.20325688</v>
          </cell>
          <cell r="AJ64">
            <v>1853.3809699599999</v>
          </cell>
          <cell r="AO64">
            <v>4327.5274397599997</v>
          </cell>
          <cell r="AT64">
            <v>5169.8959076600004</v>
          </cell>
          <cell r="AY64">
            <v>8153.1648568476103</v>
          </cell>
          <cell r="BD64">
            <v>9712.7936293292005</v>
          </cell>
          <cell r="BI64">
            <v>11707.9375247363</v>
          </cell>
          <cell r="BN64">
            <v>14284.5175893247</v>
          </cell>
          <cell r="BS64">
            <v>17157.986736625</v>
          </cell>
          <cell r="BX64">
            <v>20152.1808741973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-4.5112411999999997</v>
          </cell>
          <cell r="R66">
            <v>-22.23962453</v>
          </cell>
          <cell r="S66">
            <v>-50.23248341</v>
          </cell>
          <cell r="T66">
            <v>-350.00052118000002</v>
          </cell>
          <cell r="U66">
            <v>-328.29073161000002</v>
          </cell>
          <cell r="Z66">
            <v>-286.32261292999999</v>
          </cell>
          <cell r="AE66">
            <v>-659.07535571000005</v>
          </cell>
          <cell r="AJ66">
            <v>-526.10201397000003</v>
          </cell>
          <cell r="AO66">
            <v>-1745.1487243399999</v>
          </cell>
          <cell r="AT66">
            <v>-1058.0087636799999</v>
          </cell>
          <cell r="AY66">
            <v>-2846.6848772899998</v>
          </cell>
          <cell r="BD66">
            <v>-2418.0930350557301</v>
          </cell>
          <cell r="BI66">
            <v>-1894.4114950938399</v>
          </cell>
          <cell r="BN66">
            <v>-1537.1251377687499</v>
          </cell>
          <cell r="BS66">
            <v>-1584.95557567693</v>
          </cell>
          <cell r="BX66">
            <v>-1990.0439146374099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Z67">
            <v>0</v>
          </cell>
          <cell r="AE67">
            <v>0</v>
          </cell>
          <cell r="AJ67">
            <v>0</v>
          </cell>
          <cell r="AO67">
            <v>0</v>
          </cell>
          <cell r="AT67">
            <v>0</v>
          </cell>
          <cell r="AY67">
            <v>0</v>
          </cell>
          <cell r="BD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Z69">
            <v>0</v>
          </cell>
          <cell r="AE69">
            <v>0</v>
          </cell>
          <cell r="AJ69">
            <v>0</v>
          </cell>
          <cell r="AO69">
            <v>0</v>
          </cell>
          <cell r="AT69">
            <v>0</v>
          </cell>
          <cell r="AY69">
            <v>0</v>
          </cell>
          <cell r="BD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Q71">
            <v>3.7226165249999998E-2</v>
          </cell>
          <cell r="R71">
            <v>7.5163480195999999E-2</v>
          </cell>
          <cell r="S71">
            <v>6.7335818837000003E-2</v>
          </cell>
          <cell r="T71">
            <v>0</v>
          </cell>
          <cell r="U71">
            <v>0</v>
          </cell>
          <cell r="Z71">
            <v>0</v>
          </cell>
          <cell r="AJ71">
            <v>0</v>
          </cell>
          <cell r="AO71">
            <v>0</v>
          </cell>
          <cell r="AT71">
            <v>0</v>
          </cell>
          <cell r="AY71">
            <v>0</v>
          </cell>
          <cell r="BD71">
            <v>0</v>
          </cell>
          <cell r="BI71">
            <v>0</v>
          </cell>
          <cell r="BN71">
            <v>0</v>
          </cell>
          <cell r="BS71">
            <v>0</v>
          </cell>
          <cell r="BX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Z72">
            <v>0</v>
          </cell>
          <cell r="AE72">
            <v>0</v>
          </cell>
          <cell r="AJ72">
            <v>0</v>
          </cell>
          <cell r="AO72">
            <v>0</v>
          </cell>
          <cell r="AT72">
            <v>0</v>
          </cell>
          <cell r="AY72">
            <v>0</v>
          </cell>
          <cell r="BD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Z74">
            <v>0</v>
          </cell>
          <cell r="AE74">
            <v>0</v>
          </cell>
          <cell r="AJ74">
            <v>0</v>
          </cell>
          <cell r="AO74">
            <v>0</v>
          </cell>
          <cell r="AT74">
            <v>0</v>
          </cell>
          <cell r="AY74">
            <v>0</v>
          </cell>
          <cell r="BD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-5.40807532</v>
          </cell>
          <cell r="R75">
            <v>-5.6337620800000003</v>
          </cell>
          <cell r="S75">
            <v>-19.301997239999999</v>
          </cell>
          <cell r="T75">
            <v>-38.060753130000002</v>
          </cell>
          <cell r="U75">
            <v>-74.131490999999997</v>
          </cell>
          <cell r="Z75">
            <v>-105.29074546</v>
          </cell>
          <cell r="AE75">
            <v>-162.33539006000001</v>
          </cell>
          <cell r="AJ75">
            <v>-427.73341432000001</v>
          </cell>
          <cell r="AO75">
            <v>-1016.39558766</v>
          </cell>
          <cell r="AT75">
            <v>-1292.2049169899999</v>
          </cell>
          <cell r="AY75">
            <v>-1431.98070380697</v>
          </cell>
          <cell r="BD75">
            <v>-1711.36833527258</v>
          </cell>
          <cell r="BI75">
            <v>-2135.3553040622901</v>
          </cell>
          <cell r="BN75">
            <v>-2703.1749415951099</v>
          </cell>
          <cell r="BS75">
            <v>-3365.2392903865298</v>
          </cell>
          <cell r="BX75">
            <v>-4046.9156975483902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Z77">
            <v>1</v>
          </cell>
          <cell r="AE77">
            <v>1</v>
          </cell>
          <cell r="AJ77">
            <v>1</v>
          </cell>
          <cell r="AO77">
            <v>1</v>
          </cell>
          <cell r="AT77">
            <v>1</v>
          </cell>
          <cell r="AY77">
            <v>1</v>
          </cell>
          <cell r="BD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2.04569723</v>
          </cell>
          <cell r="R78">
            <v>0</v>
          </cell>
          <cell r="S78">
            <v>2.6006257000000002</v>
          </cell>
          <cell r="T78">
            <v>0</v>
          </cell>
          <cell r="U78">
            <v>15.16017308</v>
          </cell>
          <cell r="Z78">
            <v>8.5983093999999998</v>
          </cell>
          <cell r="AE78">
            <v>9.2214311700000007</v>
          </cell>
          <cell r="AJ78">
            <v>138.22083452000001</v>
          </cell>
          <cell r="AO78">
            <v>150.49561151</v>
          </cell>
          <cell r="AT78">
            <v>194.79154083</v>
          </cell>
          <cell r="AY78">
            <v>200.98461824</v>
          </cell>
          <cell r="BD78">
            <v>217.241106</v>
          </cell>
          <cell r="BI78">
            <v>233.49759376</v>
          </cell>
          <cell r="BN78">
            <v>255.480841792083</v>
          </cell>
          <cell r="BS78">
            <v>283.78478957418798</v>
          </cell>
          <cell r="BX78">
            <v>317.49172900450202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-5.49276E-2</v>
          </cell>
          <cell r="R80">
            <v>0</v>
          </cell>
          <cell r="S80">
            <v>5.9096219999999998E-2</v>
          </cell>
          <cell r="T80">
            <v>0.19837819000000001</v>
          </cell>
          <cell r="U80">
            <v>-0.21912482</v>
          </cell>
          <cell r="Z80">
            <v>-2.4884030000000001E-2</v>
          </cell>
          <cell r="AE80">
            <v>-3.808748E-2</v>
          </cell>
          <cell r="AJ80">
            <v>-0.66809664999999996</v>
          </cell>
          <cell r="AO80">
            <v>-0.54761554999999995</v>
          </cell>
          <cell r="AT80">
            <v>9.0566635600000005</v>
          </cell>
          <cell r="AY80">
            <v>6.1930774099999999</v>
          </cell>
          <cell r="BD80">
            <v>16.256487759999999</v>
          </cell>
          <cell r="BI80">
            <v>16.256487759999999</v>
          </cell>
          <cell r="BN80">
            <v>21.983248032083001</v>
          </cell>
          <cell r="BS80">
            <v>28.303947782104999</v>
          </cell>
          <cell r="BX80">
            <v>33.706939430314002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11.940990409999999</v>
          </cell>
          <cell r="U81">
            <v>18.901539970000002</v>
          </cell>
          <cell r="Z81">
            <v>27.24271534</v>
          </cell>
          <cell r="AE81">
            <v>46.30204165</v>
          </cell>
          <cell r="AJ81">
            <v>62.533992069999996</v>
          </cell>
          <cell r="AO81">
            <v>131.40581017</v>
          </cell>
          <cell r="AT81">
            <v>194.48361901999999</v>
          </cell>
          <cell r="AY81">
            <v>258.12480319060501</v>
          </cell>
          <cell r="BD81">
            <v>354.16866048277001</v>
          </cell>
          <cell r="BI81">
            <v>487.30309296405699</v>
          </cell>
          <cell r="BN81">
            <v>658.06462034737604</v>
          </cell>
          <cell r="BS81">
            <v>857.67470898539</v>
          </cell>
          <cell r="BX81">
            <v>1089.83611553581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21.90681245</v>
          </cell>
          <cell r="T82">
            <v>-19.586601590000001</v>
          </cell>
          <cell r="U82">
            <v>-31.395425849999999</v>
          </cell>
          <cell r="Z82">
            <v>11.858970510000001</v>
          </cell>
          <cell r="AE82">
            <v>-80.467579099999995</v>
          </cell>
          <cell r="AJ82">
            <v>-98.914148929999996</v>
          </cell>
          <cell r="AO82">
            <v>-17.386586229999999</v>
          </cell>
          <cell r="AT82">
            <v>-265.33765364999999</v>
          </cell>
          <cell r="AY82">
            <v>-268.10953572261297</v>
          </cell>
          <cell r="BD82">
            <v>-447.07988946551097</v>
          </cell>
          <cell r="BI82">
            <v>-635.90291160196603</v>
          </cell>
          <cell r="BN82">
            <v>-622.42858237485405</v>
          </cell>
          <cell r="BS82">
            <v>-558.885459109826</v>
          </cell>
          <cell r="BX82">
            <v>-378.17869729295802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28.538741668233001</v>
          </cell>
          <cell r="R83">
            <v>25.448631793745999</v>
          </cell>
          <cell r="S83">
            <v>53.473207684915003</v>
          </cell>
          <cell r="T83">
            <v>67.753403193642001</v>
          </cell>
          <cell r="U83">
            <v>78.606939548450995</v>
          </cell>
          <cell r="Z83">
            <v>49.551686285761001</v>
          </cell>
          <cell r="AE83">
            <v>150.51985815951301</v>
          </cell>
          <cell r="AJ83">
            <v>197.71329325217701</v>
          </cell>
          <cell r="AO83">
            <v>179.826035847437</v>
          </cell>
          <cell r="AT83">
            <v>478.79525630263299</v>
          </cell>
          <cell r="AY83">
            <v>562.44815981754596</v>
          </cell>
          <cell r="BD83">
            <v>866.64791655131296</v>
          </cell>
          <cell r="BI83">
            <v>1290.30492942159</v>
          </cell>
          <cell r="BN83">
            <v>1746.0302607286201</v>
          </cell>
          <cell r="BS83">
            <v>2248.85205610909</v>
          </cell>
          <cell r="BX83">
            <v>2678.2727914761499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28.629321539999999</v>
          </cell>
          <cell r="R84">
            <v>25.650367490000001</v>
          </cell>
          <cell r="S84">
            <v>75.68401652</v>
          </cell>
          <cell r="T84">
            <v>60.881253749999999</v>
          </cell>
          <cell r="U84">
            <v>66.526996249999996</v>
          </cell>
          <cell r="Z84">
            <v>89.336357239999998</v>
          </cell>
          <cell r="AE84">
            <v>117.53648731</v>
          </cell>
          <cell r="AJ84">
            <v>162.0594782</v>
          </cell>
          <cell r="AO84">
            <v>296.06878043</v>
          </cell>
          <cell r="AT84">
            <v>420.07525040000002</v>
          </cell>
          <cell r="AY84">
            <v>563.47930674888596</v>
          </cell>
          <cell r="BD84">
            <v>795.27108833291402</v>
          </cell>
          <cell r="BI84">
            <v>1163.9161079349401</v>
          </cell>
          <cell r="BN84">
            <v>1810.5190007552501</v>
          </cell>
          <cell r="BS84">
            <v>2583.9927204743899</v>
          </cell>
          <cell r="BX84">
            <v>3433.0875015090701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-9.7096433100000006</v>
          </cell>
          <cell r="R85">
            <v>-5.9845536199999998</v>
          </cell>
          <cell r="S85">
            <v>-31.41783427</v>
          </cell>
          <cell r="T85">
            <v>-52.627736890000001</v>
          </cell>
          <cell r="U85">
            <v>-76.923779030000006</v>
          </cell>
          <cell r="Z85">
            <v>-96.577825630000007</v>
          </cell>
          <cell r="AE85">
            <v>-138.98453273999999</v>
          </cell>
          <cell r="AJ85">
            <v>-278.34613253999999</v>
          </cell>
          <cell r="AO85">
            <v>-342.94307997999999</v>
          </cell>
          <cell r="AT85">
            <v>-580.17809428999999</v>
          </cell>
          <cell r="AY85">
            <v>-715.25751259888898</v>
          </cell>
          <cell r="BD85">
            <v>-1036.6635131497901</v>
          </cell>
          <cell r="BI85">
            <v>-1399.8621241434601</v>
          </cell>
          <cell r="BN85">
            <v>-1740.0397432720999</v>
          </cell>
          <cell r="BS85">
            <v>-1957.7053766985</v>
          </cell>
          <cell r="BX85">
            <v>-2283.2223200190701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Z86">
            <v>0</v>
          </cell>
          <cell r="AE86">
            <v>0</v>
          </cell>
          <cell r="AJ86">
            <v>0</v>
          </cell>
          <cell r="AO86">
            <v>0</v>
          </cell>
          <cell r="AT86">
            <v>0</v>
          </cell>
          <cell r="AY86">
            <v>0</v>
          </cell>
          <cell r="BD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2.5000000000000001E-2</v>
          </cell>
          <cell r="R87">
            <v>0.23023809000000001</v>
          </cell>
          <cell r="S87">
            <v>1.5900999999999998E-2</v>
          </cell>
          <cell r="T87">
            <v>2.1100000000000001E-2</v>
          </cell>
          <cell r="U87">
            <v>3.3730243999999998</v>
          </cell>
          <cell r="Z87">
            <v>5.5449999999999999E-2</v>
          </cell>
          <cell r="AE87">
            <v>8.1820000000000004E-2</v>
          </cell>
          <cell r="AJ87">
            <v>0.13931869999999999</v>
          </cell>
          <cell r="AO87">
            <v>0.36365673999999998</v>
          </cell>
          <cell r="AT87">
            <v>5.8266999999999999E-2</v>
          </cell>
          <cell r="AY87">
            <v>0</v>
          </cell>
          <cell r="BD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-1.72245293</v>
          </cell>
          <cell r="R88">
            <v>1.8683718899999999</v>
          </cell>
          <cell r="S88">
            <v>-2.9144779000000001</v>
          </cell>
          <cell r="T88">
            <v>-4.06314741</v>
          </cell>
          <cell r="U88">
            <v>4.0314679999999999E-2</v>
          </cell>
          <cell r="Z88">
            <v>-2.3085505799999999</v>
          </cell>
          <cell r="AE88">
            <v>2.9336705900000002</v>
          </cell>
          <cell r="AJ88">
            <v>12.48904353</v>
          </cell>
          <cell r="AO88">
            <v>-374.38072346000001</v>
          </cell>
          <cell r="AT88">
            <v>-537.97519733000001</v>
          </cell>
          <cell r="AY88">
            <v>0</v>
          </cell>
          <cell r="BD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-11.40709624</v>
          </cell>
          <cell r="R89">
            <v>-3.8859436399999998</v>
          </cell>
          <cell r="S89">
            <v>-34.316411170000002</v>
          </cell>
          <cell r="T89">
            <v>-56.669784300000003</v>
          </cell>
          <cell r="U89">
            <v>-73.510439950000006</v>
          </cell>
          <cell r="Z89">
            <v>-98.830926210000001</v>
          </cell>
          <cell r="AE89">
            <v>-135.96904215000001</v>
          </cell>
          <cell r="AJ89">
            <v>-265.71777030999999</v>
          </cell>
          <cell r="AO89">
            <v>-716.9601467</v>
          </cell>
          <cell r="AT89">
            <v>-1118.09502462</v>
          </cell>
          <cell r="AY89">
            <v>-715.25751259888898</v>
          </cell>
          <cell r="BD89">
            <v>-1036.6635131497901</v>
          </cell>
          <cell r="BI89">
            <v>-1399.8621241434601</v>
          </cell>
          <cell r="BN89">
            <v>-1740.0397432720999</v>
          </cell>
          <cell r="BS89">
            <v>-1957.7053766985</v>
          </cell>
          <cell r="BX89">
            <v>-2283.2223200190701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-19.685089380000001</v>
          </cell>
          <cell r="U90">
            <v>-20.100000000000001</v>
          </cell>
          <cell r="Z90">
            <v>-26.8</v>
          </cell>
          <cell r="AE90">
            <v>-32.1</v>
          </cell>
          <cell r="AJ90">
            <v>-32.1</v>
          </cell>
          <cell r="AO90">
            <v>-37.799999999999997</v>
          </cell>
          <cell r="AT90">
            <v>-70.3</v>
          </cell>
          <cell r="AY90">
            <v>-163.5</v>
          </cell>
          <cell r="BD90">
            <v>-187.19941741739501</v>
          </cell>
          <cell r="BI90">
            <v>-287.73552375336601</v>
          </cell>
          <cell r="BN90">
            <v>-427.76561480824103</v>
          </cell>
          <cell r="BS90">
            <v>-578.45690586771298</v>
          </cell>
          <cell r="BX90">
            <v>-744.77684252951701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12.02</v>
          </cell>
          <cell r="R91">
            <v>0</v>
          </cell>
          <cell r="S91">
            <v>0</v>
          </cell>
          <cell r="T91">
            <v>321.52</v>
          </cell>
          <cell r="U91">
            <v>12.08</v>
          </cell>
          <cell r="Z91">
            <v>1.35</v>
          </cell>
          <cell r="AE91">
            <v>425.95997814999998</v>
          </cell>
          <cell r="AJ91">
            <v>10.797499999999999</v>
          </cell>
          <cell r="AO91">
            <v>1740.8142656</v>
          </cell>
          <cell r="AT91">
            <v>124.10967933000001</v>
          </cell>
          <cell r="AY91">
            <v>2103.9543194600001</v>
          </cell>
          <cell r="BD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11</v>
          </cell>
          <cell r="S92">
            <v>-8</v>
          </cell>
          <cell r="T92">
            <v>-38</v>
          </cell>
          <cell r="U92">
            <v>33</v>
          </cell>
          <cell r="Z92">
            <v>-18.2</v>
          </cell>
          <cell r="AE92">
            <v>-19.8</v>
          </cell>
          <cell r="AJ92">
            <v>3</v>
          </cell>
          <cell r="AO92">
            <v>-19.65237166</v>
          </cell>
          <cell r="AT92">
            <v>-18.922849240000001</v>
          </cell>
          <cell r="AY92">
            <v>0</v>
          </cell>
          <cell r="BD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-1.68194614</v>
          </cell>
          <cell r="R93">
            <v>-4.0360405200000002</v>
          </cell>
          <cell r="S93">
            <v>-13.367902580000001</v>
          </cell>
          <cell r="T93">
            <v>-6.2457409400000001</v>
          </cell>
          <cell r="U93">
            <v>-6.7043920100000003</v>
          </cell>
          <cell r="Z93">
            <v>-6.9980710799999999</v>
          </cell>
          <cell r="AE93">
            <v>-2.6973552700000001</v>
          </cell>
          <cell r="AJ93">
            <v>-8.0283325300000001</v>
          </cell>
          <cell r="AO93">
            <v>-36.860205319999999</v>
          </cell>
          <cell r="AT93">
            <v>-24.545885729999998</v>
          </cell>
          <cell r="AY93">
            <v>0</v>
          </cell>
          <cell r="BD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10.33805386</v>
          </cell>
          <cell r="R94">
            <v>6.9639594799999998</v>
          </cell>
          <cell r="S94">
            <v>-21.367902579999999</v>
          </cell>
          <cell r="T94">
            <v>257.58916968</v>
          </cell>
          <cell r="U94">
            <v>18.275607990000001</v>
          </cell>
          <cell r="Z94">
            <v>-50.648071080000001</v>
          </cell>
          <cell r="AE94">
            <v>371.36262288</v>
          </cell>
          <cell r="AJ94">
            <v>-26.330832529999999</v>
          </cell>
          <cell r="AO94">
            <v>1646.5016886200001</v>
          </cell>
          <cell r="AT94">
            <v>10.34094436</v>
          </cell>
          <cell r="AY94">
            <v>1940.4543194600001</v>
          </cell>
          <cell r="BD94">
            <v>-187.19941741739501</v>
          </cell>
          <cell r="BI94">
            <v>-287.73552375336601</v>
          </cell>
          <cell r="BN94">
            <v>-427.76561480824103</v>
          </cell>
          <cell r="BS94">
            <v>-578.45690586771298</v>
          </cell>
          <cell r="BX94">
            <v>-744.77684252951701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27.56027916</v>
          </cell>
          <cell r="R95">
            <v>28.72838333</v>
          </cell>
          <cell r="S95">
            <v>19.999702769999999</v>
          </cell>
          <cell r="T95">
            <v>261.80063912999998</v>
          </cell>
          <cell r="U95">
            <v>11.292164290000001</v>
          </cell>
          <cell r="Z95">
            <v>-60.142640049999997</v>
          </cell>
          <cell r="AE95">
            <v>352.93006803999998</v>
          </cell>
          <cell r="AJ95">
            <v>-129.98912464</v>
          </cell>
          <cell r="AO95">
            <v>1225.6103223499999</v>
          </cell>
          <cell r="AT95">
            <v>-687.67882985999995</v>
          </cell>
          <cell r="AY95">
            <v>1788.6761136099999</v>
          </cell>
          <cell r="BD95">
            <v>-428.59184223426598</v>
          </cell>
          <cell r="BI95">
            <v>-523.68153996188801</v>
          </cell>
          <cell r="BN95">
            <v>-357.286357325089</v>
          </cell>
          <cell r="BS95">
            <v>47.830437908176002</v>
          </cell>
          <cell r="BX95">
            <v>405.08833896047997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Z109">
            <v>0</v>
          </cell>
          <cell r="AE109">
            <v>0</v>
          </cell>
          <cell r="AJ109">
            <v>1.6679999999999999</v>
          </cell>
          <cell r="AO109">
            <v>2.2749999999999999</v>
          </cell>
          <cell r="AT109">
            <v>2.597</v>
          </cell>
          <cell r="AY109">
            <v>2.8047599999999999</v>
          </cell>
          <cell r="BD109">
            <v>3.0291408</v>
          </cell>
          <cell r="BI109">
            <v>3.2714720640000001</v>
          </cell>
          <cell r="BN109">
            <v>3.5331898291199999</v>
          </cell>
          <cell r="BS109">
            <v>3.8158450154499999</v>
          </cell>
          <cell r="BX109">
            <v>4.1211126166860002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J111">
            <v>0</v>
          </cell>
          <cell r="AO111">
            <v>0</v>
          </cell>
          <cell r="AT111">
            <v>0</v>
          </cell>
          <cell r="AY111">
            <v>0</v>
          </cell>
          <cell r="BD111">
            <v>0</v>
          </cell>
          <cell r="BI111">
            <v>0</v>
          </cell>
          <cell r="BN111">
            <v>0</v>
          </cell>
          <cell r="BS111">
            <v>0</v>
          </cell>
          <cell r="BX111">
            <v>0</v>
          </cell>
        </row>
        <row r="112">
          <cell r="B112" t="str">
            <v>Sales - % United States</v>
          </cell>
          <cell r="C112" t="str">
            <v>SALES_US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J112">
            <v>0</v>
          </cell>
          <cell r="AO112">
            <v>0</v>
          </cell>
          <cell r="AT112">
            <v>0</v>
          </cell>
          <cell r="AY112">
            <v>0</v>
          </cell>
          <cell r="BD112">
            <v>0</v>
          </cell>
          <cell r="BI112">
            <v>0</v>
          </cell>
          <cell r="BN112">
            <v>0</v>
          </cell>
          <cell r="BS112">
            <v>0</v>
          </cell>
          <cell r="BX112">
            <v>0</v>
          </cell>
        </row>
        <row r="114">
          <cell r="B114" t="str">
            <v>Sales - % Brazil</v>
          </cell>
          <cell r="C114" t="str">
            <v>SALES_BRAZIL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J114">
            <v>0</v>
          </cell>
          <cell r="AO114">
            <v>0</v>
          </cell>
          <cell r="AT114">
            <v>0</v>
          </cell>
          <cell r="AY114">
            <v>0</v>
          </cell>
          <cell r="BD114">
            <v>0</v>
          </cell>
          <cell r="BI114">
            <v>0</v>
          </cell>
          <cell r="BN114">
            <v>0</v>
          </cell>
          <cell r="BS114">
            <v>0</v>
          </cell>
          <cell r="BX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J115">
            <v>0</v>
          </cell>
          <cell r="AO115">
            <v>0</v>
          </cell>
          <cell r="AT115">
            <v>0</v>
          </cell>
          <cell r="AY115">
            <v>0</v>
          </cell>
          <cell r="BD115">
            <v>0</v>
          </cell>
          <cell r="BI115">
            <v>0</v>
          </cell>
          <cell r="BN115">
            <v>0</v>
          </cell>
          <cell r="BS115">
            <v>0</v>
          </cell>
          <cell r="BX115">
            <v>0</v>
          </cell>
        </row>
        <row r="116">
          <cell r="B116" t="str">
            <v>Sales - Total % EMEA</v>
          </cell>
          <cell r="C116" t="str">
            <v>SALES_TOT_EMEA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J116">
            <v>0</v>
          </cell>
          <cell r="AO116">
            <v>0</v>
          </cell>
          <cell r="AT116">
            <v>0</v>
          </cell>
          <cell r="AY116">
            <v>0</v>
          </cell>
          <cell r="BD116">
            <v>0</v>
          </cell>
          <cell r="BI116">
            <v>0</v>
          </cell>
          <cell r="BN116">
            <v>0</v>
          </cell>
          <cell r="BS116">
            <v>0</v>
          </cell>
          <cell r="BX116">
            <v>0</v>
          </cell>
        </row>
        <row r="117">
          <cell r="B117" t="str">
            <v>Sales - % UK</v>
          </cell>
          <cell r="C117" t="str">
            <v>SALES_UK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J117">
            <v>0</v>
          </cell>
          <cell r="AO117">
            <v>0</v>
          </cell>
          <cell r="AT117">
            <v>0</v>
          </cell>
          <cell r="AY117">
            <v>0</v>
          </cell>
          <cell r="BD117">
            <v>0</v>
          </cell>
          <cell r="BI117">
            <v>0</v>
          </cell>
          <cell r="BN117">
            <v>0</v>
          </cell>
          <cell r="BS117">
            <v>0</v>
          </cell>
          <cell r="BX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J118">
            <v>0</v>
          </cell>
          <cell r="AO118">
            <v>0</v>
          </cell>
          <cell r="AT118">
            <v>0</v>
          </cell>
          <cell r="AY118">
            <v>0</v>
          </cell>
          <cell r="BD118">
            <v>0</v>
          </cell>
          <cell r="BI118">
            <v>0</v>
          </cell>
          <cell r="BN118">
            <v>0</v>
          </cell>
          <cell r="BS118">
            <v>0</v>
          </cell>
          <cell r="BX118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J135">
            <v>0</v>
          </cell>
          <cell r="AO135">
            <v>0</v>
          </cell>
          <cell r="AT135">
            <v>0</v>
          </cell>
          <cell r="AY135">
            <v>0</v>
          </cell>
          <cell r="BD135">
            <v>0</v>
          </cell>
          <cell r="BI135">
            <v>0</v>
          </cell>
          <cell r="BN135">
            <v>0</v>
          </cell>
          <cell r="BS135">
            <v>0</v>
          </cell>
          <cell r="BX135">
            <v>0</v>
          </cell>
        </row>
        <row r="136">
          <cell r="B136" t="str">
            <v>Sales - % Middle East</v>
          </cell>
          <cell r="C136" t="str">
            <v>SALES_ME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J136">
            <v>0</v>
          </cell>
          <cell r="AO136">
            <v>0</v>
          </cell>
          <cell r="AT136">
            <v>0</v>
          </cell>
          <cell r="AY136">
            <v>0</v>
          </cell>
          <cell r="BD136">
            <v>0</v>
          </cell>
          <cell r="BI136">
            <v>0</v>
          </cell>
          <cell r="BN136">
            <v>0</v>
          </cell>
          <cell r="BS136">
            <v>0</v>
          </cell>
          <cell r="BX136">
            <v>0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J138">
            <v>0</v>
          </cell>
          <cell r="AO138">
            <v>0</v>
          </cell>
          <cell r="AT138">
            <v>0</v>
          </cell>
          <cell r="AY138">
            <v>0</v>
          </cell>
          <cell r="BD138">
            <v>0</v>
          </cell>
          <cell r="BI138">
            <v>0</v>
          </cell>
          <cell r="BN138">
            <v>0</v>
          </cell>
          <cell r="BS138">
            <v>0</v>
          </cell>
          <cell r="BX138">
            <v>0</v>
          </cell>
        </row>
        <row r="139">
          <cell r="B139" t="str">
            <v>Sales - % Other EMEA</v>
          </cell>
          <cell r="C139" t="str">
            <v>SALES_OTH_EMEA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J139">
            <v>0</v>
          </cell>
          <cell r="AO139">
            <v>0</v>
          </cell>
          <cell r="AT139">
            <v>0</v>
          </cell>
          <cell r="AY139">
            <v>0</v>
          </cell>
          <cell r="BD139">
            <v>0</v>
          </cell>
          <cell r="BI139">
            <v>0</v>
          </cell>
          <cell r="BN139">
            <v>0</v>
          </cell>
          <cell r="BS139">
            <v>0</v>
          </cell>
          <cell r="BX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J140">
            <v>0</v>
          </cell>
          <cell r="AO140">
            <v>0</v>
          </cell>
          <cell r="AT140">
            <v>0</v>
          </cell>
          <cell r="AY140">
            <v>0</v>
          </cell>
          <cell r="BD140">
            <v>0</v>
          </cell>
          <cell r="BI140">
            <v>0</v>
          </cell>
          <cell r="BN140">
            <v>0</v>
          </cell>
          <cell r="BS140">
            <v>0</v>
          </cell>
          <cell r="BX140">
            <v>0</v>
          </cell>
        </row>
        <row r="141">
          <cell r="B141" t="str">
            <v>Sales - % Japan</v>
          </cell>
          <cell r="C141" t="str">
            <v>SALES_JAPAN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J141">
            <v>0</v>
          </cell>
          <cell r="AO141">
            <v>0</v>
          </cell>
          <cell r="AT141">
            <v>0</v>
          </cell>
          <cell r="AY141">
            <v>0</v>
          </cell>
          <cell r="BD141">
            <v>0</v>
          </cell>
          <cell r="BI141">
            <v>0</v>
          </cell>
          <cell r="BN141">
            <v>0</v>
          </cell>
          <cell r="BS141">
            <v>0</v>
          </cell>
          <cell r="BX141">
            <v>0</v>
          </cell>
        </row>
        <row r="142">
          <cell r="B142" t="str">
            <v>Sales - % China</v>
          </cell>
          <cell r="C142" t="str">
            <v>SALES_CHINA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J142">
            <v>1</v>
          </cell>
          <cell r="AO142">
            <v>1</v>
          </cell>
          <cell r="AT142">
            <v>1</v>
          </cell>
          <cell r="AY142">
            <v>1</v>
          </cell>
          <cell r="BD142">
            <v>1</v>
          </cell>
          <cell r="BI142">
            <v>1</v>
          </cell>
          <cell r="BN142">
            <v>1</v>
          </cell>
          <cell r="BS142">
            <v>1</v>
          </cell>
          <cell r="BX142">
            <v>1</v>
          </cell>
        </row>
        <row r="143">
          <cell r="B143" t="str">
            <v>Sales - % India</v>
          </cell>
          <cell r="C143" t="str">
            <v>SALES_INDIA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J143">
            <v>0</v>
          </cell>
          <cell r="AO143">
            <v>0</v>
          </cell>
          <cell r="AT143">
            <v>0</v>
          </cell>
          <cell r="AY143">
            <v>0</v>
          </cell>
          <cell r="BD143">
            <v>0</v>
          </cell>
          <cell r="BI143">
            <v>0</v>
          </cell>
          <cell r="BN143">
            <v>0</v>
          </cell>
          <cell r="BS143">
            <v>0</v>
          </cell>
          <cell r="BX143">
            <v>0</v>
          </cell>
        </row>
        <row r="144">
          <cell r="B144" t="str">
            <v>Sales - % South Korea</v>
          </cell>
          <cell r="C144" t="str">
            <v>SALES_SK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J144">
            <v>0</v>
          </cell>
          <cell r="AO144">
            <v>0</v>
          </cell>
          <cell r="AT144">
            <v>0</v>
          </cell>
          <cell r="AY144">
            <v>0</v>
          </cell>
          <cell r="BD144">
            <v>0</v>
          </cell>
          <cell r="BI144">
            <v>0</v>
          </cell>
          <cell r="BN144">
            <v>0</v>
          </cell>
          <cell r="BS144">
            <v>0</v>
          </cell>
          <cell r="BX144">
            <v>0</v>
          </cell>
        </row>
        <row r="145">
          <cell r="B145" t="str">
            <v>Sales - % Taiwan</v>
          </cell>
          <cell r="C145" t="str">
            <v>SALES_TAIWAN</v>
          </cell>
        </row>
        <row r="148">
          <cell r="B148" t="str">
            <v>Sales - % Other Asia</v>
          </cell>
          <cell r="C148" t="str">
            <v>SALES_OTH_AEJ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J148">
            <v>0</v>
          </cell>
          <cell r="AO148">
            <v>0</v>
          </cell>
          <cell r="AT148">
            <v>0</v>
          </cell>
          <cell r="AY148">
            <v>0</v>
          </cell>
          <cell r="BD148">
            <v>0</v>
          </cell>
          <cell r="BI148">
            <v>0</v>
          </cell>
          <cell r="BN148">
            <v>0</v>
          </cell>
          <cell r="BS148">
            <v>0</v>
          </cell>
          <cell r="BX148">
            <v>0</v>
          </cell>
        </row>
        <row r="149">
          <cell r="B149" t="str">
            <v>Sales - % Others</v>
          </cell>
          <cell r="C149" t="str">
            <v>SALES_OTHER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J149">
            <v>0</v>
          </cell>
          <cell r="AO149">
            <v>0</v>
          </cell>
          <cell r="AT149">
            <v>0</v>
          </cell>
          <cell r="AY149">
            <v>0</v>
          </cell>
          <cell r="BD149">
            <v>0</v>
          </cell>
          <cell r="BI149">
            <v>0</v>
          </cell>
          <cell r="BN149">
            <v>0</v>
          </cell>
          <cell r="BS149">
            <v>0</v>
          </cell>
          <cell r="BX149">
            <v>0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0">
          <cell r="B190" t="str">
            <v>Sales - % Industry Sub-Segment: Financial Services</v>
          </cell>
          <cell r="C190" t="str">
            <v>SALES_FINAN</v>
          </cell>
        </row>
        <row r="194">
          <cell r="A194" t="str">
            <v>FX Exposure - Sales</v>
          </cell>
        </row>
        <row r="195">
          <cell r="B195" t="str">
            <v>Sales - % FX: British Pounds/Pence</v>
          </cell>
          <cell r="C195" t="str">
            <v>SALES_FX_GPB</v>
          </cell>
        </row>
        <row r="196">
          <cell r="B196" t="str">
            <v>Sales - % FX: Euro</v>
          </cell>
          <cell r="C196" t="str">
            <v>SALES_FX_EUR</v>
          </cell>
        </row>
        <row r="197">
          <cell r="B197" t="str">
            <v>Sales - % FX: New Russian Ruble</v>
          </cell>
          <cell r="C197" t="str">
            <v>SALES_FX_RUB</v>
          </cell>
        </row>
        <row r="198">
          <cell r="B198" t="str">
            <v>Sales - % FX: U.S. Dollar</v>
          </cell>
          <cell r="C198" t="str">
            <v>SALES_FX_USD</v>
          </cell>
        </row>
        <row r="199">
          <cell r="B199" t="str">
            <v>Sales - % FX: Brazilian Real</v>
          </cell>
          <cell r="C199" t="str">
            <v>SALES_FX_BRL</v>
          </cell>
        </row>
        <row r="200">
          <cell r="B200" t="str">
            <v>Sales - % FX: Japanese Yen</v>
          </cell>
          <cell r="C200" t="str">
            <v>SALES_FX_YEN</v>
          </cell>
        </row>
        <row r="201">
          <cell r="B201" t="str">
            <v>Sales - % FX: Chinese Renminbi</v>
          </cell>
          <cell r="C201" t="str">
            <v>SALES_FX_CNY</v>
          </cell>
        </row>
        <row r="202">
          <cell r="B202" t="str">
            <v>Sales - % FX: Indian Rupee</v>
          </cell>
          <cell r="C202" t="str">
            <v>SALES_FX_INR</v>
          </cell>
        </row>
        <row r="203">
          <cell r="B203" t="str">
            <v>Sales - % FX: South Korean Won</v>
          </cell>
          <cell r="C203" t="str">
            <v>SALES_FX_KRW</v>
          </cell>
        </row>
        <row r="204">
          <cell r="B204" t="str">
            <v>Sales - % FX: Taiwan Dollar</v>
          </cell>
          <cell r="C204" t="str">
            <v>SALES_FX_TWD</v>
          </cell>
        </row>
        <row r="205">
          <cell r="B205" t="str">
            <v>Sales - % FX: Other Currency</v>
          </cell>
          <cell r="C205" t="str">
            <v>SALES_FX_OTH</v>
          </cell>
        </row>
        <row r="206">
          <cell r="A206" t="str">
            <v>Security: Anhui USTC iFLYTEK</v>
          </cell>
          <cell r="B206" t="str">
            <v>13UJL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002230.SZ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Anhui USTC iFLYTEK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</row>
        <row r="215">
          <cell r="B215" t="str">
            <v>Asia Pacific Investment List</v>
          </cell>
          <cell r="C215" t="str">
            <v>AEJ_LIST</v>
          </cell>
          <cell r="E215" t="str">
            <v>Buy</v>
          </cell>
        </row>
        <row r="216">
          <cell r="B216" t="str">
            <v>Asia Pacific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38.6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Current shares outstanding (mn)</v>
          </cell>
          <cell r="C220" t="str">
            <v>NUM_SH</v>
          </cell>
          <cell r="E220">
            <v>1283.621729</v>
          </cell>
        </row>
        <row r="221">
          <cell r="B221" t="str">
            <v>Free float</v>
          </cell>
          <cell r="C221" t="str">
            <v>FREE_FLOAT</v>
          </cell>
        </row>
        <row r="222">
          <cell r="B222" t="str">
            <v>Foreign ownership</v>
          </cell>
          <cell r="C222" t="str">
            <v>FOREIGN_HOLDNG</v>
          </cell>
        </row>
        <row r="223">
          <cell r="B223" t="str">
            <v>SH Guangxin</v>
          </cell>
          <cell r="C223" t="str">
            <v>ACT1</v>
          </cell>
          <cell r="E223">
            <v>7.4700000000000003E-2</v>
          </cell>
        </row>
        <row r="224">
          <cell r="B224" t="str">
            <v>Liu Qingfeng</v>
          </cell>
          <cell r="C224" t="str">
            <v>ACT2</v>
          </cell>
          <cell r="E224">
            <v>6.8000000000000005E-2</v>
          </cell>
        </row>
        <row r="225">
          <cell r="B225" t="str">
            <v>USTC AM</v>
          </cell>
          <cell r="C225" t="str">
            <v>ACT3</v>
          </cell>
          <cell r="E225">
            <v>5.7700000000000001E-2</v>
          </cell>
        </row>
        <row r="226">
          <cell r="B226" t="str">
            <v>Catalyst 1 date</v>
          </cell>
          <cell r="C226" t="str">
            <v>CATALYST1_DATE</v>
          </cell>
        </row>
        <row r="227">
          <cell r="B227" t="str">
            <v>Catalyst 1 description</v>
          </cell>
          <cell r="C227" t="str">
            <v>CATALYST1_EVENT</v>
          </cell>
        </row>
        <row r="228">
          <cell r="B228" t="str">
            <v>Catalyst 2 date</v>
          </cell>
          <cell r="C228" t="str">
            <v>CATALYST2_DATE</v>
          </cell>
        </row>
        <row r="229">
          <cell r="B229" t="str">
            <v>Catalyst 2 description</v>
          </cell>
          <cell r="C229" t="str">
            <v>CATALYST2_EVENT</v>
          </cell>
        </row>
        <row r="230">
          <cell r="B230" t="str">
            <v>Catalyst 3 date</v>
          </cell>
          <cell r="C230" t="str">
            <v>CATALYST3_DATE</v>
          </cell>
        </row>
        <row r="231">
          <cell r="B231" t="str">
            <v>Catalyst 3 description</v>
          </cell>
          <cell r="C231" t="str">
            <v>CATALYST3_EVENT</v>
          </cell>
        </row>
        <row r="232">
          <cell r="B232" t="str">
            <v>Catalyst 4 date</v>
          </cell>
          <cell r="C232" t="str">
            <v>CATALYST4_DATE</v>
          </cell>
        </row>
        <row r="233">
          <cell r="B233" t="str">
            <v>Catalyst 4 description</v>
          </cell>
          <cell r="C233" t="str">
            <v>CATALYST4_EVENT</v>
          </cell>
        </row>
        <row r="234">
          <cell r="B234" t="str">
            <v>Catalyst 5 date</v>
          </cell>
          <cell r="C234" t="str">
            <v>CATALYST5_DATE</v>
          </cell>
        </row>
        <row r="235">
          <cell r="B235" t="str">
            <v>Catalyst 5 description</v>
          </cell>
          <cell r="C235" t="str">
            <v>CATALYST5_EVENT</v>
          </cell>
        </row>
        <row r="236">
          <cell r="B236" t="str">
            <v>Target price multiple</v>
          </cell>
          <cell r="C236" t="str">
            <v>PRI_TARG_MULT</v>
          </cell>
          <cell r="E236">
            <v>56.825703586106997</v>
          </cell>
        </row>
        <row r="237">
          <cell r="B237" t="str">
            <v>Target price methodology</v>
          </cell>
          <cell r="C237" t="str">
            <v>PRI_TARG_METH</v>
          </cell>
          <cell r="E237" t="str">
            <v>Long-term growth discounted PE</v>
          </cell>
        </row>
        <row r="238">
          <cell r="A238" t="str">
            <v>Publishing Items</v>
          </cell>
        </row>
        <row r="239">
          <cell r="B239" t="str">
            <v>Book value per share, BVPS (Pub)</v>
          </cell>
          <cell r="C239" t="str">
            <v>BVPS_PUB</v>
          </cell>
          <cell r="D239" t="str">
            <v>CNY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7.1275760539999997E-2</v>
          </cell>
          <cell r="R239">
            <v>9.8818741086E-2</v>
          </cell>
          <cell r="S239">
            <v>0.13195879113199999</v>
          </cell>
          <cell r="T239">
            <v>0.41320432680199998</v>
          </cell>
          <cell r="U239">
            <v>0.45486641225300001</v>
          </cell>
          <cell r="Z239">
            <v>0.50861234151000001</v>
          </cell>
          <cell r="AE239">
            <v>0.91659672664400005</v>
          </cell>
          <cell r="AJ239">
            <v>1.0474357305540001</v>
          </cell>
          <cell r="AO239">
            <v>2.5790751937560001</v>
          </cell>
          <cell r="AT239">
            <v>2.887632362937</v>
          </cell>
          <cell r="AY239">
            <v>4.8228020533480001</v>
          </cell>
          <cell r="BD239">
            <v>5.2779130043429996</v>
          </cell>
          <cell r="BI239">
            <v>5.9545093912559999</v>
          </cell>
          <cell r="BN239">
            <v>6.8694540220220004</v>
          </cell>
          <cell r="BS239">
            <v>8.0474667076319992</v>
          </cell>
          <cell r="BX239">
            <v>9.4503523597569998</v>
          </cell>
        </row>
        <row r="240">
          <cell r="B240" t="str">
            <v>DPS, dividend per share (Pub)</v>
          </cell>
          <cell r="C240" t="str">
            <v>DPS_PUB</v>
          </cell>
          <cell r="D240" t="str">
            <v>CNY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2.8461060627E-2</v>
          </cell>
          <cell r="T240">
            <v>2.1793404462E-2</v>
          </cell>
          <cell r="U240">
            <v>2.9057872615999999E-2</v>
          </cell>
          <cell r="Z240">
            <v>3.4804392199999999E-2</v>
          </cell>
          <cell r="AE240">
            <v>3.3292004056000003E-2</v>
          </cell>
          <cell r="AJ240">
            <v>3.9203668380000001E-2</v>
          </cell>
          <cell r="AO240">
            <v>5.8845347392000001E-2</v>
          </cell>
          <cell r="AT240">
            <v>0.13574312093300001</v>
          </cell>
          <cell r="AY240">
            <v>0.145836902873</v>
          </cell>
          <cell r="BD240">
            <v>0.22415912511700001</v>
          </cell>
          <cell r="BI240">
            <v>0.333248966689</v>
          </cell>
          <cell r="BN240">
            <v>0.450644370377</v>
          </cell>
          <cell r="BS240">
            <v>0.58021520335999999</v>
          </cell>
          <cell r="BX240">
            <v>0.69097353015100005</v>
          </cell>
        </row>
        <row r="241">
          <cell r="B241" t="str">
            <v>Special dividend per share</v>
          </cell>
          <cell r="C241" t="str">
            <v>DPS_SPECIAL_PUB</v>
          </cell>
          <cell r="D241" t="str">
            <v>CNY</v>
          </cell>
        </row>
        <row r="242">
          <cell r="B242" t="str">
            <v>EBITDA (Pub)</v>
          </cell>
          <cell r="C242" t="str">
            <v>EBITDA_PUB</v>
          </cell>
          <cell r="D242" t="str">
            <v>CNY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12.472118269999999</v>
          </cell>
          <cell r="R242">
            <v>39.771510200000002</v>
          </cell>
          <cell r="S242">
            <v>40.571818950000001</v>
          </cell>
          <cell r="T242">
            <v>71.941360720000006</v>
          </cell>
          <cell r="U242">
            <v>68.669104610000005</v>
          </cell>
          <cell r="Z242">
            <v>111.40984801</v>
          </cell>
          <cell r="AE242">
            <v>150.79290356000001</v>
          </cell>
          <cell r="AJ242">
            <v>176.78429756</v>
          </cell>
          <cell r="AO242">
            <v>338.58030181999999</v>
          </cell>
          <cell r="AT242">
            <v>1018.25813896</v>
          </cell>
          <cell r="AY242">
            <v>720.557635090649</v>
          </cell>
          <cell r="BD242">
            <v>1094.6766750603899</v>
          </cell>
          <cell r="BI242">
            <v>1687.1713238929301</v>
          </cell>
          <cell r="BN242">
            <v>2358.3523575650902</v>
          </cell>
          <cell r="BS242">
            <v>3089.12289200429</v>
          </cell>
          <cell r="BX242">
            <v>3774.2943806694698</v>
          </cell>
        </row>
        <row r="243">
          <cell r="B243" t="str">
            <v>EPS (Pub)</v>
          </cell>
          <cell r="C243" t="str">
            <v>EPS_PUB</v>
          </cell>
          <cell r="D243" t="str">
            <v>CNY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1.5881484743E-2</v>
          </cell>
          <cell r="R243">
            <v>5.5900602085000001E-2</v>
          </cell>
          <cell r="S243">
            <v>7.7348799312000005E-2</v>
          </cell>
          <cell r="T243">
            <v>8.0811796241999995E-2</v>
          </cell>
          <cell r="U243">
            <v>8.7032511694999995E-2</v>
          </cell>
          <cell r="Z243">
            <v>0.109660120495</v>
          </cell>
          <cell r="AE243">
            <v>0.13906468178600001</v>
          </cell>
          <cell r="AJ243">
            <v>0.189178313894</v>
          </cell>
          <cell r="AO243">
            <v>0.24536145510599999</v>
          </cell>
          <cell r="AT243">
            <v>0.31549114553000002</v>
          </cell>
          <cell r="AY243">
            <v>0.45449676173600001</v>
          </cell>
          <cell r="BD243">
            <v>0.67927007611099999</v>
          </cell>
          <cell r="BI243">
            <v>1.009845353602</v>
          </cell>
          <cell r="BN243">
            <v>1.3655890011430001</v>
          </cell>
          <cell r="BS243">
            <v>1.7582278889709999</v>
          </cell>
          <cell r="BX243">
            <v>2.0938591822760002</v>
          </cell>
        </row>
        <row r="244">
          <cell r="B244" t="str">
            <v>EV adjustment (Pub)</v>
          </cell>
          <cell r="C244" t="str">
            <v>EV_ADJ_PUB</v>
          </cell>
          <cell r="D244" t="str">
            <v>CNY</v>
          </cell>
        </row>
        <row r="245">
          <cell r="B245" t="str">
            <v>Net debt (Pub)</v>
          </cell>
          <cell r="C245" t="str">
            <v>NET_DEBT_PUB</v>
          </cell>
          <cell r="D245" t="str">
            <v>CNY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-4.5112411999999997</v>
          </cell>
          <cell r="R245">
            <v>-22.23962453</v>
          </cell>
          <cell r="S245">
            <v>-50.23248341</v>
          </cell>
          <cell r="T245">
            <v>-350.00052118000002</v>
          </cell>
          <cell r="U245">
            <v>-328.29073161000002</v>
          </cell>
          <cell r="Z245">
            <v>-286.32261292999999</v>
          </cell>
          <cell r="AE245">
            <v>-659.07535571000005</v>
          </cell>
          <cell r="AJ245">
            <v>-526.10201397000003</v>
          </cell>
          <cell r="AO245">
            <v>-1745.1487243399999</v>
          </cell>
          <cell r="AT245">
            <v>-1058.0087636799999</v>
          </cell>
          <cell r="AY245">
            <v>-2846.6848772899998</v>
          </cell>
          <cell r="BD245">
            <v>-2418.0930350557301</v>
          </cell>
          <cell r="BI245">
            <v>-1894.4114950938399</v>
          </cell>
          <cell r="BN245">
            <v>-1537.1251377687499</v>
          </cell>
          <cell r="BS245">
            <v>-1584.95557567693</v>
          </cell>
          <cell r="BX245">
            <v>-1990.0439146374099</v>
          </cell>
        </row>
        <row r="246">
          <cell r="B246" t="str">
            <v>Net income (Pub)</v>
          </cell>
          <cell r="C246" t="str">
            <v>NI_PUB</v>
          </cell>
          <cell r="D246" t="str">
            <v>CNY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9.9858428499999992</v>
          </cell>
          <cell r="R246">
            <v>35.148768310000001</v>
          </cell>
          <cell r="S246">
            <v>53.498288340000002</v>
          </cell>
          <cell r="T246">
            <v>69.872748860000002</v>
          </cell>
          <cell r="U246">
            <v>80.269858159999998</v>
          </cell>
          <cell r="Z246">
            <v>101.13924264000001</v>
          </cell>
          <cell r="AA246">
            <v>14.520532709999999</v>
          </cell>
          <cell r="AB246">
            <v>25.594970610000001</v>
          </cell>
          <cell r="AC246">
            <v>29.574224520000001</v>
          </cell>
          <cell r="AD246">
            <v>62.93917407</v>
          </cell>
          <cell r="AE246">
            <v>132.62890191</v>
          </cell>
          <cell r="AF246">
            <v>19.859722680000001</v>
          </cell>
          <cell r="AG246">
            <v>38.557491630000001</v>
          </cell>
          <cell r="AH246">
            <v>41.24785412</v>
          </cell>
          <cell r="AI246">
            <v>82.739807450000001</v>
          </cell>
          <cell r="AJ246">
            <v>182.40487587999999</v>
          </cell>
          <cell r="AK246">
            <v>34.320470540000002</v>
          </cell>
          <cell r="AL246">
            <v>48.174532579999997</v>
          </cell>
          <cell r="AM246">
            <v>57.774514289999999</v>
          </cell>
          <cell r="AN246">
            <v>138.71664989999999</v>
          </cell>
          <cell r="AO246">
            <v>278.98616730999998</v>
          </cell>
          <cell r="AP246">
            <v>50.89633414</v>
          </cell>
          <cell r="AQ246">
            <v>65.898005100000006</v>
          </cell>
          <cell r="AR246">
            <v>81.28957733</v>
          </cell>
          <cell r="AS246">
            <v>181.34596998000001</v>
          </cell>
          <cell r="AT246">
            <v>379.42988654999999</v>
          </cell>
          <cell r="AU246">
            <v>66.586553260000002</v>
          </cell>
          <cell r="AV246">
            <v>76.505739879999993</v>
          </cell>
          <cell r="AW246">
            <v>147.609524949584</v>
          </cell>
          <cell r="AX246">
            <v>276.56914378130898</v>
          </cell>
          <cell r="AY246">
            <v>567.27096187089398</v>
          </cell>
          <cell r="BD246">
            <v>871.92582955565501</v>
          </cell>
          <cell r="BI246">
            <v>1296.25943881285</v>
          </cell>
          <cell r="BN246">
            <v>1752.89971475065</v>
          </cell>
          <cell r="BS246">
            <v>2256.89952281672</v>
          </cell>
          <cell r="BX246">
            <v>2687.7231438358999</v>
          </cell>
        </row>
        <row r="247">
          <cell r="B247" t="str">
            <v>EBIT, operating profit (Pub)</v>
          </cell>
          <cell r="C247" t="str">
            <v>EBIT_PUB</v>
          </cell>
          <cell r="D247" t="str">
            <v>CNY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12.472118269999999</v>
          </cell>
          <cell r="R247">
            <v>39.771510200000002</v>
          </cell>
          <cell r="S247">
            <v>40.571818950000001</v>
          </cell>
          <cell r="T247">
            <v>60.000370310000001</v>
          </cell>
          <cell r="U247">
            <v>49.767564640000003</v>
          </cell>
          <cell r="Z247">
            <v>84.167132670000001</v>
          </cell>
          <cell r="AA247">
            <v>12.64804591</v>
          </cell>
          <cell r="AB247">
            <v>26.953563280000001</v>
          </cell>
          <cell r="AC247">
            <v>19.65236462</v>
          </cell>
          <cell r="AD247">
            <v>45.236888100000002</v>
          </cell>
          <cell r="AE247">
            <v>104.49086191000001</v>
          </cell>
          <cell r="AF247">
            <v>17.949241839999999</v>
          </cell>
          <cell r="AG247">
            <v>24.095082219999998</v>
          </cell>
          <cell r="AH247">
            <v>26.147646869999999</v>
          </cell>
          <cell r="AI247">
            <v>46.058334559999999</v>
          </cell>
          <cell r="AJ247">
            <v>114.25030549</v>
          </cell>
          <cell r="AK247">
            <v>22.087929599999999</v>
          </cell>
          <cell r="AL247">
            <v>29.530183860000001</v>
          </cell>
          <cell r="AM247">
            <v>37.521235820000001</v>
          </cell>
          <cell r="AN247">
            <v>118.03514237</v>
          </cell>
          <cell r="AO247">
            <v>207.17449164999999</v>
          </cell>
          <cell r="AP247">
            <v>24.546475390000001</v>
          </cell>
          <cell r="AQ247">
            <v>33.335928959999997</v>
          </cell>
          <cell r="AR247">
            <v>46.09999758</v>
          </cell>
          <cell r="AS247">
            <v>162.90166786</v>
          </cell>
          <cell r="AT247">
            <v>823.77451994</v>
          </cell>
          <cell r="AU247">
            <v>28.643835370000001</v>
          </cell>
          <cell r="AV247">
            <v>51.454069019999999</v>
          </cell>
          <cell r="AW247">
            <v>107.44741247018</v>
          </cell>
          <cell r="AX247">
            <v>274.88751503986401</v>
          </cell>
          <cell r="AY247">
            <v>462.43283190004399</v>
          </cell>
          <cell r="BD247">
            <v>740.508014577621</v>
          </cell>
          <cell r="BI247">
            <v>1199.8682309288799</v>
          </cell>
          <cell r="BN247">
            <v>1700.28773721772</v>
          </cell>
          <cell r="BS247">
            <v>2231.4481830189002</v>
          </cell>
          <cell r="BX247">
            <v>2684.45826513367</v>
          </cell>
        </row>
        <row r="248">
          <cell r="B248" t="str">
            <v>Pre-tax profit (Pub)</v>
          </cell>
          <cell r="C248" t="str">
            <v>PTP_PUB</v>
          </cell>
          <cell r="D248" t="str">
            <v>CNY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11.07212077</v>
          </cell>
          <cell r="R248">
            <v>37.23885035</v>
          </cell>
          <cell r="S248">
            <v>55.356846529999999</v>
          </cell>
          <cell r="T248">
            <v>77.489366459999999</v>
          </cell>
          <cell r="U248">
            <v>87.395078530000006</v>
          </cell>
          <cell r="Z248">
            <v>111.98293157000001</v>
          </cell>
          <cell r="AE248">
            <v>143.73858526000001</v>
          </cell>
          <cell r="AJ248">
            <v>202.69074379</v>
          </cell>
          <cell r="AO248">
            <v>320.58399224999999</v>
          </cell>
          <cell r="AT248">
            <v>433.74923002999998</v>
          </cell>
          <cell r="AY248">
            <v>643.80755394210405</v>
          </cell>
          <cell r="BD248">
            <v>993.93405817479004</v>
          </cell>
          <cell r="BI248">
            <v>1471.8317260066401</v>
          </cell>
          <cell r="BN248">
            <v>2088.0976032737999</v>
          </cell>
          <cell r="BS248">
            <v>2688.4746712927299</v>
          </cell>
          <cell r="BX248">
            <v>3201.68245090143</v>
          </cell>
        </row>
        <row r="249">
          <cell r="B249" t="str">
            <v>Sales, revenue (Pub)</v>
          </cell>
          <cell r="C249" t="str">
            <v>REVS_PUB</v>
          </cell>
          <cell r="D249" t="str">
            <v>CNY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81.567521810000002</v>
          </cell>
          <cell r="R249">
            <v>171.35527556</v>
          </cell>
          <cell r="S249">
            <v>205.81020808</v>
          </cell>
          <cell r="T249">
            <v>257.55214083999999</v>
          </cell>
          <cell r="U249">
            <v>307.12515289999999</v>
          </cell>
          <cell r="Z249">
            <v>436.05733842000001</v>
          </cell>
          <cell r="AA249">
            <v>85.700989820000004</v>
          </cell>
          <cell r="AB249">
            <v>135.60514433</v>
          </cell>
          <cell r="AC249">
            <v>121.29126284</v>
          </cell>
          <cell r="AD249">
            <v>214.41613369999999</v>
          </cell>
          <cell r="AE249">
            <v>557.01353069000004</v>
          </cell>
          <cell r="AF249">
            <v>130.06769266000001</v>
          </cell>
          <cell r="AG249">
            <v>173.60203297000001</v>
          </cell>
          <cell r="AH249">
            <v>223.27271114000001</v>
          </cell>
          <cell r="AI249">
            <v>256.99824694</v>
          </cell>
          <cell r="AJ249">
            <v>783.94068371000003</v>
          </cell>
          <cell r="AK249">
            <v>173.04575912000001</v>
          </cell>
          <cell r="AL249">
            <v>246.05492519000001</v>
          </cell>
          <cell r="AM249">
            <v>338.35138807999999</v>
          </cell>
          <cell r="AN249">
            <v>496.25567839000001</v>
          </cell>
          <cell r="AO249">
            <v>1253.70775078</v>
          </cell>
          <cell r="AP249">
            <v>261.93893664000001</v>
          </cell>
          <cell r="AQ249">
            <v>385.75291031</v>
          </cell>
          <cell r="AR249">
            <v>457.65699876999997</v>
          </cell>
          <cell r="AS249">
            <v>669.86176723000005</v>
          </cell>
          <cell r="AT249">
            <v>1775.21061295</v>
          </cell>
          <cell r="AU249">
            <v>406.10641343999998</v>
          </cell>
          <cell r="AV249">
            <v>633.04558938000002</v>
          </cell>
          <cell r="AW249">
            <v>696.755666942056</v>
          </cell>
          <cell r="AX249">
            <v>947.439201933444</v>
          </cell>
          <cell r="AY249">
            <v>2683.3468716954999</v>
          </cell>
          <cell r="BD249">
            <v>4339.5862437711303</v>
          </cell>
          <cell r="BI249">
            <v>6465.6480503677103</v>
          </cell>
          <cell r="BN249">
            <v>8961.0792271181999</v>
          </cell>
          <cell r="BS249">
            <v>11389.0317178761</v>
          </cell>
          <cell r="BX249">
            <v>13457.9483156756</v>
          </cell>
        </row>
        <row r="250">
          <cell r="B250" t="str">
            <v>Total shareholders' equity (Pub)</v>
          </cell>
          <cell r="C250" t="str">
            <v>EQ_PUB</v>
          </cell>
          <cell r="D250" t="str">
            <v>CNY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93.536812209999994</v>
          </cell>
          <cell r="R250">
            <v>126.84588329</v>
          </cell>
          <cell r="S250">
            <v>171.98579733</v>
          </cell>
          <cell r="T250">
            <v>530.39805239999998</v>
          </cell>
          <cell r="U250">
            <v>599.03658364</v>
          </cell>
          <cell r="Z250">
            <v>661.46416260000001</v>
          </cell>
          <cell r="AE250">
            <v>1185.78490622</v>
          </cell>
          <cell r="AJ250">
            <v>1482.7320979900001</v>
          </cell>
          <cell r="AO250">
            <v>3461.0525709399999</v>
          </cell>
          <cell r="AT250">
            <v>3901.4191872599999</v>
          </cell>
          <cell r="AY250">
            <v>6391.6381285834996</v>
          </cell>
          <cell r="BD250">
            <v>6992.0849221457902</v>
          </cell>
          <cell r="BI250">
            <v>7876.8352339104003</v>
          </cell>
          <cell r="BN250">
            <v>9073.2612908254105</v>
          </cell>
          <cell r="BS250">
            <v>10613.6879188947</v>
          </cell>
          <cell r="BX250">
            <v>12448.169364695101</v>
          </cell>
        </row>
        <row r="251">
          <cell r="B251" t="str">
            <v>EPS (consensus)</v>
          </cell>
          <cell r="C251" t="str">
            <v>EPS_CONS_PUB</v>
          </cell>
          <cell r="D251" t="str">
            <v>CNY</v>
          </cell>
        </row>
        <row r="252">
          <cell r="A252" t="str">
            <v>Income Statement</v>
          </cell>
        </row>
        <row r="253">
          <cell r="B253" t="str">
            <v>Provision for income tax</v>
          </cell>
          <cell r="C253" t="str">
            <v>PROV_INC_TAX</v>
          </cell>
          <cell r="D253" t="str">
            <v>CNY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-1.14120552</v>
          </cell>
          <cell r="R253">
            <v>-2.09008204</v>
          </cell>
          <cell r="S253">
            <v>-1.7994619700000001</v>
          </cell>
          <cell r="T253">
            <v>-7.41823941</v>
          </cell>
          <cell r="U253">
            <v>-7.3443451900000003</v>
          </cell>
          <cell r="Z253">
            <v>-10.86857296</v>
          </cell>
          <cell r="AE253">
            <v>-11.147770830000001</v>
          </cell>
          <cell r="AJ253">
            <v>-20.953964559999999</v>
          </cell>
          <cell r="AO253">
            <v>-42.145440489999999</v>
          </cell>
          <cell r="AT253">
            <v>-45.262679919999997</v>
          </cell>
          <cell r="AY253">
            <v>-70.343514661209994</v>
          </cell>
          <cell r="BD253">
            <v>-105.751740859134</v>
          </cell>
          <cell r="BI253">
            <v>-159.31579943379</v>
          </cell>
          <cell r="BN253">
            <v>-313.21464049106999</v>
          </cell>
          <cell r="BS253">
            <v>-403.27120069390998</v>
          </cell>
          <cell r="BX253">
            <v>-480.25236763521502</v>
          </cell>
        </row>
        <row r="254">
          <cell r="B254" t="str">
            <v>Minority interest</v>
          </cell>
          <cell r="C254" t="str">
            <v>INC_MINORITY</v>
          </cell>
          <cell r="D254" t="str">
            <v>CNY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5.49276E-2</v>
          </cell>
          <cell r="R254">
            <v>0</v>
          </cell>
          <cell r="S254">
            <v>-5.9096219999999998E-2</v>
          </cell>
          <cell r="T254">
            <v>-0.19837819000000001</v>
          </cell>
          <cell r="U254">
            <v>0.21912482</v>
          </cell>
          <cell r="Z254">
            <v>2.4884030000000001E-2</v>
          </cell>
          <cell r="AE254">
            <v>3.808748E-2</v>
          </cell>
          <cell r="AJ254">
            <v>0.66809664999999996</v>
          </cell>
          <cell r="AO254">
            <v>0.54761554999999995</v>
          </cell>
          <cell r="AT254">
            <v>-9.0566635600000005</v>
          </cell>
          <cell r="AY254">
            <v>-6.1930774099999999</v>
          </cell>
          <cell r="BD254">
            <v>-16.256487759999999</v>
          </cell>
          <cell r="BI254">
            <v>-16.256487759999999</v>
          </cell>
          <cell r="BN254">
            <v>-21.983248032083001</v>
          </cell>
          <cell r="BS254">
            <v>-28.303947782104999</v>
          </cell>
          <cell r="BX254">
            <v>-33.706939430314002</v>
          </cell>
        </row>
        <row r="255">
          <cell r="B255" t="str">
            <v>Net income (pre-preferred dividends)</v>
          </cell>
          <cell r="C255" t="str">
            <v>NI_PRE_PREF</v>
          </cell>
          <cell r="D255" t="str">
            <v>CNY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9.9858428499999992</v>
          </cell>
          <cell r="R255">
            <v>35.148768310000001</v>
          </cell>
          <cell r="S255">
            <v>53.498288340000002</v>
          </cell>
          <cell r="T255">
            <v>69.872748860000002</v>
          </cell>
          <cell r="U255">
            <v>80.269858159999998</v>
          </cell>
          <cell r="Z255">
            <v>101.13924264000001</v>
          </cell>
          <cell r="AE255">
            <v>132.62890191</v>
          </cell>
          <cell r="AJ255">
            <v>182.40487587999999</v>
          </cell>
          <cell r="AO255">
            <v>278.98616730999998</v>
          </cell>
          <cell r="AT255">
            <v>379.42988654999999</v>
          </cell>
          <cell r="AY255">
            <v>567.27096187089398</v>
          </cell>
          <cell r="BD255">
            <v>871.92582955565501</v>
          </cell>
          <cell r="BI255">
            <v>1296.25943881285</v>
          </cell>
          <cell r="BN255">
            <v>1752.89971475065</v>
          </cell>
          <cell r="BS255">
            <v>2256.89952281672</v>
          </cell>
          <cell r="BX255">
            <v>2687.7231438358999</v>
          </cell>
        </row>
        <row r="256">
          <cell r="B256" t="str">
            <v>Preferred dividends</v>
          </cell>
          <cell r="C256" t="str">
            <v>PREF_DIV</v>
          </cell>
          <cell r="D256" t="str">
            <v>CNY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Z256">
            <v>0</v>
          </cell>
          <cell r="AE256">
            <v>0</v>
          </cell>
          <cell r="AJ256">
            <v>0</v>
          </cell>
          <cell r="AO256">
            <v>0</v>
          </cell>
          <cell r="AT256">
            <v>0</v>
          </cell>
          <cell r="AY256">
            <v>0</v>
          </cell>
          <cell r="BD256">
            <v>0</v>
          </cell>
        </row>
        <row r="257">
          <cell r="B257" t="str">
            <v>Net income (pre-exceptionals)</v>
          </cell>
          <cell r="C257" t="str">
            <v>NET_EARNING</v>
          </cell>
          <cell r="D257" t="str">
            <v>CNY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9.9858428499999992</v>
          </cell>
          <cell r="R257">
            <v>35.148768310000001</v>
          </cell>
          <cell r="S257">
            <v>53.498288340000002</v>
          </cell>
          <cell r="T257">
            <v>69.872748860000002</v>
          </cell>
          <cell r="U257">
            <v>80.269858159999998</v>
          </cell>
          <cell r="Z257">
            <v>101.13924264000001</v>
          </cell>
          <cell r="AE257">
            <v>132.62890191</v>
          </cell>
          <cell r="AJ257">
            <v>182.40487587999999</v>
          </cell>
          <cell r="AO257">
            <v>278.98616730999998</v>
          </cell>
          <cell r="AT257">
            <v>379.42988654999999</v>
          </cell>
          <cell r="AY257">
            <v>567.27096187089398</v>
          </cell>
          <cell r="BD257">
            <v>871.92582955565501</v>
          </cell>
          <cell r="BI257">
            <v>1296.25943881285</v>
          </cell>
          <cell r="BN257">
            <v>1752.89971475065</v>
          </cell>
          <cell r="BS257">
            <v>2256.89952281672</v>
          </cell>
          <cell r="BX257">
            <v>2687.7231438358999</v>
          </cell>
        </row>
        <row r="258">
          <cell r="B258" t="str">
            <v>Post-tax exceptionals</v>
          </cell>
          <cell r="C258" t="str">
            <v>TAX_EXC</v>
          </cell>
          <cell r="D258" t="str">
            <v>CNY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Z258">
            <v>0</v>
          </cell>
          <cell r="AE258">
            <v>0</v>
          </cell>
          <cell r="AJ258">
            <v>0</v>
          </cell>
          <cell r="AO258">
            <v>0</v>
          </cell>
          <cell r="AT258">
            <v>0</v>
          </cell>
          <cell r="AY258">
            <v>0</v>
          </cell>
          <cell r="BD258">
            <v>0</v>
          </cell>
        </row>
        <row r="259">
          <cell r="B259" t="str">
            <v>Net income (post-exceptionals)</v>
          </cell>
          <cell r="C259" t="str">
            <v>NET_INC</v>
          </cell>
          <cell r="D259" t="str">
            <v>CNY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9.9858428499999992</v>
          </cell>
          <cell r="R259">
            <v>35.148768310000001</v>
          </cell>
          <cell r="S259">
            <v>53.498288340000002</v>
          </cell>
          <cell r="T259">
            <v>69.872748860000002</v>
          </cell>
          <cell r="U259">
            <v>80.269858159999998</v>
          </cell>
          <cell r="Z259">
            <v>101.13924264000001</v>
          </cell>
          <cell r="AA259">
            <v>14.520532709999999</v>
          </cell>
          <cell r="AB259">
            <v>25.594970610000001</v>
          </cell>
          <cell r="AC259">
            <v>29.574224520000001</v>
          </cell>
          <cell r="AD259">
            <v>62.93917407</v>
          </cell>
          <cell r="AE259">
            <v>132.62890191</v>
          </cell>
          <cell r="AF259">
            <v>19.859722680000001</v>
          </cell>
          <cell r="AG259">
            <v>38.557491630000001</v>
          </cell>
          <cell r="AH259">
            <v>41.24785412</v>
          </cell>
          <cell r="AI259">
            <v>82.739807450000001</v>
          </cell>
          <cell r="AJ259">
            <v>182.40487587999999</v>
          </cell>
          <cell r="AK259">
            <v>34.320470540000002</v>
          </cell>
          <cell r="AL259">
            <v>48.174532579999997</v>
          </cell>
          <cell r="AM259">
            <v>57.774514289999999</v>
          </cell>
          <cell r="AN259">
            <v>138.71664989999999</v>
          </cell>
          <cell r="AO259">
            <v>278.98616730999998</v>
          </cell>
          <cell r="AP259">
            <v>50.89633414</v>
          </cell>
          <cell r="AQ259">
            <v>65.898005100000006</v>
          </cell>
          <cell r="AR259">
            <v>81.28957733</v>
          </cell>
          <cell r="AS259">
            <v>181.34596998000001</v>
          </cell>
          <cell r="AT259">
            <v>379.42988654999999</v>
          </cell>
          <cell r="AU259">
            <v>66.586553260000002</v>
          </cell>
          <cell r="AV259">
            <v>76.505739879999993</v>
          </cell>
          <cell r="AW259">
            <v>147.609524949584</v>
          </cell>
          <cell r="AX259">
            <v>276.56914378130898</v>
          </cell>
          <cell r="AY259">
            <v>567.27096187089398</v>
          </cell>
          <cell r="BD259">
            <v>871.92582955565501</v>
          </cell>
          <cell r="BI259">
            <v>1296.25943881285</v>
          </cell>
          <cell r="BN259">
            <v>1752.89971475065</v>
          </cell>
          <cell r="BS259">
            <v>2256.89952281672</v>
          </cell>
          <cell r="BX259">
            <v>2687.7231438358999</v>
          </cell>
        </row>
        <row r="260">
          <cell r="B260" t="str">
            <v>EPS (pre-exceptionals, basic)</v>
          </cell>
          <cell r="C260" t="str">
            <v>EPS</v>
          </cell>
          <cell r="D260" t="str">
            <v>CNY</v>
          </cell>
          <cell r="Q260">
            <v>1.5881484743E-2</v>
          </cell>
          <cell r="R260">
            <v>5.5900602085000001E-2</v>
          </cell>
          <cell r="S260">
            <v>7.7348799312000005E-2</v>
          </cell>
          <cell r="T260">
            <v>8.0811796241999995E-2</v>
          </cell>
          <cell r="U260">
            <v>8.7032511694999995E-2</v>
          </cell>
          <cell r="Z260">
            <v>0.109660120495</v>
          </cell>
          <cell r="AE260">
            <v>0.13906468178600001</v>
          </cell>
          <cell r="AJ260">
            <v>0.189178313894</v>
          </cell>
          <cell r="AO260">
            <v>0.24536145510599999</v>
          </cell>
          <cell r="AT260">
            <v>0.31549114553000002</v>
          </cell>
          <cell r="AY260">
            <v>0.45449676173600001</v>
          </cell>
          <cell r="BD260">
            <v>0.67927007611099999</v>
          </cell>
          <cell r="BI260">
            <v>1.009845353602</v>
          </cell>
          <cell r="BN260">
            <v>1.3655890011430001</v>
          </cell>
          <cell r="BS260">
            <v>1.7582278889709999</v>
          </cell>
          <cell r="BX260">
            <v>2.0938591822760002</v>
          </cell>
        </row>
        <row r="261">
          <cell r="B261" t="str">
            <v>EPS (pre-exceptionals, diluted)</v>
          </cell>
          <cell r="C261" t="str">
            <v>EPS_FUL_DIL</v>
          </cell>
          <cell r="D261" t="str">
            <v>CNY</v>
          </cell>
          <cell r="Q261">
            <v>1.5881484743E-2</v>
          </cell>
          <cell r="R261">
            <v>5.5900602085000001E-2</v>
          </cell>
          <cell r="S261">
            <v>7.7348799312000005E-2</v>
          </cell>
          <cell r="T261">
            <v>7.5759456559999994E-2</v>
          </cell>
          <cell r="U261">
            <v>8.7032511694999995E-2</v>
          </cell>
          <cell r="Z261">
            <v>0.109660120495</v>
          </cell>
          <cell r="AE261">
            <v>0.13755395453499999</v>
          </cell>
          <cell r="AJ261">
            <v>0.189178313894</v>
          </cell>
          <cell r="AO261">
            <v>0.233528277861</v>
          </cell>
          <cell r="AT261">
            <v>0.315015272023</v>
          </cell>
          <cell r="AY261">
            <v>0.45449676173600001</v>
          </cell>
          <cell r="BD261">
            <v>0.67927007611099999</v>
          </cell>
          <cell r="BI261">
            <v>1.009845353602</v>
          </cell>
          <cell r="BN261">
            <v>1.3655890011430001</v>
          </cell>
          <cell r="BS261">
            <v>1.7582278889709999</v>
          </cell>
          <cell r="BX261">
            <v>2.0938591822760002</v>
          </cell>
        </row>
        <row r="262">
          <cell r="B262" t="str">
            <v>EPS (post-exceptionals, basic)</v>
          </cell>
          <cell r="C262" t="str">
            <v>EPS_POST_BASIC</v>
          </cell>
          <cell r="D262" t="str">
            <v>CNY</v>
          </cell>
          <cell r="Q262">
            <v>1.5881484743E-2</v>
          </cell>
          <cell r="R262">
            <v>5.5900602085000001E-2</v>
          </cell>
          <cell r="S262">
            <v>7.7348799312000005E-2</v>
          </cell>
          <cell r="T262">
            <v>8.0811796241999995E-2</v>
          </cell>
          <cell r="U262">
            <v>8.7032511694999995E-2</v>
          </cell>
          <cell r="Z262">
            <v>0.109660120495</v>
          </cell>
          <cell r="AE262">
            <v>0.13906468178600001</v>
          </cell>
          <cell r="AJ262">
            <v>0.189178313894</v>
          </cell>
          <cell r="AO262">
            <v>0.24536145510599999</v>
          </cell>
          <cell r="AT262">
            <v>0.31549114553000002</v>
          </cell>
          <cell r="AY262">
            <v>0.45449676173600001</v>
          </cell>
          <cell r="BD262">
            <v>0.67927007611099999</v>
          </cell>
          <cell r="BI262">
            <v>1.009845353602</v>
          </cell>
          <cell r="BN262">
            <v>1.3655890011430001</v>
          </cell>
          <cell r="BS262">
            <v>1.7582278889709999</v>
          </cell>
          <cell r="BX262">
            <v>2.0938591822760002</v>
          </cell>
        </row>
        <row r="263">
          <cell r="B263" t="str">
            <v>EPS (post-exceptionals, diluted)</v>
          </cell>
          <cell r="C263" t="str">
            <v>FULLY_DIL_EPS</v>
          </cell>
          <cell r="D263" t="str">
            <v>CNY</v>
          </cell>
          <cell r="Q263">
            <v>1.5881484743E-2</v>
          </cell>
          <cell r="R263">
            <v>5.5900602085000001E-2</v>
          </cell>
          <cell r="S263">
            <v>7.7348799312000005E-2</v>
          </cell>
          <cell r="T263">
            <v>7.5759456559999994E-2</v>
          </cell>
          <cell r="U263">
            <v>8.7032511694999995E-2</v>
          </cell>
          <cell r="Z263">
            <v>0.109660120495</v>
          </cell>
          <cell r="AE263">
            <v>0.13755395453499999</v>
          </cell>
          <cell r="AJ263">
            <v>0.189178313894</v>
          </cell>
          <cell r="AO263">
            <v>0.233528277861</v>
          </cell>
          <cell r="AT263">
            <v>0.315015272023</v>
          </cell>
          <cell r="AY263">
            <v>0.45449676173600001</v>
          </cell>
          <cell r="BD263">
            <v>0.67927007611099999</v>
          </cell>
          <cell r="BI263">
            <v>1.009845353602</v>
          </cell>
          <cell r="BN263">
            <v>1.3655890011430001</v>
          </cell>
          <cell r="BS263">
            <v>1.7582278889709999</v>
          </cell>
          <cell r="BX263">
            <v>2.0938591822760002</v>
          </cell>
        </row>
        <row r="264">
          <cell r="B264" t="str">
            <v>Common dividends paid</v>
          </cell>
          <cell r="C264" t="str">
            <v>COMMON_DIV_PAID</v>
          </cell>
          <cell r="D264" t="str">
            <v>CNY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-19.685089380000001</v>
          </cell>
          <cell r="T264">
            <v>-20.100000000000001</v>
          </cell>
          <cell r="U264">
            <v>-26.8</v>
          </cell>
          <cell r="Z264">
            <v>-32.1</v>
          </cell>
          <cell r="AE264">
            <v>-32.1</v>
          </cell>
          <cell r="AJ264">
            <v>-37.799999999999997</v>
          </cell>
          <cell r="AO264">
            <v>-70.3</v>
          </cell>
          <cell r="AT264">
            <v>-163.5</v>
          </cell>
          <cell r="AY264">
            <v>-187.19941741739501</v>
          </cell>
          <cell r="BD264">
            <v>-287.73552375336601</v>
          </cell>
          <cell r="BI264">
            <v>-427.76561480824103</v>
          </cell>
          <cell r="BN264">
            <v>-578.45690586771298</v>
          </cell>
          <cell r="BS264">
            <v>-744.77684252951701</v>
          </cell>
          <cell r="BX264">
            <v>-886.94863746584804</v>
          </cell>
        </row>
        <row r="265">
          <cell r="B265" t="str">
            <v>DPS, dividend per share</v>
          </cell>
          <cell r="C265" t="str">
            <v>DPS</v>
          </cell>
          <cell r="D265" t="str">
            <v>CNY</v>
          </cell>
          <cell r="Q265">
            <v>0</v>
          </cell>
          <cell r="R265">
            <v>0</v>
          </cell>
          <cell r="S265">
            <v>2.8461060627E-2</v>
          </cell>
          <cell r="T265">
            <v>2.1793404462E-2</v>
          </cell>
          <cell r="U265">
            <v>2.9057872615999999E-2</v>
          </cell>
          <cell r="Z265">
            <v>3.4804392199999999E-2</v>
          </cell>
          <cell r="AE265">
            <v>3.3292004056000003E-2</v>
          </cell>
          <cell r="AJ265">
            <v>3.9203668380000001E-2</v>
          </cell>
          <cell r="AO265">
            <v>5.8845347392000001E-2</v>
          </cell>
          <cell r="AT265">
            <v>0.13574312093300001</v>
          </cell>
          <cell r="AY265">
            <v>0.145836902873</v>
          </cell>
          <cell r="BD265">
            <v>0.22415912511700001</v>
          </cell>
          <cell r="BI265">
            <v>0.333248966689</v>
          </cell>
          <cell r="BN265">
            <v>0.450644370377</v>
          </cell>
          <cell r="BS265">
            <v>0.58021520335999999</v>
          </cell>
          <cell r="BX265">
            <v>0.69097353015100005</v>
          </cell>
        </row>
        <row r="266">
          <cell r="B266" t="str">
            <v>Weighted average shares outstanding, basic</v>
          </cell>
          <cell r="C266" t="str">
            <v>SH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628.77262496856099</v>
          </cell>
          <cell r="R266">
            <v>628.77262496856099</v>
          </cell>
          <cell r="S266">
            <v>691.64988749999998</v>
          </cell>
          <cell r="T266">
            <v>864.6355125</v>
          </cell>
          <cell r="U266">
            <v>922.29738750000001</v>
          </cell>
          <cell r="Z266">
            <v>922.29738750000001</v>
          </cell>
          <cell r="AE266">
            <v>953.72096068124995</v>
          </cell>
          <cell r="AJ266">
            <v>964.19548375178999</v>
          </cell>
          <cell r="AO266">
            <v>1137.0415422000001</v>
          </cell>
          <cell r="AT266">
            <v>1202.6641378874999</v>
          </cell>
          <cell r="AY266">
            <v>1248.129821</v>
          </cell>
          <cell r="BD266">
            <v>1283.621729</v>
          </cell>
          <cell r="BI266">
            <v>1283.621729</v>
          </cell>
          <cell r="BN266">
            <v>1283.621729</v>
          </cell>
          <cell r="BS266">
            <v>1283.621729</v>
          </cell>
          <cell r="BX266">
            <v>1283.621729</v>
          </cell>
        </row>
        <row r="267">
          <cell r="B267" t="str">
            <v>Diluted average shares outstanding (mn)</v>
          </cell>
          <cell r="C267" t="str">
            <v>DILUTE_SHARES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628.77262496856099</v>
          </cell>
          <cell r="R267">
            <v>628.77262496856099</v>
          </cell>
          <cell r="S267">
            <v>691.64988749999998</v>
          </cell>
          <cell r="T267">
            <v>922.29738750000001</v>
          </cell>
          <cell r="U267">
            <v>922.29738750000001</v>
          </cell>
          <cell r="Z267">
            <v>922.29738750000001</v>
          </cell>
          <cell r="AE267">
            <v>964.19548502679004</v>
          </cell>
          <cell r="AJ267">
            <v>964.19548375178999</v>
          </cell>
          <cell r="AO267">
            <v>1194.6568949402699</v>
          </cell>
          <cell r="AT267">
            <v>1204.480926</v>
          </cell>
          <cell r="AY267">
            <v>1248.129821</v>
          </cell>
          <cell r="BD267">
            <v>1283.621729</v>
          </cell>
          <cell r="BI267">
            <v>1283.621729</v>
          </cell>
          <cell r="BN267">
            <v>1283.621729</v>
          </cell>
          <cell r="BS267">
            <v>1283.621729</v>
          </cell>
          <cell r="BX267">
            <v>1283.621729</v>
          </cell>
        </row>
        <row r="268">
          <cell r="B268" t="str">
            <v>Period-end shares outstanding</v>
          </cell>
          <cell r="C268" t="str">
            <v>NON_OP_ADD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628.77262496856099</v>
          </cell>
          <cell r="R268">
            <v>628.77262496856099</v>
          </cell>
          <cell r="S268">
            <v>691.64988749999998</v>
          </cell>
          <cell r="T268">
            <v>922.29738750000001</v>
          </cell>
          <cell r="U268">
            <v>922.29738750000001</v>
          </cell>
          <cell r="Z268">
            <v>922.29738750000001</v>
          </cell>
          <cell r="AE268">
            <v>964.19548502679004</v>
          </cell>
          <cell r="AJ268">
            <v>964.19548375178999</v>
          </cell>
          <cell r="AO268">
            <v>1194.6568949402699</v>
          </cell>
          <cell r="AT268">
            <v>1204.480926</v>
          </cell>
          <cell r="AY268">
            <v>1283.621729</v>
          </cell>
          <cell r="BD268">
            <v>1283.621729</v>
          </cell>
          <cell r="BI268">
            <v>1283.621729</v>
          </cell>
          <cell r="BN268">
            <v>1283.621729</v>
          </cell>
          <cell r="BS268">
            <v>1283.621729</v>
          </cell>
          <cell r="BX268">
            <v>1283.621729</v>
          </cell>
        </row>
        <row r="269">
          <cell r="A269" t="str">
            <v>Additional Income Statement Items</v>
          </cell>
        </row>
        <row r="270">
          <cell r="B270" t="str">
            <v>Marginal tax rate</v>
          </cell>
          <cell r="C270" t="str">
            <v>MARGIN_TAX_RATE</v>
          </cell>
          <cell r="Q270">
            <v>0</v>
          </cell>
          <cell r="R270">
            <v>5.6126384686000001E-2</v>
          </cell>
          <cell r="S270">
            <v>3.2506583789000003E-2</v>
          </cell>
          <cell r="T270">
            <v>9.5732353339000001E-2</v>
          </cell>
          <cell r="U270">
            <v>8.4036141549000007E-2</v>
          </cell>
          <cell r="Z270">
            <v>9.7055620955999997E-2</v>
          </cell>
          <cell r="AE270">
            <v>7.7555868592000005E-2</v>
          </cell>
          <cell r="AJ270">
            <v>0.103378990911</v>
          </cell>
          <cell r="AO270">
            <v>0.131464581853</v>
          </cell>
          <cell r="AT270">
            <v>0.104352185056</v>
          </cell>
          <cell r="AY270">
            <v>0.10926171063200001</v>
          </cell>
          <cell r="BD270">
            <v>0.106397139719</v>
          </cell>
          <cell r="BI270">
            <v>0.108243216</v>
          </cell>
          <cell r="BN270">
            <v>0.15</v>
          </cell>
          <cell r="BS270">
            <v>0.15</v>
          </cell>
          <cell r="BX270">
            <v>0.15</v>
          </cell>
        </row>
        <row r="271">
          <cell r="B271" t="str">
            <v>Net income (consensus) (Pub)</v>
          </cell>
          <cell r="C271" t="str">
            <v>NI_CONS</v>
          </cell>
          <cell r="D271" t="str">
            <v>CNY</v>
          </cell>
        </row>
        <row r="272">
          <cell r="A272" t="str">
            <v>Balance Sheet</v>
          </cell>
        </row>
        <row r="273">
          <cell r="B273" t="str">
            <v>BVPS, book value per share</v>
          </cell>
          <cell r="C273" t="str">
            <v>BVPS</v>
          </cell>
          <cell r="D273" t="str">
            <v>CNY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0.145507471774</v>
          </cell>
          <cell r="R273">
            <v>0.20173569626400001</v>
          </cell>
          <cell r="S273">
            <v>0.244900165098</v>
          </cell>
          <cell r="T273">
            <v>0.57508354638699999</v>
          </cell>
          <cell r="U273">
            <v>0.63306740158100006</v>
          </cell>
          <cell r="Z273">
            <v>0.707869134274</v>
          </cell>
          <cell r="AE273">
            <v>1.220254080548</v>
          </cell>
          <cell r="AJ273">
            <v>1.394438457893</v>
          </cell>
          <cell r="AO273">
            <v>2.771136192702</v>
          </cell>
          <cell r="AT273">
            <v>3.0773651673670002</v>
          </cell>
          <cell r="AY273">
            <v>4.8228020533480001</v>
          </cell>
          <cell r="BD273">
            <v>5.2779130043429996</v>
          </cell>
          <cell r="BI273">
            <v>5.9545093912559999</v>
          </cell>
          <cell r="BN273">
            <v>6.8694540220220004</v>
          </cell>
          <cell r="BS273">
            <v>8.0474667076319992</v>
          </cell>
          <cell r="BX273">
            <v>9.4503523597569998</v>
          </cell>
        </row>
        <row r="274">
          <cell r="A274" t="str">
            <v>Cash Flow Statement</v>
          </cell>
        </row>
        <row r="275">
          <cell r="B275" t="str">
            <v>Net income (pre-preferred dividends)</v>
          </cell>
          <cell r="C275" t="str">
            <v>CF_NI_PRE_PREF</v>
          </cell>
          <cell r="D275" t="str">
            <v>CNY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9.9858428499999992</v>
          </cell>
          <cell r="R275">
            <v>35.148768310000001</v>
          </cell>
          <cell r="S275">
            <v>53.498288340000002</v>
          </cell>
          <cell r="T275">
            <v>69.872748860000002</v>
          </cell>
          <cell r="U275">
            <v>80.269858159999998</v>
          </cell>
          <cell r="Z275">
            <v>101.13924264000001</v>
          </cell>
          <cell r="AE275">
            <v>132.62890191</v>
          </cell>
          <cell r="AJ275">
            <v>182.40487587999999</v>
          </cell>
          <cell r="AO275">
            <v>278.98616730999998</v>
          </cell>
          <cell r="AT275">
            <v>379.42988654999999</v>
          </cell>
          <cell r="AY275">
            <v>567.27096187089398</v>
          </cell>
          <cell r="BD275">
            <v>871.92582955565501</v>
          </cell>
          <cell r="BI275">
            <v>1296.25943881285</v>
          </cell>
          <cell r="BN275">
            <v>1752.89971475065</v>
          </cell>
          <cell r="BS275">
            <v>2256.89952281672</v>
          </cell>
          <cell r="BX275">
            <v>2687.7231438358999</v>
          </cell>
        </row>
        <row r="276">
          <cell r="A276" t="str">
            <v>Other Items</v>
          </cell>
        </row>
        <row r="277">
          <cell r="B277" t="str">
            <v>Beta</v>
          </cell>
          <cell r="C277" t="str">
            <v>BETA_ANALYST</v>
          </cell>
        </row>
        <row r="278">
          <cell r="B278" t="str">
            <v>Market equity risk premium</v>
          </cell>
          <cell r="C278" t="str">
            <v>MKT_EQ_RISK_PREM</v>
          </cell>
        </row>
        <row r="279">
          <cell r="B279" t="str">
            <v>Risk-free rate</v>
          </cell>
          <cell r="C279" t="str">
            <v>RISK_FR_RATE</v>
          </cell>
        </row>
      </sheetData>
      <sheetData sheetId="16" refreshError="1">
        <row r="1">
          <cell r="A1" t="str">
            <v>ecb8634c-42cb-4d58-a463-a341a3517b5e</v>
          </cell>
        </row>
        <row r="2">
          <cell r="A2" t="str">
            <v>N:\DLu\CJin\Models\iFLYTek\WIP\[GS iFLYTEK model 20150925Industry update.xlsm]002230.SZ_Validation_Sheet</v>
          </cell>
        </row>
        <row r="3">
          <cell r="A3" t="str">
            <v>Enabled</v>
          </cell>
        </row>
        <row r="7">
          <cell r="A7" t="str">
            <v>Scalar|||208009916|||ISSR|||CURRENCY_ISO|||False|||</v>
          </cell>
          <cell r="C7" t="str">
            <v>V_KEYWORD_ISSR_208009916_CURRENCY_ISO</v>
          </cell>
        </row>
        <row r="9">
          <cell r="A9" t="str">
            <v>Vector|||208009916|||ISSR|||SALES|||False|||</v>
          </cell>
          <cell r="C9" t="str">
            <v>V_KEYWORD_ISSR_208009916_SALES</v>
          </cell>
        </row>
        <row r="10">
          <cell r="A10" t="str">
            <v>Vector|||208009916|||ISSR|||PERSONNEL|||False|||</v>
          </cell>
          <cell r="C10" t="str">
            <v>V_KEYWORD_ISSR_208009916_PERSONNEL</v>
          </cell>
        </row>
        <row r="11">
          <cell r="A11" t="str">
            <v>Vector|||208009916|||ISSR|||COST_GD_SD|||False|||</v>
          </cell>
          <cell r="C11" t="str">
            <v>V_KEYWORD_ISSR_208009916_COST_GD_SD</v>
          </cell>
        </row>
        <row r="12">
          <cell r="A12" t="str">
            <v>Vector|||208009916|||ISSR|||SEL_GL_AD|||False|||</v>
          </cell>
          <cell r="C12" t="str">
            <v>V_KEYWORD_ISSR_208009916_SEL_GL_AD</v>
          </cell>
        </row>
        <row r="13">
          <cell r="A13" t="str">
            <v>Vector|||208009916|||ISSR|||OP_COST|||False|||</v>
          </cell>
          <cell r="C13" t="str">
            <v>V_KEYWORD_ISSR_208009916_OP_COST</v>
          </cell>
        </row>
        <row r="14">
          <cell r="A14" t="str">
            <v>Vector|||208009916|||ISSR|||RD_EXP|||False|||</v>
          </cell>
          <cell r="C14" t="str">
            <v>V_KEYWORD_ISSR_208009916_RD_EXP</v>
          </cell>
        </row>
        <row r="15">
          <cell r="A15" t="str">
            <v>Vector|||208009916|||ISSR|||OTH_OP_INC_EXP|||False|||</v>
          </cell>
          <cell r="C15" t="str">
            <v>V_KEYWORD_ISSR_208009916_OTH_OP_INC_EXP</v>
          </cell>
        </row>
        <row r="16">
          <cell r="A16" t="str">
            <v>Vector|||208009916|||ISSR|||TOT_OPS_EXP_DDA|||False|||</v>
          </cell>
          <cell r="C16" t="str">
            <v>V_KEYWORD_ISSR_208009916_TOT_OPS_EXP_DDA</v>
          </cell>
        </row>
        <row r="17">
          <cell r="A17" t="str">
            <v>Vector|||208009916|||ISSR|||TOT_OPS_EXP|||False|||</v>
          </cell>
          <cell r="C17" t="str">
            <v>V_KEYWORD_ISSR_208009916_TOT_OPS_EXP</v>
          </cell>
        </row>
        <row r="18">
          <cell r="A18" t="str">
            <v>Vector|||208009916|||ISSR|||EBITDA_CALC|||False|||</v>
          </cell>
          <cell r="C18" t="str">
            <v>V_KEYWORD_ISSR_208009916_EBITDA_CALC</v>
          </cell>
        </row>
        <row r="19">
          <cell r="A19" t="str">
            <v>Vector|||208009916|||ISSR|||DEPREC|||False|||</v>
          </cell>
          <cell r="C19" t="str">
            <v>V_KEYWORD_ISSR_208009916_DEPREC</v>
          </cell>
        </row>
        <row r="20">
          <cell r="A20" t="str">
            <v>Vector|||208009916|||ISSR|||GOODWILL_AMORT|||False|||</v>
          </cell>
          <cell r="C20" t="str">
            <v>V_KEYWORD_ISSR_208009916_GOODWILL_AMORT</v>
          </cell>
        </row>
        <row r="21">
          <cell r="A21" t="str">
            <v>Vector|||208009916|||ISSR|||EBIT|||False|||</v>
          </cell>
          <cell r="C21" t="str">
            <v>V_KEYWORD_ISSR_208009916_EBIT</v>
          </cell>
        </row>
        <row r="22">
          <cell r="A22" t="str">
            <v>Vector|||208009916|||ISSR|||INT_INC_IND|||False|||</v>
          </cell>
          <cell r="C22" t="str">
            <v>V_KEYWORD_ISSR_208009916_INT_INC_IND</v>
          </cell>
        </row>
        <row r="23">
          <cell r="A23" t="str">
            <v>Vector|||208009916|||ISSR|||INT_EXP_IND|||False|||</v>
          </cell>
          <cell r="C23" t="str">
            <v>V_KEYWORD_ISSR_208009916_INT_EXP_IND</v>
          </cell>
        </row>
        <row r="24">
          <cell r="A24" t="str">
            <v>Vector|||208009916|||ISSR|||NET_INT_EXP|||False|||</v>
          </cell>
          <cell r="C24" t="str">
            <v>V_KEYWORD_ISSR_208009916_NET_INT_EXP</v>
          </cell>
        </row>
        <row r="25">
          <cell r="A25" t="str">
            <v>Vector|||208009916|||ISSR|||ASSOCIATE|||False|||</v>
          </cell>
          <cell r="C25" t="str">
            <v>V_KEYWORD_ISSR_208009916_ASSOCIATE</v>
          </cell>
        </row>
        <row r="26">
          <cell r="A26" t="str">
            <v>Vector|||208009916|||ISSR|||PROFIT_ON_DISP|||False|||</v>
          </cell>
          <cell r="C26" t="str">
            <v>V_KEYWORD_ISSR_208009916_PROFIT_ON_DISP</v>
          </cell>
        </row>
        <row r="27">
          <cell r="A27" t="str">
            <v>Vector|||208009916|||ISSR|||OTH_COST_INC|||False|||</v>
          </cell>
          <cell r="C27" t="str">
            <v>V_KEYWORD_ISSR_208009916_OTH_COST_INC</v>
          </cell>
        </row>
        <row r="28">
          <cell r="A28" t="str">
            <v>Vector|||208009916|||ISSR|||PT_PROF|||False|||</v>
          </cell>
          <cell r="C28" t="str">
            <v>V_KEYWORD_ISSR_208009916_PT_PROF</v>
          </cell>
        </row>
        <row r="30">
          <cell r="A30" t="str">
            <v>Vector|||208009916|||ISSR|||CONTRIB_MARGIN_RATIO|||False|||</v>
          </cell>
          <cell r="C30" t="str">
            <v>V_KEYWORD_ISSR_208009916_CONTRIB_MARGIN_RATIO</v>
          </cell>
        </row>
        <row r="31">
          <cell r="A31" t="str">
            <v>Vector|||208009916|||ISSR|||LEASE_PAY|||False|||</v>
          </cell>
          <cell r="C31" t="str">
            <v>V_KEYWORD_ISSR_208009916_LEASE_PAY</v>
          </cell>
        </row>
        <row r="32">
          <cell r="A32" t="str">
            <v>Vector|||208009916|||ISSR|||LEASE_DEEM_INT|||False|||</v>
          </cell>
          <cell r="C32" t="str">
            <v>V_KEYWORD_ISSR_208009916_LEASE_DEEM_INT</v>
          </cell>
        </row>
        <row r="33">
          <cell r="A33" t="str">
            <v>Vector|||208009916|||ISSR|||LEASE_DEEM_DEPR|||False|||</v>
          </cell>
          <cell r="C33" t="str">
            <v>V_KEYWORD_ISSR_208009916_LEASE_DEEM_DEPR</v>
          </cell>
        </row>
        <row r="34">
          <cell r="A34" t="str">
            <v>Vector|||208009916|||ISSR|||NET_INT_CH|||False|||</v>
          </cell>
          <cell r="C34" t="str">
            <v>V_KEYWORD_ISSR_208009916_NET_INT_CH</v>
          </cell>
        </row>
        <row r="35">
          <cell r="A35" t="str">
            <v>Vector|||208009916|||ISSR|||ASSOCIATE_OP|||False|||</v>
          </cell>
          <cell r="C35" t="str">
            <v>V_KEYWORD_ISSR_208009916_ASSOCIATE_OP</v>
          </cell>
        </row>
        <row r="37">
          <cell r="A37" t="str">
            <v>Vector|||208009916|||ISSR|||CASH_EQ|||False|||</v>
          </cell>
          <cell r="C37" t="str">
            <v>V_KEYWORD_ISSR_208009916_CASH_EQ</v>
          </cell>
        </row>
        <row r="38">
          <cell r="A38" t="str">
            <v>Vector|||208009916|||ISSR|||DEBTORS|||False|||</v>
          </cell>
          <cell r="C38" t="str">
            <v>V_KEYWORD_ISSR_208009916_DEBTORS</v>
          </cell>
        </row>
        <row r="39">
          <cell r="A39" t="str">
            <v>Vector|||208009916|||ISSR|||STOCKS|||False|||</v>
          </cell>
          <cell r="C39" t="str">
            <v>V_KEYWORD_ISSR_208009916_STOCKS</v>
          </cell>
        </row>
        <row r="40">
          <cell r="A40" t="str">
            <v>Vector|||208009916|||ISSR|||OTH_CUR_ASS|||False|||</v>
          </cell>
          <cell r="C40" t="str">
            <v>V_KEYWORD_ISSR_208009916_OTH_CUR_ASS</v>
          </cell>
        </row>
        <row r="41">
          <cell r="A41" t="str">
            <v>Vector|||208009916|||ISSR|||CUR_ASS|||False|||</v>
          </cell>
          <cell r="C41" t="str">
            <v>V_KEYWORD_ISSR_208009916_CUR_ASS</v>
          </cell>
        </row>
        <row r="42">
          <cell r="A42" t="str">
            <v>Vector|||208009916|||ISSR|||GR_FIX_ASS|||False|||</v>
          </cell>
          <cell r="C42" t="str">
            <v>V_KEYWORD_ISSR_208009916_GR_FIX_ASS</v>
          </cell>
        </row>
        <row r="43">
          <cell r="A43" t="str">
            <v>Vector|||208009916|||ISSR|||ACC_DDA|||False|||</v>
          </cell>
          <cell r="C43" t="str">
            <v>V_KEYWORD_ISSR_208009916_ACC_DDA</v>
          </cell>
        </row>
        <row r="44">
          <cell r="A44" t="str">
            <v>Vector|||208009916|||ISSR|||NET_FIX_ASS|||False|||</v>
          </cell>
          <cell r="C44" t="str">
            <v>V_KEYWORD_ISSR_208009916_NET_FIX_ASS</v>
          </cell>
        </row>
        <row r="45">
          <cell r="A45" t="str">
            <v>Vector|||208009916|||ISSR|||GR_INTANG|||False|||</v>
          </cell>
          <cell r="C45" t="str">
            <v>V_KEYWORD_ISSR_208009916_GR_INTANG</v>
          </cell>
        </row>
        <row r="46">
          <cell r="A46" t="str">
            <v>Vector|||208009916|||ISSR|||ACC_AMORT|||False|||</v>
          </cell>
          <cell r="C46" t="str">
            <v>V_KEYWORD_ISSR_208009916_ACC_AMORT</v>
          </cell>
        </row>
        <row r="47">
          <cell r="A47" t="str">
            <v>Vector|||208009916|||ISSR|||NET_INTANG|||False|||</v>
          </cell>
          <cell r="C47" t="str">
            <v>V_KEYWORD_ISSR_208009916_NET_INTANG</v>
          </cell>
        </row>
        <row r="48">
          <cell r="A48" t="str">
            <v>Vector|||208009916|||ISSR|||FIX_ASS_INV|||False|||</v>
          </cell>
          <cell r="C48" t="str">
            <v>V_KEYWORD_ISSR_208009916_FIX_ASS_INV</v>
          </cell>
        </row>
        <row r="49">
          <cell r="A49" t="str">
            <v>Vector|||208009916|||ISSR|||INV_SECUR|||False|||</v>
          </cell>
          <cell r="C49" t="str">
            <v>V_KEYWORD_ISSR_208009916_INV_SECUR</v>
          </cell>
        </row>
        <row r="50">
          <cell r="A50" t="str">
            <v>Vector|||208009916|||ISSR|||OTH_LT_ASS|||False|||</v>
          </cell>
          <cell r="C50" t="str">
            <v>V_KEYWORD_ISSR_208009916_OTH_LT_ASS</v>
          </cell>
        </row>
        <row r="51">
          <cell r="A51" t="str">
            <v>Vector|||208009916|||ISSR|||TOT_ASSET|||False|||</v>
          </cell>
          <cell r="C51" t="str">
            <v>V_KEYWORD_ISSR_208009916_TOT_ASSET</v>
          </cell>
        </row>
        <row r="52">
          <cell r="A52" t="str">
            <v>Vector|||208009916|||ISSR|||ACC_PAY_GQ|||False|||</v>
          </cell>
          <cell r="C52" t="str">
            <v>V_KEYWORD_ISSR_208009916_ACC_PAY_GQ</v>
          </cell>
        </row>
        <row r="53">
          <cell r="A53" t="str">
            <v>Vector|||208009916|||ISSR|||SHORT_T_DEBT|||False|||</v>
          </cell>
          <cell r="C53" t="str">
            <v>V_KEYWORD_ISSR_208009916_SHORT_T_DEBT</v>
          </cell>
        </row>
        <row r="54">
          <cell r="A54" t="str">
            <v>Vector|||208009916|||ISSR|||OTH_CUR_LIABS|||False|||</v>
          </cell>
          <cell r="C54" t="str">
            <v>V_KEYWORD_ISSR_208009916_OTH_CUR_LIABS</v>
          </cell>
        </row>
        <row r="55">
          <cell r="A55" t="str">
            <v>Vector|||208009916|||ISSR|||SHORT_TERM_LIABS|||False|||</v>
          </cell>
          <cell r="C55" t="str">
            <v>V_KEYWORD_ISSR_208009916_SHORT_TERM_LIABS</v>
          </cell>
        </row>
        <row r="56">
          <cell r="A56" t="str">
            <v>Vector|||208009916|||ISSR|||LT_DEBT|||False|||</v>
          </cell>
          <cell r="C56" t="str">
            <v>V_KEYWORD_ISSR_208009916_LT_DEBT</v>
          </cell>
        </row>
        <row r="57">
          <cell r="A57" t="str">
            <v>Vector|||208009916|||ISSR|||OTH_LT_CRED_GQ|||False|||</v>
          </cell>
          <cell r="C57" t="str">
            <v>V_KEYWORD_ISSR_208009916_OTH_LT_CRED_GQ</v>
          </cell>
        </row>
        <row r="58">
          <cell r="A58" t="str">
            <v>Vector|||208009916|||ISSR|||TOT_LT_LIAB|||False|||</v>
          </cell>
          <cell r="C58" t="str">
            <v>V_KEYWORD_ISSR_208009916_TOT_LT_LIAB</v>
          </cell>
        </row>
        <row r="59">
          <cell r="A59" t="str">
            <v>Vector|||208009916|||ISSR|||TOT_LIAB|||False|||</v>
          </cell>
          <cell r="C59" t="str">
            <v>V_KEYWORD_ISSR_208009916_TOT_LIAB</v>
          </cell>
        </row>
        <row r="60">
          <cell r="A60" t="str">
            <v>Vector|||208009916|||ISSR|||PREF_SH|||False|||</v>
          </cell>
          <cell r="C60" t="str">
            <v>V_KEYWORD_ISSR_208009916_PREF_SH</v>
          </cell>
        </row>
        <row r="61">
          <cell r="A61" t="str">
            <v>Vector|||208009916|||ISSR|||ORD_SH_FUND|||False|||</v>
          </cell>
          <cell r="C61" t="str">
            <v>V_KEYWORD_ISSR_208009916_ORD_SH_FUND</v>
          </cell>
        </row>
        <row r="62">
          <cell r="A62" t="str">
            <v>Vector|||208009916|||ISSR|||MINORITIES|||False|||</v>
          </cell>
          <cell r="C62" t="str">
            <v>V_KEYWORD_ISSR_208009916_MINORITIES</v>
          </cell>
        </row>
        <row r="63">
          <cell r="A63" t="str">
            <v>Vector|||208009916|||ISSR|||EQ|||False|||</v>
          </cell>
          <cell r="C63" t="str">
            <v>V_KEYWORD_ISSR_208009916_EQ</v>
          </cell>
        </row>
        <row r="64">
          <cell r="A64" t="str">
            <v>Vector|||208009916|||ISSR|||TOT_LIAB_EQ|||False|||</v>
          </cell>
          <cell r="C64" t="str">
            <v>V_KEYWORD_ISSR_208009916_TOT_LIAB_EQ</v>
          </cell>
        </row>
        <row r="66">
          <cell r="A66" t="str">
            <v>Vector|||208009916|||ISSR|||NET_DEBT|||False|||</v>
          </cell>
          <cell r="C66" t="str">
            <v>V_KEYWORD_ISSR_208009916_NET_DEBT</v>
          </cell>
        </row>
        <row r="67">
          <cell r="A67" t="str">
            <v>Vector|||208009916|||ISSR|||CAP_LEASES|||False|||</v>
          </cell>
          <cell r="C67" t="str">
            <v>V_KEYWORD_ISSR_208009916_CAP_LEASES</v>
          </cell>
        </row>
        <row r="68">
          <cell r="A68" t="str">
            <v>Vector|||208009916|||ISSR|||DEF_INC_TAX|||False|||</v>
          </cell>
          <cell r="C68" t="str">
            <v>V_KEYWORD_ISSR_208009916_DEF_INC_TAX</v>
          </cell>
        </row>
        <row r="69">
          <cell r="A69" t="str">
            <v>Vector|||208009916|||ISSR|||MV_ASSOCIATES|||False|||</v>
          </cell>
          <cell r="C69" t="str">
            <v>V_KEYWORD_ISSR_208009916_MV_ASSOCIATES</v>
          </cell>
        </row>
        <row r="70">
          <cell r="A70" t="str">
            <v>Vector|||208009916|||ISSR|||NET_DEBT_ADJ|||False|||</v>
          </cell>
          <cell r="C70" t="str">
            <v>V_KEYWORD_ISSR_208009916_NET_DEBT_ADJ</v>
          </cell>
        </row>
        <row r="71">
          <cell r="A71" t="str">
            <v>Vector|||208009916|||ISSR|||CO_BOR_MARGIN|||False|||</v>
          </cell>
          <cell r="C71" t="str">
            <v>V_KEYWORD_ISSR_208009916_CO_BOR_MARGIN</v>
          </cell>
        </row>
        <row r="72">
          <cell r="A72" t="str">
            <v>Vector|||208009916|||ISSR|||UNF_PENS|||False|||</v>
          </cell>
          <cell r="C72" t="str">
            <v>V_KEYWORD_ISSR_208009916_UNF_PENS</v>
          </cell>
        </row>
        <row r="73">
          <cell r="A73" t="str">
            <v>Vector|||208009916|||ISSR|||UNF_PENS_OFF|||False|||</v>
          </cell>
          <cell r="C73" t="str">
            <v>V_KEYWORD_ISSR_208009916_UNF_PENS_OFF</v>
          </cell>
        </row>
        <row r="74">
          <cell r="A74" t="str">
            <v>Vector|||208009916|||ISSR|||UNF_PENS_LIAB_OTH|||False|||</v>
          </cell>
          <cell r="C74" t="str">
            <v>V_KEYWORD_ISSR_208009916_UNF_PENS_LIAB_OTH</v>
          </cell>
        </row>
        <row r="75">
          <cell r="A75" t="str">
            <v>Vector|||208009916|||ISSR|||ADJ_UNF_PENS_GOOD|||False|||</v>
          </cell>
          <cell r="C75" t="str">
            <v>V_KEYWORD_ISSR_208009916_ADJ_UNF_PENS_GOOD</v>
          </cell>
        </row>
        <row r="76">
          <cell r="A76" t="str">
            <v>Vector|||208009916|||ISSR|||OTH_GCI_ADJ|||False|||</v>
          </cell>
          <cell r="C76" t="str">
            <v>V_KEYWORD_ISSR_208009916_OTH_GCI_ADJ</v>
          </cell>
        </row>
        <row r="77">
          <cell r="A77" t="str">
            <v>Vector|||208009916|||ISSR|||GCI_INFL|||False|||</v>
          </cell>
          <cell r="C77" t="str">
            <v>V_KEYWORD_ISSR_208009916_GCI_INFL</v>
          </cell>
        </row>
        <row r="78">
          <cell r="A78" t="str">
            <v>Vector|||208009916|||ISSR|||BAL_MINO_INT|||False|||</v>
          </cell>
          <cell r="C78" t="str">
            <v>V_KEYWORD_ISSR_208009916_BAL_MINO_INT</v>
          </cell>
        </row>
        <row r="80">
          <cell r="A80" t="str">
            <v>Vector|||208009916|||ISSR|||CF_INC_MINORITY|||False|||</v>
          </cell>
          <cell r="C80" t="str">
            <v>V_KEYWORD_ISSR_208009916_CF_INC_MINORITY</v>
          </cell>
        </row>
        <row r="81">
          <cell r="A81" t="str">
            <v>Vector|||208009916|||ISSR|||DEPR_AMORT|||False|||</v>
          </cell>
          <cell r="C81" t="str">
            <v>V_KEYWORD_ISSR_208009916_DEPR_AMORT</v>
          </cell>
        </row>
        <row r="82">
          <cell r="A82" t="str">
            <v>Vector|||208009916|||ISSR|||WORK_CAP|||False|||</v>
          </cell>
          <cell r="C82" t="str">
            <v>V_KEYWORD_ISSR_208009916_WORK_CAP</v>
          </cell>
        </row>
        <row r="83">
          <cell r="A83" t="str">
            <v>Vector|||208009916|||ISSR|||OTH_OP_CF|||False|||</v>
          </cell>
          <cell r="C83" t="str">
            <v>V_KEYWORD_ISSR_208009916_OTH_OP_CF</v>
          </cell>
        </row>
        <row r="84">
          <cell r="A84" t="str">
            <v>Vector|||208009916|||ISSR|||CF_OPS|||False|||</v>
          </cell>
          <cell r="C84" t="str">
            <v>V_KEYWORD_ISSR_208009916_CF_OPS</v>
          </cell>
        </row>
        <row r="85">
          <cell r="A85" t="str">
            <v>Vector|||208009916|||ISSR|||CAPEX|||False|||</v>
          </cell>
          <cell r="C85" t="str">
            <v>V_KEYWORD_ISSR_208009916_CAPEX</v>
          </cell>
        </row>
        <row r="86">
          <cell r="A86" t="str">
            <v>Vector|||208009916|||ISSR|||ACQ|||False|||</v>
          </cell>
          <cell r="C86" t="str">
            <v>V_KEYWORD_ISSR_208009916_ACQ</v>
          </cell>
        </row>
        <row r="87">
          <cell r="A87" t="str">
            <v>Vector|||208009916|||ISSR|||DIVEST|||False|||</v>
          </cell>
          <cell r="C87" t="str">
            <v>V_KEYWORD_ISSR_208009916_DIVEST</v>
          </cell>
        </row>
        <row r="88">
          <cell r="A88" t="str">
            <v>Vector|||208009916|||ISSR|||OTH_INV_CF|||False|||</v>
          </cell>
          <cell r="C88" t="str">
            <v>V_KEYWORD_ISSR_208009916_OTH_INV_CF</v>
          </cell>
        </row>
        <row r="89">
          <cell r="A89" t="str">
            <v>Vector|||208009916|||ISSR|||CF_INV|||False|||</v>
          </cell>
          <cell r="C89" t="str">
            <v>V_KEYWORD_ISSR_208009916_CF_INV</v>
          </cell>
        </row>
        <row r="90">
          <cell r="A90" t="str">
            <v>Vector|||208009916|||ISSR|||DIV_PAID|||False|||</v>
          </cell>
          <cell r="C90" t="str">
            <v>V_KEYWORD_ISSR_208009916_DIV_PAID</v>
          </cell>
        </row>
        <row r="91">
          <cell r="A91" t="str">
            <v>Vector|||208009916|||ISSR|||SH_REPUR|||False|||</v>
          </cell>
          <cell r="C91" t="str">
            <v>V_KEYWORD_ISSR_208009916_SH_REPUR</v>
          </cell>
        </row>
        <row r="92">
          <cell r="A92" t="str">
            <v>Vector|||208009916|||ISSR|||CHG_LT_DEBT|||False|||</v>
          </cell>
          <cell r="C92" t="str">
            <v>V_KEYWORD_ISSR_208009916_CHG_LT_DEBT</v>
          </cell>
        </row>
        <row r="93">
          <cell r="A93" t="str">
            <v>Vector|||208009916|||ISSR|||OTH_FIN_CF|||False|||</v>
          </cell>
          <cell r="C93" t="str">
            <v>V_KEYWORD_ISSR_208009916_OTH_FIN_CF</v>
          </cell>
        </row>
        <row r="94">
          <cell r="A94" t="str">
            <v>Vector|||208009916|||ISSR|||CF_FIN|||False|||</v>
          </cell>
          <cell r="C94" t="str">
            <v>V_KEYWORD_ISSR_208009916_CF_FIN</v>
          </cell>
        </row>
        <row r="95">
          <cell r="A95" t="str">
            <v>Vector|||208009916|||ISSR|||TOT_CF|||False|||</v>
          </cell>
          <cell r="C95" t="str">
            <v>V_KEYWORD_ISSR_208009916_TOT_CF</v>
          </cell>
        </row>
        <row r="97">
          <cell r="A97" t="str">
            <v>Vector|||208009916|||ISSR|||ASSOC_JV_ADDBK|||False|||</v>
          </cell>
          <cell r="C97" t="str">
            <v>V_KEYWORD_ISSR_208009916_ASSOC_JV_ADDBK</v>
          </cell>
        </row>
        <row r="98">
          <cell r="A98" t="str">
            <v>Vector|||208009916|||ISSR|||PL_SALE_ASSETS|||False|||</v>
          </cell>
          <cell r="C98" t="str">
            <v>V_KEYWORD_ISSR_208009916_PL_SALE_ASSETS</v>
          </cell>
        </row>
        <row r="99">
          <cell r="A99" t="str">
            <v>Vector|||208009916|||ISSR|||OTH_NONCASH_ADJ|||False|||</v>
          </cell>
          <cell r="C99" t="str">
            <v>V_KEYWORD_ISSR_208009916_OTH_NONCASH_ADJ</v>
          </cell>
        </row>
        <row r="100">
          <cell r="A100" t="str">
            <v>Vector|||208009916|||ISSR|||OTH_DACF_ADJ|||False|||</v>
          </cell>
          <cell r="C100" t="str">
            <v>V_KEYWORD_ISSR_208009916_OTH_DACF_ADJ</v>
          </cell>
        </row>
        <row r="101">
          <cell r="A101" t="str">
            <v>Vector|||208009916|||ISSR|||CASH_INT_EXP|||False|||</v>
          </cell>
          <cell r="C101" t="str">
            <v>V_KEYWORD_ISSR_208009916_CASH_INT_EXP</v>
          </cell>
        </row>
        <row r="102">
          <cell r="A102" t="str">
            <v>Vector|||208009916|||ISSR|||CASH_TAX_EXP|||False|||</v>
          </cell>
          <cell r="C102" t="str">
            <v>V_KEYWORD_ISSR_208009916_CASH_TAX_EXP</v>
          </cell>
        </row>
        <row r="103">
          <cell r="A103" t="str">
            <v>Vector|||208009916|||ISSR|||DIVDS_ASSOC_JV|||False|||</v>
          </cell>
          <cell r="C103" t="str">
            <v>V_KEYWORD_ISSR_208009916_DIVDS_ASSOC_JV</v>
          </cell>
        </row>
        <row r="104">
          <cell r="A104" t="str">
            <v>Vector|||208009916|||ISSR|||CAPEX_MAINTENANCE|||False|||</v>
          </cell>
          <cell r="C104" t="str">
            <v>V_KEYWORD_ISSR_208009916_CAPEX_MAINTENANCE</v>
          </cell>
        </row>
        <row r="105">
          <cell r="A105" t="str">
            <v>Vector|||208009916|||ISSR|||CAPEX_EXPANSION|||False|||</v>
          </cell>
          <cell r="C105" t="str">
            <v>V_KEYWORD_ISSR_208009916_CAPEX_EXPANSION</v>
          </cell>
        </row>
        <row r="106">
          <cell r="A106" t="str">
            <v>Vector|||208009916|||ISSR|||NONPPE_CAPEX|||False|||</v>
          </cell>
          <cell r="C106" t="str">
            <v>V_KEYWORD_ISSR_208009916_NONPPE_CAPEX</v>
          </cell>
        </row>
        <row r="107">
          <cell r="A107" t="str">
            <v>Vector|||208009916|||ISSR|||DIVDS_PD_MINORITIES|||False|||</v>
          </cell>
          <cell r="C107" t="str">
            <v>V_KEYWORD_ISSR_208009916_DIVDS_PD_MINORITIES</v>
          </cell>
        </row>
        <row r="109">
          <cell r="A109" t="str">
            <v>Vector|||208009916|||ISSR|||EMPLOYEES|||False|||</v>
          </cell>
          <cell r="C109" t="str">
            <v>V_KEYWORD_ISSR_208009916_EMPLOYEES</v>
          </cell>
        </row>
        <row r="111">
          <cell r="A111" t="str">
            <v>Vector|||208009916|||ISSR|||SALES_TOT_AM|||False|||</v>
          </cell>
          <cell r="C111" t="str">
            <v>V_KEYWORD_ISSR_208009916_SALES_TOT_AM</v>
          </cell>
        </row>
        <row r="112">
          <cell r="A112" t="str">
            <v>Vector|||208009916|||ISSR|||SALES_US|||False|||</v>
          </cell>
          <cell r="C112" t="str">
            <v>V_KEYWORD_ISSR_208009916_SALES_US</v>
          </cell>
        </row>
        <row r="114">
          <cell r="A114" t="str">
            <v>Vector|||208009916|||ISSR|||SALES_BRAZIL|||False|||</v>
          </cell>
          <cell r="C114" t="str">
            <v>V_KEYWORD_ISSR_208009916_SALES_BRAZIL</v>
          </cell>
        </row>
        <row r="115">
          <cell r="A115" t="str">
            <v>Vector|||208009916|||ISSR|||SALES_OTH_AM|||False|||</v>
          </cell>
          <cell r="C115" t="str">
            <v>V_KEYWORD_ISSR_208009916_SALES_OTH_AM</v>
          </cell>
        </row>
        <row r="116">
          <cell r="A116" t="str">
            <v>Vector|||208009916|||ISSR|||SALES_TOT_EMEA|||False|||</v>
          </cell>
          <cell r="C116" t="str">
            <v>V_KEYWORD_ISSR_208009916_SALES_TOT_EMEA</v>
          </cell>
        </row>
        <row r="117">
          <cell r="A117" t="str">
            <v>Vector|||208009916|||ISSR|||SALES_UK|||False|||</v>
          </cell>
          <cell r="C117" t="str">
            <v>V_KEYWORD_ISSR_208009916_SALES_UK</v>
          </cell>
        </row>
        <row r="118">
          <cell r="A118" t="str">
            <v>Vector|||208009916|||ISSR|||SALES_EU_EX_UK|||False|||</v>
          </cell>
          <cell r="C118" t="str">
            <v>V_KEYWORD_ISSR_208009916_SALES_EU_EX_UK</v>
          </cell>
        </row>
        <row r="135">
          <cell r="A135" t="str">
            <v>Vector|||208009916|||ISSR|||SALES_CEE|||False|||</v>
          </cell>
          <cell r="C135" t="str">
            <v>V_KEYWORD_ISSR_208009916_SALES_CEE</v>
          </cell>
        </row>
        <row r="136">
          <cell r="A136" t="str">
            <v>Vector|||208009916|||ISSR|||SALES_ME|||False|||</v>
          </cell>
          <cell r="C136" t="str">
            <v>V_KEYWORD_ISSR_208009916_SALES_ME</v>
          </cell>
        </row>
        <row r="137">
          <cell r="A137" t="str">
            <v>Vector|||208009916|||ISSR|||SALES_TOT_AFRICA|||False|||</v>
          </cell>
          <cell r="C137" t="str">
            <v>V_KEYWORD_ISSR_208009916_SALES_TOT_AFRICA</v>
          </cell>
        </row>
        <row r="138">
          <cell r="A138" t="str">
            <v>Vector|||208009916|||ISSR|||SALES_RUSSIA|||False|||</v>
          </cell>
          <cell r="C138" t="str">
            <v>V_KEYWORD_ISSR_208009916_SALES_RUSSIA</v>
          </cell>
        </row>
        <row r="139">
          <cell r="A139" t="str">
            <v>Vector|||208009916|||ISSR|||SALES_OTH_EMEA|||False|||</v>
          </cell>
          <cell r="C139" t="str">
            <v>V_KEYWORD_ISSR_208009916_SALES_OTH_EMEA</v>
          </cell>
        </row>
        <row r="140">
          <cell r="A140" t="str">
            <v>Vector|||208009916|||ISSR|||SALES_TOT_ASIA|||False|||</v>
          </cell>
          <cell r="C140" t="str">
            <v>V_KEYWORD_ISSR_208009916_SALES_TOT_ASIA</v>
          </cell>
        </row>
        <row r="141">
          <cell r="A141" t="str">
            <v>Vector|||208009916|||ISSR|||SALES_JAPAN|||False|||</v>
          </cell>
          <cell r="C141" t="str">
            <v>V_KEYWORD_ISSR_208009916_SALES_JAPAN</v>
          </cell>
        </row>
        <row r="142">
          <cell r="A142" t="str">
            <v>Vector|||208009916|||ISSR|||SALES_CHINA|||False|||</v>
          </cell>
          <cell r="C142" t="str">
            <v>V_KEYWORD_ISSR_208009916_SALES_CHINA</v>
          </cell>
        </row>
        <row r="143">
          <cell r="A143" t="str">
            <v>Vector|||208009916|||ISSR|||SALES_INDIA|||False|||</v>
          </cell>
          <cell r="C143" t="str">
            <v>V_KEYWORD_ISSR_208009916_SALES_INDIA</v>
          </cell>
        </row>
        <row r="144">
          <cell r="A144" t="str">
            <v>Vector|||208009916|||ISSR|||SALES_SK|||False|||</v>
          </cell>
          <cell r="C144" t="str">
            <v>V_KEYWORD_ISSR_208009916_SALES_SK</v>
          </cell>
        </row>
        <row r="145">
          <cell r="A145" t="str">
            <v>Vector|||208009916|||ISSR|||SALES_TAIWAN|||False|||</v>
          </cell>
          <cell r="C145" t="str">
            <v>V_KEYWORD_ISSR_208009916_SALES_TAIWAN</v>
          </cell>
        </row>
        <row r="148">
          <cell r="A148" t="str">
            <v>Vector|||208009916|||ISSR|||SALES_OTH_AEJ|||False|||</v>
          </cell>
          <cell r="C148" t="str">
            <v>V_KEYWORD_ISSR_208009916_SALES_OTH_AEJ</v>
          </cell>
        </row>
        <row r="149">
          <cell r="A149" t="str">
            <v>Vector|||208009916|||ISSR|||SALES_OTHER|||False|||</v>
          </cell>
          <cell r="C149" t="str">
            <v>V_KEYWORD_ISSR_208009916_SALES_OTHER</v>
          </cell>
        </row>
        <row r="187">
          <cell r="A187" t="str">
            <v>Vector|||208009916|||ISSR|||SALES_CONS|||False|||</v>
          </cell>
          <cell r="C187" t="str">
            <v>V_KEYWORD_ISSR_208009916_SALES_CONS</v>
          </cell>
        </row>
        <row r="188">
          <cell r="A188" t="str">
            <v>Vector|||208009916|||ISSR|||SALES_IND|||False|||</v>
          </cell>
          <cell r="C188" t="str">
            <v>V_KEYWORD_ISSR_208009916_SALES_IND</v>
          </cell>
        </row>
        <row r="189">
          <cell r="A189" t="str">
            <v>Vector|||208009916|||ISSR|||SALES_GOV|||False|||</v>
          </cell>
          <cell r="C189" t="str">
            <v>V_KEYWORD_ISSR_208009916_SALES_GOV</v>
          </cell>
        </row>
        <row r="190">
          <cell r="A190" t="str">
            <v>Vector|||208009916|||ISSR|||SALES_FINAN|||False|||</v>
          </cell>
          <cell r="C190" t="str">
            <v>V_KEYWORD_ISSR_208009916_SALES_FINAN</v>
          </cell>
        </row>
        <row r="195">
          <cell r="A195" t="str">
            <v>Vector|||208009916|||ISSR|||SALES_FX_GPB|||False|||</v>
          </cell>
          <cell r="C195" t="str">
            <v>V_KEYWORD_ISSR_208009916_SALES_FX_GPB</v>
          </cell>
        </row>
        <row r="196">
          <cell r="A196" t="str">
            <v>Vector|||208009916|||ISSR|||SALES_FX_EUR|||False|||</v>
          </cell>
          <cell r="C196" t="str">
            <v>V_KEYWORD_ISSR_208009916_SALES_FX_EUR</v>
          </cell>
        </row>
        <row r="197">
          <cell r="A197" t="str">
            <v>Vector|||208009916|||ISSR|||SALES_FX_RUB|||False|||</v>
          </cell>
          <cell r="C197" t="str">
            <v>V_KEYWORD_ISSR_208009916_SALES_FX_RUB</v>
          </cell>
        </row>
        <row r="198">
          <cell r="A198" t="str">
            <v>Vector|||208009916|||ISSR|||SALES_FX_USD|||False|||</v>
          </cell>
          <cell r="C198" t="str">
            <v>V_KEYWORD_ISSR_208009916_SALES_FX_USD</v>
          </cell>
        </row>
        <row r="199">
          <cell r="A199" t="str">
            <v>Vector|||208009916|||ISSR|||SALES_FX_BRL|||False|||</v>
          </cell>
          <cell r="C199" t="str">
            <v>V_KEYWORD_ISSR_208009916_SALES_FX_BRL</v>
          </cell>
        </row>
        <row r="200">
          <cell r="A200" t="str">
            <v>Vector|||208009916|||ISSR|||SALES_FX_YEN|||False|||</v>
          </cell>
          <cell r="C200" t="str">
            <v>V_KEYWORD_ISSR_208009916_SALES_FX_YEN</v>
          </cell>
        </row>
        <row r="201">
          <cell r="A201" t="str">
            <v>Vector|||208009916|||ISSR|||SALES_FX_CNY|||False|||</v>
          </cell>
          <cell r="C201" t="str">
            <v>V_KEYWORD_ISSR_208009916_SALES_FX_CNY</v>
          </cell>
        </row>
        <row r="202">
          <cell r="A202" t="str">
            <v>Vector|||208009916|||ISSR|||SALES_FX_INR|||False|||</v>
          </cell>
          <cell r="C202" t="str">
            <v>V_KEYWORD_ISSR_208009916_SALES_FX_INR</v>
          </cell>
        </row>
        <row r="203">
          <cell r="A203" t="str">
            <v>Vector|||208009916|||ISSR|||SALES_FX_KRW|||False|||</v>
          </cell>
          <cell r="C203" t="str">
            <v>V_KEYWORD_ISSR_208009916_SALES_FX_KRW</v>
          </cell>
        </row>
        <row r="204">
          <cell r="A204" t="str">
            <v>Vector|||208009916|||ISSR|||SALES_FX_TWD|||False|||</v>
          </cell>
          <cell r="C204" t="str">
            <v>V_KEYWORD_ISSR_208009916_SALES_FX_TWD</v>
          </cell>
        </row>
        <row r="205">
          <cell r="A205" t="str">
            <v>Vector|||208009916|||ISSR|||SALES_FX_OTH|||False|||</v>
          </cell>
          <cell r="C205" t="str">
            <v>V_KEYWORD_ISSR_208009916_SALES_FX_OTH</v>
          </cell>
        </row>
        <row r="211">
          <cell r="A211" t="str">
            <v>Scalar|||200012913|||EQTY|||PUB_CURRENCY_ISO|||False|||</v>
          </cell>
          <cell r="C211" t="str">
            <v>V_KEYWORD_EQTY_200012913_PUB_CURRENCY_ISO</v>
          </cell>
        </row>
        <row r="212">
          <cell r="A212" t="str">
            <v>Scalar|||200012913|||EQTY|||PRICE_CURRENCY_ISO|||False|||</v>
          </cell>
          <cell r="C212" t="str">
            <v>V_KEYWORD_EQTY_200012913_PRICE_CURRENCY_ISO</v>
          </cell>
        </row>
        <row r="213">
          <cell r="A213" t="str">
            <v>Scalar|||200012913|||EQTY|||CURRENCY_ISO|||False|||</v>
          </cell>
          <cell r="C213" t="str">
            <v>V_KEYWORD_EQTY_200012913_CURRENCY_ISO</v>
          </cell>
        </row>
        <row r="215">
          <cell r="A215" t="str">
            <v>Scalar|||200012913|||EQTY|||AEJ_LIST|||False|||</v>
          </cell>
          <cell r="C215" t="str">
            <v>V_KEYWORD_EQTY_200012913_AEJ_LIST</v>
          </cell>
        </row>
        <row r="216">
          <cell r="A216" t="str">
            <v>Scalar|||200012913|||EQTY|||AEJ_CONVICTION|||False|||</v>
          </cell>
          <cell r="C216" t="str">
            <v>V_KEYWORD_EQTY_200012913_AEJ_CONVICTION</v>
          </cell>
        </row>
        <row r="217">
          <cell r="A217" t="str">
            <v>Scalar|||200012913|||EQTY|||LEGAL_RATING|||False|||</v>
          </cell>
          <cell r="C217" t="str">
            <v>V_KEYWORD_EQTY_200012913_LEGAL_RATING</v>
          </cell>
        </row>
        <row r="218">
          <cell r="A218" t="str">
            <v>Scalar|||200012913|||EQTY|||TARGET_PRICE|||False|||</v>
          </cell>
          <cell r="C218" t="str">
            <v>V_KEYWORD_EQTY_200012913_TARGET_PRICE</v>
          </cell>
        </row>
        <row r="219">
          <cell r="A219" t="str">
            <v>Scalar|||200012913|||EQTY|||TP_PERIOD|||False|||</v>
          </cell>
          <cell r="C219" t="str">
            <v>V_KEYWORD_EQTY_200012913_TP_PERIOD</v>
          </cell>
        </row>
        <row r="220">
          <cell r="A220" t="str">
            <v>Scalar|||200012913|||EQTY|||NUM_SH|||False|||</v>
          </cell>
          <cell r="C220" t="str">
            <v>V_KEYWORD_EQTY_200012913_NUM_SH</v>
          </cell>
        </row>
        <row r="221">
          <cell r="A221" t="str">
            <v>Scalar|||200012913|||EQTY|||FREE_FLOAT|||False|||</v>
          </cell>
          <cell r="C221" t="str">
            <v>V_KEYWORD_EQTY_200012913_FREE_FLOAT</v>
          </cell>
        </row>
        <row r="222">
          <cell r="A222" t="str">
            <v>Scalar|||200012913|||EQTY|||FOREIGN_HOLDNG|||False|||</v>
          </cell>
          <cell r="C222" t="str">
            <v>V_KEYWORD_EQTY_200012913_FOREIGN_HOLDNG</v>
          </cell>
        </row>
        <row r="223">
          <cell r="A223" t="str">
            <v>BreakdownScalar|||200012913|||EQTY|||ACT|||False|||1</v>
          </cell>
          <cell r="C223" t="str">
            <v>V_KEYWORD_EQTY_200012913_ACT1</v>
          </cell>
        </row>
        <row r="224">
          <cell r="A224" t="str">
            <v>BreakdownScalar|||200012913|||EQTY|||ACT|||False|||2</v>
          </cell>
          <cell r="C224" t="str">
            <v>V_KEYWORD_EQTY_200012913_ACT2</v>
          </cell>
        </row>
        <row r="225">
          <cell r="A225" t="str">
            <v>BreakdownScalar|||200012913|||EQTY|||ACT|||False|||3</v>
          </cell>
          <cell r="C225" t="str">
            <v>V_KEYWORD_EQTY_200012913_ACT3</v>
          </cell>
        </row>
        <row r="226">
          <cell r="A226" t="str">
            <v>Scalar|||200012913|||EQTY|||CATALYST1_DATE|||True|||</v>
          </cell>
          <cell r="C226" t="str">
            <v>V_KEYWORD_EQTY_200012913_CATALYST1_DATE</v>
          </cell>
        </row>
        <row r="227">
          <cell r="A227" t="str">
            <v>Scalar|||200012913|||EQTY|||CATALYST1_EVENT|||False|||</v>
          </cell>
          <cell r="C227" t="str">
            <v>V_KEYWORD_EQTY_200012913_CATALYST1_EVENT</v>
          </cell>
        </row>
        <row r="228">
          <cell r="A228" t="str">
            <v>Scalar|||200012913|||EQTY|||CATALYST2_DATE|||True|||</v>
          </cell>
          <cell r="C228" t="str">
            <v>V_KEYWORD_EQTY_200012913_CATALYST2_DATE</v>
          </cell>
        </row>
        <row r="229">
          <cell r="A229" t="str">
            <v>Scalar|||200012913|||EQTY|||CATALYST2_EVENT|||False|||</v>
          </cell>
          <cell r="C229" t="str">
            <v>V_KEYWORD_EQTY_200012913_CATALYST2_EVENT</v>
          </cell>
        </row>
        <row r="230">
          <cell r="A230" t="str">
            <v>Scalar|||200012913|||EQTY|||CATALYST3_DATE|||True|||</v>
          </cell>
          <cell r="C230" t="str">
            <v>V_KEYWORD_EQTY_200012913_CATALYST3_DATE</v>
          </cell>
        </row>
        <row r="231">
          <cell r="A231" t="str">
            <v>Scalar|||200012913|||EQTY|||CATALYST3_EVENT|||False|||</v>
          </cell>
          <cell r="C231" t="str">
            <v>V_KEYWORD_EQTY_200012913_CATALYST3_EVENT</v>
          </cell>
        </row>
        <row r="232">
          <cell r="A232" t="str">
            <v>Scalar|||200012913|||EQTY|||CATALYST4_DATE|||True|||</v>
          </cell>
          <cell r="C232" t="str">
            <v>V_KEYWORD_EQTY_200012913_CATALYST4_DATE</v>
          </cell>
        </row>
        <row r="233">
          <cell r="A233" t="str">
            <v>Scalar|||200012913|||EQTY|||CATALYST4_EVENT|||False|||</v>
          </cell>
          <cell r="C233" t="str">
            <v>V_KEYWORD_EQTY_200012913_CATALYST4_EVENT</v>
          </cell>
        </row>
        <row r="234">
          <cell r="A234" t="str">
            <v>Scalar|||200012913|||EQTY|||CATALYST5_DATE|||True|||</v>
          </cell>
          <cell r="C234" t="str">
            <v>V_KEYWORD_EQTY_200012913_CATALYST5_DATE</v>
          </cell>
        </row>
        <row r="235">
          <cell r="A235" t="str">
            <v>Scalar|||200012913|||EQTY|||CATALYST5_EVENT|||False|||</v>
          </cell>
          <cell r="C235" t="str">
            <v>V_KEYWORD_EQTY_200012913_CATALYST5_EVENT</v>
          </cell>
        </row>
        <row r="236">
          <cell r="A236" t="str">
            <v>Scalar|||200012913|||EQTY|||PRI_TARG_MULT|||False|||</v>
          </cell>
          <cell r="C236" t="str">
            <v>V_KEYWORD_EQTY_200012913_PRI_TARG_MULT</v>
          </cell>
        </row>
        <row r="237">
          <cell r="A237" t="str">
            <v>Scalar|||200012913|||EQTY|||PRI_TARG_METH|||False|||</v>
          </cell>
          <cell r="C237" t="str">
            <v>V_KEYWORD_EQTY_200012913_PRI_TARG_METH</v>
          </cell>
        </row>
        <row r="239">
          <cell r="A239" t="str">
            <v>Vector|||200012913|||EQTY|||BVPS_PUB|||False|||</v>
          </cell>
          <cell r="C239" t="str">
            <v>V_KEYWORD_EQTY_200012913_BVPS_PUB</v>
          </cell>
        </row>
        <row r="240">
          <cell r="A240" t="str">
            <v>Vector|||200012913|||EQTY|||DPS_PUB|||False|||</v>
          </cell>
          <cell r="C240" t="str">
            <v>V_KEYWORD_EQTY_200012913_DPS_PUB</v>
          </cell>
        </row>
        <row r="241">
          <cell r="A241" t="str">
            <v>Vector|||200012913|||EQTY|||DPS_SPECIAL_PUB|||False|||</v>
          </cell>
          <cell r="C241" t="str">
            <v>V_KEYWORD_EQTY_200012913_DPS_SPECIAL_PUB</v>
          </cell>
        </row>
        <row r="242">
          <cell r="A242" t="str">
            <v>Vector|||200012913|||EQTY|||EBITDA_PUB|||False|||</v>
          </cell>
          <cell r="C242" t="str">
            <v>V_KEYWORD_EQTY_200012913_EBITDA_PUB</v>
          </cell>
        </row>
        <row r="243">
          <cell r="A243" t="str">
            <v>Vector|||200012913|||EQTY|||EPS_PUB|||False|||</v>
          </cell>
          <cell r="C243" t="str">
            <v>V_KEYWORD_EQTY_200012913_EPS_PUB</v>
          </cell>
        </row>
        <row r="244">
          <cell r="A244" t="str">
            <v>Vector|||200012913|||EQTY|||EV_ADJ_PUB|||False|||</v>
          </cell>
          <cell r="C244" t="str">
            <v>V_KEYWORD_EQTY_200012913_EV_ADJ_PUB</v>
          </cell>
        </row>
        <row r="245">
          <cell r="A245" t="str">
            <v>Vector|||200012913|||EQTY|||NET_DEBT_PUB|||False|||</v>
          </cell>
          <cell r="C245" t="str">
            <v>V_KEYWORD_EQTY_200012913_NET_DEBT_PUB</v>
          </cell>
        </row>
        <row r="246">
          <cell r="A246" t="str">
            <v>Vector|||200012913|||EQTY|||NI_PUB|||False|||</v>
          </cell>
          <cell r="C246" t="str">
            <v>V_KEYWORD_EQTY_200012913_NI_PUB</v>
          </cell>
        </row>
        <row r="247">
          <cell r="A247" t="str">
            <v>Vector|||200012913|||EQTY|||EBIT_PUB|||False|||</v>
          </cell>
          <cell r="C247" t="str">
            <v>V_KEYWORD_EQTY_200012913_EBIT_PUB</v>
          </cell>
        </row>
        <row r="248">
          <cell r="A248" t="str">
            <v>Vector|||200012913|||EQTY|||PTP_PUB|||False|||</v>
          </cell>
          <cell r="C248" t="str">
            <v>V_KEYWORD_EQTY_200012913_PTP_PUB</v>
          </cell>
        </row>
        <row r="249">
          <cell r="A249" t="str">
            <v>Vector|||200012913|||EQTY|||REVS_PUB|||False|||</v>
          </cell>
          <cell r="C249" t="str">
            <v>V_KEYWORD_EQTY_200012913_REVS_PUB</v>
          </cell>
        </row>
        <row r="250">
          <cell r="A250" t="str">
            <v>Vector|||200012913|||EQTY|||EQ_PUB|||False|||</v>
          </cell>
          <cell r="C250" t="str">
            <v>V_KEYWORD_EQTY_200012913_EQ_PUB</v>
          </cell>
        </row>
        <row r="251">
          <cell r="A251" t="str">
            <v>Vector|||200012913|||EQTY|||EPS_CONS_PUB|||False|||</v>
          </cell>
          <cell r="C251" t="str">
            <v>V_KEYWORD_EQTY_200012913_EPS_CONS_PUB</v>
          </cell>
        </row>
        <row r="253">
          <cell r="A253" t="str">
            <v>Vector|||200012913|||EQTY|||PROV_INC_TAX|||False|||</v>
          </cell>
          <cell r="C253" t="str">
            <v>V_KEYWORD_EQTY_200012913_PROV_INC_TAX</v>
          </cell>
        </row>
        <row r="254">
          <cell r="A254" t="str">
            <v>Vector|||200012913|||EQTY|||INC_MINORITY|||False|||</v>
          </cell>
          <cell r="C254" t="str">
            <v>V_KEYWORD_EQTY_200012913_INC_MINORITY</v>
          </cell>
        </row>
        <row r="255">
          <cell r="A255" t="str">
            <v>Vector|||200012913|||EQTY|||NI_PRE_PREF|||False|||</v>
          </cell>
          <cell r="C255" t="str">
            <v>V_KEYWORD_EQTY_200012913_NI_PRE_PREF</v>
          </cell>
        </row>
        <row r="256">
          <cell r="A256" t="str">
            <v>Vector|||200012913|||EQTY|||PREF_DIV|||False|||</v>
          </cell>
          <cell r="C256" t="str">
            <v>V_KEYWORD_EQTY_200012913_PREF_DIV</v>
          </cell>
        </row>
        <row r="257">
          <cell r="A257" t="str">
            <v>Vector|||200012913|||EQTY|||NET_EARNING|||False|||</v>
          </cell>
          <cell r="C257" t="str">
            <v>V_KEYWORD_EQTY_200012913_NET_EARNING</v>
          </cell>
        </row>
        <row r="258">
          <cell r="A258" t="str">
            <v>Vector|||200012913|||EQTY|||TAX_EXC|||False|||</v>
          </cell>
          <cell r="C258" t="str">
            <v>V_KEYWORD_EQTY_200012913_TAX_EXC</v>
          </cell>
        </row>
        <row r="259">
          <cell r="A259" t="str">
            <v>Vector|||200012913|||EQTY|||NET_INC|||False|||</v>
          </cell>
          <cell r="C259" t="str">
            <v>V_KEYWORD_EQTY_200012913_NET_INC</v>
          </cell>
        </row>
        <row r="260">
          <cell r="A260" t="str">
            <v>Vector|||200012913|||EQTY|||EPS|||False|||</v>
          </cell>
          <cell r="C260" t="str">
            <v>V_KEYWORD_EQTY_200012913_EPS</v>
          </cell>
        </row>
        <row r="261">
          <cell r="A261" t="str">
            <v>Vector|||200012913|||EQTY|||EPS_FUL_DIL|||False|||</v>
          </cell>
          <cell r="C261" t="str">
            <v>V_KEYWORD_EQTY_200012913_EPS_FUL_DIL</v>
          </cell>
        </row>
        <row r="262">
          <cell r="A262" t="str">
            <v>Vector|||200012913|||EQTY|||EPS_POST_BASIC|||False|||</v>
          </cell>
          <cell r="C262" t="str">
            <v>V_KEYWORD_EQTY_200012913_EPS_POST_BASIC</v>
          </cell>
        </row>
        <row r="263">
          <cell r="A263" t="str">
            <v>Vector|||200012913|||EQTY|||FULLY_DIL_EPS|||False|||</v>
          </cell>
          <cell r="C263" t="str">
            <v>V_KEYWORD_EQTY_200012913_FULLY_DIL_EPS</v>
          </cell>
        </row>
        <row r="264">
          <cell r="A264" t="str">
            <v>Vector|||200012913|||EQTY|||COMMON_DIV_PAID|||False|||</v>
          </cell>
          <cell r="C264" t="str">
            <v>V_KEYWORD_EQTY_200012913_COMMON_DIV_PAID</v>
          </cell>
        </row>
        <row r="265">
          <cell r="A265" t="str">
            <v>Vector|||200012913|||EQTY|||DPS|||False|||</v>
          </cell>
          <cell r="C265" t="str">
            <v>V_KEYWORD_EQTY_200012913_DPS</v>
          </cell>
        </row>
        <row r="266">
          <cell r="A266" t="str">
            <v>Vector|||200012913|||EQTY|||SH|||False|||</v>
          </cell>
          <cell r="C266" t="str">
            <v>V_KEYWORD_EQTY_200012913_SH</v>
          </cell>
        </row>
        <row r="267">
          <cell r="A267" t="str">
            <v>Vector|||200012913|||EQTY|||DILUTE_SHARES|||False|||</v>
          </cell>
          <cell r="C267" t="str">
            <v>V_KEYWORD_EQTY_200012913_DILUTE_SHARES</v>
          </cell>
        </row>
        <row r="268">
          <cell r="A268" t="str">
            <v>Vector|||200012913|||EQTY|||NON_OP_ADD|||False|||</v>
          </cell>
          <cell r="C268" t="str">
            <v>V_KEYWORD_EQTY_200012913_NON_OP_ADD</v>
          </cell>
        </row>
        <row r="270">
          <cell r="A270" t="str">
            <v>Vector|||200012913|||EQTY|||MARGIN_TAX_RATE|||False|||</v>
          </cell>
          <cell r="C270" t="str">
            <v>V_KEYWORD_EQTY_200012913_MARGIN_TAX_RATE</v>
          </cell>
        </row>
        <row r="271">
          <cell r="A271" t="str">
            <v>Vector|||200012913|||EQTY|||NI_CONS|||False|||</v>
          </cell>
          <cell r="C271" t="str">
            <v>V_KEYWORD_EQTY_200012913_NI_CONS</v>
          </cell>
        </row>
        <row r="273">
          <cell r="A273" t="str">
            <v>Vector|||200012913|||EQTY|||BVPS|||False|||</v>
          </cell>
          <cell r="C273" t="str">
            <v>V_KEYWORD_EQTY_200012913_BVPS</v>
          </cell>
        </row>
        <row r="275">
          <cell r="A275" t="str">
            <v>Vector|||200012913|||EQTY|||CF_NI_PRE_PREF|||False|||</v>
          </cell>
          <cell r="C275" t="str">
            <v>V_KEYWORD_EQTY_200012913_CF_NI_PRE_PREF</v>
          </cell>
        </row>
        <row r="277">
          <cell r="A277" t="str">
            <v>Scalar|||200012913|||EQTY|||BETA_ANALYST|||False|||</v>
          </cell>
          <cell r="C277" t="str">
            <v>V_KEYWORD_EQTY_200012913_BETA_ANALYST</v>
          </cell>
        </row>
        <row r="278">
          <cell r="A278" t="str">
            <v>Scalar|||200012913|||EQTY|||MKT_EQ_RISK_PREM|||False|||</v>
          </cell>
          <cell r="C278" t="str">
            <v>V_KEYWORD_EQTY_200012913_MKT_EQ_RISK_PREM</v>
          </cell>
        </row>
        <row r="279">
          <cell r="A279" t="str">
            <v>Scalar|||200012913|||EQTY|||RISK_FR_RATE|||False|||</v>
          </cell>
          <cell r="C279" t="str">
            <v>V_KEYWORD_EQTY_200012913_RISK_FR_RATE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Valuation"/>
      <sheetName val="AFOSHEET"/>
      <sheetName val="Act Vs Est"/>
      <sheetName val="Model"/>
      <sheetName val="Revenue"/>
      <sheetName val="Basic Data"/>
      <sheetName val="Raw Data"/>
      <sheetName val="Industry Data"/>
      <sheetName val="Company Data"/>
      <sheetName val="Ratios"/>
      <sheetName val="Market Data"/>
      <sheetName val="002261.SZ_Live_Sheet"/>
      <sheetName val="002261.SZ_Validation_Sheet"/>
      <sheetName val="002261.SZ_Annotation_Sheet"/>
      <sheetName val="002261.SZ_Exchange_Sheet"/>
      <sheetName val="Sheet2"/>
      <sheetName val="Sheet1"/>
      <sheetName val="Exhibit"/>
      <sheetName val="First tak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">
          <cell r="A1" t="str">
            <v>Issuer: Hunan Talkweb Information System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 t="str">
            <v>2010 Q1</v>
          </cell>
          <cell r="W1" t="str">
            <v>2010 Q2</v>
          </cell>
          <cell r="X1" t="str">
            <v>2010 Q3</v>
          </cell>
          <cell r="Y1" t="str">
            <v>2010 Q4</v>
          </cell>
          <cell r="Z1">
            <v>2010</v>
          </cell>
          <cell r="AA1" t="str">
            <v>2011 Q1</v>
          </cell>
          <cell r="AB1" t="str">
            <v>2011 Q2</v>
          </cell>
          <cell r="AC1" t="str">
            <v>2011 Q3</v>
          </cell>
          <cell r="AD1" t="str">
            <v>2011 Q4</v>
          </cell>
          <cell r="AE1">
            <v>2011</v>
          </cell>
          <cell r="AF1" t="str">
            <v>2012 Q1</v>
          </cell>
          <cell r="AG1" t="str">
            <v>2012 Q2</v>
          </cell>
          <cell r="AH1" t="str">
            <v>2012 Q3</v>
          </cell>
          <cell r="AI1" t="str">
            <v>2012 Q4</v>
          </cell>
          <cell r="AJ1">
            <v>2012</v>
          </cell>
          <cell r="AK1" t="str">
            <v>2013 Q1</v>
          </cell>
          <cell r="AL1" t="str">
            <v>2013 Q2</v>
          </cell>
          <cell r="AM1" t="str">
            <v>2013 Q3</v>
          </cell>
          <cell r="AN1" t="str">
            <v>2013 Q4</v>
          </cell>
          <cell r="AO1">
            <v>2013</v>
          </cell>
          <cell r="AP1">
            <v>2014</v>
          </cell>
          <cell r="AQ1">
            <v>2015</v>
          </cell>
          <cell r="AR1">
            <v>2016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Estimate</v>
          </cell>
          <cell r="AM2" t="str">
            <v>Estimate</v>
          </cell>
          <cell r="AN2" t="str">
            <v>Estimate</v>
          </cell>
          <cell r="AO2" t="str">
            <v>Estimate</v>
          </cell>
          <cell r="AP2" t="str">
            <v>Estimate</v>
          </cell>
          <cell r="AQ2" t="str">
            <v>Estimate</v>
          </cell>
          <cell r="AR2" t="str">
            <v>Estimate</v>
          </cell>
        </row>
        <row r="3"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42004</v>
          </cell>
          <cell r="AQ3">
            <v>42369</v>
          </cell>
          <cell r="AR3">
            <v>42735</v>
          </cell>
        </row>
        <row r="4">
          <cell r="A4" t="str">
            <v>Issuer: Hunan Talkweb Information System</v>
          </cell>
          <cell r="B4" t="str">
            <v>133XD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Hunan Talkweb Information System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136.89141136999999</v>
          </cell>
          <cell r="R9">
            <v>163.43650439000001</v>
          </cell>
          <cell r="S9">
            <v>233.46612117000001</v>
          </cell>
          <cell r="T9">
            <v>262.57942185000002</v>
          </cell>
          <cell r="U9">
            <v>308.68794537000002</v>
          </cell>
          <cell r="V9">
            <v>65.452351750000005</v>
          </cell>
          <cell r="W9">
            <v>80.172664510000004</v>
          </cell>
          <cell r="X9">
            <v>107.36273226</v>
          </cell>
          <cell r="Y9">
            <v>104.33093312</v>
          </cell>
          <cell r="Z9">
            <v>357.31868164000002</v>
          </cell>
          <cell r="AA9">
            <v>96.896129290000005</v>
          </cell>
          <cell r="AB9">
            <v>94.896739019999998</v>
          </cell>
          <cell r="AC9">
            <v>84.807257800000002</v>
          </cell>
          <cell r="AD9">
            <v>95.063452100000006</v>
          </cell>
          <cell r="AE9">
            <v>371.66357821000003</v>
          </cell>
          <cell r="AF9">
            <v>87.344064729999999</v>
          </cell>
          <cell r="AG9">
            <v>99.206435220000003</v>
          </cell>
          <cell r="AH9">
            <v>104.79711143999999</v>
          </cell>
          <cell r="AI9">
            <v>141.44885124999999</v>
          </cell>
          <cell r="AJ9">
            <v>432.79646264000002</v>
          </cell>
          <cell r="AO9">
            <v>531.77179000000001</v>
          </cell>
          <cell r="AP9">
            <v>646.67007620000004</v>
          </cell>
          <cell r="AQ9">
            <v>796.50181878599994</v>
          </cell>
          <cell r="AR9">
            <v>960.11186444418001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-75.809665510000002</v>
          </cell>
          <cell r="R11">
            <v>-65.489205909999995</v>
          </cell>
          <cell r="S11">
            <v>-98.801964569999996</v>
          </cell>
          <cell r="T11">
            <v>-114.43792789</v>
          </cell>
          <cell r="U11">
            <v>-134.93531833</v>
          </cell>
          <cell r="V11">
            <v>-25.052095139999999</v>
          </cell>
          <cell r="W11">
            <v>-32.956760449999997</v>
          </cell>
          <cell r="X11">
            <v>-39.31432976</v>
          </cell>
          <cell r="Y11">
            <v>-39.682411459999997</v>
          </cell>
          <cell r="Z11">
            <v>-137.00559680999999</v>
          </cell>
          <cell r="AE11">
            <v>-165.68192952000001</v>
          </cell>
          <cell r="AJ11">
            <v>-212.10655857</v>
          </cell>
          <cell r="AO11">
            <v>-247.44268103746401</v>
          </cell>
          <cell r="AP11">
            <v>-296.91070720996299</v>
          </cell>
          <cell r="AQ11">
            <v>-369.30090216893899</v>
          </cell>
          <cell r="AR11">
            <v>-450.85725361885898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-25.77326519</v>
          </cell>
          <cell r="R12">
            <v>-36.360742190000003</v>
          </cell>
          <cell r="S12">
            <v>-54.462535870000004</v>
          </cell>
          <cell r="T12">
            <v>-73.405453859999994</v>
          </cell>
          <cell r="U12">
            <v>-97.057653009999996</v>
          </cell>
          <cell r="V12">
            <v>-21.621563040000002</v>
          </cell>
          <cell r="W12">
            <v>-23.048358350000001</v>
          </cell>
          <cell r="X12">
            <v>-26.680999759999999</v>
          </cell>
          <cell r="Y12">
            <v>-37.103120730000001</v>
          </cell>
          <cell r="Z12">
            <v>-108.45404188000001</v>
          </cell>
          <cell r="AE12">
            <v>-136.76762808999999</v>
          </cell>
          <cell r="AJ12">
            <v>-199.76000205</v>
          </cell>
          <cell r="AO12">
            <v>-217.341018226855</v>
          </cell>
          <cell r="AP12">
            <v>-247.92597820458101</v>
          </cell>
          <cell r="AQ12">
            <v>-295.64337363791202</v>
          </cell>
          <cell r="AR12">
            <v>-346.90205950660902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-101.58293070000001</v>
          </cell>
          <cell r="R13">
            <v>-101.84994810000001</v>
          </cell>
          <cell r="S13">
            <v>-153.26450044000001</v>
          </cell>
          <cell r="T13">
            <v>-187.84338174999999</v>
          </cell>
          <cell r="U13">
            <v>-231.99297134</v>
          </cell>
          <cell r="V13">
            <v>-46.673658179999997</v>
          </cell>
          <cell r="W13">
            <v>-56.005118799999998</v>
          </cell>
          <cell r="X13">
            <v>-65.995329519999999</v>
          </cell>
          <cell r="Y13">
            <v>-76.785532189999998</v>
          </cell>
          <cell r="Z13">
            <v>-245.45963868999999</v>
          </cell>
          <cell r="AE13">
            <v>-302.44955761</v>
          </cell>
          <cell r="AJ13">
            <v>-411.86656061999997</v>
          </cell>
          <cell r="AO13">
            <v>-464.78369926431901</v>
          </cell>
          <cell r="AP13">
            <v>-544.83668541454404</v>
          </cell>
          <cell r="AQ13">
            <v>-664.94427580685101</v>
          </cell>
          <cell r="AR13">
            <v>-797.759313125468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E15">
            <v>0</v>
          </cell>
          <cell r="AJ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-101.58293070000001</v>
          </cell>
          <cell r="R16">
            <v>-101.84994810000001</v>
          </cell>
          <cell r="S16">
            <v>-153.26450044000001</v>
          </cell>
          <cell r="T16">
            <v>-187.84338174999999</v>
          </cell>
          <cell r="U16">
            <v>-231.99297134</v>
          </cell>
          <cell r="V16">
            <v>-46.673658179999997</v>
          </cell>
          <cell r="W16">
            <v>-65.365077749999998</v>
          </cell>
          <cell r="X16">
            <v>-65.995329519999999</v>
          </cell>
          <cell r="Y16">
            <v>-95.249987149999995</v>
          </cell>
          <cell r="Z16">
            <v>-245.45963868999999</v>
          </cell>
          <cell r="AE16">
            <v>-302.44955761</v>
          </cell>
          <cell r="AJ16">
            <v>-411.86656061999997</v>
          </cell>
          <cell r="AO16">
            <v>-464.78369926431901</v>
          </cell>
          <cell r="AP16">
            <v>-544.83668541454404</v>
          </cell>
          <cell r="AQ16">
            <v>-664.94427580685101</v>
          </cell>
          <cell r="AR16">
            <v>-797.759313125468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-99.787257749999995</v>
          </cell>
          <cell r="R17">
            <v>-98.551896970000001</v>
          </cell>
          <cell r="S17">
            <v>-143.69287696000001</v>
          </cell>
          <cell r="T17">
            <v>-172.97189721000001</v>
          </cell>
          <cell r="U17">
            <v>-213.73111441</v>
          </cell>
          <cell r="V17">
            <v>-46.673658179999997</v>
          </cell>
          <cell r="W17">
            <v>-56.005118799999998</v>
          </cell>
          <cell r="X17">
            <v>-65.995329519999999</v>
          </cell>
          <cell r="Y17">
            <v>-76.785532189999998</v>
          </cell>
          <cell r="Z17">
            <v>-226.99518373000001</v>
          </cell>
          <cell r="AE17">
            <v>-280.51361548</v>
          </cell>
          <cell r="AJ17">
            <v>-387.89812859</v>
          </cell>
          <cell r="AO17">
            <v>-436.98243331987402</v>
          </cell>
          <cell r="AP17">
            <v>-514.37830111702795</v>
          </cell>
          <cell r="AQ17">
            <v>-632.59482981965004</v>
          </cell>
          <cell r="AR17">
            <v>-764.442118035823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37.104153619999998</v>
          </cell>
          <cell r="R18">
            <v>64.884607419999995</v>
          </cell>
          <cell r="S18">
            <v>89.773244210000001</v>
          </cell>
          <cell r="T18">
            <v>89.607524639999994</v>
          </cell>
          <cell r="U18">
            <v>94.956830960000005</v>
          </cell>
          <cell r="V18">
            <v>18.778693570000002</v>
          </cell>
          <cell r="W18">
            <v>24.167545709999999</v>
          </cell>
          <cell r="X18">
            <v>41.367402740000003</v>
          </cell>
          <cell r="Y18">
            <v>27.54540093</v>
          </cell>
          <cell r="Z18">
            <v>130.32349790999999</v>
          </cell>
          <cell r="AE18">
            <v>91.149962729999999</v>
          </cell>
          <cell r="AJ18">
            <v>44.898334050000003</v>
          </cell>
          <cell r="AO18">
            <v>94.789356680126005</v>
          </cell>
          <cell r="AP18">
            <v>132.29177508297201</v>
          </cell>
          <cell r="AQ18">
            <v>163.90698896635001</v>
          </cell>
          <cell r="AR18">
            <v>195.66974640835701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-1.7956729499999999</v>
          </cell>
          <cell r="R19">
            <v>-3.2920491799999998</v>
          </cell>
          <cell r="S19">
            <v>-8.5702110099999995</v>
          </cell>
          <cell r="T19">
            <v>-13.510112019999999</v>
          </cell>
          <cell r="U19">
            <v>-15.73485468</v>
          </cell>
          <cell r="V19">
            <v>0</v>
          </cell>
          <cell r="W19">
            <v>-7.5123539199999998</v>
          </cell>
          <cell r="X19">
            <v>0</v>
          </cell>
          <cell r="Y19">
            <v>-14.52878115</v>
          </cell>
          <cell r="Z19">
            <v>-14.52878115</v>
          </cell>
          <cell r="AE19">
            <v>-16.07929657</v>
          </cell>
          <cell r="AJ19">
            <v>-16.344925119999999</v>
          </cell>
          <cell r="AO19">
            <v>-20.177759034444001</v>
          </cell>
          <cell r="AP19">
            <v>-23.255578065756001</v>
          </cell>
          <cell r="AQ19">
            <v>-25.544124207504002</v>
          </cell>
          <cell r="AR19">
            <v>-26.887422715511001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-6.0019499999999998E-3</v>
          </cell>
          <cell r="S20">
            <v>-1.00141247</v>
          </cell>
          <cell r="T20">
            <v>-1.36137252</v>
          </cell>
          <cell r="U20">
            <v>-2.5270022499999998</v>
          </cell>
          <cell r="V20">
            <v>0</v>
          </cell>
          <cell r="W20">
            <v>-1.84760503</v>
          </cell>
          <cell r="X20">
            <v>0</v>
          </cell>
          <cell r="Y20">
            <v>-3.9356738099999999</v>
          </cell>
          <cell r="Z20">
            <v>-3.9356738099999999</v>
          </cell>
          <cell r="AE20">
            <v>-5.8566455599999996</v>
          </cell>
          <cell r="AJ20">
            <v>-7.6235069099999997</v>
          </cell>
          <cell r="AO20">
            <v>-7.6235069099999997</v>
          </cell>
          <cell r="AP20">
            <v>-7.2028062317610004</v>
          </cell>
          <cell r="AQ20">
            <v>-6.8053217796969996</v>
          </cell>
          <cell r="AR20">
            <v>-6.4297723741350001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35.308480670000002</v>
          </cell>
          <cell r="R21">
            <v>61.586556289999997</v>
          </cell>
          <cell r="S21">
            <v>80.201620730000002</v>
          </cell>
          <cell r="T21">
            <v>74.736040099999997</v>
          </cell>
          <cell r="U21">
            <v>76.694974029999997</v>
          </cell>
          <cell r="Z21">
            <v>111.85904295</v>
          </cell>
          <cell r="AA21">
            <v>22.143361800000001</v>
          </cell>
          <cell r="AB21">
            <v>20.947807430000001</v>
          </cell>
          <cell r="AC21">
            <v>6.5742891700000001</v>
          </cell>
          <cell r="AD21">
            <v>19.548562199999999</v>
          </cell>
          <cell r="AE21">
            <v>69.214020599999998</v>
          </cell>
          <cell r="AF21">
            <v>13.46908569</v>
          </cell>
          <cell r="AG21">
            <v>5.9427364999999996</v>
          </cell>
          <cell r="AH21">
            <v>7.0102553800000003</v>
          </cell>
          <cell r="AI21">
            <v>-5.4921755499999998</v>
          </cell>
          <cell r="AJ21">
            <v>20.92990202</v>
          </cell>
          <cell r="AO21">
            <v>66.988090735681993</v>
          </cell>
          <cell r="AP21">
            <v>101.833390785456</v>
          </cell>
          <cell r="AQ21">
            <v>131.55754297914899</v>
          </cell>
          <cell r="AR21">
            <v>162.35255131871199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0.31483253</v>
          </cell>
          <cell r="S22">
            <v>0.93828381999999999</v>
          </cell>
          <cell r="T22">
            <v>3.8491731699999998</v>
          </cell>
          <cell r="U22">
            <v>12.14317859</v>
          </cell>
          <cell r="Z22">
            <v>8.3377899899999992</v>
          </cell>
          <cell r="AE22">
            <v>8.6696034500000003</v>
          </cell>
          <cell r="AJ22">
            <v>9.0101729000000006</v>
          </cell>
          <cell r="AO22">
            <v>7.6278452000000003</v>
          </cell>
          <cell r="AP22">
            <v>8.7572808608080006</v>
          </cell>
          <cell r="AQ22">
            <v>8.1744991280259995</v>
          </cell>
          <cell r="AR22">
            <v>7.6897045257630001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-0.93613415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Z23">
            <v>0</v>
          </cell>
          <cell r="AE23">
            <v>0</v>
          </cell>
          <cell r="AJ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-0.93613415</v>
          </cell>
          <cell r="R24">
            <v>0.31483253</v>
          </cell>
          <cell r="S24">
            <v>0.93828381999999999</v>
          </cell>
          <cell r="T24">
            <v>3.8491731699999998</v>
          </cell>
          <cell r="U24">
            <v>12.14317859</v>
          </cell>
          <cell r="Z24">
            <v>8.3377899899999992</v>
          </cell>
          <cell r="AE24">
            <v>8.6696034500000003</v>
          </cell>
          <cell r="AJ24">
            <v>9.0101729000000006</v>
          </cell>
          <cell r="AO24">
            <v>7.6278452000000003</v>
          </cell>
          <cell r="AP24">
            <v>8.7572808608080006</v>
          </cell>
          <cell r="AQ24">
            <v>8.1744991280259995</v>
          </cell>
          <cell r="AR24">
            <v>7.6897045257630001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Z25">
            <v>0</v>
          </cell>
          <cell r="AE25">
            <v>0</v>
          </cell>
          <cell r="AJ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E26">
            <v>0</v>
          </cell>
          <cell r="AJ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4.4232536099999997</v>
          </cell>
          <cell r="R27">
            <v>3.1392203200000002</v>
          </cell>
          <cell r="S27">
            <v>4.5552769800000004</v>
          </cell>
          <cell r="T27">
            <v>13.64262795</v>
          </cell>
          <cell r="U27">
            <v>13.725765750000001</v>
          </cell>
          <cell r="Z27">
            <v>7.5018025399999999</v>
          </cell>
          <cell r="AE27">
            <v>11.381142779999999</v>
          </cell>
          <cell r="AJ27">
            <v>16.65372979</v>
          </cell>
          <cell r="AO27">
            <v>12.3633874328</v>
          </cell>
          <cell r="AP27">
            <v>15.31813038208</v>
          </cell>
          <cell r="AQ27">
            <v>12.452223862976</v>
          </cell>
          <cell r="AR27">
            <v>11.652223862975999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38.795600129999997</v>
          </cell>
          <cell r="R28">
            <v>65.040609140000001</v>
          </cell>
          <cell r="S28">
            <v>85.695181529999999</v>
          </cell>
          <cell r="T28">
            <v>92.227841220000002</v>
          </cell>
          <cell r="U28">
            <v>102.56391837</v>
          </cell>
          <cell r="Z28">
            <v>127.69863547999999</v>
          </cell>
          <cell r="AE28">
            <v>89.264766829999999</v>
          </cell>
          <cell r="AJ28">
            <v>46.593804710000001</v>
          </cell>
          <cell r="AO28">
            <v>86.979323368482</v>
          </cell>
          <cell r="AP28">
            <v>125.908802028344</v>
          </cell>
          <cell r="AQ28">
            <v>152.18426597014999</v>
          </cell>
          <cell r="AR28">
            <v>181.69447970745099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-0.93613415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Z34">
            <v>0</v>
          </cell>
          <cell r="AE34">
            <v>0</v>
          </cell>
          <cell r="AJ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12.902518840000001</v>
          </cell>
          <cell r="Q37">
            <v>28.886974070000001</v>
          </cell>
          <cell r="R37">
            <v>81.812119879999997</v>
          </cell>
          <cell r="S37">
            <v>98.691551610000005</v>
          </cell>
          <cell r="T37">
            <v>473.44726093000003</v>
          </cell>
          <cell r="U37">
            <v>535.79245041000001</v>
          </cell>
          <cell r="Z37">
            <v>608.87984164</v>
          </cell>
          <cell r="AE37">
            <v>531.59161563999999</v>
          </cell>
          <cell r="AJ37">
            <v>459.40795606</v>
          </cell>
          <cell r="AO37">
            <v>450.97722696794</v>
          </cell>
          <cell r="AP37">
            <v>467.73942317939202</v>
          </cell>
          <cell r="AQ37">
            <v>488.88866365851698</v>
          </cell>
          <cell r="AR37">
            <v>530.30628405465598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78.854163040000003</v>
          </cell>
          <cell r="R38">
            <v>54.752779400000001</v>
          </cell>
          <cell r="S38">
            <v>55.679115029999998</v>
          </cell>
          <cell r="T38">
            <v>50.120543689999998</v>
          </cell>
          <cell r="U38">
            <v>40.139187849999999</v>
          </cell>
          <cell r="Z38">
            <v>86.033930280000007</v>
          </cell>
          <cell r="AE38">
            <v>135.19687123</v>
          </cell>
          <cell r="AJ38">
            <v>139.33149797999999</v>
          </cell>
          <cell r="AO38">
            <v>171.19492990365799</v>
          </cell>
          <cell r="AP38">
            <v>208.18448900016301</v>
          </cell>
          <cell r="AQ38">
            <v>256.42028328581603</v>
          </cell>
          <cell r="AR38">
            <v>309.09176910868501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20.373734970000001</v>
          </cell>
          <cell r="R39">
            <v>8.4012922700000008</v>
          </cell>
          <cell r="S39">
            <v>7.2842031800000004</v>
          </cell>
          <cell r="T39">
            <v>3.8110501600000002</v>
          </cell>
          <cell r="U39">
            <v>17.031747240000001</v>
          </cell>
          <cell r="Z39">
            <v>32.879952170000003</v>
          </cell>
          <cell r="AE39">
            <v>80.144348210000004</v>
          </cell>
          <cell r="AJ39">
            <v>77.240371710000005</v>
          </cell>
          <cell r="AO39">
            <v>90.108315316166994</v>
          </cell>
          <cell r="AP39">
            <v>108.12250947915901</v>
          </cell>
          <cell r="AQ39">
            <v>134.48400251590201</v>
          </cell>
          <cell r="AR39">
            <v>164.18342786028299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12.05434526</v>
          </cell>
          <cell r="R40">
            <v>1.5347177000000001</v>
          </cell>
          <cell r="S40">
            <v>0.62761924999999996</v>
          </cell>
          <cell r="T40">
            <v>7.6831843800000001</v>
          </cell>
          <cell r="U40">
            <v>4.6408891399999996</v>
          </cell>
          <cell r="Z40">
            <v>2.1592405000000001</v>
          </cell>
          <cell r="AE40">
            <v>18.781867600000002</v>
          </cell>
          <cell r="AJ40">
            <v>16.68212265</v>
          </cell>
          <cell r="AO40">
            <v>16.68212265</v>
          </cell>
          <cell r="AP40">
            <v>16.68212265</v>
          </cell>
          <cell r="AQ40">
            <v>16.68212265</v>
          </cell>
          <cell r="AR40">
            <v>16.68212265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12.902518840000001</v>
          </cell>
          <cell r="Q41">
            <v>140.16921733999999</v>
          </cell>
          <cell r="R41">
            <v>146.50090925000001</v>
          </cell>
          <cell r="S41">
            <v>162.28248907</v>
          </cell>
          <cell r="T41">
            <v>535.06203916000004</v>
          </cell>
          <cell r="U41">
            <v>597.60427463999997</v>
          </cell>
          <cell r="Z41">
            <v>729.95296458999997</v>
          </cell>
          <cell r="AE41">
            <v>765.71470267999996</v>
          </cell>
          <cell r="AJ41">
            <v>692.66194840000003</v>
          </cell>
          <cell r="AO41">
            <v>728.96259483776498</v>
          </cell>
          <cell r="AP41">
            <v>800.72854430871405</v>
          </cell>
          <cell r="AQ41">
            <v>896.47507211023503</v>
          </cell>
          <cell r="AR41">
            <v>1020.26360367362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8.6716760799999992</v>
          </cell>
          <cell r="R42">
            <v>28.342472650000001</v>
          </cell>
          <cell r="S42">
            <v>57.855039580000003</v>
          </cell>
          <cell r="T42">
            <v>58.269459640000001</v>
          </cell>
          <cell r="U42">
            <v>58.964985740000003</v>
          </cell>
          <cell r="Z42">
            <v>60.092795070000001</v>
          </cell>
          <cell r="AE42">
            <v>60.083930420000002</v>
          </cell>
          <cell r="AJ42">
            <v>112.46949861</v>
          </cell>
          <cell r="AO42">
            <v>181.59983131000001</v>
          </cell>
          <cell r="AP42">
            <v>252.73353969199999</v>
          </cell>
          <cell r="AQ42">
            <v>324.41870338273998</v>
          </cell>
          <cell r="AR42">
            <v>391.62653389383303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O43">
            <v>-20.177759034444001</v>
          </cell>
          <cell r="AP43">
            <v>-43.433337100199999</v>
          </cell>
          <cell r="AQ43">
            <v>-68.977461307704004</v>
          </cell>
          <cell r="AR43">
            <v>-95.864884023214003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8.6716760799999992</v>
          </cell>
          <cell r="R44">
            <v>28.342472650000001</v>
          </cell>
          <cell r="S44">
            <v>57.855039580000003</v>
          </cell>
          <cell r="T44">
            <v>58.269459640000001</v>
          </cell>
          <cell r="U44">
            <v>58.964985740000003</v>
          </cell>
          <cell r="Z44">
            <v>60.092795070000001</v>
          </cell>
          <cell r="AE44">
            <v>60.083930420000002</v>
          </cell>
          <cell r="AJ44">
            <v>112.46949861</v>
          </cell>
          <cell r="AO44">
            <v>161.42207227555599</v>
          </cell>
          <cell r="AP44">
            <v>209.3002025918</v>
          </cell>
          <cell r="AQ44">
            <v>255.441242075036</v>
          </cell>
          <cell r="AR44">
            <v>295.76164987061799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7.6167445200000001</v>
          </cell>
          <cell r="S45">
            <v>12.566385309999999</v>
          </cell>
          <cell r="T45">
            <v>11.99282784</v>
          </cell>
          <cell r="U45">
            <v>20.347438589999999</v>
          </cell>
          <cell r="Z45">
            <v>32.409457879999998</v>
          </cell>
          <cell r="AE45">
            <v>78.836925269999995</v>
          </cell>
          <cell r="AJ45">
            <v>138.14538605000001</v>
          </cell>
          <cell r="AO45">
            <v>138.14538605000001</v>
          </cell>
          <cell r="AP45">
            <v>138.14538605000001</v>
          </cell>
          <cell r="AQ45">
            <v>138.14538605000001</v>
          </cell>
          <cell r="AR45">
            <v>138.14538605000001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Z46">
            <v>0</v>
          </cell>
          <cell r="AE46">
            <v>0</v>
          </cell>
          <cell r="AJ46">
            <v>0</v>
          </cell>
          <cell r="AO46">
            <v>-7.6235069099999997</v>
          </cell>
          <cell r="AP46">
            <v>-14.826313141761</v>
          </cell>
          <cell r="AQ46">
            <v>-21.631634921458001</v>
          </cell>
          <cell r="AR46">
            <v>-28.061407295593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7.6167445200000001</v>
          </cell>
          <cell r="S47">
            <v>12.566385309999999</v>
          </cell>
          <cell r="T47">
            <v>11.99282784</v>
          </cell>
          <cell r="U47">
            <v>20.347438589999999</v>
          </cell>
          <cell r="Z47">
            <v>32.409457879999998</v>
          </cell>
          <cell r="AE47">
            <v>78.836925269999995</v>
          </cell>
          <cell r="AJ47">
            <v>138.14538605000001</v>
          </cell>
          <cell r="AO47">
            <v>130.52187914000001</v>
          </cell>
          <cell r="AP47">
            <v>123.31907290823899</v>
          </cell>
          <cell r="AQ47">
            <v>116.513751128542</v>
          </cell>
          <cell r="AR47">
            <v>110.083978754407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6.7623337699999997</v>
          </cell>
          <cell r="R49">
            <v>4.6529871900000002</v>
          </cell>
          <cell r="S49">
            <v>5.7454759800000001</v>
          </cell>
          <cell r="T49">
            <v>7.5073368800000004</v>
          </cell>
          <cell r="U49">
            <v>12.40693182</v>
          </cell>
          <cell r="Z49">
            <v>14.841611629999999</v>
          </cell>
          <cell r="AE49">
            <v>24.186815880000001</v>
          </cell>
          <cell r="AJ49">
            <v>24.206836790000001</v>
          </cell>
          <cell r="AO49">
            <v>24.206836790000001</v>
          </cell>
          <cell r="AP49">
            <v>24.206836790000001</v>
          </cell>
          <cell r="AQ49">
            <v>24.206836790000001</v>
          </cell>
          <cell r="AR49">
            <v>24.206836790000001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0.85577733</v>
          </cell>
          <cell r="R50">
            <v>0.58948626999999998</v>
          </cell>
          <cell r="S50">
            <v>0.78722586999999999</v>
          </cell>
          <cell r="T50">
            <v>1.32386727</v>
          </cell>
          <cell r="U50">
            <v>0.53602289999999997</v>
          </cell>
          <cell r="Z50">
            <v>2.2678560700000001</v>
          </cell>
          <cell r="AE50">
            <v>5.4078282299999998</v>
          </cell>
          <cell r="AJ50">
            <v>3.4811797699999998</v>
          </cell>
          <cell r="AO50">
            <v>3.4811797699999998</v>
          </cell>
          <cell r="AP50">
            <v>3.4811797699999998</v>
          </cell>
          <cell r="AQ50">
            <v>3.4811797699999998</v>
          </cell>
          <cell r="AR50">
            <v>3.4811797699999998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12.902518840000001</v>
          </cell>
          <cell r="Q51">
            <v>156.45900452000001</v>
          </cell>
          <cell r="R51">
            <v>187.70259988000001</v>
          </cell>
          <cell r="S51">
            <v>239.23661580999999</v>
          </cell>
          <cell r="T51">
            <v>614.15553078999994</v>
          </cell>
          <cell r="U51">
            <v>689.85965368999996</v>
          </cell>
          <cell r="Z51">
            <v>839.56468524000002</v>
          </cell>
          <cell r="AE51">
            <v>934.23020248</v>
          </cell>
          <cell r="AJ51">
            <v>970.96484962</v>
          </cell>
          <cell r="AO51">
            <v>1048.59456281332</v>
          </cell>
          <cell r="AP51">
            <v>1161.0358363687501</v>
          </cell>
          <cell r="AQ51">
            <v>1296.1180818738101</v>
          </cell>
          <cell r="AR51">
            <v>1453.7972488586499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27.890735320000001</v>
          </cell>
          <cell r="R52">
            <v>19.50198498</v>
          </cell>
          <cell r="S52">
            <v>28.066731390000001</v>
          </cell>
          <cell r="T52">
            <v>38.554920869999997</v>
          </cell>
          <cell r="U52">
            <v>57.025255219999998</v>
          </cell>
          <cell r="Z52">
            <v>27.36359255</v>
          </cell>
          <cell r="AE52">
            <v>57.421993409999999</v>
          </cell>
          <cell r="AJ52">
            <v>66.555701010000007</v>
          </cell>
          <cell r="AO52">
            <v>77.643620297612003</v>
          </cell>
          <cell r="AP52">
            <v>93.165908630836995</v>
          </cell>
          <cell r="AQ52">
            <v>115.880812895126</v>
          </cell>
          <cell r="AR52">
            <v>141.471912855271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15</v>
          </cell>
          <cell r="R53">
            <v>15</v>
          </cell>
          <cell r="S53">
            <v>12</v>
          </cell>
          <cell r="T53">
            <v>23</v>
          </cell>
          <cell r="U53">
            <v>0</v>
          </cell>
          <cell r="Z53">
            <v>30</v>
          </cell>
          <cell r="AE53">
            <v>0</v>
          </cell>
          <cell r="AJ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5.4101656900000004</v>
          </cell>
          <cell r="R54">
            <v>6.2416005200000004</v>
          </cell>
          <cell r="S54">
            <v>3.2681566599999998</v>
          </cell>
          <cell r="T54">
            <v>6.5822028399999999</v>
          </cell>
          <cell r="U54">
            <v>8.4712623699999998</v>
          </cell>
          <cell r="Z54">
            <v>24.523631699999999</v>
          </cell>
          <cell r="AE54">
            <v>39.232366669999998</v>
          </cell>
          <cell r="AJ54">
            <v>36.687376579999999</v>
          </cell>
          <cell r="AO54">
            <v>41.121996257886003</v>
          </cell>
          <cell r="AP54">
            <v>46.485941930153999</v>
          </cell>
          <cell r="AQ54">
            <v>49.736850888494999</v>
          </cell>
          <cell r="AR54">
            <v>53.325050515845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48.300901009999997</v>
          </cell>
          <cell r="R55">
            <v>40.743585500000002</v>
          </cell>
          <cell r="S55">
            <v>43.334888050000004</v>
          </cell>
          <cell r="T55">
            <v>68.137123709999997</v>
          </cell>
          <cell r="U55">
            <v>65.496517589999996</v>
          </cell>
          <cell r="Z55">
            <v>81.887224250000003</v>
          </cell>
          <cell r="AE55">
            <v>96.654360080000004</v>
          </cell>
          <cell r="AJ55">
            <v>103.24307759</v>
          </cell>
          <cell r="AO55">
            <v>118.765616555498</v>
          </cell>
          <cell r="AP55">
            <v>139.65185056099099</v>
          </cell>
          <cell r="AQ55">
            <v>165.617663783621</v>
          </cell>
          <cell r="AR55">
            <v>194.79696337111699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Z56">
            <v>0</v>
          </cell>
          <cell r="AE56">
            <v>0</v>
          </cell>
          <cell r="AJ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9.9086679999999996E-2</v>
          </cell>
          <cell r="R57">
            <v>9.8427100000000003E-2</v>
          </cell>
          <cell r="S57">
            <v>1.65607416</v>
          </cell>
          <cell r="T57">
            <v>4.8052941200000001</v>
          </cell>
          <cell r="U57">
            <v>1.6683333300000001</v>
          </cell>
          <cell r="Z57">
            <v>10.268299949999999</v>
          </cell>
          <cell r="AE57">
            <v>1.6717073</v>
          </cell>
          <cell r="AJ57">
            <v>1.0503625299999999</v>
          </cell>
          <cell r="AO57">
            <v>1.0503625299999999</v>
          </cell>
          <cell r="AP57">
            <v>1.0503625299999999</v>
          </cell>
          <cell r="AQ57">
            <v>1.0503625299999999</v>
          </cell>
          <cell r="AR57">
            <v>1.0503625299999999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9.9086679999999996E-2</v>
          </cell>
          <cell r="R58">
            <v>9.8427100000000003E-2</v>
          </cell>
          <cell r="S58">
            <v>1.65607416</v>
          </cell>
          <cell r="T58">
            <v>4.8052941200000001</v>
          </cell>
          <cell r="U58">
            <v>1.6683333300000001</v>
          </cell>
          <cell r="Z58">
            <v>10.268299949999999</v>
          </cell>
          <cell r="AE58">
            <v>1.6717073</v>
          </cell>
          <cell r="AJ58">
            <v>1.0503625299999999</v>
          </cell>
          <cell r="AO58">
            <v>1.0503625299999999</v>
          </cell>
          <cell r="AP58">
            <v>1.0503625299999999</v>
          </cell>
          <cell r="AQ58">
            <v>1.0503625299999999</v>
          </cell>
          <cell r="AR58">
            <v>1.0503625299999999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48.399987690000003</v>
          </cell>
          <cell r="R59">
            <v>40.842012599999997</v>
          </cell>
          <cell r="S59">
            <v>44.990962209999999</v>
          </cell>
          <cell r="T59">
            <v>72.942417829999997</v>
          </cell>
          <cell r="U59">
            <v>67.164850920000006</v>
          </cell>
          <cell r="Z59">
            <v>92.155524200000002</v>
          </cell>
          <cell r="AE59">
            <v>98.326067379999998</v>
          </cell>
          <cell r="AJ59">
            <v>104.29344012</v>
          </cell>
          <cell r="AO59">
            <v>119.815979085498</v>
          </cell>
          <cell r="AP59">
            <v>140.70221309099099</v>
          </cell>
          <cell r="AQ59">
            <v>166.668026313621</v>
          </cell>
          <cell r="AR59">
            <v>195.84732590111699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Z60">
            <v>0</v>
          </cell>
          <cell r="AE60">
            <v>0</v>
          </cell>
          <cell r="AJ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96.124600509999993</v>
          </cell>
          <cell r="R61">
            <v>124.86489472</v>
          </cell>
          <cell r="S61">
            <v>164.75591832000001</v>
          </cell>
          <cell r="T61">
            <v>533.98657623999998</v>
          </cell>
          <cell r="U61">
            <v>613.03920391999998</v>
          </cell>
          <cell r="Z61">
            <v>722.71357776000002</v>
          </cell>
          <cell r="AE61">
            <v>786.33572915000002</v>
          </cell>
          <cell r="AJ61">
            <v>816.08683641000005</v>
          </cell>
          <cell r="AO61">
            <v>870.66587024782302</v>
          </cell>
          <cell r="AP61">
            <v>954.22090979776203</v>
          </cell>
          <cell r="AQ61">
            <v>1055.33734208019</v>
          </cell>
          <cell r="AR61">
            <v>1175.83720947753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11.93441632</v>
          </cell>
          <cell r="R62">
            <v>21.995692559999998</v>
          </cell>
          <cell r="S62">
            <v>29.489735280000001</v>
          </cell>
          <cell r="T62">
            <v>7.2265367200000004</v>
          </cell>
          <cell r="U62">
            <v>9.6555988500000005</v>
          </cell>
          <cell r="Z62">
            <v>24.695583280000001</v>
          </cell>
          <cell r="AE62">
            <v>49.568405949999999</v>
          </cell>
          <cell r="AJ62">
            <v>50.584573089999999</v>
          </cell>
          <cell r="AO62">
            <v>58.112713479999996</v>
          </cell>
          <cell r="AP62">
            <v>66.112713479999996</v>
          </cell>
          <cell r="AQ62">
            <v>74.112713479999996</v>
          </cell>
          <cell r="AR62">
            <v>82.112713479999996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108.05901683</v>
          </cell>
          <cell r="R63">
            <v>146.86058728</v>
          </cell>
          <cell r="S63">
            <v>194.2456536</v>
          </cell>
          <cell r="T63">
            <v>541.21311295999999</v>
          </cell>
          <cell r="U63">
            <v>622.69480277000002</v>
          </cell>
          <cell r="Z63">
            <v>747.40916103999996</v>
          </cell>
          <cell r="AE63">
            <v>835.90413509999996</v>
          </cell>
          <cell r="AJ63">
            <v>866.67140949999998</v>
          </cell>
          <cell r="AO63">
            <v>928.77858372782396</v>
          </cell>
          <cell r="AP63">
            <v>1020.33362327776</v>
          </cell>
          <cell r="AQ63">
            <v>1129.4500555601901</v>
          </cell>
          <cell r="AR63">
            <v>1257.9499229575299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156.45900452000001</v>
          </cell>
          <cell r="R64">
            <v>187.70259988000001</v>
          </cell>
          <cell r="S64">
            <v>239.23661580999999</v>
          </cell>
          <cell r="T64">
            <v>614.15553078999994</v>
          </cell>
          <cell r="U64">
            <v>689.85965368999996</v>
          </cell>
          <cell r="Z64">
            <v>839.56468524000002</v>
          </cell>
          <cell r="AE64">
            <v>934.23020248</v>
          </cell>
          <cell r="AJ64">
            <v>970.96484962</v>
          </cell>
          <cell r="AO64">
            <v>1048.59456281332</v>
          </cell>
          <cell r="AP64">
            <v>1161.0358363687501</v>
          </cell>
          <cell r="AQ64">
            <v>1296.1180818738101</v>
          </cell>
          <cell r="AR64">
            <v>1453.7972488586499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-12.902518840000001</v>
          </cell>
          <cell r="Q66">
            <v>-13.886974070000001</v>
          </cell>
          <cell r="R66">
            <v>-66.812119879999997</v>
          </cell>
          <cell r="S66">
            <v>-86.691551610000005</v>
          </cell>
          <cell r="T66">
            <v>-450.44726093000003</v>
          </cell>
          <cell r="U66">
            <v>-535.79245041000001</v>
          </cell>
          <cell r="Z66">
            <v>-578.87984164</v>
          </cell>
          <cell r="AE66">
            <v>-531.59161563999999</v>
          </cell>
          <cell r="AJ66">
            <v>-459.40795606</v>
          </cell>
          <cell r="AO66">
            <v>-450.97722696794</v>
          </cell>
          <cell r="AP66">
            <v>-467.73942317939202</v>
          </cell>
          <cell r="AQ66">
            <v>-488.88866365851698</v>
          </cell>
          <cell r="AR66">
            <v>-530.30628405465598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Z67">
            <v>0</v>
          </cell>
          <cell r="AE67">
            <v>0</v>
          </cell>
          <cell r="AJ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Z69">
            <v>0</v>
          </cell>
          <cell r="AE69">
            <v>0</v>
          </cell>
          <cell r="AJ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Q71">
            <v>6.2408943332999997E-2</v>
          </cell>
          <cell r="R71">
            <v>0</v>
          </cell>
          <cell r="S71">
            <v>0</v>
          </cell>
          <cell r="T71">
            <v>0</v>
          </cell>
          <cell r="Z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Z72">
            <v>0</v>
          </cell>
          <cell r="AE72">
            <v>0</v>
          </cell>
          <cell r="AJ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Z74">
            <v>0</v>
          </cell>
          <cell r="AE74">
            <v>0</v>
          </cell>
          <cell r="AJ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-7.6167445200000001</v>
          </cell>
          <cell r="S75">
            <v>-12.566385309999999</v>
          </cell>
          <cell r="T75">
            <v>-11.99282784</v>
          </cell>
          <cell r="U75">
            <v>-20.347438589999999</v>
          </cell>
          <cell r="Z75">
            <v>-32.409457879999998</v>
          </cell>
          <cell r="AE75">
            <v>-78.836925269999995</v>
          </cell>
          <cell r="AJ75">
            <v>-138.14538605000001</v>
          </cell>
          <cell r="AO75">
            <v>-130.52187914000001</v>
          </cell>
          <cell r="AP75">
            <v>-123.31907290823899</v>
          </cell>
          <cell r="AQ75">
            <v>-116.513751128542</v>
          </cell>
          <cell r="AR75">
            <v>-110.083978754407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Z77">
            <v>1</v>
          </cell>
          <cell r="AE77">
            <v>1</v>
          </cell>
          <cell r="AJ77">
            <v>1</v>
          </cell>
          <cell r="AO77">
            <v>1</v>
          </cell>
          <cell r="AP77">
            <v>1</v>
          </cell>
          <cell r="AQ77">
            <v>1</v>
          </cell>
          <cell r="AR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11.93441632</v>
          </cell>
          <cell r="R78">
            <v>21.995692559999998</v>
          </cell>
          <cell r="S78">
            <v>29.489735280000001</v>
          </cell>
          <cell r="T78">
            <v>7.2265367200000004</v>
          </cell>
          <cell r="U78">
            <v>9.6555988500000005</v>
          </cell>
          <cell r="Z78">
            <v>24.695583280000001</v>
          </cell>
          <cell r="AE78">
            <v>49.568405949999999</v>
          </cell>
          <cell r="AJ78">
            <v>50.584573089999999</v>
          </cell>
          <cell r="AO78">
            <v>58.112713479999996</v>
          </cell>
          <cell r="AP78">
            <v>66.112713479999996</v>
          </cell>
          <cell r="AQ78">
            <v>74.112713479999996</v>
          </cell>
          <cell r="AR78">
            <v>82.112713479999996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4.4021032099999999</v>
          </cell>
          <cell r="R80">
            <v>10.45229821</v>
          </cell>
          <cell r="S80">
            <v>14.29627554</v>
          </cell>
          <cell r="T80">
            <v>5.8552772400000004</v>
          </cell>
          <cell r="U80">
            <v>2.4935703400000002</v>
          </cell>
          <cell r="Z80">
            <v>3.0183087799999999</v>
          </cell>
          <cell r="AE80">
            <v>10.715064760000001</v>
          </cell>
          <cell r="AJ80">
            <v>3.0826094500000001</v>
          </cell>
          <cell r="AO80">
            <v>7.5281403899999999</v>
          </cell>
          <cell r="AP80">
            <v>8</v>
          </cell>
          <cell r="AQ80">
            <v>8</v>
          </cell>
          <cell r="AR80">
            <v>8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1.7956729499999999</v>
          </cell>
          <cell r="R81">
            <v>3.2980511300000002</v>
          </cell>
          <cell r="S81">
            <v>9.5716234799999995</v>
          </cell>
          <cell r="T81">
            <v>14.871484540000001</v>
          </cell>
          <cell r="U81">
            <v>18.26185693</v>
          </cell>
          <cell r="Z81">
            <v>18.464454960000001</v>
          </cell>
          <cell r="AE81">
            <v>21.935942130000001</v>
          </cell>
          <cell r="AJ81">
            <v>23.968432029999999</v>
          </cell>
          <cell r="AO81">
            <v>27.801265944444001</v>
          </cell>
          <cell r="AP81">
            <v>30.458384297517</v>
          </cell>
          <cell r="AQ81">
            <v>32.349445987201001</v>
          </cell>
          <cell r="AR81">
            <v>33.317195089644997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-7.8276885099999998</v>
          </cell>
          <cell r="R82">
            <v>27.002684899999998</v>
          </cell>
          <cell r="S82">
            <v>8.7554998699999995</v>
          </cell>
          <cell r="T82">
            <v>19.519913840000001</v>
          </cell>
          <cell r="U82">
            <v>15.23099311</v>
          </cell>
          <cell r="Z82">
            <v>-91.404610030000001</v>
          </cell>
          <cell r="AE82">
            <v>-66.368936129999994</v>
          </cell>
          <cell r="AJ82">
            <v>7.9030573500000001</v>
          </cell>
          <cell r="AO82">
            <v>-33.643456242214</v>
          </cell>
          <cell r="AP82">
            <v>-39.481464926271002</v>
          </cell>
          <cell r="AQ82">
            <v>-51.882383058107997</v>
          </cell>
          <cell r="AR82">
            <v>-56.779811207103997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-2.8406606600000002</v>
          </cell>
          <cell r="R83">
            <v>-1.8159631700000001</v>
          </cell>
          <cell r="S83">
            <v>-2.9669753700000001</v>
          </cell>
          <cell r="T83">
            <v>-5.3440806900000002</v>
          </cell>
          <cell r="U83">
            <v>-33.797378270000003</v>
          </cell>
          <cell r="Z83">
            <v>37.868904639999997</v>
          </cell>
          <cell r="AE83">
            <v>-7.2447090300000001</v>
          </cell>
          <cell r="AJ83">
            <v>-13.62902528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28.442134769999999</v>
          </cell>
          <cell r="R84">
            <v>89.043111069999995</v>
          </cell>
          <cell r="S84">
            <v>92.970794979999994</v>
          </cell>
          <cell r="T84">
            <v>113.26532249</v>
          </cell>
          <cell r="U84">
            <v>89.378772240000004</v>
          </cell>
          <cell r="Z84">
            <v>78.677687079999998</v>
          </cell>
          <cell r="AE84">
            <v>25.246914719999999</v>
          </cell>
          <cell r="AJ84">
            <v>57.617192529999997</v>
          </cell>
          <cell r="AO84">
            <v>66.36848043194</v>
          </cell>
          <cell r="AP84">
            <v>97.999401095338001</v>
          </cell>
          <cell r="AQ84">
            <v>108.301846344019</v>
          </cell>
          <cell r="AR84">
            <v>127.343802039726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-8.4091513500000001</v>
          </cell>
          <cell r="R85">
            <v>-21.569455699999999</v>
          </cell>
          <cell r="S85">
            <v>-37.264990150000003</v>
          </cell>
          <cell r="T85">
            <v>-20.19555562</v>
          </cell>
          <cell r="U85">
            <v>-26.23550753</v>
          </cell>
          <cell r="Z85">
            <v>-17.87359172</v>
          </cell>
          <cell r="AE85">
            <v>-50.569998669999997</v>
          </cell>
          <cell r="AJ85">
            <v>-78.80282158</v>
          </cell>
          <cell r="AO85">
            <v>-69.130332699999997</v>
          </cell>
          <cell r="AP85">
            <v>-71.133708381999995</v>
          </cell>
          <cell r="AQ85">
            <v>-71.685163690739998</v>
          </cell>
          <cell r="AR85">
            <v>-67.207830511092993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Z86">
            <v>0</v>
          </cell>
          <cell r="AE86">
            <v>0</v>
          </cell>
          <cell r="AJ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5.3574999999999998E-2</v>
          </cell>
          <cell r="R87">
            <v>6.4700000000000001E-3</v>
          </cell>
          <cell r="S87">
            <v>0</v>
          </cell>
          <cell r="T87">
            <v>6.0299999999999999E-2</v>
          </cell>
          <cell r="U87">
            <v>0</v>
          </cell>
          <cell r="Z87">
            <v>0.35888100000000001</v>
          </cell>
          <cell r="AE87">
            <v>0.14851285</v>
          </cell>
          <cell r="AJ87">
            <v>0.20427500000000001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-5.9468777900000003</v>
          </cell>
          <cell r="R88">
            <v>-31.06</v>
          </cell>
          <cell r="S88">
            <v>12.036494579999999</v>
          </cell>
          <cell r="T88">
            <v>-345.83203588999999</v>
          </cell>
          <cell r="U88">
            <v>105.36957131</v>
          </cell>
          <cell r="Z88">
            <v>-9.0017794900000005</v>
          </cell>
          <cell r="AE88">
            <v>-19.272269470000001</v>
          </cell>
          <cell r="AJ88">
            <v>81.011403560000005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-14.30245414</v>
          </cell>
          <cell r="R89">
            <v>-52.622985700000001</v>
          </cell>
          <cell r="S89">
            <v>-25.22849557</v>
          </cell>
          <cell r="T89">
            <v>-365.96729151</v>
          </cell>
          <cell r="U89">
            <v>79.134063780000005</v>
          </cell>
          <cell r="Z89">
            <v>-26.516490210000001</v>
          </cell>
          <cell r="AE89">
            <v>-69.693755289999999</v>
          </cell>
          <cell r="AJ89">
            <v>2.4128569799999999</v>
          </cell>
          <cell r="AO89">
            <v>-69.130332699999997</v>
          </cell>
          <cell r="AP89">
            <v>-71.133708381999995</v>
          </cell>
          <cell r="AQ89">
            <v>-71.685163690739998</v>
          </cell>
          <cell r="AR89">
            <v>-67.207830511092993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-18.082979559999998</v>
          </cell>
          <cell r="S90">
            <v>-36.852867680000003</v>
          </cell>
          <cell r="T90">
            <v>-1.673165</v>
          </cell>
          <cell r="U90">
            <v>-8.0683483000000003</v>
          </cell>
          <cell r="Z90">
            <v>-11.181216600000001</v>
          </cell>
          <cell r="AE90">
            <v>-15.355459099999999</v>
          </cell>
          <cell r="AJ90">
            <v>-6.5410117200000002</v>
          </cell>
          <cell r="AO90">
            <v>-5.6688768239999998</v>
          </cell>
          <cell r="AP90">
            <v>-10.103496501885999</v>
          </cell>
          <cell r="AQ90">
            <v>-15.467442174154</v>
          </cell>
          <cell r="AR90">
            <v>-18.718351132494998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3.72</v>
          </cell>
          <cell r="R91">
            <v>0.58799999999999997</v>
          </cell>
          <cell r="S91">
            <v>0</v>
          </cell>
          <cell r="T91">
            <v>290.20499999999998</v>
          </cell>
          <cell r="U91">
            <v>0</v>
          </cell>
          <cell r="Z91">
            <v>0.98</v>
          </cell>
          <cell r="AE91">
            <v>12.59</v>
          </cell>
          <cell r="AJ91">
            <v>0.61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-3</v>
          </cell>
          <cell r="T92">
            <v>11</v>
          </cell>
          <cell r="U92">
            <v>-23</v>
          </cell>
          <cell r="Z92">
            <v>30</v>
          </cell>
          <cell r="AE92">
            <v>-30</v>
          </cell>
          <cell r="AJ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-1.8752253999999999</v>
          </cell>
          <cell r="R93">
            <v>9.9920099999999996E-16</v>
          </cell>
          <cell r="S93">
            <v>0</v>
          </cell>
          <cell r="T93">
            <v>0</v>
          </cell>
          <cell r="U93">
            <v>0</v>
          </cell>
          <cell r="Z93">
            <v>-0.19599</v>
          </cell>
          <cell r="AE93">
            <v>0.63493986000000002</v>
          </cell>
          <cell r="AJ93">
            <v>-1.46538499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1.8447746</v>
          </cell>
          <cell r="R94">
            <v>-17.494979560000001</v>
          </cell>
          <cell r="S94">
            <v>-39.852867680000003</v>
          </cell>
          <cell r="T94">
            <v>299.531835</v>
          </cell>
          <cell r="U94">
            <v>-31.0683483</v>
          </cell>
          <cell r="Z94">
            <v>19.602793399999999</v>
          </cell>
          <cell r="AE94">
            <v>-32.130519239999998</v>
          </cell>
          <cell r="AJ94">
            <v>-7.3963967100000003</v>
          </cell>
          <cell r="AO94">
            <v>-5.6688768239999998</v>
          </cell>
          <cell r="AP94">
            <v>-10.103496501885999</v>
          </cell>
          <cell r="AQ94">
            <v>-15.467442174154</v>
          </cell>
          <cell r="AR94">
            <v>-18.718351132494998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15.98445523</v>
          </cell>
          <cell r="R95">
            <v>18.92514581</v>
          </cell>
          <cell r="S95">
            <v>27.889431729999998</v>
          </cell>
          <cell r="T95">
            <v>46.829865980000001</v>
          </cell>
          <cell r="U95">
            <v>137.44448772000001</v>
          </cell>
          <cell r="Z95">
            <v>71.763990269999994</v>
          </cell>
          <cell r="AE95">
            <v>-76.577359810000004</v>
          </cell>
          <cell r="AJ95">
            <v>52.6336528</v>
          </cell>
          <cell r="AO95">
            <v>-8.43072909206</v>
          </cell>
          <cell r="AP95">
            <v>16.762196211452</v>
          </cell>
          <cell r="AQ95">
            <v>21.149240479125002</v>
          </cell>
          <cell r="AR95">
            <v>41.417620396137998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8.3000000000000004E-2</v>
          </cell>
          <cell r="U109">
            <v>0.104</v>
          </cell>
          <cell r="Z109">
            <v>0.16</v>
          </cell>
          <cell r="AE109">
            <v>0.245</v>
          </cell>
          <cell r="AJ109">
            <v>0.33100000000000002</v>
          </cell>
          <cell r="AO109">
            <v>0.33100000000000002</v>
          </cell>
          <cell r="AP109">
            <v>0.33100000000000002</v>
          </cell>
          <cell r="AQ109">
            <v>0.34093000000000001</v>
          </cell>
          <cell r="AR109">
            <v>0.35115790000000002</v>
          </cell>
        </row>
        <row r="110">
          <cell r="A110" t="str">
            <v>Geographical Breakdown</v>
          </cell>
        </row>
        <row r="111">
          <cell r="B111" t="str">
            <v>Sales - % Total Americas</v>
          </cell>
          <cell r="C111" t="str">
            <v>SALES_TOT_AM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J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</row>
        <row r="112">
          <cell r="B112" t="str">
            <v>Sales - % United States</v>
          </cell>
          <cell r="C112" t="str">
            <v>SALES_US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J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B113" t="str">
            <v>Sales - % Canada</v>
          </cell>
          <cell r="C113" t="str">
            <v>SALES_CANADA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J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B114" t="str">
            <v>Sales - % Brazil</v>
          </cell>
          <cell r="C114" t="str">
            <v>SALES_BRAZIL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J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J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B116" t="str">
            <v>Sales - Total % EMEA</v>
          </cell>
          <cell r="C116" t="str">
            <v>SALES_TOT_EMEA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J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B117" t="str">
            <v>Sales - % UK</v>
          </cell>
          <cell r="C117" t="str">
            <v>SALES_UK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J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B118" t="str">
            <v>Sales - % Europe-Ex UK</v>
          </cell>
          <cell r="C118" t="str">
            <v>SALES_EU_EX_UK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J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B119" t="str">
            <v>Sales - % Austria</v>
          </cell>
          <cell r="C119" t="str">
            <v>SALES_AUSTRIA</v>
          </cell>
        </row>
        <row r="120">
          <cell r="B120" t="str">
            <v>Sales - % Belgium</v>
          </cell>
          <cell r="C120" t="str">
            <v>SALES_BEL</v>
          </cell>
        </row>
        <row r="121">
          <cell r="B121" t="str">
            <v>Sales - % Denmark</v>
          </cell>
          <cell r="C121" t="str">
            <v>SALES_DEN</v>
          </cell>
        </row>
        <row r="122">
          <cell r="B122" t="str">
            <v>Sales - % Finland</v>
          </cell>
          <cell r="C122" t="str">
            <v>SALES_FIN</v>
          </cell>
        </row>
        <row r="123">
          <cell r="B123" t="str">
            <v>Sales - % France</v>
          </cell>
          <cell r="C123" t="str">
            <v>SALES_FRA</v>
          </cell>
        </row>
        <row r="124">
          <cell r="B124" t="str">
            <v>Sales - % Germany</v>
          </cell>
          <cell r="C124" t="str">
            <v>SALES_GER</v>
          </cell>
        </row>
        <row r="125">
          <cell r="B125" t="str">
            <v>Sales - % Greece</v>
          </cell>
          <cell r="C125" t="str">
            <v>SALES_GRE</v>
          </cell>
        </row>
        <row r="126">
          <cell r="B126" t="str">
            <v>Sales - % Iceland</v>
          </cell>
          <cell r="C126" t="str">
            <v>SALES_ICE</v>
          </cell>
        </row>
        <row r="127">
          <cell r="B127" t="str">
            <v>Sales - % Ireland</v>
          </cell>
          <cell r="C127" t="str">
            <v>SALES_IRE</v>
          </cell>
        </row>
        <row r="128">
          <cell r="B128" t="str">
            <v>Sales - % Italy</v>
          </cell>
          <cell r="C128" t="str">
            <v>SALES_ITA</v>
          </cell>
        </row>
        <row r="129">
          <cell r="B129" t="str">
            <v>Sales - % Netherlands</v>
          </cell>
          <cell r="C129" t="str">
            <v>SALES_NETH</v>
          </cell>
        </row>
        <row r="130">
          <cell r="B130" t="str">
            <v>Sales - % Norway</v>
          </cell>
          <cell r="C130" t="str">
            <v>SALES_NOR</v>
          </cell>
        </row>
        <row r="131">
          <cell r="B131" t="str">
            <v>Sales - % Portugal</v>
          </cell>
          <cell r="C131" t="str">
            <v>SALES_POR</v>
          </cell>
        </row>
        <row r="132">
          <cell r="B132" t="str">
            <v>Sales - % Spain</v>
          </cell>
          <cell r="C132" t="str">
            <v>SALES_SPA</v>
          </cell>
        </row>
        <row r="133">
          <cell r="B133" t="str">
            <v>Sales - % Sweden</v>
          </cell>
          <cell r="C133" t="str">
            <v>SALES_SWE</v>
          </cell>
        </row>
        <row r="134">
          <cell r="B134" t="str">
            <v>Sales - % Switzerland</v>
          </cell>
          <cell r="C134" t="str">
            <v>SALES_SWIT</v>
          </cell>
        </row>
        <row r="135">
          <cell r="B135" t="str">
            <v>Sales - % Central &amp; Eastern Europe</v>
          </cell>
          <cell r="C135" t="str">
            <v>SALES_CEE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J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</row>
        <row r="136">
          <cell r="B136" t="str">
            <v>Sales - % Middle East</v>
          </cell>
          <cell r="C136" t="str">
            <v>SALES_ME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J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</row>
        <row r="137">
          <cell r="B137" t="str">
            <v>Sales - % Russia</v>
          </cell>
          <cell r="C137" t="str">
            <v>SALES_RUSSIA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J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B138" t="str">
            <v>Sales - % Other EMEA</v>
          </cell>
          <cell r="C138" t="str">
            <v>SALES_OTH_EMEA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J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</row>
        <row r="139">
          <cell r="B139" t="str">
            <v>Sales - Total % Asia (incl Australia &amp; New Zealand)</v>
          </cell>
          <cell r="C139" t="str">
            <v>SALES_TOT_ASIA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J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</row>
        <row r="140">
          <cell r="B140" t="str">
            <v>Sales - % Japan</v>
          </cell>
          <cell r="C140" t="str">
            <v>SALES_JAPAN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J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B141" t="str">
            <v>Sales - % Greater China (incl HK)</v>
          </cell>
          <cell r="C141" t="str">
            <v>SALES_CHINA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J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</row>
        <row r="142">
          <cell r="B142" t="str">
            <v>Sales - % India</v>
          </cell>
          <cell r="C142" t="str">
            <v>SALES_INDIA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J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3">
          <cell r="B143" t="str">
            <v>Sales - % South Korea</v>
          </cell>
          <cell r="C143" t="str">
            <v>SALES_SK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J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</row>
        <row r="144">
          <cell r="B144" t="str">
            <v>Sales - % Australia</v>
          </cell>
          <cell r="C144" t="str">
            <v>SALES_AUSTRA</v>
          </cell>
        </row>
        <row r="145">
          <cell r="B145" t="str">
            <v>Sales - % New Zealand</v>
          </cell>
          <cell r="C145" t="str">
            <v>SALES_NZ</v>
          </cell>
        </row>
        <row r="146">
          <cell r="B146" t="str">
            <v>Sales - % Other AEJ (incl Taiwan)</v>
          </cell>
          <cell r="C146" t="str">
            <v>SALES_OTH_AEJ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J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</row>
        <row r="147">
          <cell r="B147" t="str">
            <v>Sales - % Others</v>
          </cell>
          <cell r="C147" t="str">
            <v>SALES_OTHER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J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</row>
        <row r="148">
          <cell r="B148" t="str">
            <v>Operating Profit - % Total Americas</v>
          </cell>
          <cell r="C148" t="str">
            <v>OP_TOT_AM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J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</row>
        <row r="149">
          <cell r="B149" t="str">
            <v>Operating Profit - % United States</v>
          </cell>
          <cell r="C149" t="str">
            <v>OP_US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J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</row>
        <row r="150">
          <cell r="B150" t="str">
            <v>Operating Profit - % Canada</v>
          </cell>
          <cell r="C150" t="str">
            <v>OP_CANADA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J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</row>
        <row r="151">
          <cell r="B151" t="str">
            <v>Operating Profit - % Brazil</v>
          </cell>
          <cell r="C151" t="str">
            <v>OP_BRAZIL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J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</row>
        <row r="152">
          <cell r="B152" t="str">
            <v>Operating Profit - % Other Americas</v>
          </cell>
          <cell r="C152" t="str">
            <v>OP_OTH_AM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J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</row>
        <row r="153">
          <cell r="B153" t="str">
            <v>Operating Profit - Total % EMEA</v>
          </cell>
          <cell r="C153" t="str">
            <v>OP_TOT_EMEA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J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</row>
        <row r="154">
          <cell r="B154" t="str">
            <v>Operating Profit - % UK</v>
          </cell>
          <cell r="C154" t="str">
            <v>OP_UK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J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</row>
        <row r="155">
          <cell r="B155" t="str">
            <v>Operating Profit - % Europe-Ex UK</v>
          </cell>
          <cell r="C155" t="str">
            <v>OP_EU_EX_UK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J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</row>
        <row r="156">
          <cell r="B156" t="str">
            <v>Operating Profit - % Austria</v>
          </cell>
          <cell r="C156" t="str">
            <v>OP_AUSTRIA</v>
          </cell>
        </row>
        <row r="157">
          <cell r="B157" t="str">
            <v>Operating Profit - % Belgium</v>
          </cell>
          <cell r="C157" t="str">
            <v>OP_BEL</v>
          </cell>
        </row>
        <row r="158">
          <cell r="B158" t="str">
            <v>Operating Profit - % Denmark</v>
          </cell>
          <cell r="C158" t="str">
            <v>OP_DEN</v>
          </cell>
        </row>
        <row r="159">
          <cell r="B159" t="str">
            <v>Operating Profit - % Finland</v>
          </cell>
          <cell r="C159" t="str">
            <v>OP_FIN</v>
          </cell>
        </row>
        <row r="160">
          <cell r="B160" t="str">
            <v>Operating Profit - % France</v>
          </cell>
          <cell r="C160" t="str">
            <v>OP_FRA</v>
          </cell>
        </row>
        <row r="161">
          <cell r="B161" t="str">
            <v>Operating Profit - % Germany</v>
          </cell>
          <cell r="C161" t="str">
            <v>OP_GER</v>
          </cell>
        </row>
        <row r="162">
          <cell r="B162" t="str">
            <v>Operating Profit - % Greece</v>
          </cell>
          <cell r="C162" t="str">
            <v>OP_GRE</v>
          </cell>
        </row>
        <row r="163">
          <cell r="B163" t="str">
            <v>Operating Profit - % Iceland</v>
          </cell>
          <cell r="C163" t="str">
            <v>OP_ICE</v>
          </cell>
        </row>
        <row r="164">
          <cell r="B164" t="str">
            <v>Operating Profit - % Ireland</v>
          </cell>
          <cell r="C164" t="str">
            <v>OP_IRE</v>
          </cell>
        </row>
        <row r="165">
          <cell r="B165" t="str">
            <v>Operating Profit - % Italy</v>
          </cell>
          <cell r="C165" t="str">
            <v>OP_ITA</v>
          </cell>
        </row>
        <row r="166">
          <cell r="B166" t="str">
            <v>Operating Profit - % Netherlands</v>
          </cell>
          <cell r="C166" t="str">
            <v>OP_NETH</v>
          </cell>
        </row>
        <row r="167">
          <cell r="B167" t="str">
            <v>Operating Profit - % Norway</v>
          </cell>
          <cell r="C167" t="str">
            <v>OP_NOR</v>
          </cell>
        </row>
        <row r="168">
          <cell r="B168" t="str">
            <v>Operating Profit - % Portugal</v>
          </cell>
          <cell r="C168" t="str">
            <v>OP_POR</v>
          </cell>
        </row>
        <row r="169">
          <cell r="B169" t="str">
            <v>Operating Profit - % Spain</v>
          </cell>
          <cell r="C169" t="str">
            <v>OP_SPA</v>
          </cell>
        </row>
        <row r="170">
          <cell r="B170" t="str">
            <v>Operating Profit - % Sweden</v>
          </cell>
          <cell r="C170" t="str">
            <v>OP_SWE</v>
          </cell>
        </row>
        <row r="171">
          <cell r="B171" t="str">
            <v>Operating Profit - % Switzerland</v>
          </cell>
          <cell r="C171" t="str">
            <v>OP_SWIT</v>
          </cell>
        </row>
        <row r="172">
          <cell r="B172" t="str">
            <v>Operating Profit - % Central &amp; Eastern Europe</v>
          </cell>
          <cell r="C172" t="str">
            <v>OP_CEE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J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B173" t="str">
            <v>Operating Profit - % Middle East</v>
          </cell>
          <cell r="C173" t="str">
            <v>OP_ME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J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B174" t="str">
            <v>Operating Profit - % Russia</v>
          </cell>
          <cell r="C174" t="str">
            <v>OP_RUSSIA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J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B175" t="str">
            <v>Operating Profit - % Other EMEA</v>
          </cell>
          <cell r="C175" t="str">
            <v>OP_OTH_EMEA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J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</row>
        <row r="176">
          <cell r="B176" t="str">
            <v>Operating Profit - Total % Asia (incl Australia &amp; New Zealand)</v>
          </cell>
          <cell r="C176" t="str">
            <v>OP_TOT_ASIA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J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B177" t="str">
            <v>Operating Profit - % Japan</v>
          </cell>
          <cell r="C177" t="str">
            <v>OP_JAPAN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J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8">
          <cell r="B178" t="str">
            <v>Operating Profit - % Greater China (incl HK)</v>
          </cell>
          <cell r="C178" t="str">
            <v>OP_CHINA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1</v>
          </cell>
          <cell r="AA178">
            <v>1</v>
          </cell>
          <cell r="AB178">
            <v>1</v>
          </cell>
          <cell r="AC178">
            <v>1</v>
          </cell>
          <cell r="AD178">
            <v>1</v>
          </cell>
          <cell r="AE178">
            <v>1</v>
          </cell>
          <cell r="AJ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</row>
        <row r="179">
          <cell r="B179" t="str">
            <v>Operating Profit - % India</v>
          </cell>
          <cell r="C179" t="str">
            <v>OP_INDIA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J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</row>
        <row r="180">
          <cell r="B180" t="str">
            <v>Operating Profit - % South Korea</v>
          </cell>
          <cell r="C180" t="str">
            <v>OP_SK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J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</row>
        <row r="181">
          <cell r="B181" t="str">
            <v>Operating Profit - % Australia</v>
          </cell>
          <cell r="C181" t="str">
            <v>OP_AUSTRA</v>
          </cell>
        </row>
        <row r="182">
          <cell r="B182" t="str">
            <v>Operating Profit - % New Zealand</v>
          </cell>
          <cell r="C182" t="str">
            <v>OP_NZ</v>
          </cell>
        </row>
        <row r="183">
          <cell r="B183" t="str">
            <v>Operating Profit - % Other AEJ (incl Taiwan)</v>
          </cell>
          <cell r="C183" t="str">
            <v>OP_OTH_AEJ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J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</row>
        <row r="184">
          <cell r="B184" t="str">
            <v>Operating Profit - % Others</v>
          </cell>
          <cell r="C184" t="str">
            <v>OP_OTHER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J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</row>
        <row r="185">
          <cell r="B185" t="str">
            <v>Sales -% Consumer (C)</v>
          </cell>
          <cell r="C185" t="str">
            <v>SALES_CONS</v>
          </cell>
        </row>
        <row r="186">
          <cell r="B186" t="str">
            <v>Sales -% Industry (I)</v>
          </cell>
          <cell r="C186" t="str">
            <v>SALES_IND</v>
          </cell>
        </row>
        <row r="187">
          <cell r="B187" t="str">
            <v>Sales -% Government (G)</v>
          </cell>
          <cell r="C187" t="str">
            <v>SALES_GOV</v>
          </cell>
        </row>
        <row r="188">
          <cell r="B188" t="str">
            <v>Operating Profit - % Consumer (C)</v>
          </cell>
          <cell r="C188" t="str">
            <v>OP_CONS</v>
          </cell>
        </row>
        <row r="189">
          <cell r="B189" t="str">
            <v>Operating Profit - % Industry (I)</v>
          </cell>
          <cell r="C189" t="str">
            <v>OP_IND</v>
          </cell>
        </row>
        <row r="190">
          <cell r="B190" t="str">
            <v>Operating Profit - % Government (G)</v>
          </cell>
          <cell r="C190" t="str">
            <v>OP_GOV</v>
          </cell>
        </row>
        <row r="191">
          <cell r="A191" t="str">
            <v>Security: Hunan Talkweb Information System</v>
          </cell>
          <cell r="B191" t="str">
            <v>133XD</v>
          </cell>
        </row>
        <row r="192">
          <cell r="A192" t="str">
            <v>Reference Data</v>
          </cell>
        </row>
        <row r="193">
          <cell r="B193" t="str">
            <v>Ticker</v>
          </cell>
          <cell r="C193" t="str">
            <v>Ticker</v>
          </cell>
          <cell r="E193" t="str">
            <v>002261.SZ</v>
          </cell>
        </row>
        <row r="194">
          <cell r="B194" t="str">
            <v>Security Name</v>
          </cell>
          <cell r="C194" t="str">
            <v>Security Name</v>
          </cell>
          <cell r="E194" t="str">
            <v>Hunan Talkweb Information System</v>
          </cell>
        </row>
        <row r="195">
          <cell r="B195" t="str">
            <v>Interim Type</v>
          </cell>
          <cell r="C195" t="str">
            <v>Interim Type</v>
          </cell>
          <cell r="E195" t="str">
            <v>Q</v>
          </cell>
        </row>
        <row r="196">
          <cell r="B196" t="str">
            <v>Publishing Currency</v>
          </cell>
          <cell r="C196" t="str">
            <v>PUB_CURRENCY_ISO</v>
          </cell>
          <cell r="E196" t="str">
            <v>CNY</v>
          </cell>
        </row>
        <row r="197">
          <cell r="B197" t="str">
            <v>Pricing Currency</v>
          </cell>
          <cell r="C197" t="str">
            <v>PRICE_CURRENCY_ISO</v>
          </cell>
          <cell r="E197" t="str">
            <v>CNY</v>
          </cell>
        </row>
        <row r="198">
          <cell r="B198" t="str">
            <v>Reporting Currency</v>
          </cell>
          <cell r="C198" t="str">
            <v>CURRENCY_ISO</v>
          </cell>
          <cell r="E198" t="str">
            <v>CNY</v>
          </cell>
        </row>
        <row r="199">
          <cell r="A199" t="str">
            <v>General Information</v>
          </cell>
        </row>
        <row r="200">
          <cell r="B200" t="str">
            <v>Asia Pacific Investment List</v>
          </cell>
          <cell r="C200" t="str">
            <v>AEJ_LIST</v>
          </cell>
          <cell r="E200" t="str">
            <v>Sell</v>
          </cell>
        </row>
        <row r="201">
          <cell r="B201" t="str">
            <v>Asia Pacific Conviction List</v>
          </cell>
          <cell r="C201" t="str">
            <v>AEJ_CONVICTION</v>
          </cell>
        </row>
        <row r="202">
          <cell r="B202" t="str">
            <v>Legal rating</v>
          </cell>
          <cell r="C202" t="str">
            <v>LEGAL_RATING</v>
          </cell>
        </row>
        <row r="203">
          <cell r="B203" t="str">
            <v>Target price</v>
          </cell>
          <cell r="C203" t="str">
            <v>TARGET_PRICE</v>
          </cell>
          <cell r="D203" t="str">
            <v>CNY</v>
          </cell>
          <cell r="E203">
            <v>9.4</v>
          </cell>
        </row>
        <row r="204">
          <cell r="B204" t="str">
            <v>Target price period</v>
          </cell>
          <cell r="C204" t="str">
            <v>TP_PERIOD</v>
          </cell>
          <cell r="E204" t="str">
            <v>12 months</v>
          </cell>
        </row>
        <row r="205">
          <cell r="B205" t="str">
            <v>Current shares outstanding (mn)</v>
          </cell>
          <cell r="C205" t="str">
            <v>NUM_SH</v>
          </cell>
          <cell r="E205">
            <v>283.443840807166</v>
          </cell>
        </row>
        <row r="206">
          <cell r="B206" t="str">
            <v>Free float</v>
          </cell>
          <cell r="C206" t="str">
            <v>FREE_FLOAT</v>
          </cell>
        </row>
        <row r="207">
          <cell r="B207" t="str">
            <v>Foreign ownership</v>
          </cell>
          <cell r="C207" t="str">
            <v>FOREIGN_HOLDNG</v>
          </cell>
        </row>
        <row r="208">
          <cell r="B208" t="str">
            <v>Exceptionals (pre-tax)</v>
          </cell>
          <cell r="C208" t="str">
            <v>ACT1</v>
          </cell>
          <cell r="E208">
            <v>8.9200000000000002E-2</v>
          </cell>
        </row>
        <row r="209">
          <cell r="B209" t="str">
            <v>Catalyst 1 date</v>
          </cell>
          <cell r="C209" t="str">
            <v>CATALYST1_DATE</v>
          </cell>
        </row>
        <row r="210">
          <cell r="B210" t="str">
            <v>Catalyst 1 description</v>
          </cell>
          <cell r="C210" t="str">
            <v>CATALYST1_EVENT</v>
          </cell>
        </row>
        <row r="211">
          <cell r="B211" t="str">
            <v>Catalyst 2 date</v>
          </cell>
          <cell r="C211" t="str">
            <v>CATALYST2_DATE</v>
          </cell>
        </row>
        <row r="212">
          <cell r="B212" t="str">
            <v>Catalyst 2 description</v>
          </cell>
          <cell r="C212" t="str">
            <v>CATALYST2_EVENT</v>
          </cell>
        </row>
        <row r="213">
          <cell r="B213" t="str">
            <v>Catalyst 3 date</v>
          </cell>
          <cell r="C213" t="str">
            <v>CATALYST3_DATE</v>
          </cell>
        </row>
        <row r="214">
          <cell r="B214" t="str">
            <v>Catalyst 3 description</v>
          </cell>
          <cell r="C214" t="str">
            <v>CATALYST3_EVENT</v>
          </cell>
        </row>
        <row r="215">
          <cell r="B215" t="str">
            <v>Catalyst 4 date</v>
          </cell>
          <cell r="C215" t="str">
            <v>CATALYST4_DATE</v>
          </cell>
        </row>
        <row r="216">
          <cell r="B216" t="str">
            <v>Catalyst 4 description</v>
          </cell>
          <cell r="C216" t="str">
            <v>CATALYST4_EVENT</v>
          </cell>
        </row>
        <row r="217">
          <cell r="B217" t="str">
            <v>Catalyst 5 date</v>
          </cell>
          <cell r="C217" t="str">
            <v>CATALYST5_DATE</v>
          </cell>
        </row>
        <row r="218">
          <cell r="B218" t="str">
            <v>Catalyst 5 description</v>
          </cell>
          <cell r="C218" t="str">
            <v>CATALYST5_EVENT</v>
          </cell>
        </row>
        <row r="219">
          <cell r="B219" t="str">
            <v>Target price multiple</v>
          </cell>
          <cell r="C219" t="str">
            <v>PRI_TARG_MULT</v>
          </cell>
          <cell r="E219">
            <v>41.191525616063998</v>
          </cell>
        </row>
        <row r="220">
          <cell r="B220" t="str">
            <v>Target price methodology</v>
          </cell>
          <cell r="C220" t="str">
            <v>PRI_TARG_METH</v>
          </cell>
          <cell r="E220" t="str">
            <v>13E PE</v>
          </cell>
        </row>
        <row r="221">
          <cell r="A221" t="str">
            <v>Publishing Items</v>
          </cell>
        </row>
        <row r="222">
          <cell r="B222" t="str">
            <v>Book value per share, BVPS (Pub)</v>
          </cell>
          <cell r="C222" t="str">
            <v>BVPS_PUB</v>
          </cell>
          <cell r="D222" t="str">
            <v>CNY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Q222">
            <v>0.33913102540500001</v>
          </cell>
          <cell r="R222">
            <v>0.440527810957</v>
          </cell>
          <cell r="S222">
            <v>0.58126476783100001</v>
          </cell>
          <cell r="T222">
            <v>1.8839237244289999</v>
          </cell>
          <cell r="U222">
            <v>2.162824220044</v>
          </cell>
          <cell r="Z222">
            <v>2.5497593269540002</v>
          </cell>
          <cell r="AE222">
            <v>2.7742205503199999</v>
          </cell>
          <cell r="AJ222">
            <v>2.879183521966</v>
          </cell>
          <cell r="AO222">
            <v>3.0717403037439999</v>
          </cell>
          <cell r="AP222">
            <v>3.366525469141</v>
          </cell>
          <cell r="AQ222">
            <v>3.7232678556600001</v>
          </cell>
          <cell r="AR222">
            <v>4.1483956939380002</v>
          </cell>
        </row>
        <row r="223">
          <cell r="B223" t="str">
            <v>DPS, dividend per share (Pub)</v>
          </cell>
          <cell r="C223" t="str">
            <v>DPS_PUB</v>
          </cell>
          <cell r="D223" t="str">
            <v>CNY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Q223">
            <v>0.41986121461800002</v>
          </cell>
          <cell r="R223">
            <v>0.61559099461599998</v>
          </cell>
          <cell r="S223">
            <v>2.7948579618E-2</v>
          </cell>
          <cell r="T223">
            <v>0.10102377946799999</v>
          </cell>
          <cell r="U223">
            <v>0.1</v>
          </cell>
          <cell r="Z223">
            <v>0.10564048637700001</v>
          </cell>
          <cell r="AE223">
            <v>0.03</v>
          </cell>
          <cell r="AJ223">
            <v>2.0000000013999999E-2</v>
          </cell>
          <cell r="AO223">
            <v>3.5645496710000002E-2</v>
          </cell>
          <cell r="AP223">
            <v>5.4569688723999997E-2</v>
          </cell>
          <cell r="AQ223">
            <v>6.6039011701000003E-2</v>
          </cell>
          <cell r="AR223">
            <v>7.8698308211999995E-2</v>
          </cell>
        </row>
        <row r="224">
          <cell r="B224" t="str">
            <v>EBITDA (Pub)</v>
          </cell>
          <cell r="C224" t="str">
            <v>EBITDA_PUB</v>
          </cell>
          <cell r="D224" t="str">
            <v>CNY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37.104153619999998</v>
          </cell>
          <cell r="R224">
            <v>64.884607419999995</v>
          </cell>
          <cell r="S224">
            <v>89.773244210000001</v>
          </cell>
          <cell r="T224">
            <v>89.607524639999994</v>
          </cell>
          <cell r="U224">
            <v>94.956830960000005</v>
          </cell>
          <cell r="Z224">
            <v>130.32349790999999</v>
          </cell>
          <cell r="AE224">
            <v>91.149962729999999</v>
          </cell>
          <cell r="AJ224">
            <v>44.898334050000003</v>
          </cell>
          <cell r="AO224">
            <v>94.789356680126005</v>
          </cell>
          <cell r="AP224">
            <v>132.29177508297201</v>
          </cell>
          <cell r="AQ224">
            <v>163.90698896635001</v>
          </cell>
          <cell r="AR224">
            <v>195.66974640835701</v>
          </cell>
        </row>
        <row r="225">
          <cell r="B225" t="str">
            <v>EPS (Pub)</v>
          </cell>
          <cell r="C225" t="str">
            <v>EPS_PUB</v>
          </cell>
          <cell r="D225" t="str">
            <v>CNY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Q225">
            <v>0.76418653347599996</v>
          </cell>
          <cell r="R225">
            <v>0.83697223422900002</v>
          </cell>
          <cell r="S225">
            <v>1.0576044512739999</v>
          </cell>
          <cell r="T225">
            <v>0.98117961857400005</v>
          </cell>
          <cell r="U225">
            <v>0.77978750657600004</v>
          </cell>
          <cell r="Z225">
            <v>0.76179014900899999</v>
          </cell>
          <cell r="AE225">
            <v>0.30366656944300002</v>
          </cell>
          <cell r="AJ225">
            <v>0.12803989267099999</v>
          </cell>
          <cell r="AO225">
            <v>0.22820227848800001</v>
          </cell>
          <cell r="AP225">
            <v>0.34935485412099998</v>
          </cell>
          <cell r="AQ225">
            <v>0.42278139821999999</v>
          </cell>
          <cell r="AR225">
            <v>0.50382614648900004</v>
          </cell>
        </row>
        <row r="226">
          <cell r="B226" t="str">
            <v>EV adjustment (Pub)</v>
          </cell>
          <cell r="C226" t="str">
            <v>EV_ADJ_PUB</v>
          </cell>
          <cell r="D226" t="str">
            <v>CNY</v>
          </cell>
        </row>
        <row r="227">
          <cell r="B227" t="str">
            <v>Net debt (Pub)</v>
          </cell>
          <cell r="C227" t="str">
            <v>NET_DEBT_PUB</v>
          </cell>
          <cell r="D227" t="str">
            <v>CNY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-12.902518840000001</v>
          </cell>
          <cell r="Q227">
            <v>-13.886974070000001</v>
          </cell>
          <cell r="R227">
            <v>-66.812119879999997</v>
          </cell>
          <cell r="S227">
            <v>-86.691551610000005</v>
          </cell>
          <cell r="T227">
            <v>-450.44726093000003</v>
          </cell>
          <cell r="U227">
            <v>-535.79245041000001</v>
          </cell>
          <cell r="Z227">
            <v>-578.87984164</v>
          </cell>
          <cell r="AE227">
            <v>-531.59161563999999</v>
          </cell>
          <cell r="AJ227">
            <v>-459.40795606</v>
          </cell>
          <cell r="AO227">
            <v>-450.97722696794</v>
          </cell>
          <cell r="AP227">
            <v>-467.73942317939202</v>
          </cell>
          <cell r="AQ227">
            <v>-488.88866365851698</v>
          </cell>
          <cell r="AR227">
            <v>-530.30628405465598</v>
          </cell>
        </row>
        <row r="228">
          <cell r="B228" t="str">
            <v>Net income (Pub)</v>
          </cell>
          <cell r="C228" t="str">
            <v>NI_PUB</v>
          </cell>
          <cell r="D228" t="str">
            <v>CNY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32.912707779999998</v>
          </cell>
          <cell r="R228">
            <v>50.10604</v>
          </cell>
          <cell r="S228">
            <v>63.314371459999997</v>
          </cell>
          <cell r="T228">
            <v>78.362727559999996</v>
          </cell>
          <cell r="U228">
            <v>87.189730130000001</v>
          </cell>
          <cell r="Z228">
            <v>110.73062873000001</v>
          </cell>
          <cell r="AA228">
            <v>21.839505339999999</v>
          </cell>
          <cell r="AB228">
            <v>21.196585729999999</v>
          </cell>
          <cell r="AC228">
            <v>2.0437849799999999</v>
          </cell>
          <cell r="AD228">
            <v>21.12967694</v>
          </cell>
          <cell r="AE228">
            <v>66.209552990000006</v>
          </cell>
          <cell r="AF228">
            <v>16.5137383</v>
          </cell>
          <cell r="AG228">
            <v>6.73780161</v>
          </cell>
          <cell r="AH228">
            <v>10.04191601</v>
          </cell>
          <cell r="AI228">
            <v>2.9986630600000002</v>
          </cell>
          <cell r="AJ228">
            <v>36.292118979999998</v>
          </cell>
          <cell r="AO228">
            <v>64.682530339709004</v>
          </cell>
          <cell r="AP228">
            <v>99.022481724092003</v>
          </cell>
          <cell r="AQ228">
            <v>119.83478341492599</v>
          </cell>
          <cell r="AR228">
            <v>142.806418157184</v>
          </cell>
        </row>
        <row r="229">
          <cell r="B229" t="str">
            <v>EBIT, operating profit (Pub)</v>
          </cell>
          <cell r="C229" t="str">
            <v>EBIT_PUB</v>
          </cell>
          <cell r="D229" t="str">
            <v>CNY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35.308480670000002</v>
          </cell>
          <cell r="R229">
            <v>61.586556289999997</v>
          </cell>
          <cell r="S229">
            <v>80.201620730000002</v>
          </cell>
          <cell r="T229">
            <v>74.736040099999997</v>
          </cell>
          <cell r="U229">
            <v>76.694974029999997</v>
          </cell>
          <cell r="Z229">
            <v>111.85904295</v>
          </cell>
          <cell r="AA229">
            <v>22.143361800000001</v>
          </cell>
          <cell r="AB229">
            <v>20.947807430000001</v>
          </cell>
          <cell r="AC229">
            <v>6.5742891700000001</v>
          </cell>
          <cell r="AD229">
            <v>19.548562199999999</v>
          </cell>
          <cell r="AE229">
            <v>69.214020599999998</v>
          </cell>
          <cell r="AF229">
            <v>13.46908569</v>
          </cell>
          <cell r="AG229">
            <v>5.9427364999999996</v>
          </cell>
          <cell r="AH229">
            <v>7.0102553800000003</v>
          </cell>
          <cell r="AI229">
            <v>-5.4921755499999998</v>
          </cell>
          <cell r="AJ229">
            <v>20.92990202</v>
          </cell>
          <cell r="AO229">
            <v>66.988090735681993</v>
          </cell>
          <cell r="AP229">
            <v>101.833390785456</v>
          </cell>
          <cell r="AQ229">
            <v>131.55754297914899</v>
          </cell>
          <cell r="AR229">
            <v>162.35255131871199</v>
          </cell>
        </row>
        <row r="230">
          <cell r="B230" t="str">
            <v>Pre-tax profit (Pub)</v>
          </cell>
          <cell r="C230" t="str">
            <v>PTP_PUB</v>
          </cell>
          <cell r="D230" t="str">
            <v>CNY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38.795600129999997</v>
          </cell>
          <cell r="R230">
            <v>65.040609140000001</v>
          </cell>
          <cell r="S230">
            <v>85.695181529999999</v>
          </cell>
          <cell r="T230">
            <v>92.227841220000002</v>
          </cell>
          <cell r="U230">
            <v>102.56391837</v>
          </cell>
          <cell r="Z230">
            <v>127.69863547999999</v>
          </cell>
          <cell r="AE230">
            <v>89.264766829999999</v>
          </cell>
          <cell r="AJ230">
            <v>46.593804710000001</v>
          </cell>
          <cell r="AO230">
            <v>86.979323368482</v>
          </cell>
          <cell r="AP230">
            <v>125.908802028344</v>
          </cell>
          <cell r="AQ230">
            <v>152.18426597014999</v>
          </cell>
          <cell r="AR230">
            <v>181.69447970745099</v>
          </cell>
        </row>
        <row r="231">
          <cell r="B231" t="str">
            <v>Sales, revenue (Pub)</v>
          </cell>
          <cell r="C231" t="str">
            <v>REVS_PUB</v>
          </cell>
          <cell r="D231" t="str">
            <v>CNY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136.89141136999999</v>
          </cell>
          <cell r="R231">
            <v>163.43650439000001</v>
          </cell>
          <cell r="S231">
            <v>233.46612117000001</v>
          </cell>
          <cell r="T231">
            <v>262.57942185000002</v>
          </cell>
          <cell r="U231">
            <v>308.68794537000002</v>
          </cell>
          <cell r="Z231">
            <v>357.31868164000002</v>
          </cell>
          <cell r="AA231">
            <v>96.896129290000005</v>
          </cell>
          <cell r="AB231">
            <v>94.896739019999998</v>
          </cell>
          <cell r="AC231">
            <v>84.807257800000002</v>
          </cell>
          <cell r="AD231">
            <v>95.063452100000006</v>
          </cell>
          <cell r="AE231">
            <v>371.66357821000003</v>
          </cell>
          <cell r="AF231">
            <v>87.344064729999999</v>
          </cell>
          <cell r="AG231">
            <v>99.206435220000003</v>
          </cell>
          <cell r="AH231">
            <v>104.79711143999999</v>
          </cell>
          <cell r="AI231">
            <v>141.44885124999999</v>
          </cell>
          <cell r="AJ231">
            <v>432.79646264000002</v>
          </cell>
          <cell r="AO231">
            <v>531.77179000000001</v>
          </cell>
          <cell r="AP231">
            <v>646.67007620000004</v>
          </cell>
          <cell r="AQ231">
            <v>796.50181878599994</v>
          </cell>
          <cell r="AR231">
            <v>960.11186444418001</v>
          </cell>
        </row>
        <row r="232">
          <cell r="B232" t="str">
            <v>Total shareholders' equity (Pub)</v>
          </cell>
          <cell r="C232" t="str">
            <v>EQ_PUB</v>
          </cell>
          <cell r="D232" t="str">
            <v>CNY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108.05901683</v>
          </cell>
          <cell r="R232">
            <v>146.86058728</v>
          </cell>
          <cell r="S232">
            <v>194.2456536</v>
          </cell>
          <cell r="T232">
            <v>541.21311295999999</v>
          </cell>
          <cell r="U232">
            <v>622.69480277000002</v>
          </cell>
          <cell r="Z232">
            <v>747.40916103999996</v>
          </cell>
          <cell r="AE232">
            <v>835.90413509999996</v>
          </cell>
          <cell r="AJ232">
            <v>866.67140949999998</v>
          </cell>
          <cell r="AO232">
            <v>928.77858372782396</v>
          </cell>
          <cell r="AP232">
            <v>1020.33362327776</v>
          </cell>
          <cell r="AQ232">
            <v>1129.4500555601901</v>
          </cell>
          <cell r="AR232">
            <v>1257.9499229575299</v>
          </cell>
        </row>
        <row r="233">
          <cell r="B233" t="str">
            <v>EPS (consensus)</v>
          </cell>
          <cell r="C233" t="str">
            <v>EPS_CONS_PUB</v>
          </cell>
          <cell r="D233" t="str">
            <v>CNY</v>
          </cell>
        </row>
        <row r="234">
          <cell r="A234" t="str">
            <v>Income Statement</v>
          </cell>
        </row>
        <row r="235">
          <cell r="B235" t="str">
            <v>Provision for income tax</v>
          </cell>
          <cell r="C235" t="str">
            <v>PROV_INC_TAX</v>
          </cell>
          <cell r="D235" t="str">
            <v>CNY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-1.4807891399999999</v>
          </cell>
          <cell r="R235">
            <v>-4.4822709300000003</v>
          </cell>
          <cell r="S235">
            <v>-8.0845345300000009</v>
          </cell>
          <cell r="T235">
            <v>-8.0098364199999992</v>
          </cell>
          <cell r="U235">
            <v>-12.880617900000001</v>
          </cell>
          <cell r="Z235">
            <v>-13.949697970000001</v>
          </cell>
          <cell r="AE235">
            <v>-12.34014908</v>
          </cell>
          <cell r="AJ235">
            <v>-7.2190762800000003</v>
          </cell>
          <cell r="AO235">
            <v>-14.768652638772</v>
          </cell>
          <cell r="AP235">
            <v>-18.886320304251999</v>
          </cell>
          <cell r="AQ235">
            <v>-24.349482555224</v>
          </cell>
          <cell r="AR235">
            <v>-30.888061550267</v>
          </cell>
        </row>
        <row r="236">
          <cell r="B236" t="str">
            <v>Minority interest</v>
          </cell>
          <cell r="C236" t="str">
            <v>INC_MINORITY</v>
          </cell>
          <cell r="D236" t="str">
            <v>CNY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-4.4021032099999999</v>
          </cell>
          <cell r="R236">
            <v>-10.45229821</v>
          </cell>
          <cell r="S236">
            <v>-14.29627554</v>
          </cell>
          <cell r="T236">
            <v>-5.8552772400000004</v>
          </cell>
          <cell r="U236">
            <v>-2.4935703400000002</v>
          </cell>
          <cell r="Z236">
            <v>-3.0183087799999999</v>
          </cell>
          <cell r="AE236">
            <v>-10.715064760000001</v>
          </cell>
          <cell r="AJ236">
            <v>-3.0826094500000001</v>
          </cell>
          <cell r="AO236">
            <v>-7.5281403899999999</v>
          </cell>
          <cell r="AP236">
            <v>-8</v>
          </cell>
          <cell r="AQ236">
            <v>-8</v>
          </cell>
          <cell r="AR236">
            <v>-8</v>
          </cell>
        </row>
        <row r="237">
          <cell r="B237" t="str">
            <v>Net income (pre-preferred dividends)</v>
          </cell>
          <cell r="C237" t="str">
            <v>NI_PRE_PREF</v>
          </cell>
          <cell r="D237" t="str">
            <v>CNY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32.912707779999998</v>
          </cell>
          <cell r="R237">
            <v>50.10604</v>
          </cell>
          <cell r="S237">
            <v>63.314371459999997</v>
          </cell>
          <cell r="T237">
            <v>78.362727559999996</v>
          </cell>
          <cell r="U237">
            <v>87.189730130000001</v>
          </cell>
          <cell r="Z237">
            <v>110.73062873000001</v>
          </cell>
          <cell r="AE237">
            <v>66.209552990000006</v>
          </cell>
          <cell r="AJ237">
            <v>36.292118979999998</v>
          </cell>
          <cell r="AO237">
            <v>64.682530339709004</v>
          </cell>
          <cell r="AP237">
            <v>99.022481724092003</v>
          </cell>
          <cell r="AQ237">
            <v>119.83478341492599</v>
          </cell>
          <cell r="AR237">
            <v>142.806418157184</v>
          </cell>
        </row>
        <row r="238">
          <cell r="B238" t="str">
            <v>Preferred dividends</v>
          </cell>
          <cell r="C238" t="str">
            <v>PREF_DIV</v>
          </cell>
          <cell r="D238" t="str">
            <v>CNY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Z238">
            <v>0</v>
          </cell>
          <cell r="AE238">
            <v>0</v>
          </cell>
          <cell r="AJ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</row>
        <row r="239">
          <cell r="B239" t="str">
            <v>Net income (pre-exceptionals)</v>
          </cell>
          <cell r="C239" t="str">
            <v>NET_EARNING</v>
          </cell>
          <cell r="D239" t="str">
            <v>CNY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32.912707779999998</v>
          </cell>
          <cell r="R239">
            <v>50.10604</v>
          </cell>
          <cell r="S239">
            <v>63.314371459999997</v>
          </cell>
          <cell r="T239">
            <v>78.362727559999996</v>
          </cell>
          <cell r="U239">
            <v>87.189730130000001</v>
          </cell>
          <cell r="Z239">
            <v>110.73062873000001</v>
          </cell>
          <cell r="AE239">
            <v>66.209552990000006</v>
          </cell>
          <cell r="AJ239">
            <v>36.292118979999998</v>
          </cell>
          <cell r="AO239">
            <v>64.682530339709004</v>
          </cell>
          <cell r="AP239">
            <v>99.022481724092003</v>
          </cell>
          <cell r="AQ239">
            <v>119.83478341492599</v>
          </cell>
          <cell r="AR239">
            <v>142.806418157184</v>
          </cell>
        </row>
        <row r="240">
          <cell r="B240" t="str">
            <v>Post-tax exceptionals</v>
          </cell>
          <cell r="C240" t="str">
            <v>TAX_EXC</v>
          </cell>
          <cell r="D240" t="str">
            <v>CNY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Z240">
            <v>0</v>
          </cell>
          <cell r="AE240">
            <v>0</v>
          </cell>
          <cell r="AJ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B241" t="str">
            <v>Net income (post-exceptionals)</v>
          </cell>
          <cell r="C241" t="str">
            <v>NET_INC</v>
          </cell>
          <cell r="D241" t="str">
            <v>CNY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32.912707779999998</v>
          </cell>
          <cell r="R241">
            <v>50.10604</v>
          </cell>
          <cell r="S241">
            <v>63.314371459999997</v>
          </cell>
          <cell r="T241">
            <v>78.362727559999996</v>
          </cell>
          <cell r="U241">
            <v>87.189730130000001</v>
          </cell>
          <cell r="Z241">
            <v>110.73062873000001</v>
          </cell>
          <cell r="AA241">
            <v>21.839505339999999</v>
          </cell>
          <cell r="AB241">
            <v>21.196585729999999</v>
          </cell>
          <cell r="AC241">
            <v>2.0437849799999999</v>
          </cell>
          <cell r="AD241">
            <v>21.12967694</v>
          </cell>
          <cell r="AE241">
            <v>66.209552990000006</v>
          </cell>
          <cell r="AF241">
            <v>16.5137383</v>
          </cell>
          <cell r="AG241">
            <v>6.73780161</v>
          </cell>
          <cell r="AH241">
            <v>10.04191601</v>
          </cell>
          <cell r="AI241">
            <v>2.9986630600000002</v>
          </cell>
          <cell r="AJ241">
            <v>36.292118979999998</v>
          </cell>
          <cell r="AO241">
            <v>64.682530339709004</v>
          </cell>
          <cell r="AP241">
            <v>99.022481724092003</v>
          </cell>
          <cell r="AQ241">
            <v>119.83478341492599</v>
          </cell>
          <cell r="AR241">
            <v>142.806418157184</v>
          </cell>
        </row>
        <row r="242">
          <cell r="B242" t="str">
            <v>EPS (pre-exceptionals, basic)</v>
          </cell>
          <cell r="C242" t="str">
            <v>EPS</v>
          </cell>
          <cell r="D242" t="str">
            <v>CNY</v>
          </cell>
          <cell r="Q242">
            <v>0.76418653347599996</v>
          </cell>
          <cell r="R242">
            <v>0.83697223422900002</v>
          </cell>
          <cell r="S242">
            <v>1.0576044512739999</v>
          </cell>
          <cell r="T242">
            <v>0.98117961857400005</v>
          </cell>
          <cell r="U242">
            <v>0.77978750657600004</v>
          </cell>
          <cell r="Z242">
            <v>0.76179014900899999</v>
          </cell>
          <cell r="AE242">
            <v>0.30366656944300002</v>
          </cell>
          <cell r="AJ242">
            <v>0.12803989267099999</v>
          </cell>
          <cell r="AO242">
            <v>0.22820227848800001</v>
          </cell>
          <cell r="AP242">
            <v>0.34935485412099998</v>
          </cell>
          <cell r="AQ242">
            <v>0.42278139821999999</v>
          </cell>
          <cell r="AR242">
            <v>0.50382614648900004</v>
          </cell>
        </row>
        <row r="243">
          <cell r="B243" t="str">
            <v>EPS (pre-exceptionals, diluted)</v>
          </cell>
          <cell r="C243" t="str">
            <v>EPS_FUL_DIL</v>
          </cell>
          <cell r="D243" t="str">
            <v>CNY</v>
          </cell>
          <cell r="Q243">
            <v>0.76418653347599996</v>
          </cell>
          <cell r="R243">
            <v>0.83697223422900002</v>
          </cell>
          <cell r="S243">
            <v>1.0576044512739999</v>
          </cell>
          <cell r="T243">
            <v>0.98117961857400005</v>
          </cell>
          <cell r="U243">
            <v>0.77978750657600004</v>
          </cell>
          <cell r="Z243">
            <v>0.76179014900899999</v>
          </cell>
          <cell r="AE243">
            <v>0.30366656944300002</v>
          </cell>
          <cell r="AJ243">
            <v>0.12803989267099999</v>
          </cell>
          <cell r="AO243">
            <v>0.22820227848800001</v>
          </cell>
          <cell r="AP243">
            <v>0.34935485412099998</v>
          </cell>
          <cell r="AQ243">
            <v>0.42278139821999999</v>
          </cell>
          <cell r="AR243">
            <v>0.50382614648900004</v>
          </cell>
        </row>
        <row r="244">
          <cell r="B244" t="str">
            <v>EPS (post-exceptionals, basic)</v>
          </cell>
          <cell r="C244" t="str">
            <v>EPS_POST_BASIC</v>
          </cell>
          <cell r="D244" t="str">
            <v>CNY</v>
          </cell>
          <cell r="Q244">
            <v>0.76418653347599996</v>
          </cell>
          <cell r="R244">
            <v>0.83697223422900002</v>
          </cell>
          <cell r="S244">
            <v>1.0576044512739999</v>
          </cell>
          <cell r="T244">
            <v>0.98117961857400005</v>
          </cell>
          <cell r="U244">
            <v>0.77978750657600004</v>
          </cell>
          <cell r="Z244">
            <v>0.76179014900899999</v>
          </cell>
          <cell r="AE244">
            <v>0.30366656944300002</v>
          </cell>
          <cell r="AJ244">
            <v>0.12803989267099999</v>
          </cell>
          <cell r="AO244">
            <v>0.22820227848800001</v>
          </cell>
          <cell r="AP244">
            <v>0.34935485412099998</v>
          </cell>
          <cell r="AQ244">
            <v>0.42278139821999999</v>
          </cell>
          <cell r="AR244">
            <v>0.50382614648900004</v>
          </cell>
        </row>
        <row r="245">
          <cell r="B245" t="str">
            <v>EPS (post-exceptionals, diluted)</v>
          </cell>
          <cell r="C245" t="str">
            <v>FULLY_DIL_EPS</v>
          </cell>
          <cell r="D245" t="str">
            <v>CNY</v>
          </cell>
          <cell r="Q245">
            <v>0.76418653347599996</v>
          </cell>
          <cell r="R245">
            <v>0.83697223422900002</v>
          </cell>
          <cell r="S245">
            <v>1.0576044512739999</v>
          </cell>
          <cell r="T245">
            <v>0.98117961857400005</v>
          </cell>
          <cell r="U245">
            <v>0.77978750657600004</v>
          </cell>
          <cell r="Z245">
            <v>0.76179014900899999</v>
          </cell>
          <cell r="AE245">
            <v>0.30366656944300002</v>
          </cell>
          <cell r="AJ245">
            <v>0.12803989267099999</v>
          </cell>
          <cell r="AO245">
            <v>0.22820227848800001</v>
          </cell>
          <cell r="AP245">
            <v>0.34935485412099998</v>
          </cell>
          <cell r="AQ245">
            <v>0.42278139821999999</v>
          </cell>
          <cell r="AR245">
            <v>0.50382614648900004</v>
          </cell>
        </row>
        <row r="246">
          <cell r="B246" t="str">
            <v>Common dividends paid</v>
          </cell>
          <cell r="C246" t="str">
            <v>COMMON_DIV_PAID</v>
          </cell>
          <cell r="D246" t="str">
            <v>CNY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-18.082979559999998</v>
          </cell>
          <cell r="R246">
            <v>-36.852867680000003</v>
          </cell>
          <cell r="S246">
            <v>-1.673165</v>
          </cell>
          <cell r="T246">
            <v>-8.0683483000000003</v>
          </cell>
          <cell r="U246">
            <v>-11.181216600000001</v>
          </cell>
          <cell r="Z246">
            <v>-15.355459099999999</v>
          </cell>
          <cell r="AE246">
            <v>-6.5410117200000002</v>
          </cell>
          <cell r="AJ246">
            <v>-5.6688768239999998</v>
          </cell>
          <cell r="AO246">
            <v>-10.103496501885999</v>
          </cell>
          <cell r="AP246">
            <v>-15.467442174154</v>
          </cell>
          <cell r="AQ246">
            <v>-18.718351132494998</v>
          </cell>
          <cell r="AR246">
            <v>-22.306550759844999</v>
          </cell>
        </row>
        <row r="247">
          <cell r="B247" t="str">
            <v>DPS, dividend per share</v>
          </cell>
          <cell r="C247" t="str">
            <v>DPS</v>
          </cell>
          <cell r="D247" t="str">
            <v>CNY</v>
          </cell>
          <cell r="Q247">
            <v>0.41986121461800002</v>
          </cell>
          <cell r="R247">
            <v>0.61559099461599998</v>
          </cell>
          <cell r="S247">
            <v>2.7948579618E-2</v>
          </cell>
          <cell r="T247">
            <v>0.10102377946799999</v>
          </cell>
          <cell r="U247">
            <v>0.1</v>
          </cell>
          <cell r="Z247">
            <v>0.10564048637700001</v>
          </cell>
          <cell r="AE247">
            <v>0.03</v>
          </cell>
          <cell r="AJ247">
            <v>2.0000000013999999E-2</v>
          </cell>
          <cell r="AO247">
            <v>3.5645496710000002E-2</v>
          </cell>
          <cell r="AP247">
            <v>5.4569688723999997E-2</v>
          </cell>
          <cell r="AQ247">
            <v>6.6039011701000003E-2</v>
          </cell>
          <cell r="AR247">
            <v>7.8698308211999995E-2</v>
          </cell>
        </row>
        <row r="248">
          <cell r="B248" t="str">
            <v>Weighted average shares outstanding, basic</v>
          </cell>
          <cell r="C248" t="str">
            <v>SH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43.068944999999999</v>
          </cell>
          <cell r="R248">
            <v>59.865833000000002</v>
          </cell>
          <cell r="S248">
            <v>59.865833000000002</v>
          </cell>
          <cell r="T248">
            <v>79.865832999999995</v>
          </cell>
          <cell r="U248">
            <v>111.812166</v>
          </cell>
          <cell r="Z248">
            <v>145.355816</v>
          </cell>
          <cell r="AE248">
            <v>218.03372400000001</v>
          </cell>
          <cell r="AJ248">
            <v>283.443840807166</v>
          </cell>
          <cell r="AO248">
            <v>283.443840807166</v>
          </cell>
          <cell r="AP248">
            <v>283.443841211338</v>
          </cell>
          <cell r="AQ248">
            <v>283.44384120000001</v>
          </cell>
          <cell r="AR248">
            <v>283.44384100000002</v>
          </cell>
        </row>
        <row r="249">
          <cell r="B249" t="str">
            <v>Diluted average shares outstanding (mn)</v>
          </cell>
          <cell r="C249" t="str">
            <v>DILUTE_SHARES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43.068944999999999</v>
          </cell>
          <cell r="R249">
            <v>59.865833000000002</v>
          </cell>
          <cell r="S249">
            <v>59.865833000000002</v>
          </cell>
          <cell r="T249">
            <v>79.865832999999995</v>
          </cell>
          <cell r="U249">
            <v>111.812166</v>
          </cell>
          <cell r="Z249">
            <v>145.355816</v>
          </cell>
          <cell r="AE249">
            <v>218.03372400000001</v>
          </cell>
          <cell r="AJ249">
            <v>283.443840807166</v>
          </cell>
          <cell r="AO249">
            <v>283.443840807166</v>
          </cell>
          <cell r="AP249">
            <v>283.443841211338</v>
          </cell>
          <cell r="AQ249">
            <v>283.44384120000001</v>
          </cell>
          <cell r="AR249">
            <v>283.44384100000002</v>
          </cell>
        </row>
        <row r="250">
          <cell r="B250" t="str">
            <v>Period-end shares outstanding</v>
          </cell>
          <cell r="C250" t="str">
            <v>NON_OP_ADD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43.068944999999999</v>
          </cell>
          <cell r="R250">
            <v>59.865833000000002</v>
          </cell>
          <cell r="S250">
            <v>59.865833000000002</v>
          </cell>
          <cell r="T250">
            <v>79.865832999999995</v>
          </cell>
          <cell r="U250">
            <v>111.812166</v>
          </cell>
          <cell r="Z250">
            <v>145.355816</v>
          </cell>
          <cell r="AE250">
            <v>218.03372400000001</v>
          </cell>
          <cell r="AJ250">
            <v>283.443840807166</v>
          </cell>
          <cell r="AO250">
            <v>283.443840807166</v>
          </cell>
          <cell r="AP250">
            <v>283.443841211338</v>
          </cell>
          <cell r="AQ250">
            <v>283.44384120000001</v>
          </cell>
          <cell r="AR250">
            <v>283.44384100000002</v>
          </cell>
        </row>
        <row r="251">
          <cell r="A251" t="str">
            <v>Additional Income Statement Items</v>
          </cell>
        </row>
        <row r="252">
          <cell r="B252" t="str">
            <v>Marginal tax rate</v>
          </cell>
          <cell r="C252" t="str">
            <v>MARGIN_TAX_RATE</v>
          </cell>
          <cell r="Q252">
            <v>3.8168996871999997E-2</v>
          </cell>
          <cell r="R252">
            <v>6.8914959272999995E-2</v>
          </cell>
          <cell r="S252">
            <v>9.4340596351999997E-2</v>
          </cell>
          <cell r="T252">
            <v>8.6848356353999998E-2</v>
          </cell>
          <cell r="U252">
            <v>0.12558625006400001</v>
          </cell>
          <cell r="Z252">
            <v>0.109239209312</v>
          </cell>
          <cell r="AE252">
            <v>0.13824210288399999</v>
          </cell>
          <cell r="AJ252">
            <v>0.154936398196</v>
          </cell>
          <cell r="AO252">
            <v>0.16979498192</v>
          </cell>
          <cell r="AP252">
            <v>0.15</v>
          </cell>
          <cell r="AQ252">
            <v>0.16</v>
          </cell>
          <cell r="AR252">
            <v>0.17</v>
          </cell>
        </row>
        <row r="253">
          <cell r="B253" t="str">
            <v>Net income (consensus) (Pub)</v>
          </cell>
          <cell r="C253" t="str">
            <v>NI_CONS</v>
          </cell>
          <cell r="D253" t="str">
            <v>CNY</v>
          </cell>
        </row>
        <row r="254">
          <cell r="A254" t="str">
            <v>Balance Sheet</v>
          </cell>
        </row>
        <row r="255">
          <cell r="B255" t="str">
            <v>BVPS, book value per share</v>
          </cell>
          <cell r="C255" t="str">
            <v>BVPS</v>
          </cell>
          <cell r="D255" t="str">
            <v>CNY</v>
          </cell>
          <cell r="Q255">
            <v>2.2318772960420001</v>
          </cell>
          <cell r="R255">
            <v>2.085745549051</v>
          </cell>
          <cell r="S255">
            <v>2.752085957277</v>
          </cell>
          <cell r="T255">
            <v>6.6860452859740001</v>
          </cell>
          <cell r="U255">
            <v>5.4827593977560003</v>
          </cell>
          <cell r="Z255">
            <v>4.9720306875100002</v>
          </cell>
          <cell r="AE255">
            <v>3.60648671556</v>
          </cell>
          <cell r="AJ255">
            <v>2.879183521966</v>
          </cell>
          <cell r="AO255">
            <v>3.0717403037439999</v>
          </cell>
          <cell r="AP255">
            <v>3.366525469141</v>
          </cell>
          <cell r="AQ255">
            <v>3.7232678556600001</v>
          </cell>
          <cell r="AR255">
            <v>4.1483956939380002</v>
          </cell>
        </row>
        <row r="256">
          <cell r="A256" t="str">
            <v>Cash Flow Statement</v>
          </cell>
        </row>
        <row r="257">
          <cell r="B257" t="str">
            <v>Net income (pre-preferred dividends)</v>
          </cell>
          <cell r="C257" t="str">
            <v>CF_NI_PRE_PREF</v>
          </cell>
          <cell r="D257" t="str">
            <v>CNY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32.912707779999998</v>
          </cell>
          <cell r="R257">
            <v>50.10604</v>
          </cell>
          <cell r="S257">
            <v>63.314371459999997</v>
          </cell>
          <cell r="T257">
            <v>78.362727559999996</v>
          </cell>
          <cell r="U257">
            <v>87.189730130000001</v>
          </cell>
          <cell r="Z257">
            <v>110.73062873000001</v>
          </cell>
          <cell r="AE257">
            <v>66.209552990000006</v>
          </cell>
          <cell r="AJ257">
            <v>36.292118979999998</v>
          </cell>
          <cell r="AO257">
            <v>64.682530339709004</v>
          </cell>
          <cell r="AP257">
            <v>99.022481724092003</v>
          </cell>
          <cell r="AQ257">
            <v>119.83478341492599</v>
          </cell>
          <cell r="AR257">
            <v>142.806418157184</v>
          </cell>
        </row>
        <row r="258">
          <cell r="A258" t="str">
            <v>Other Items</v>
          </cell>
        </row>
        <row r="259">
          <cell r="B259" t="str">
            <v>Beta</v>
          </cell>
          <cell r="C259" t="str">
            <v>BETA_ANALYST</v>
          </cell>
        </row>
        <row r="260">
          <cell r="B260" t="str">
            <v>Market equity risk premium</v>
          </cell>
          <cell r="C260" t="str">
            <v>MKT_EQ_RISK_PREM</v>
          </cell>
        </row>
        <row r="261">
          <cell r="B261" t="str">
            <v>Risk-free rate</v>
          </cell>
          <cell r="C261" t="str">
            <v>RISK_FR_RATE</v>
          </cell>
        </row>
      </sheetData>
      <sheetData sheetId="16" refreshError="1">
        <row r="1">
          <cell r="A1" t="str">
            <v>Issuer: Hunan Talkweb Information System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 t="str">
            <v>2010 Q1</v>
          </cell>
          <cell r="W1" t="str">
            <v>2010 Q2</v>
          </cell>
          <cell r="X1" t="str">
            <v>2010 Q3</v>
          </cell>
          <cell r="Y1" t="str">
            <v>2010 Q4</v>
          </cell>
          <cell r="Z1">
            <v>2010</v>
          </cell>
          <cell r="AA1" t="str">
            <v>2011 Q1</v>
          </cell>
          <cell r="AB1" t="str">
            <v>2011 Q2</v>
          </cell>
          <cell r="AC1" t="str">
            <v>2011 Q3</v>
          </cell>
          <cell r="AD1" t="str">
            <v>2011 Q4</v>
          </cell>
          <cell r="AE1">
            <v>2011</v>
          </cell>
          <cell r="AF1" t="str">
            <v>2012 Q1</v>
          </cell>
          <cell r="AG1" t="str">
            <v>2012 Q2</v>
          </cell>
          <cell r="AH1" t="str">
            <v>2012 Q3</v>
          </cell>
          <cell r="AI1" t="str">
            <v>2012 Q4</v>
          </cell>
          <cell r="AJ1">
            <v>2012</v>
          </cell>
          <cell r="AK1" t="str">
            <v>2013 Q1</v>
          </cell>
          <cell r="AL1" t="str">
            <v>2013 Q2</v>
          </cell>
          <cell r="AM1" t="str">
            <v>2013 Q3</v>
          </cell>
          <cell r="AN1" t="str">
            <v>2013 Q4</v>
          </cell>
          <cell r="AO1">
            <v>2013</v>
          </cell>
          <cell r="AP1">
            <v>2014</v>
          </cell>
          <cell r="AQ1">
            <v>2015</v>
          </cell>
          <cell r="AR1">
            <v>2016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Estimate</v>
          </cell>
          <cell r="AM2" t="str">
            <v>Estimate</v>
          </cell>
          <cell r="AN2" t="str">
            <v>Estimate</v>
          </cell>
          <cell r="AO2" t="str">
            <v>Estimate</v>
          </cell>
          <cell r="AP2" t="str">
            <v>Estimate</v>
          </cell>
          <cell r="AQ2" t="str">
            <v>Estimate</v>
          </cell>
          <cell r="AR2" t="str">
            <v>Estimate</v>
          </cell>
        </row>
        <row r="3">
          <cell r="F3" t="str">
            <v>IGNORED</v>
          </cell>
          <cell r="G3" t="str">
            <v>IGNORED</v>
          </cell>
          <cell r="H3" t="str">
            <v>IGNORED</v>
          </cell>
          <cell r="I3" t="str">
            <v>IGNORED</v>
          </cell>
          <cell r="J3" t="str">
            <v>IGNORED</v>
          </cell>
          <cell r="K3" t="str">
            <v>IGNORED</v>
          </cell>
          <cell r="L3" t="str">
            <v>IGNORED</v>
          </cell>
          <cell r="M3" t="str">
            <v>IGNORED</v>
          </cell>
          <cell r="N3" t="str">
            <v>IGNORED</v>
          </cell>
          <cell r="O3" t="str">
            <v>IGNORED</v>
          </cell>
          <cell r="P3" t="str">
            <v>IGNORED</v>
          </cell>
          <cell r="Q3" t="str">
            <v>IGNORED</v>
          </cell>
          <cell r="R3" t="str">
            <v>IGNORED</v>
          </cell>
          <cell r="S3" t="str">
            <v>IGNORED</v>
          </cell>
          <cell r="T3" t="str">
            <v>IGNORED</v>
          </cell>
          <cell r="U3" t="str">
            <v>IGNORED</v>
          </cell>
          <cell r="V3" t="str">
            <v>IGNORED</v>
          </cell>
          <cell r="W3" t="str">
            <v>IGNORED</v>
          </cell>
          <cell r="X3" t="str">
            <v>IGNORED</v>
          </cell>
          <cell r="Y3" t="str">
            <v>IGNORED</v>
          </cell>
          <cell r="Z3" t="str">
            <v>IGNORED</v>
          </cell>
          <cell r="AA3" t="str">
            <v>IGNORED</v>
          </cell>
          <cell r="AB3" t="str">
            <v>IGNORED</v>
          </cell>
          <cell r="AC3" t="str">
            <v>IGNORED</v>
          </cell>
          <cell r="AD3" t="str">
            <v>IGNORED</v>
          </cell>
          <cell r="AE3" t="str">
            <v>IGNORED</v>
          </cell>
          <cell r="AF3" t="str">
            <v>IGNORED</v>
          </cell>
          <cell r="AG3" t="str">
            <v>IGNORED</v>
          </cell>
          <cell r="AH3" t="str">
            <v>IGNORED</v>
          </cell>
          <cell r="AI3" t="str">
            <v>IGNORED</v>
          </cell>
          <cell r="AJ3" t="str">
            <v>IGNORED</v>
          </cell>
          <cell r="AK3" t="str">
            <v>IGNORED</v>
          </cell>
          <cell r="AL3" t="str">
            <v>IGNORED</v>
          </cell>
          <cell r="AM3" t="str">
            <v>IGNORED</v>
          </cell>
          <cell r="AN3" t="str">
            <v>IGNORED</v>
          </cell>
          <cell r="AO3" t="str">
            <v>IGNORED</v>
          </cell>
          <cell r="AP3" t="str">
            <v>IGNORED</v>
          </cell>
          <cell r="AQ3" t="str">
            <v>IGNORED</v>
          </cell>
          <cell r="AR3" t="str">
            <v>IGNORED</v>
          </cell>
        </row>
        <row r="4">
          <cell r="A4" t="str">
            <v>Issuer: Hunan Talkweb Information System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Hunan Talkweb Information System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 t="str">
            <v>IGNORED</v>
          </cell>
          <cell r="G9" t="str">
            <v>IGNORED</v>
          </cell>
          <cell r="H9" t="str">
            <v>IGNORED</v>
          </cell>
          <cell r="I9" t="str">
            <v>IGNORED</v>
          </cell>
          <cell r="J9" t="str">
            <v>IGNORED</v>
          </cell>
          <cell r="K9" t="str">
            <v>IGNORED</v>
          </cell>
          <cell r="L9" t="str">
            <v>IGNORED</v>
          </cell>
          <cell r="M9" t="str">
            <v>IGNORED</v>
          </cell>
          <cell r="N9" t="str">
            <v>IGNORED</v>
          </cell>
          <cell r="O9" t="str">
            <v>IGNORED</v>
          </cell>
          <cell r="P9" t="str">
            <v>IGNORED</v>
          </cell>
          <cell r="Q9" t="str">
            <v>IGNORED</v>
          </cell>
          <cell r="R9" t="str">
            <v>IGNORED</v>
          </cell>
          <cell r="S9" t="str">
            <v>IGNORED</v>
          </cell>
          <cell r="T9" t="str">
            <v>IGNORED</v>
          </cell>
          <cell r="U9" t="str">
            <v>IGNORED</v>
          </cell>
          <cell r="V9" t="str">
            <v>IGNORED</v>
          </cell>
          <cell r="W9" t="str">
            <v>IGNORED</v>
          </cell>
          <cell r="X9" t="str">
            <v>IGNORED</v>
          </cell>
          <cell r="Y9" t="str">
            <v>IGNORED</v>
          </cell>
          <cell r="Z9" t="str">
            <v>IGNORED</v>
          </cell>
          <cell r="AA9" t="str">
            <v>IGNORED</v>
          </cell>
          <cell r="AB9" t="str">
            <v>IGNORED</v>
          </cell>
          <cell r="AC9" t="str">
            <v>IGNORED</v>
          </cell>
          <cell r="AD9" t="str">
            <v>IGNORED</v>
          </cell>
          <cell r="AE9" t="str">
            <v>IGNORED</v>
          </cell>
          <cell r="AF9" t="str">
            <v>IGNORED</v>
          </cell>
          <cell r="AG9" t="str">
            <v>IGNORED</v>
          </cell>
          <cell r="AH9" t="str">
            <v>IGNORED</v>
          </cell>
          <cell r="AI9" t="str">
            <v>IGNORED</v>
          </cell>
          <cell r="AJ9" t="str">
            <v>IGNORED</v>
          </cell>
          <cell r="AK9" t="str">
            <v>IGNORED</v>
          </cell>
          <cell r="AL9" t="str">
            <v>IGNORED</v>
          </cell>
          <cell r="AM9" t="str">
            <v>IGNORED</v>
          </cell>
          <cell r="AN9" t="str">
            <v>IGNORED</v>
          </cell>
          <cell r="AO9" t="str">
            <v>IGNORED</v>
          </cell>
          <cell r="AP9" t="str">
            <v>IGNORED</v>
          </cell>
          <cell r="AQ9" t="str">
            <v>IGNORED</v>
          </cell>
          <cell r="AR9" t="str">
            <v>IGNORED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  <cell r="F10" t="str">
            <v>IGNORED</v>
          </cell>
          <cell r="G10" t="str">
            <v>IGNORED</v>
          </cell>
          <cell r="H10" t="str">
            <v>IGNORED</v>
          </cell>
          <cell r="I10" t="str">
            <v>IGNORED</v>
          </cell>
          <cell r="J10" t="str">
            <v>IGNORED</v>
          </cell>
          <cell r="K10" t="str">
            <v>IGNORED</v>
          </cell>
          <cell r="L10" t="str">
            <v>IGNORED</v>
          </cell>
          <cell r="M10" t="str">
            <v>IGNORED</v>
          </cell>
          <cell r="N10" t="str">
            <v>IGNORED</v>
          </cell>
          <cell r="O10" t="str">
            <v>IGNORED</v>
          </cell>
          <cell r="P10" t="str">
            <v>IGNORED</v>
          </cell>
          <cell r="Q10" t="str">
            <v>IGNORED</v>
          </cell>
          <cell r="R10" t="str">
            <v>IGNORED</v>
          </cell>
          <cell r="S10" t="str">
            <v>IGNORED</v>
          </cell>
          <cell r="T10" t="str">
            <v>IGNORED</v>
          </cell>
          <cell r="U10" t="str">
            <v>IGNORED</v>
          </cell>
          <cell r="V10" t="str">
            <v>IGNORED</v>
          </cell>
          <cell r="W10" t="str">
            <v>IGNORED</v>
          </cell>
          <cell r="X10" t="str">
            <v>IGNORED</v>
          </cell>
          <cell r="Y10" t="str">
            <v>IGNORED</v>
          </cell>
          <cell r="Z10" t="str">
            <v>IGNORED</v>
          </cell>
          <cell r="AA10" t="str">
            <v>IGNORED</v>
          </cell>
          <cell r="AB10" t="str">
            <v>IGNORED</v>
          </cell>
          <cell r="AC10" t="str">
            <v>IGNORED</v>
          </cell>
          <cell r="AD10" t="str">
            <v>IGNORED</v>
          </cell>
          <cell r="AE10" t="str">
            <v>IGNORED</v>
          </cell>
          <cell r="AF10" t="str">
            <v>IGNORED</v>
          </cell>
          <cell r="AG10" t="str">
            <v>IGNORED</v>
          </cell>
          <cell r="AH10" t="str">
            <v>IGNORED</v>
          </cell>
          <cell r="AI10" t="str">
            <v>IGNORED</v>
          </cell>
          <cell r="AJ10" t="str">
            <v>IGNORED</v>
          </cell>
          <cell r="AK10" t="str">
            <v>IGNORED</v>
          </cell>
          <cell r="AL10" t="str">
            <v>IGNORED</v>
          </cell>
          <cell r="AM10" t="str">
            <v>IGNORED</v>
          </cell>
          <cell r="AN10" t="str">
            <v>IGNORED</v>
          </cell>
          <cell r="AO10" t="str">
            <v>IGNORED</v>
          </cell>
          <cell r="AP10" t="str">
            <v>IGNORED</v>
          </cell>
          <cell r="AQ10" t="str">
            <v>IGNORED</v>
          </cell>
          <cell r="AR10" t="str">
            <v>IGNORED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 t="str">
            <v>IGNORED</v>
          </cell>
          <cell r="G11" t="str">
            <v>IGNORED</v>
          </cell>
          <cell r="H11" t="str">
            <v>IGNORED</v>
          </cell>
          <cell r="I11" t="str">
            <v>IGNORED</v>
          </cell>
          <cell r="J11" t="str">
            <v>IGNORED</v>
          </cell>
          <cell r="K11" t="str">
            <v>IGNORED</v>
          </cell>
          <cell r="L11" t="str">
            <v>IGNORED</v>
          </cell>
          <cell r="M11" t="str">
            <v>IGNORED</v>
          </cell>
          <cell r="N11" t="str">
            <v>IGNORED</v>
          </cell>
          <cell r="O11" t="str">
            <v>IGNORED</v>
          </cell>
          <cell r="P11" t="str">
            <v>IGNORED</v>
          </cell>
          <cell r="Q11" t="str">
            <v>IGNORED</v>
          </cell>
          <cell r="R11" t="str">
            <v>IGNORED</v>
          </cell>
          <cell r="S11" t="str">
            <v>IGNORED</v>
          </cell>
          <cell r="T11" t="str">
            <v>IGNORED</v>
          </cell>
          <cell r="U11" t="str">
            <v>IGNORED</v>
          </cell>
          <cell r="V11" t="str">
            <v>IGNORED</v>
          </cell>
          <cell r="W11" t="str">
            <v>IGNORED</v>
          </cell>
          <cell r="X11" t="str">
            <v>IGNORED</v>
          </cell>
          <cell r="Y11" t="str">
            <v>IGNORED</v>
          </cell>
          <cell r="Z11" t="str">
            <v>IGNORED</v>
          </cell>
          <cell r="AA11" t="str">
            <v>IGNORED</v>
          </cell>
          <cell r="AB11" t="str">
            <v>IGNORED</v>
          </cell>
          <cell r="AC11" t="str">
            <v>IGNORED</v>
          </cell>
          <cell r="AD11" t="str">
            <v>IGNORED</v>
          </cell>
          <cell r="AE11" t="str">
            <v>IGNORED</v>
          </cell>
          <cell r="AF11" t="str">
            <v>IGNORED</v>
          </cell>
          <cell r="AG11" t="str">
            <v>IGNORED</v>
          </cell>
          <cell r="AH11" t="str">
            <v>IGNORED</v>
          </cell>
          <cell r="AI11" t="str">
            <v>IGNORED</v>
          </cell>
          <cell r="AJ11" t="str">
            <v>IGNORED</v>
          </cell>
          <cell r="AK11" t="str">
            <v>IGNORED</v>
          </cell>
          <cell r="AL11" t="str">
            <v>IGNORED</v>
          </cell>
          <cell r="AM11" t="str">
            <v>IGNORED</v>
          </cell>
          <cell r="AN11" t="str">
            <v>IGNORED</v>
          </cell>
          <cell r="AO11" t="str">
            <v>IGNORED</v>
          </cell>
          <cell r="AP11" t="str">
            <v>IGNORED</v>
          </cell>
          <cell r="AQ11" t="str">
            <v>IGNORED</v>
          </cell>
          <cell r="AR11" t="str">
            <v>IGNORED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 t="str">
            <v>IGNORED</v>
          </cell>
          <cell r="G12" t="str">
            <v>IGNORED</v>
          </cell>
          <cell r="H12" t="str">
            <v>IGNORED</v>
          </cell>
          <cell r="I12" t="str">
            <v>IGNORED</v>
          </cell>
          <cell r="J12" t="str">
            <v>IGNORED</v>
          </cell>
          <cell r="K12" t="str">
            <v>IGNORED</v>
          </cell>
          <cell r="L12" t="str">
            <v>IGNORED</v>
          </cell>
          <cell r="M12" t="str">
            <v>IGNORED</v>
          </cell>
          <cell r="N12" t="str">
            <v>IGNORED</v>
          </cell>
          <cell r="O12" t="str">
            <v>IGNORED</v>
          </cell>
          <cell r="P12" t="str">
            <v>IGNORED</v>
          </cell>
          <cell r="Q12" t="str">
            <v>IGNORED</v>
          </cell>
          <cell r="R12" t="str">
            <v>IGNORED</v>
          </cell>
          <cell r="S12" t="str">
            <v>IGNORED</v>
          </cell>
          <cell r="T12" t="str">
            <v>IGNORED</v>
          </cell>
          <cell r="U12" t="str">
            <v>IGNORED</v>
          </cell>
          <cell r="V12" t="str">
            <v>IGNORED</v>
          </cell>
          <cell r="W12" t="str">
            <v>IGNORED</v>
          </cell>
          <cell r="X12" t="str">
            <v>IGNORED</v>
          </cell>
          <cell r="Y12" t="str">
            <v>IGNORED</v>
          </cell>
          <cell r="Z12" t="str">
            <v>IGNORED</v>
          </cell>
          <cell r="AA12" t="str">
            <v>IGNORED</v>
          </cell>
          <cell r="AB12" t="str">
            <v>IGNORED</v>
          </cell>
          <cell r="AC12" t="str">
            <v>IGNORED</v>
          </cell>
          <cell r="AD12" t="str">
            <v>IGNORED</v>
          </cell>
          <cell r="AE12" t="str">
            <v>IGNORED</v>
          </cell>
          <cell r="AF12" t="str">
            <v>IGNORED</v>
          </cell>
          <cell r="AG12" t="str">
            <v>IGNORED</v>
          </cell>
          <cell r="AH12" t="str">
            <v>IGNORED</v>
          </cell>
          <cell r="AI12" t="str">
            <v>IGNORED</v>
          </cell>
          <cell r="AJ12" t="str">
            <v>IGNORED</v>
          </cell>
          <cell r="AK12" t="str">
            <v>IGNORED</v>
          </cell>
          <cell r="AL12" t="str">
            <v>IGNORED</v>
          </cell>
          <cell r="AM12" t="str">
            <v>IGNORED</v>
          </cell>
          <cell r="AN12" t="str">
            <v>IGNORED</v>
          </cell>
          <cell r="AO12" t="str">
            <v>IGNORED</v>
          </cell>
          <cell r="AP12" t="str">
            <v>IGNORED</v>
          </cell>
          <cell r="AQ12" t="str">
            <v>IGNORED</v>
          </cell>
          <cell r="AR12" t="str">
            <v>IGNORED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 t="str">
            <v>IGNORED</v>
          </cell>
          <cell r="G13" t="str">
            <v>IGNORED</v>
          </cell>
          <cell r="H13" t="str">
            <v>IGNORED</v>
          </cell>
          <cell r="I13" t="str">
            <v>IGNORED</v>
          </cell>
          <cell r="J13" t="str">
            <v>IGNORED</v>
          </cell>
          <cell r="K13" t="str">
            <v>IGNORED</v>
          </cell>
          <cell r="L13" t="str">
            <v>IGNORED</v>
          </cell>
          <cell r="M13" t="str">
            <v>IGNORED</v>
          </cell>
          <cell r="N13" t="str">
            <v>IGNORED</v>
          </cell>
          <cell r="O13" t="str">
            <v>IGNORED</v>
          </cell>
          <cell r="P13" t="str">
            <v>IGNORED</v>
          </cell>
          <cell r="Q13" t="str">
            <v>IGNORED</v>
          </cell>
          <cell r="R13" t="str">
            <v>IGNORED</v>
          </cell>
          <cell r="S13" t="str">
            <v>IGNORED</v>
          </cell>
          <cell r="T13" t="str">
            <v>IGNORED</v>
          </cell>
          <cell r="U13" t="str">
            <v>IGNORED</v>
          </cell>
          <cell r="V13" t="str">
            <v>IGNORED</v>
          </cell>
          <cell r="W13" t="str">
            <v>IGNORED</v>
          </cell>
          <cell r="X13" t="str">
            <v>IGNORED</v>
          </cell>
          <cell r="Y13" t="str">
            <v>IGNORED</v>
          </cell>
          <cell r="Z13" t="str">
            <v>IGNORED</v>
          </cell>
          <cell r="AA13" t="str">
            <v>IGNORED</v>
          </cell>
          <cell r="AB13" t="str">
            <v>IGNORED</v>
          </cell>
          <cell r="AC13" t="str">
            <v>IGNORED</v>
          </cell>
          <cell r="AD13" t="str">
            <v>IGNORED</v>
          </cell>
          <cell r="AE13" t="str">
            <v>IGNORED</v>
          </cell>
          <cell r="AF13" t="str">
            <v>IGNORED</v>
          </cell>
          <cell r="AG13" t="str">
            <v>IGNORED</v>
          </cell>
          <cell r="AH13" t="str">
            <v>IGNORED</v>
          </cell>
          <cell r="AI13" t="str">
            <v>IGNORED</v>
          </cell>
          <cell r="AJ13" t="str">
            <v>IGNORED</v>
          </cell>
          <cell r="AK13" t="str">
            <v>IGNORED</v>
          </cell>
          <cell r="AL13" t="str">
            <v>IGNORED</v>
          </cell>
          <cell r="AM13" t="str">
            <v>IGNORED</v>
          </cell>
          <cell r="AN13" t="str">
            <v>IGNORED</v>
          </cell>
          <cell r="AO13" t="str">
            <v>IGNORED</v>
          </cell>
          <cell r="AP13" t="str">
            <v>IGNORED</v>
          </cell>
          <cell r="AQ13" t="str">
            <v>IGNORED</v>
          </cell>
          <cell r="AR13" t="str">
            <v>IGNORED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 t="str">
            <v>IGNORED</v>
          </cell>
          <cell r="G14" t="str">
            <v>IGNORED</v>
          </cell>
          <cell r="H14" t="str">
            <v>IGNORED</v>
          </cell>
          <cell r="I14" t="str">
            <v>IGNORED</v>
          </cell>
          <cell r="J14" t="str">
            <v>IGNORED</v>
          </cell>
          <cell r="K14" t="str">
            <v>IGNORED</v>
          </cell>
          <cell r="L14" t="str">
            <v>IGNORED</v>
          </cell>
          <cell r="M14" t="str">
            <v>IGNORED</v>
          </cell>
          <cell r="N14" t="str">
            <v>IGNORED</v>
          </cell>
          <cell r="O14" t="str">
            <v>IGNORED</v>
          </cell>
          <cell r="P14" t="str">
            <v>IGNORED</v>
          </cell>
          <cell r="Q14" t="str">
            <v>IGNORED</v>
          </cell>
          <cell r="R14" t="str">
            <v>IGNORED</v>
          </cell>
          <cell r="S14" t="str">
            <v>IGNORED</v>
          </cell>
          <cell r="T14" t="str">
            <v>IGNORED</v>
          </cell>
          <cell r="U14" t="str">
            <v>IGNORED</v>
          </cell>
          <cell r="V14" t="str">
            <v>IGNORED</v>
          </cell>
          <cell r="W14" t="str">
            <v>IGNORED</v>
          </cell>
          <cell r="X14" t="str">
            <v>IGNORED</v>
          </cell>
          <cell r="Y14" t="str">
            <v>IGNORED</v>
          </cell>
          <cell r="Z14" t="str">
            <v>IGNORED</v>
          </cell>
          <cell r="AA14" t="str">
            <v>IGNORED</v>
          </cell>
          <cell r="AB14" t="str">
            <v>IGNORED</v>
          </cell>
          <cell r="AC14" t="str">
            <v>IGNORED</v>
          </cell>
          <cell r="AD14" t="str">
            <v>IGNORED</v>
          </cell>
          <cell r="AE14" t="str">
            <v>IGNORED</v>
          </cell>
          <cell r="AF14" t="str">
            <v>IGNORED</v>
          </cell>
          <cell r="AG14" t="str">
            <v>IGNORED</v>
          </cell>
          <cell r="AH14" t="str">
            <v>IGNORED</v>
          </cell>
          <cell r="AI14" t="str">
            <v>IGNORED</v>
          </cell>
          <cell r="AJ14" t="str">
            <v>IGNORED</v>
          </cell>
          <cell r="AK14" t="str">
            <v>IGNORED</v>
          </cell>
          <cell r="AL14" t="str">
            <v>IGNORED</v>
          </cell>
          <cell r="AM14" t="str">
            <v>IGNORED</v>
          </cell>
          <cell r="AN14" t="str">
            <v>IGNORED</v>
          </cell>
          <cell r="AO14" t="str">
            <v>IGNORED</v>
          </cell>
          <cell r="AP14" t="str">
            <v>IGNORED</v>
          </cell>
          <cell r="AQ14" t="str">
            <v>IGNORED</v>
          </cell>
          <cell r="AR14" t="str">
            <v>IGNORED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 t="str">
            <v>IGNORED</v>
          </cell>
          <cell r="G15" t="str">
            <v>IGNORED</v>
          </cell>
          <cell r="H15" t="str">
            <v>IGNORED</v>
          </cell>
          <cell r="I15" t="str">
            <v>IGNORED</v>
          </cell>
          <cell r="J15" t="str">
            <v>IGNORED</v>
          </cell>
          <cell r="K15" t="str">
            <v>IGNORED</v>
          </cell>
          <cell r="L15" t="str">
            <v>IGNORED</v>
          </cell>
          <cell r="M15" t="str">
            <v>IGNORED</v>
          </cell>
          <cell r="N15" t="str">
            <v>IGNORED</v>
          </cell>
          <cell r="O15" t="str">
            <v>IGNORED</v>
          </cell>
          <cell r="P15" t="str">
            <v>IGNORED</v>
          </cell>
          <cell r="Q15" t="str">
            <v>IGNORED</v>
          </cell>
          <cell r="R15" t="str">
            <v>IGNORED</v>
          </cell>
          <cell r="S15" t="str">
            <v>IGNORED</v>
          </cell>
          <cell r="T15" t="str">
            <v>IGNORED</v>
          </cell>
          <cell r="U15" t="str">
            <v>IGNORED</v>
          </cell>
          <cell r="V15" t="str">
            <v>IGNORED</v>
          </cell>
          <cell r="W15" t="str">
            <v>IGNORED</v>
          </cell>
          <cell r="X15" t="str">
            <v>IGNORED</v>
          </cell>
          <cell r="Y15" t="str">
            <v>IGNORED</v>
          </cell>
          <cell r="Z15" t="str">
            <v>IGNORED</v>
          </cell>
          <cell r="AA15" t="str">
            <v>IGNORED</v>
          </cell>
          <cell r="AB15" t="str">
            <v>IGNORED</v>
          </cell>
          <cell r="AC15" t="str">
            <v>IGNORED</v>
          </cell>
          <cell r="AD15" t="str">
            <v>IGNORED</v>
          </cell>
          <cell r="AE15" t="str">
            <v>IGNORED</v>
          </cell>
          <cell r="AF15" t="str">
            <v>IGNORED</v>
          </cell>
          <cell r="AG15" t="str">
            <v>IGNORED</v>
          </cell>
          <cell r="AH15" t="str">
            <v>IGNORED</v>
          </cell>
          <cell r="AI15" t="str">
            <v>IGNORED</v>
          </cell>
          <cell r="AJ15" t="str">
            <v>IGNORED</v>
          </cell>
          <cell r="AK15" t="str">
            <v>IGNORED</v>
          </cell>
          <cell r="AL15" t="str">
            <v>IGNORED</v>
          </cell>
          <cell r="AM15" t="str">
            <v>IGNORED</v>
          </cell>
          <cell r="AN15" t="str">
            <v>IGNORED</v>
          </cell>
          <cell r="AO15" t="str">
            <v>IGNORED</v>
          </cell>
          <cell r="AP15" t="str">
            <v>IGNORED</v>
          </cell>
          <cell r="AQ15" t="str">
            <v>IGNORED</v>
          </cell>
          <cell r="AR15" t="str">
            <v>IGNORED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 t="str">
            <v>IGNORED</v>
          </cell>
          <cell r="G16" t="str">
            <v>IGNORED</v>
          </cell>
          <cell r="H16" t="str">
            <v>IGNORED</v>
          </cell>
          <cell r="I16" t="str">
            <v>IGNORED</v>
          </cell>
          <cell r="J16" t="str">
            <v>IGNORED</v>
          </cell>
          <cell r="K16" t="str">
            <v>IGNORED</v>
          </cell>
          <cell r="L16" t="str">
            <v>IGNORED</v>
          </cell>
          <cell r="M16" t="str">
            <v>IGNORED</v>
          </cell>
          <cell r="N16" t="str">
            <v>IGNORED</v>
          </cell>
          <cell r="O16" t="str">
            <v>IGNORED</v>
          </cell>
          <cell r="P16" t="str">
            <v>IGNORED</v>
          </cell>
          <cell r="Q16" t="str">
            <v>IGNORED</v>
          </cell>
          <cell r="R16" t="str">
            <v>IGNORED</v>
          </cell>
          <cell r="S16" t="str">
            <v>IGNORED</v>
          </cell>
          <cell r="T16" t="str">
            <v>IGNORED</v>
          </cell>
          <cell r="U16" t="str">
            <v>IGNORED</v>
          </cell>
          <cell r="V16" t="str">
            <v>IGNORED</v>
          </cell>
          <cell r="W16" t="str">
            <v>IGNORED</v>
          </cell>
          <cell r="X16" t="str">
            <v>IGNORED</v>
          </cell>
          <cell r="Y16" t="str">
            <v>IGNORED</v>
          </cell>
          <cell r="Z16" t="str">
            <v>IGNORED</v>
          </cell>
          <cell r="AA16" t="str">
            <v>IGNORED</v>
          </cell>
          <cell r="AB16" t="str">
            <v>IGNORED</v>
          </cell>
          <cell r="AC16" t="str">
            <v>IGNORED</v>
          </cell>
          <cell r="AD16" t="str">
            <v>IGNORED</v>
          </cell>
          <cell r="AE16" t="str">
            <v>IGNORED</v>
          </cell>
          <cell r="AF16" t="str">
            <v>IGNORED</v>
          </cell>
          <cell r="AG16" t="str">
            <v>IGNORED</v>
          </cell>
          <cell r="AH16" t="str">
            <v>IGNORED</v>
          </cell>
          <cell r="AI16" t="str">
            <v>IGNORED</v>
          </cell>
          <cell r="AJ16" t="str">
            <v>IGNORED</v>
          </cell>
          <cell r="AK16" t="str">
            <v>IGNORED</v>
          </cell>
          <cell r="AL16" t="str">
            <v>IGNORED</v>
          </cell>
          <cell r="AM16" t="str">
            <v>IGNORED</v>
          </cell>
          <cell r="AN16" t="str">
            <v>IGNORED</v>
          </cell>
          <cell r="AO16" t="str">
            <v>IGNORED</v>
          </cell>
          <cell r="AP16" t="str">
            <v>IGNORED</v>
          </cell>
          <cell r="AQ16" t="str">
            <v>IGNORED</v>
          </cell>
          <cell r="AR16" t="str">
            <v>IGNORED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 t="str">
            <v>IGNORED</v>
          </cell>
          <cell r="G17" t="str">
            <v>IGNORED</v>
          </cell>
          <cell r="H17" t="str">
            <v>IGNORED</v>
          </cell>
          <cell r="I17" t="str">
            <v>IGNORED</v>
          </cell>
          <cell r="J17" t="str">
            <v>IGNORED</v>
          </cell>
          <cell r="K17" t="str">
            <v>IGNORED</v>
          </cell>
          <cell r="L17" t="str">
            <v>IGNORED</v>
          </cell>
          <cell r="M17" t="str">
            <v>IGNORED</v>
          </cell>
          <cell r="N17" t="str">
            <v>IGNORED</v>
          </cell>
          <cell r="O17" t="str">
            <v>IGNORED</v>
          </cell>
          <cell r="P17" t="str">
            <v>IGNORED</v>
          </cell>
          <cell r="Q17" t="str">
            <v>IGNORED</v>
          </cell>
          <cell r="R17" t="str">
            <v>IGNORED</v>
          </cell>
          <cell r="S17" t="str">
            <v>IGNORED</v>
          </cell>
          <cell r="T17" t="str">
            <v>IGNORED</v>
          </cell>
          <cell r="U17" t="str">
            <v>IGNORED</v>
          </cell>
          <cell r="V17" t="str">
            <v>IGNORED</v>
          </cell>
          <cell r="W17" t="str">
            <v>IGNORED</v>
          </cell>
          <cell r="X17" t="str">
            <v>IGNORED</v>
          </cell>
          <cell r="Y17" t="str">
            <v>IGNORED</v>
          </cell>
          <cell r="Z17" t="str">
            <v>IGNORED</v>
          </cell>
          <cell r="AA17" t="str">
            <v>IGNORED</v>
          </cell>
          <cell r="AB17" t="str">
            <v>IGNORED</v>
          </cell>
          <cell r="AC17" t="str">
            <v>IGNORED</v>
          </cell>
          <cell r="AD17" t="str">
            <v>IGNORED</v>
          </cell>
          <cell r="AE17" t="str">
            <v>IGNORED</v>
          </cell>
          <cell r="AF17" t="str">
            <v>IGNORED</v>
          </cell>
          <cell r="AG17" t="str">
            <v>IGNORED</v>
          </cell>
          <cell r="AH17" t="str">
            <v>IGNORED</v>
          </cell>
          <cell r="AI17" t="str">
            <v>IGNORED</v>
          </cell>
          <cell r="AJ17" t="str">
            <v>IGNORED</v>
          </cell>
          <cell r="AK17" t="str">
            <v>IGNORED</v>
          </cell>
          <cell r="AL17" t="str">
            <v>IGNORED</v>
          </cell>
          <cell r="AM17" t="str">
            <v>IGNORED</v>
          </cell>
          <cell r="AN17" t="str">
            <v>IGNORED</v>
          </cell>
          <cell r="AO17" t="str">
            <v>IGNORED</v>
          </cell>
          <cell r="AP17" t="str">
            <v>IGNORED</v>
          </cell>
          <cell r="AQ17" t="str">
            <v>IGNORED</v>
          </cell>
          <cell r="AR17" t="str">
            <v>IGNORED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 t="str">
            <v>IGNORED</v>
          </cell>
          <cell r="G18" t="str">
            <v>IGNORED</v>
          </cell>
          <cell r="H18" t="str">
            <v>IGNORED</v>
          </cell>
          <cell r="I18" t="str">
            <v>IGNORED</v>
          </cell>
          <cell r="J18" t="str">
            <v>IGNORED</v>
          </cell>
          <cell r="K18" t="str">
            <v>IGNORED</v>
          </cell>
          <cell r="L18" t="str">
            <v>IGNORED</v>
          </cell>
          <cell r="M18" t="str">
            <v>IGNORED</v>
          </cell>
          <cell r="N18" t="str">
            <v>IGNORED</v>
          </cell>
          <cell r="O18" t="str">
            <v>IGNORED</v>
          </cell>
          <cell r="P18" t="str">
            <v>IGNORED</v>
          </cell>
          <cell r="Q18" t="str">
            <v>IGNORED</v>
          </cell>
          <cell r="R18" t="str">
            <v>IGNORED</v>
          </cell>
          <cell r="S18" t="str">
            <v>IGNORED</v>
          </cell>
          <cell r="T18" t="str">
            <v>IGNORED</v>
          </cell>
          <cell r="U18" t="str">
            <v>IGNORED</v>
          </cell>
          <cell r="V18" t="str">
            <v>IGNORED</v>
          </cell>
          <cell r="W18" t="str">
            <v>IGNORED</v>
          </cell>
          <cell r="X18" t="str">
            <v>IGNORED</v>
          </cell>
          <cell r="Y18" t="str">
            <v>IGNORED</v>
          </cell>
          <cell r="Z18" t="str">
            <v>IGNORED</v>
          </cell>
          <cell r="AA18" t="str">
            <v>IGNORED</v>
          </cell>
          <cell r="AB18" t="str">
            <v>IGNORED</v>
          </cell>
          <cell r="AC18" t="str">
            <v>IGNORED</v>
          </cell>
          <cell r="AD18" t="str">
            <v>IGNORED</v>
          </cell>
          <cell r="AE18" t="str">
            <v>IGNORED</v>
          </cell>
          <cell r="AF18" t="str">
            <v>IGNORED</v>
          </cell>
          <cell r="AG18" t="str">
            <v>IGNORED</v>
          </cell>
          <cell r="AH18" t="str">
            <v>IGNORED</v>
          </cell>
          <cell r="AI18" t="str">
            <v>IGNORED</v>
          </cell>
          <cell r="AJ18" t="str">
            <v>IGNORED</v>
          </cell>
          <cell r="AK18" t="str">
            <v>IGNORED</v>
          </cell>
          <cell r="AL18" t="str">
            <v>IGNORED</v>
          </cell>
          <cell r="AM18" t="str">
            <v>IGNORED</v>
          </cell>
          <cell r="AN18" t="str">
            <v>IGNORED</v>
          </cell>
          <cell r="AO18" t="str">
            <v>IGNORED</v>
          </cell>
          <cell r="AP18" t="str">
            <v>IGNORED</v>
          </cell>
          <cell r="AQ18" t="str">
            <v>IGNORED</v>
          </cell>
          <cell r="AR18" t="str">
            <v>IGNORED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 t="str">
            <v>IGNORED</v>
          </cell>
          <cell r="G19" t="str">
            <v>IGNORED</v>
          </cell>
          <cell r="H19" t="str">
            <v>IGNORED</v>
          </cell>
          <cell r="I19" t="str">
            <v>IGNORED</v>
          </cell>
          <cell r="J19" t="str">
            <v>IGNORED</v>
          </cell>
          <cell r="K19" t="str">
            <v>IGNORED</v>
          </cell>
          <cell r="L19" t="str">
            <v>IGNORED</v>
          </cell>
          <cell r="M19" t="str">
            <v>IGNORED</v>
          </cell>
          <cell r="N19" t="str">
            <v>IGNORED</v>
          </cell>
          <cell r="O19" t="str">
            <v>IGNORED</v>
          </cell>
          <cell r="P19" t="str">
            <v>IGNORED</v>
          </cell>
          <cell r="Q19" t="str">
            <v>IGNORED</v>
          </cell>
          <cell r="R19" t="str">
            <v>IGNORED</v>
          </cell>
          <cell r="S19" t="str">
            <v>IGNORED</v>
          </cell>
          <cell r="T19" t="str">
            <v>IGNORED</v>
          </cell>
          <cell r="U19" t="str">
            <v>IGNORED</v>
          </cell>
          <cell r="V19" t="str">
            <v>IGNORED</v>
          </cell>
          <cell r="W19" t="str">
            <v>IGNORED</v>
          </cell>
          <cell r="X19" t="str">
            <v>IGNORED</v>
          </cell>
          <cell r="Y19" t="str">
            <v>IGNORED</v>
          </cell>
          <cell r="Z19" t="str">
            <v>IGNORED</v>
          </cell>
          <cell r="AA19" t="str">
            <v>IGNORED</v>
          </cell>
          <cell r="AB19" t="str">
            <v>IGNORED</v>
          </cell>
          <cell r="AC19" t="str">
            <v>IGNORED</v>
          </cell>
          <cell r="AD19" t="str">
            <v>IGNORED</v>
          </cell>
          <cell r="AE19" t="str">
            <v>IGNORED</v>
          </cell>
          <cell r="AF19" t="str">
            <v>IGNORED</v>
          </cell>
          <cell r="AG19" t="str">
            <v>IGNORED</v>
          </cell>
          <cell r="AH19" t="str">
            <v>IGNORED</v>
          </cell>
          <cell r="AI19" t="str">
            <v>IGNORED</v>
          </cell>
          <cell r="AJ19" t="str">
            <v>IGNORED</v>
          </cell>
          <cell r="AK19" t="str">
            <v>IGNORED</v>
          </cell>
          <cell r="AL19" t="str">
            <v>IGNORED</v>
          </cell>
          <cell r="AM19" t="str">
            <v>IGNORED</v>
          </cell>
          <cell r="AN19" t="str">
            <v>IGNORED</v>
          </cell>
          <cell r="AO19" t="str">
            <v>IGNORED</v>
          </cell>
          <cell r="AP19" t="str">
            <v>IGNORED</v>
          </cell>
          <cell r="AQ19" t="str">
            <v>IGNORED</v>
          </cell>
          <cell r="AR19" t="str">
            <v>IGNORED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 t="str">
            <v>IGNORED</v>
          </cell>
          <cell r="G20" t="str">
            <v>IGNORED</v>
          </cell>
          <cell r="H20" t="str">
            <v>IGNORED</v>
          </cell>
          <cell r="I20" t="str">
            <v>IGNORED</v>
          </cell>
          <cell r="J20" t="str">
            <v>IGNORED</v>
          </cell>
          <cell r="K20" t="str">
            <v>IGNORED</v>
          </cell>
          <cell r="L20" t="str">
            <v>IGNORED</v>
          </cell>
          <cell r="M20" t="str">
            <v>IGNORED</v>
          </cell>
          <cell r="N20" t="str">
            <v>IGNORED</v>
          </cell>
          <cell r="O20" t="str">
            <v>IGNORED</v>
          </cell>
          <cell r="P20" t="str">
            <v>IGNORED</v>
          </cell>
          <cell r="Q20" t="str">
            <v>IGNORED</v>
          </cell>
          <cell r="R20" t="str">
            <v>IGNORED</v>
          </cell>
          <cell r="S20" t="str">
            <v>IGNORED</v>
          </cell>
          <cell r="T20" t="str">
            <v>IGNORED</v>
          </cell>
          <cell r="U20" t="str">
            <v>IGNORED</v>
          </cell>
          <cell r="V20" t="str">
            <v>IGNORED</v>
          </cell>
          <cell r="W20" t="str">
            <v>IGNORED</v>
          </cell>
          <cell r="X20" t="str">
            <v>IGNORED</v>
          </cell>
          <cell r="Y20" t="str">
            <v>IGNORED</v>
          </cell>
          <cell r="Z20" t="str">
            <v>IGNORED</v>
          </cell>
          <cell r="AA20" t="str">
            <v>IGNORED</v>
          </cell>
          <cell r="AB20" t="str">
            <v>IGNORED</v>
          </cell>
          <cell r="AC20" t="str">
            <v>IGNORED</v>
          </cell>
          <cell r="AD20" t="str">
            <v>IGNORED</v>
          </cell>
          <cell r="AE20" t="str">
            <v>IGNORED</v>
          </cell>
          <cell r="AF20" t="str">
            <v>IGNORED</v>
          </cell>
          <cell r="AG20" t="str">
            <v>IGNORED</v>
          </cell>
          <cell r="AH20" t="str">
            <v>IGNORED</v>
          </cell>
          <cell r="AI20" t="str">
            <v>IGNORED</v>
          </cell>
          <cell r="AJ20" t="str">
            <v>IGNORED</v>
          </cell>
          <cell r="AK20" t="str">
            <v>IGNORED</v>
          </cell>
          <cell r="AL20" t="str">
            <v>IGNORED</v>
          </cell>
          <cell r="AM20" t="str">
            <v>IGNORED</v>
          </cell>
          <cell r="AN20" t="str">
            <v>IGNORED</v>
          </cell>
          <cell r="AO20" t="str">
            <v>IGNORED</v>
          </cell>
          <cell r="AP20" t="str">
            <v>IGNORED</v>
          </cell>
          <cell r="AQ20" t="str">
            <v>IGNORED</v>
          </cell>
          <cell r="AR20" t="str">
            <v>IGNORED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 t="str">
            <v>IGNORED</v>
          </cell>
          <cell r="G21" t="str">
            <v>IGNORED</v>
          </cell>
          <cell r="H21" t="str">
            <v>IGNORED</v>
          </cell>
          <cell r="I21" t="str">
            <v>IGNORED</v>
          </cell>
          <cell r="J21" t="str">
            <v>IGNORED</v>
          </cell>
          <cell r="K21" t="str">
            <v>IGNORED</v>
          </cell>
          <cell r="L21" t="str">
            <v>IGNORED</v>
          </cell>
          <cell r="M21" t="str">
            <v>IGNORED</v>
          </cell>
          <cell r="N21" t="str">
            <v>IGNORED</v>
          </cell>
          <cell r="O21" t="str">
            <v>IGNORED</v>
          </cell>
          <cell r="P21" t="str">
            <v>IGNORED</v>
          </cell>
          <cell r="Q21" t="str">
            <v>IGNORED</v>
          </cell>
          <cell r="R21" t="str">
            <v>IGNORED</v>
          </cell>
          <cell r="S21" t="str">
            <v>IGNORED</v>
          </cell>
          <cell r="T21" t="str">
            <v>IGNORED</v>
          </cell>
          <cell r="U21" t="str">
            <v>IGNORED</v>
          </cell>
          <cell r="V21" t="str">
            <v>IGNORED</v>
          </cell>
          <cell r="W21" t="str">
            <v>IGNORED</v>
          </cell>
          <cell r="X21" t="str">
            <v>IGNORED</v>
          </cell>
          <cell r="Y21" t="str">
            <v>IGNORED</v>
          </cell>
          <cell r="Z21" t="str">
            <v>IGNORED</v>
          </cell>
          <cell r="AA21" t="str">
            <v>IGNORED</v>
          </cell>
          <cell r="AB21" t="str">
            <v>IGNORED</v>
          </cell>
          <cell r="AC21" t="str">
            <v>IGNORED</v>
          </cell>
          <cell r="AD21" t="str">
            <v>IGNORED</v>
          </cell>
          <cell r="AE21" t="str">
            <v>IGNORED</v>
          </cell>
          <cell r="AF21" t="str">
            <v>IGNORED</v>
          </cell>
          <cell r="AG21" t="str">
            <v>IGNORED</v>
          </cell>
          <cell r="AH21" t="str">
            <v>IGNORED</v>
          </cell>
          <cell r="AI21" t="str">
            <v>IGNORED</v>
          </cell>
          <cell r="AJ21" t="str">
            <v>IGNORED</v>
          </cell>
          <cell r="AK21" t="str">
            <v>IGNORED</v>
          </cell>
          <cell r="AL21" t="str">
            <v>IGNORED</v>
          </cell>
          <cell r="AM21" t="str">
            <v>IGNORED</v>
          </cell>
          <cell r="AN21" t="str">
            <v>IGNORED</v>
          </cell>
          <cell r="AO21" t="str">
            <v>IGNORED</v>
          </cell>
          <cell r="AP21" t="str">
            <v>IGNORED</v>
          </cell>
          <cell r="AQ21" t="str">
            <v>IGNORED</v>
          </cell>
          <cell r="AR21" t="str">
            <v>IGNORED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 t="str">
            <v>IGNORED</v>
          </cell>
          <cell r="G22" t="str">
            <v>IGNORED</v>
          </cell>
          <cell r="H22" t="str">
            <v>IGNORED</v>
          </cell>
          <cell r="I22" t="str">
            <v>IGNORED</v>
          </cell>
          <cell r="J22" t="str">
            <v>IGNORED</v>
          </cell>
          <cell r="K22" t="str">
            <v>IGNORED</v>
          </cell>
          <cell r="L22" t="str">
            <v>IGNORED</v>
          </cell>
          <cell r="M22" t="str">
            <v>IGNORED</v>
          </cell>
          <cell r="N22" t="str">
            <v>IGNORED</v>
          </cell>
          <cell r="O22" t="str">
            <v>IGNORED</v>
          </cell>
          <cell r="P22" t="str">
            <v>IGNORED</v>
          </cell>
          <cell r="Q22" t="str">
            <v>IGNORED</v>
          </cell>
          <cell r="R22" t="str">
            <v>IGNORED</v>
          </cell>
          <cell r="S22" t="str">
            <v>IGNORED</v>
          </cell>
          <cell r="T22" t="str">
            <v>IGNORED</v>
          </cell>
          <cell r="U22" t="str">
            <v>IGNORED</v>
          </cell>
          <cell r="V22" t="str">
            <v>IGNORED</v>
          </cell>
          <cell r="W22" t="str">
            <v>IGNORED</v>
          </cell>
          <cell r="X22" t="str">
            <v>IGNORED</v>
          </cell>
          <cell r="Y22" t="str">
            <v>IGNORED</v>
          </cell>
          <cell r="Z22" t="str">
            <v>IGNORED</v>
          </cell>
          <cell r="AA22" t="str">
            <v>IGNORED</v>
          </cell>
          <cell r="AB22" t="str">
            <v>IGNORED</v>
          </cell>
          <cell r="AC22" t="str">
            <v>IGNORED</v>
          </cell>
          <cell r="AD22" t="str">
            <v>IGNORED</v>
          </cell>
          <cell r="AE22" t="str">
            <v>IGNORED</v>
          </cell>
          <cell r="AF22" t="str">
            <v>IGNORED</v>
          </cell>
          <cell r="AG22" t="str">
            <v>IGNORED</v>
          </cell>
          <cell r="AH22" t="str">
            <v>IGNORED</v>
          </cell>
          <cell r="AI22" t="str">
            <v>IGNORED</v>
          </cell>
          <cell r="AJ22" t="str">
            <v>IGNORED</v>
          </cell>
          <cell r="AK22" t="str">
            <v>IGNORED</v>
          </cell>
          <cell r="AL22" t="str">
            <v>IGNORED</v>
          </cell>
          <cell r="AM22" t="str">
            <v>IGNORED</v>
          </cell>
          <cell r="AN22" t="str">
            <v>IGNORED</v>
          </cell>
          <cell r="AO22" t="str">
            <v>IGNORED</v>
          </cell>
          <cell r="AP22" t="str">
            <v>IGNORED</v>
          </cell>
          <cell r="AQ22" t="str">
            <v>IGNORED</v>
          </cell>
          <cell r="AR22" t="str">
            <v>IGNORED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 t="str">
            <v>IGNORED</v>
          </cell>
          <cell r="G23" t="str">
            <v>IGNORED</v>
          </cell>
          <cell r="H23" t="str">
            <v>IGNORED</v>
          </cell>
          <cell r="I23" t="str">
            <v>IGNORED</v>
          </cell>
          <cell r="J23" t="str">
            <v>IGNORED</v>
          </cell>
          <cell r="K23" t="str">
            <v>IGNORED</v>
          </cell>
          <cell r="L23" t="str">
            <v>IGNORED</v>
          </cell>
          <cell r="M23" t="str">
            <v>IGNORED</v>
          </cell>
          <cell r="N23" t="str">
            <v>IGNORED</v>
          </cell>
          <cell r="O23" t="str">
            <v>IGNORED</v>
          </cell>
          <cell r="P23" t="str">
            <v>IGNORED</v>
          </cell>
          <cell r="Q23" t="str">
            <v>IGNORED</v>
          </cell>
          <cell r="R23" t="str">
            <v>IGNORED</v>
          </cell>
          <cell r="S23" t="str">
            <v>IGNORED</v>
          </cell>
          <cell r="T23" t="str">
            <v>IGNORED</v>
          </cell>
          <cell r="U23" t="str">
            <v>IGNORED</v>
          </cell>
          <cell r="V23" t="str">
            <v>IGNORED</v>
          </cell>
          <cell r="W23" t="str">
            <v>IGNORED</v>
          </cell>
          <cell r="X23" t="str">
            <v>IGNORED</v>
          </cell>
          <cell r="Y23" t="str">
            <v>IGNORED</v>
          </cell>
          <cell r="Z23" t="str">
            <v>IGNORED</v>
          </cell>
          <cell r="AA23" t="str">
            <v>IGNORED</v>
          </cell>
          <cell r="AB23" t="str">
            <v>IGNORED</v>
          </cell>
          <cell r="AC23" t="str">
            <v>IGNORED</v>
          </cell>
          <cell r="AD23" t="str">
            <v>IGNORED</v>
          </cell>
          <cell r="AE23" t="str">
            <v>IGNORED</v>
          </cell>
          <cell r="AF23" t="str">
            <v>IGNORED</v>
          </cell>
          <cell r="AG23" t="str">
            <v>IGNORED</v>
          </cell>
          <cell r="AH23" t="str">
            <v>IGNORED</v>
          </cell>
          <cell r="AI23" t="str">
            <v>IGNORED</v>
          </cell>
          <cell r="AJ23" t="str">
            <v>IGNORED</v>
          </cell>
          <cell r="AK23" t="str">
            <v>IGNORED</v>
          </cell>
          <cell r="AL23" t="str">
            <v>IGNORED</v>
          </cell>
          <cell r="AM23" t="str">
            <v>IGNORED</v>
          </cell>
          <cell r="AN23" t="str">
            <v>IGNORED</v>
          </cell>
          <cell r="AO23" t="str">
            <v>IGNORED</v>
          </cell>
          <cell r="AP23" t="str">
            <v>IGNORED</v>
          </cell>
          <cell r="AQ23" t="str">
            <v>IGNORED</v>
          </cell>
          <cell r="AR23" t="str">
            <v>IGNORED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 t="str">
            <v>IGNORED</v>
          </cell>
          <cell r="G24" t="str">
            <v>IGNORED</v>
          </cell>
          <cell r="H24" t="str">
            <v>IGNORED</v>
          </cell>
          <cell r="I24" t="str">
            <v>IGNORED</v>
          </cell>
          <cell r="J24" t="str">
            <v>IGNORED</v>
          </cell>
          <cell r="K24" t="str">
            <v>IGNORED</v>
          </cell>
          <cell r="L24" t="str">
            <v>IGNORED</v>
          </cell>
          <cell r="M24" t="str">
            <v>IGNORED</v>
          </cell>
          <cell r="N24" t="str">
            <v>IGNORED</v>
          </cell>
          <cell r="O24" t="str">
            <v>IGNORED</v>
          </cell>
          <cell r="P24" t="str">
            <v>IGNORED</v>
          </cell>
          <cell r="Q24" t="str">
            <v>IGNORED</v>
          </cell>
          <cell r="R24" t="str">
            <v>IGNORED</v>
          </cell>
          <cell r="S24" t="str">
            <v>IGNORED</v>
          </cell>
          <cell r="T24" t="str">
            <v>IGNORED</v>
          </cell>
          <cell r="U24" t="str">
            <v>IGNORED</v>
          </cell>
          <cell r="V24" t="str">
            <v>IGNORED</v>
          </cell>
          <cell r="W24" t="str">
            <v>IGNORED</v>
          </cell>
          <cell r="X24" t="str">
            <v>IGNORED</v>
          </cell>
          <cell r="Y24" t="str">
            <v>IGNORED</v>
          </cell>
          <cell r="Z24" t="str">
            <v>IGNORED</v>
          </cell>
          <cell r="AA24" t="str">
            <v>IGNORED</v>
          </cell>
          <cell r="AB24" t="str">
            <v>IGNORED</v>
          </cell>
          <cell r="AC24" t="str">
            <v>IGNORED</v>
          </cell>
          <cell r="AD24" t="str">
            <v>IGNORED</v>
          </cell>
          <cell r="AE24" t="str">
            <v>IGNORED</v>
          </cell>
          <cell r="AF24" t="str">
            <v>IGNORED</v>
          </cell>
          <cell r="AG24" t="str">
            <v>IGNORED</v>
          </cell>
          <cell r="AH24" t="str">
            <v>IGNORED</v>
          </cell>
          <cell r="AI24" t="str">
            <v>IGNORED</v>
          </cell>
          <cell r="AJ24" t="str">
            <v>IGNORED</v>
          </cell>
          <cell r="AK24" t="str">
            <v>IGNORED</v>
          </cell>
          <cell r="AL24" t="str">
            <v>IGNORED</v>
          </cell>
          <cell r="AM24" t="str">
            <v>IGNORED</v>
          </cell>
          <cell r="AN24" t="str">
            <v>IGNORED</v>
          </cell>
          <cell r="AO24" t="str">
            <v>IGNORED</v>
          </cell>
          <cell r="AP24" t="str">
            <v>IGNORED</v>
          </cell>
          <cell r="AQ24" t="str">
            <v>IGNORED</v>
          </cell>
          <cell r="AR24" t="str">
            <v>IGNORED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 t="str">
            <v>IGNORED</v>
          </cell>
          <cell r="G25" t="str">
            <v>IGNORED</v>
          </cell>
          <cell r="H25" t="str">
            <v>IGNORED</v>
          </cell>
          <cell r="I25" t="str">
            <v>IGNORED</v>
          </cell>
          <cell r="J25" t="str">
            <v>IGNORED</v>
          </cell>
          <cell r="K25" t="str">
            <v>IGNORED</v>
          </cell>
          <cell r="L25" t="str">
            <v>IGNORED</v>
          </cell>
          <cell r="M25" t="str">
            <v>IGNORED</v>
          </cell>
          <cell r="N25" t="str">
            <v>IGNORED</v>
          </cell>
          <cell r="O25" t="str">
            <v>IGNORED</v>
          </cell>
          <cell r="P25" t="str">
            <v>IGNORED</v>
          </cell>
          <cell r="Q25" t="str">
            <v>IGNORED</v>
          </cell>
          <cell r="R25" t="str">
            <v>IGNORED</v>
          </cell>
          <cell r="S25" t="str">
            <v>IGNORED</v>
          </cell>
          <cell r="T25" t="str">
            <v>IGNORED</v>
          </cell>
          <cell r="U25" t="str">
            <v>IGNORED</v>
          </cell>
          <cell r="V25" t="str">
            <v>IGNORED</v>
          </cell>
          <cell r="W25" t="str">
            <v>IGNORED</v>
          </cell>
          <cell r="X25" t="str">
            <v>IGNORED</v>
          </cell>
          <cell r="Y25" t="str">
            <v>IGNORED</v>
          </cell>
          <cell r="Z25" t="str">
            <v>IGNORED</v>
          </cell>
          <cell r="AA25" t="str">
            <v>IGNORED</v>
          </cell>
          <cell r="AB25" t="str">
            <v>IGNORED</v>
          </cell>
          <cell r="AC25" t="str">
            <v>IGNORED</v>
          </cell>
          <cell r="AD25" t="str">
            <v>IGNORED</v>
          </cell>
          <cell r="AE25" t="str">
            <v>IGNORED</v>
          </cell>
          <cell r="AF25" t="str">
            <v>IGNORED</v>
          </cell>
          <cell r="AG25" t="str">
            <v>IGNORED</v>
          </cell>
          <cell r="AH25" t="str">
            <v>IGNORED</v>
          </cell>
          <cell r="AI25" t="str">
            <v>IGNORED</v>
          </cell>
          <cell r="AJ25" t="str">
            <v>IGNORED</v>
          </cell>
          <cell r="AK25" t="str">
            <v>IGNORED</v>
          </cell>
          <cell r="AL25" t="str">
            <v>IGNORED</v>
          </cell>
          <cell r="AM25" t="str">
            <v>IGNORED</v>
          </cell>
          <cell r="AN25" t="str">
            <v>IGNORED</v>
          </cell>
          <cell r="AO25" t="str">
            <v>IGNORED</v>
          </cell>
          <cell r="AP25" t="str">
            <v>IGNORED</v>
          </cell>
          <cell r="AQ25" t="str">
            <v>IGNORED</v>
          </cell>
          <cell r="AR25" t="str">
            <v>IGNORED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 t="str">
            <v>IGNORED</v>
          </cell>
          <cell r="G26" t="str">
            <v>IGNORED</v>
          </cell>
          <cell r="H26" t="str">
            <v>IGNORED</v>
          </cell>
          <cell r="I26" t="str">
            <v>IGNORED</v>
          </cell>
          <cell r="J26" t="str">
            <v>IGNORED</v>
          </cell>
          <cell r="K26" t="str">
            <v>IGNORED</v>
          </cell>
          <cell r="L26" t="str">
            <v>IGNORED</v>
          </cell>
          <cell r="M26" t="str">
            <v>IGNORED</v>
          </cell>
          <cell r="N26" t="str">
            <v>IGNORED</v>
          </cell>
          <cell r="O26" t="str">
            <v>IGNORED</v>
          </cell>
          <cell r="P26" t="str">
            <v>IGNORED</v>
          </cell>
          <cell r="Q26" t="str">
            <v>IGNORED</v>
          </cell>
          <cell r="R26" t="str">
            <v>IGNORED</v>
          </cell>
          <cell r="S26" t="str">
            <v>IGNORED</v>
          </cell>
          <cell r="T26" t="str">
            <v>IGNORED</v>
          </cell>
          <cell r="U26" t="str">
            <v>IGNORED</v>
          </cell>
          <cell r="V26" t="str">
            <v>IGNORED</v>
          </cell>
          <cell r="W26" t="str">
            <v>IGNORED</v>
          </cell>
          <cell r="X26" t="str">
            <v>IGNORED</v>
          </cell>
          <cell r="Y26" t="str">
            <v>IGNORED</v>
          </cell>
          <cell r="Z26" t="str">
            <v>IGNORED</v>
          </cell>
          <cell r="AA26" t="str">
            <v>IGNORED</v>
          </cell>
          <cell r="AB26" t="str">
            <v>IGNORED</v>
          </cell>
          <cell r="AC26" t="str">
            <v>IGNORED</v>
          </cell>
          <cell r="AD26" t="str">
            <v>IGNORED</v>
          </cell>
          <cell r="AE26" t="str">
            <v>IGNORED</v>
          </cell>
          <cell r="AF26" t="str">
            <v>IGNORED</v>
          </cell>
          <cell r="AG26" t="str">
            <v>IGNORED</v>
          </cell>
          <cell r="AH26" t="str">
            <v>IGNORED</v>
          </cell>
          <cell r="AI26" t="str">
            <v>IGNORED</v>
          </cell>
          <cell r="AJ26" t="str">
            <v>IGNORED</v>
          </cell>
          <cell r="AK26" t="str">
            <v>IGNORED</v>
          </cell>
          <cell r="AL26" t="str">
            <v>IGNORED</v>
          </cell>
          <cell r="AM26" t="str">
            <v>IGNORED</v>
          </cell>
          <cell r="AN26" t="str">
            <v>IGNORED</v>
          </cell>
          <cell r="AO26" t="str">
            <v>IGNORED</v>
          </cell>
          <cell r="AP26" t="str">
            <v>IGNORED</v>
          </cell>
          <cell r="AQ26" t="str">
            <v>IGNORED</v>
          </cell>
          <cell r="AR26" t="str">
            <v>IGNORED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 t="str">
            <v>IGNORED</v>
          </cell>
          <cell r="G27" t="str">
            <v>IGNORED</v>
          </cell>
          <cell r="H27" t="str">
            <v>IGNORED</v>
          </cell>
          <cell r="I27" t="str">
            <v>IGNORED</v>
          </cell>
          <cell r="J27" t="str">
            <v>IGNORED</v>
          </cell>
          <cell r="K27" t="str">
            <v>IGNORED</v>
          </cell>
          <cell r="L27" t="str">
            <v>IGNORED</v>
          </cell>
          <cell r="M27" t="str">
            <v>IGNORED</v>
          </cell>
          <cell r="N27" t="str">
            <v>IGNORED</v>
          </cell>
          <cell r="O27" t="str">
            <v>IGNORED</v>
          </cell>
          <cell r="P27" t="str">
            <v>IGNORED</v>
          </cell>
          <cell r="Q27" t="str">
            <v>IGNORED</v>
          </cell>
          <cell r="R27" t="str">
            <v>IGNORED</v>
          </cell>
          <cell r="S27" t="str">
            <v>IGNORED</v>
          </cell>
          <cell r="T27" t="str">
            <v>IGNORED</v>
          </cell>
          <cell r="U27" t="str">
            <v>IGNORED</v>
          </cell>
          <cell r="V27" t="str">
            <v>IGNORED</v>
          </cell>
          <cell r="W27" t="str">
            <v>IGNORED</v>
          </cell>
          <cell r="X27" t="str">
            <v>IGNORED</v>
          </cell>
          <cell r="Y27" t="str">
            <v>IGNORED</v>
          </cell>
          <cell r="Z27" t="str">
            <v>IGNORED</v>
          </cell>
          <cell r="AA27" t="str">
            <v>IGNORED</v>
          </cell>
          <cell r="AB27" t="str">
            <v>IGNORED</v>
          </cell>
          <cell r="AC27" t="str">
            <v>IGNORED</v>
          </cell>
          <cell r="AD27" t="str">
            <v>IGNORED</v>
          </cell>
          <cell r="AE27" t="str">
            <v>IGNORED</v>
          </cell>
          <cell r="AF27" t="str">
            <v>IGNORED</v>
          </cell>
          <cell r="AG27" t="str">
            <v>IGNORED</v>
          </cell>
          <cell r="AH27" t="str">
            <v>IGNORED</v>
          </cell>
          <cell r="AI27" t="str">
            <v>IGNORED</v>
          </cell>
          <cell r="AJ27" t="str">
            <v>IGNORED</v>
          </cell>
          <cell r="AK27" t="str">
            <v>IGNORED</v>
          </cell>
          <cell r="AL27" t="str">
            <v>IGNORED</v>
          </cell>
          <cell r="AM27" t="str">
            <v>IGNORED</v>
          </cell>
          <cell r="AN27" t="str">
            <v>IGNORED</v>
          </cell>
          <cell r="AO27" t="str">
            <v>IGNORED</v>
          </cell>
          <cell r="AP27" t="str">
            <v>IGNORED</v>
          </cell>
          <cell r="AQ27" t="str">
            <v>IGNORED</v>
          </cell>
          <cell r="AR27" t="str">
            <v>IGNORED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 t="str">
            <v>IGNORED</v>
          </cell>
          <cell r="G28" t="str">
            <v>IGNORED</v>
          </cell>
          <cell r="H28" t="str">
            <v>IGNORED</v>
          </cell>
          <cell r="I28" t="str">
            <v>IGNORED</v>
          </cell>
          <cell r="J28" t="str">
            <v>IGNORED</v>
          </cell>
          <cell r="K28" t="str">
            <v>IGNORED</v>
          </cell>
          <cell r="L28" t="str">
            <v>IGNORED</v>
          </cell>
          <cell r="M28" t="str">
            <v>IGNORED</v>
          </cell>
          <cell r="N28" t="str">
            <v>IGNORED</v>
          </cell>
          <cell r="O28" t="str">
            <v>IGNORED</v>
          </cell>
          <cell r="P28" t="str">
            <v>IGNORED</v>
          </cell>
          <cell r="Q28" t="str">
            <v>IGNORED</v>
          </cell>
          <cell r="R28" t="str">
            <v>IGNORED</v>
          </cell>
          <cell r="S28" t="str">
            <v>IGNORED</v>
          </cell>
          <cell r="T28" t="str">
            <v>IGNORED</v>
          </cell>
          <cell r="U28" t="str">
            <v>IGNORED</v>
          </cell>
          <cell r="V28" t="str">
            <v>IGNORED</v>
          </cell>
          <cell r="W28" t="str">
            <v>IGNORED</v>
          </cell>
          <cell r="X28" t="str">
            <v>IGNORED</v>
          </cell>
          <cell r="Y28" t="str">
            <v>IGNORED</v>
          </cell>
          <cell r="Z28" t="str">
            <v>IGNORED</v>
          </cell>
          <cell r="AA28" t="str">
            <v>IGNORED</v>
          </cell>
          <cell r="AB28" t="str">
            <v>IGNORED</v>
          </cell>
          <cell r="AC28" t="str">
            <v>IGNORED</v>
          </cell>
          <cell r="AD28" t="str">
            <v>IGNORED</v>
          </cell>
          <cell r="AE28" t="str">
            <v>IGNORED</v>
          </cell>
          <cell r="AF28" t="str">
            <v>IGNORED</v>
          </cell>
          <cell r="AG28" t="str">
            <v>IGNORED</v>
          </cell>
          <cell r="AH28" t="str">
            <v>IGNORED</v>
          </cell>
          <cell r="AI28" t="str">
            <v>IGNORED</v>
          </cell>
          <cell r="AJ28" t="str">
            <v>IGNORED</v>
          </cell>
          <cell r="AK28" t="str">
            <v>IGNORED</v>
          </cell>
          <cell r="AL28" t="str">
            <v>IGNORED</v>
          </cell>
          <cell r="AM28" t="str">
            <v>IGNORED</v>
          </cell>
          <cell r="AN28" t="str">
            <v>IGNORED</v>
          </cell>
          <cell r="AO28" t="str">
            <v>IGNORED</v>
          </cell>
          <cell r="AP28" t="str">
            <v>IGNORED</v>
          </cell>
          <cell r="AQ28" t="str">
            <v>IGNORED</v>
          </cell>
          <cell r="AR28" t="str">
            <v>IGNORED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  <cell r="F30" t="str">
            <v>IGNORED</v>
          </cell>
          <cell r="G30" t="str">
            <v>IGNORED</v>
          </cell>
          <cell r="H30" t="str">
            <v>IGNORED</v>
          </cell>
          <cell r="I30" t="str">
            <v>IGNORED</v>
          </cell>
          <cell r="J30" t="str">
            <v>IGNORED</v>
          </cell>
          <cell r="K30" t="str">
            <v>IGNORED</v>
          </cell>
          <cell r="L30" t="str">
            <v>IGNORED</v>
          </cell>
          <cell r="M30" t="str">
            <v>IGNORED</v>
          </cell>
          <cell r="N30" t="str">
            <v>IGNORED</v>
          </cell>
          <cell r="O30" t="str">
            <v>IGNORED</v>
          </cell>
          <cell r="P30" t="str">
            <v>IGNORED</v>
          </cell>
          <cell r="Q30" t="str">
            <v>IGNORED</v>
          </cell>
          <cell r="R30" t="str">
            <v>IGNORED</v>
          </cell>
          <cell r="S30" t="str">
            <v>IGNORED</v>
          </cell>
          <cell r="T30" t="str">
            <v>IGNORED</v>
          </cell>
          <cell r="U30" t="str">
            <v>IGNORED</v>
          </cell>
          <cell r="V30" t="str">
            <v>IGNORED</v>
          </cell>
          <cell r="W30" t="str">
            <v>IGNORED</v>
          </cell>
          <cell r="X30" t="str">
            <v>IGNORED</v>
          </cell>
          <cell r="Y30" t="str">
            <v>IGNORED</v>
          </cell>
          <cell r="Z30" t="str">
            <v>IGNORED</v>
          </cell>
          <cell r="AA30" t="str">
            <v>IGNORED</v>
          </cell>
          <cell r="AB30" t="str">
            <v>IGNORED</v>
          </cell>
          <cell r="AC30" t="str">
            <v>IGNORED</v>
          </cell>
          <cell r="AD30" t="str">
            <v>IGNORED</v>
          </cell>
          <cell r="AE30" t="str">
            <v>IGNORED</v>
          </cell>
          <cell r="AF30" t="str">
            <v>IGNORED</v>
          </cell>
          <cell r="AG30" t="str">
            <v>IGNORED</v>
          </cell>
          <cell r="AH30" t="str">
            <v>IGNORED</v>
          </cell>
          <cell r="AI30" t="str">
            <v>IGNORED</v>
          </cell>
          <cell r="AJ30" t="str">
            <v>IGNORED</v>
          </cell>
          <cell r="AK30" t="str">
            <v>IGNORED</v>
          </cell>
          <cell r="AL30" t="str">
            <v>IGNORED</v>
          </cell>
          <cell r="AM30" t="str">
            <v>IGNORED</v>
          </cell>
          <cell r="AN30" t="str">
            <v>IGNORED</v>
          </cell>
          <cell r="AO30" t="str">
            <v>IGNORED</v>
          </cell>
          <cell r="AP30" t="str">
            <v>IGNORED</v>
          </cell>
          <cell r="AQ30" t="str">
            <v>IGNORED</v>
          </cell>
          <cell r="AR30" t="str">
            <v>IGNORED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 t="str">
            <v>IGNORED</v>
          </cell>
          <cell r="G31" t="str">
            <v>IGNORED</v>
          </cell>
          <cell r="H31" t="str">
            <v>IGNORED</v>
          </cell>
          <cell r="I31" t="str">
            <v>IGNORED</v>
          </cell>
          <cell r="J31" t="str">
            <v>IGNORED</v>
          </cell>
          <cell r="K31" t="str">
            <v>IGNORED</v>
          </cell>
          <cell r="L31" t="str">
            <v>IGNORED</v>
          </cell>
          <cell r="M31" t="str">
            <v>IGNORED</v>
          </cell>
          <cell r="N31" t="str">
            <v>IGNORED</v>
          </cell>
          <cell r="O31" t="str">
            <v>IGNORED</v>
          </cell>
          <cell r="P31" t="str">
            <v>IGNORED</v>
          </cell>
          <cell r="Q31" t="str">
            <v>IGNORED</v>
          </cell>
          <cell r="R31" t="str">
            <v>IGNORED</v>
          </cell>
          <cell r="S31" t="str">
            <v>IGNORED</v>
          </cell>
          <cell r="T31" t="str">
            <v>IGNORED</v>
          </cell>
          <cell r="U31" t="str">
            <v>IGNORED</v>
          </cell>
          <cell r="V31" t="str">
            <v>IGNORED</v>
          </cell>
          <cell r="W31" t="str">
            <v>IGNORED</v>
          </cell>
          <cell r="X31" t="str">
            <v>IGNORED</v>
          </cell>
          <cell r="Y31" t="str">
            <v>IGNORED</v>
          </cell>
          <cell r="Z31" t="str">
            <v>IGNORED</v>
          </cell>
          <cell r="AA31" t="str">
            <v>IGNORED</v>
          </cell>
          <cell r="AB31" t="str">
            <v>IGNORED</v>
          </cell>
          <cell r="AC31" t="str">
            <v>IGNORED</v>
          </cell>
          <cell r="AD31" t="str">
            <v>IGNORED</v>
          </cell>
          <cell r="AE31" t="str">
            <v>IGNORED</v>
          </cell>
          <cell r="AF31" t="str">
            <v>IGNORED</v>
          </cell>
          <cell r="AG31" t="str">
            <v>IGNORED</v>
          </cell>
          <cell r="AH31" t="str">
            <v>IGNORED</v>
          </cell>
          <cell r="AI31" t="str">
            <v>IGNORED</v>
          </cell>
          <cell r="AJ31" t="str">
            <v>IGNORED</v>
          </cell>
          <cell r="AK31" t="str">
            <v>IGNORED</v>
          </cell>
          <cell r="AL31" t="str">
            <v>IGNORED</v>
          </cell>
          <cell r="AM31" t="str">
            <v>IGNORED</v>
          </cell>
          <cell r="AN31" t="str">
            <v>IGNORED</v>
          </cell>
          <cell r="AO31" t="str">
            <v>IGNORED</v>
          </cell>
          <cell r="AP31" t="str">
            <v>IGNORED</v>
          </cell>
          <cell r="AQ31" t="str">
            <v>IGNORED</v>
          </cell>
          <cell r="AR31" t="str">
            <v>IGNORED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  <cell r="F32" t="str">
            <v>IGNORED</v>
          </cell>
          <cell r="G32" t="str">
            <v>IGNORED</v>
          </cell>
          <cell r="H32" t="str">
            <v>IGNORED</v>
          </cell>
          <cell r="I32" t="str">
            <v>IGNORED</v>
          </cell>
          <cell r="J32" t="str">
            <v>IGNORED</v>
          </cell>
          <cell r="K32" t="str">
            <v>IGNORED</v>
          </cell>
          <cell r="L32" t="str">
            <v>IGNORED</v>
          </cell>
          <cell r="M32" t="str">
            <v>IGNORED</v>
          </cell>
          <cell r="N32" t="str">
            <v>IGNORED</v>
          </cell>
          <cell r="O32" t="str">
            <v>IGNORED</v>
          </cell>
          <cell r="P32" t="str">
            <v>IGNORED</v>
          </cell>
          <cell r="Q32" t="str">
            <v>IGNORED</v>
          </cell>
          <cell r="R32" t="str">
            <v>IGNORED</v>
          </cell>
          <cell r="S32" t="str">
            <v>IGNORED</v>
          </cell>
          <cell r="T32" t="str">
            <v>IGNORED</v>
          </cell>
          <cell r="U32" t="str">
            <v>IGNORED</v>
          </cell>
          <cell r="V32" t="str">
            <v>IGNORED</v>
          </cell>
          <cell r="W32" t="str">
            <v>IGNORED</v>
          </cell>
          <cell r="X32" t="str">
            <v>IGNORED</v>
          </cell>
          <cell r="Y32" t="str">
            <v>IGNORED</v>
          </cell>
          <cell r="Z32" t="str">
            <v>IGNORED</v>
          </cell>
          <cell r="AA32" t="str">
            <v>IGNORED</v>
          </cell>
          <cell r="AB32" t="str">
            <v>IGNORED</v>
          </cell>
          <cell r="AC32" t="str">
            <v>IGNORED</v>
          </cell>
          <cell r="AD32" t="str">
            <v>IGNORED</v>
          </cell>
          <cell r="AE32" t="str">
            <v>IGNORED</v>
          </cell>
          <cell r="AF32" t="str">
            <v>IGNORED</v>
          </cell>
          <cell r="AG32" t="str">
            <v>IGNORED</v>
          </cell>
          <cell r="AH32" t="str">
            <v>IGNORED</v>
          </cell>
          <cell r="AI32" t="str">
            <v>IGNORED</v>
          </cell>
          <cell r="AJ32" t="str">
            <v>IGNORED</v>
          </cell>
          <cell r="AK32" t="str">
            <v>IGNORED</v>
          </cell>
          <cell r="AL32" t="str">
            <v>IGNORED</v>
          </cell>
          <cell r="AM32" t="str">
            <v>IGNORED</v>
          </cell>
          <cell r="AN32" t="str">
            <v>IGNORED</v>
          </cell>
          <cell r="AO32" t="str">
            <v>IGNORED</v>
          </cell>
          <cell r="AP32" t="str">
            <v>IGNORED</v>
          </cell>
          <cell r="AQ32" t="str">
            <v>IGNORED</v>
          </cell>
          <cell r="AR32" t="str">
            <v>IGNORED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  <cell r="F33" t="str">
            <v>IGNORED</v>
          </cell>
          <cell r="G33" t="str">
            <v>IGNORED</v>
          </cell>
          <cell r="H33" t="str">
            <v>IGNORED</v>
          </cell>
          <cell r="I33" t="str">
            <v>IGNORED</v>
          </cell>
          <cell r="J33" t="str">
            <v>IGNORED</v>
          </cell>
          <cell r="K33" t="str">
            <v>IGNORED</v>
          </cell>
          <cell r="L33" t="str">
            <v>IGNORED</v>
          </cell>
          <cell r="M33" t="str">
            <v>IGNORED</v>
          </cell>
          <cell r="N33" t="str">
            <v>IGNORED</v>
          </cell>
          <cell r="O33" t="str">
            <v>IGNORED</v>
          </cell>
          <cell r="P33" t="str">
            <v>IGNORED</v>
          </cell>
          <cell r="Q33" t="str">
            <v>IGNORED</v>
          </cell>
          <cell r="R33" t="str">
            <v>IGNORED</v>
          </cell>
          <cell r="S33" t="str">
            <v>IGNORED</v>
          </cell>
          <cell r="T33" t="str">
            <v>IGNORED</v>
          </cell>
          <cell r="U33" t="str">
            <v>IGNORED</v>
          </cell>
          <cell r="V33" t="str">
            <v>IGNORED</v>
          </cell>
          <cell r="W33" t="str">
            <v>IGNORED</v>
          </cell>
          <cell r="X33" t="str">
            <v>IGNORED</v>
          </cell>
          <cell r="Y33" t="str">
            <v>IGNORED</v>
          </cell>
          <cell r="Z33" t="str">
            <v>IGNORED</v>
          </cell>
          <cell r="AA33" t="str">
            <v>IGNORED</v>
          </cell>
          <cell r="AB33" t="str">
            <v>IGNORED</v>
          </cell>
          <cell r="AC33" t="str">
            <v>IGNORED</v>
          </cell>
          <cell r="AD33" t="str">
            <v>IGNORED</v>
          </cell>
          <cell r="AE33" t="str">
            <v>IGNORED</v>
          </cell>
          <cell r="AF33" t="str">
            <v>IGNORED</v>
          </cell>
          <cell r="AG33" t="str">
            <v>IGNORED</v>
          </cell>
          <cell r="AH33" t="str">
            <v>IGNORED</v>
          </cell>
          <cell r="AI33" t="str">
            <v>IGNORED</v>
          </cell>
          <cell r="AJ33" t="str">
            <v>IGNORED</v>
          </cell>
          <cell r="AK33" t="str">
            <v>IGNORED</v>
          </cell>
          <cell r="AL33" t="str">
            <v>IGNORED</v>
          </cell>
          <cell r="AM33" t="str">
            <v>IGNORED</v>
          </cell>
          <cell r="AN33" t="str">
            <v>IGNORED</v>
          </cell>
          <cell r="AO33" t="str">
            <v>IGNORED</v>
          </cell>
          <cell r="AP33" t="str">
            <v>IGNORED</v>
          </cell>
          <cell r="AQ33" t="str">
            <v>IGNORED</v>
          </cell>
          <cell r="AR33" t="str">
            <v>IGNORED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 t="str">
            <v>IGNORED</v>
          </cell>
          <cell r="G34" t="str">
            <v>IGNORED</v>
          </cell>
          <cell r="H34" t="str">
            <v>IGNORED</v>
          </cell>
          <cell r="I34" t="str">
            <v>IGNORED</v>
          </cell>
          <cell r="J34" t="str">
            <v>IGNORED</v>
          </cell>
          <cell r="K34" t="str">
            <v>IGNORED</v>
          </cell>
          <cell r="L34" t="str">
            <v>IGNORED</v>
          </cell>
          <cell r="M34" t="str">
            <v>IGNORED</v>
          </cell>
          <cell r="N34" t="str">
            <v>IGNORED</v>
          </cell>
          <cell r="O34" t="str">
            <v>IGNORED</v>
          </cell>
          <cell r="P34" t="str">
            <v>IGNORED</v>
          </cell>
          <cell r="Q34" t="str">
            <v>IGNORED</v>
          </cell>
          <cell r="R34" t="str">
            <v>IGNORED</v>
          </cell>
          <cell r="S34" t="str">
            <v>IGNORED</v>
          </cell>
          <cell r="T34" t="str">
            <v>IGNORED</v>
          </cell>
          <cell r="U34" t="str">
            <v>IGNORED</v>
          </cell>
          <cell r="V34" t="str">
            <v>IGNORED</v>
          </cell>
          <cell r="W34" t="str">
            <v>IGNORED</v>
          </cell>
          <cell r="X34" t="str">
            <v>IGNORED</v>
          </cell>
          <cell r="Y34" t="str">
            <v>IGNORED</v>
          </cell>
          <cell r="Z34" t="str">
            <v>IGNORED</v>
          </cell>
          <cell r="AA34" t="str">
            <v>IGNORED</v>
          </cell>
          <cell r="AB34" t="str">
            <v>IGNORED</v>
          </cell>
          <cell r="AC34" t="str">
            <v>IGNORED</v>
          </cell>
          <cell r="AD34" t="str">
            <v>IGNORED</v>
          </cell>
          <cell r="AE34" t="str">
            <v>IGNORED</v>
          </cell>
          <cell r="AF34" t="str">
            <v>IGNORED</v>
          </cell>
          <cell r="AG34" t="str">
            <v>IGNORED</v>
          </cell>
          <cell r="AH34" t="str">
            <v>IGNORED</v>
          </cell>
          <cell r="AI34" t="str">
            <v>IGNORED</v>
          </cell>
          <cell r="AJ34" t="str">
            <v>IGNORED</v>
          </cell>
          <cell r="AK34" t="str">
            <v>IGNORED</v>
          </cell>
          <cell r="AL34" t="str">
            <v>IGNORED</v>
          </cell>
          <cell r="AM34" t="str">
            <v>IGNORED</v>
          </cell>
          <cell r="AN34" t="str">
            <v>IGNORED</v>
          </cell>
          <cell r="AO34" t="str">
            <v>IGNORED</v>
          </cell>
          <cell r="AP34" t="str">
            <v>IGNORED</v>
          </cell>
          <cell r="AQ34" t="str">
            <v>IGNORED</v>
          </cell>
          <cell r="AR34" t="str">
            <v>IGNORED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  <cell r="F35" t="str">
            <v>IGNORED</v>
          </cell>
          <cell r="G35" t="str">
            <v>IGNORED</v>
          </cell>
          <cell r="H35" t="str">
            <v>IGNORED</v>
          </cell>
          <cell r="I35" t="str">
            <v>IGNORED</v>
          </cell>
          <cell r="J35" t="str">
            <v>IGNORED</v>
          </cell>
          <cell r="K35" t="str">
            <v>IGNORED</v>
          </cell>
          <cell r="L35" t="str">
            <v>IGNORED</v>
          </cell>
          <cell r="M35" t="str">
            <v>IGNORED</v>
          </cell>
          <cell r="N35" t="str">
            <v>IGNORED</v>
          </cell>
          <cell r="O35" t="str">
            <v>IGNORED</v>
          </cell>
          <cell r="P35" t="str">
            <v>IGNORED</v>
          </cell>
          <cell r="Q35" t="str">
            <v>IGNORED</v>
          </cell>
          <cell r="R35" t="str">
            <v>IGNORED</v>
          </cell>
          <cell r="S35" t="str">
            <v>IGNORED</v>
          </cell>
          <cell r="T35" t="str">
            <v>IGNORED</v>
          </cell>
          <cell r="U35" t="str">
            <v>IGNORED</v>
          </cell>
          <cell r="V35" t="str">
            <v>IGNORED</v>
          </cell>
          <cell r="W35" t="str">
            <v>IGNORED</v>
          </cell>
          <cell r="X35" t="str">
            <v>IGNORED</v>
          </cell>
          <cell r="Y35" t="str">
            <v>IGNORED</v>
          </cell>
          <cell r="Z35" t="str">
            <v>IGNORED</v>
          </cell>
          <cell r="AA35" t="str">
            <v>IGNORED</v>
          </cell>
          <cell r="AB35" t="str">
            <v>IGNORED</v>
          </cell>
          <cell r="AC35" t="str">
            <v>IGNORED</v>
          </cell>
          <cell r="AD35" t="str">
            <v>IGNORED</v>
          </cell>
          <cell r="AE35" t="str">
            <v>IGNORED</v>
          </cell>
          <cell r="AF35" t="str">
            <v>IGNORED</v>
          </cell>
          <cell r="AG35" t="str">
            <v>IGNORED</v>
          </cell>
          <cell r="AH35" t="str">
            <v>IGNORED</v>
          </cell>
          <cell r="AI35" t="str">
            <v>IGNORED</v>
          </cell>
          <cell r="AJ35" t="str">
            <v>IGNORED</v>
          </cell>
          <cell r="AK35" t="str">
            <v>IGNORED</v>
          </cell>
          <cell r="AL35" t="str">
            <v>IGNORED</v>
          </cell>
          <cell r="AM35" t="str">
            <v>IGNORED</v>
          </cell>
          <cell r="AN35" t="str">
            <v>IGNORED</v>
          </cell>
          <cell r="AO35" t="str">
            <v>IGNORED</v>
          </cell>
          <cell r="AP35" t="str">
            <v>IGNORED</v>
          </cell>
          <cell r="AQ35" t="str">
            <v>IGNORED</v>
          </cell>
          <cell r="AR35" t="str">
            <v>IGNORED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 t="str">
            <v>IGNORED</v>
          </cell>
          <cell r="G37" t="str">
            <v>IGNORED</v>
          </cell>
          <cell r="H37" t="str">
            <v>IGNORED</v>
          </cell>
          <cell r="I37" t="str">
            <v>IGNORED</v>
          </cell>
          <cell r="J37" t="str">
            <v>IGNORED</v>
          </cell>
          <cell r="K37" t="str">
            <v>IGNORED</v>
          </cell>
          <cell r="L37" t="str">
            <v>IGNORED</v>
          </cell>
          <cell r="M37" t="str">
            <v>IGNORED</v>
          </cell>
          <cell r="N37" t="str">
            <v>IGNORED</v>
          </cell>
          <cell r="O37" t="str">
            <v>IGNORED</v>
          </cell>
          <cell r="P37" t="str">
            <v>IGNORED</v>
          </cell>
          <cell r="Q37" t="str">
            <v>IGNORED</v>
          </cell>
          <cell r="R37" t="str">
            <v>IGNORED</v>
          </cell>
          <cell r="S37" t="str">
            <v>IGNORED</v>
          </cell>
          <cell r="T37" t="str">
            <v>IGNORED</v>
          </cell>
          <cell r="U37" t="str">
            <v>IGNORED</v>
          </cell>
          <cell r="V37" t="str">
            <v>IGNORED</v>
          </cell>
          <cell r="W37" t="str">
            <v>IGNORED</v>
          </cell>
          <cell r="X37" t="str">
            <v>IGNORED</v>
          </cell>
          <cell r="Y37" t="str">
            <v>IGNORED</v>
          </cell>
          <cell r="Z37" t="str">
            <v>IGNORED</v>
          </cell>
          <cell r="AA37" t="str">
            <v>IGNORED</v>
          </cell>
          <cell r="AB37" t="str">
            <v>IGNORED</v>
          </cell>
          <cell r="AC37" t="str">
            <v>IGNORED</v>
          </cell>
          <cell r="AD37" t="str">
            <v>IGNORED</v>
          </cell>
          <cell r="AE37" t="str">
            <v>IGNORED</v>
          </cell>
          <cell r="AF37" t="str">
            <v>IGNORED</v>
          </cell>
          <cell r="AG37" t="str">
            <v>IGNORED</v>
          </cell>
          <cell r="AH37" t="str">
            <v>IGNORED</v>
          </cell>
          <cell r="AI37" t="str">
            <v>IGNORED</v>
          </cell>
          <cell r="AJ37" t="str">
            <v>IGNORED</v>
          </cell>
          <cell r="AK37" t="str">
            <v>IGNORED</v>
          </cell>
          <cell r="AL37" t="str">
            <v>IGNORED</v>
          </cell>
          <cell r="AM37" t="str">
            <v>IGNORED</v>
          </cell>
          <cell r="AN37" t="str">
            <v>IGNORED</v>
          </cell>
          <cell r="AO37" t="str">
            <v>IGNORED</v>
          </cell>
          <cell r="AP37" t="str">
            <v>IGNORED</v>
          </cell>
          <cell r="AQ37" t="str">
            <v>IGNORED</v>
          </cell>
          <cell r="AR37" t="str">
            <v>IGNORED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 t="str">
            <v>IGNORED</v>
          </cell>
          <cell r="G38" t="str">
            <v>IGNORED</v>
          </cell>
          <cell r="H38" t="str">
            <v>IGNORED</v>
          </cell>
          <cell r="I38" t="str">
            <v>IGNORED</v>
          </cell>
          <cell r="J38" t="str">
            <v>IGNORED</v>
          </cell>
          <cell r="K38" t="str">
            <v>IGNORED</v>
          </cell>
          <cell r="L38" t="str">
            <v>IGNORED</v>
          </cell>
          <cell r="M38" t="str">
            <v>IGNORED</v>
          </cell>
          <cell r="N38" t="str">
            <v>IGNORED</v>
          </cell>
          <cell r="O38" t="str">
            <v>IGNORED</v>
          </cell>
          <cell r="P38" t="str">
            <v>IGNORED</v>
          </cell>
          <cell r="Q38" t="str">
            <v>IGNORED</v>
          </cell>
          <cell r="R38" t="str">
            <v>IGNORED</v>
          </cell>
          <cell r="S38" t="str">
            <v>IGNORED</v>
          </cell>
          <cell r="T38" t="str">
            <v>IGNORED</v>
          </cell>
          <cell r="U38" t="str">
            <v>IGNORED</v>
          </cell>
          <cell r="V38" t="str">
            <v>IGNORED</v>
          </cell>
          <cell r="W38" t="str">
            <v>IGNORED</v>
          </cell>
          <cell r="X38" t="str">
            <v>IGNORED</v>
          </cell>
          <cell r="Y38" t="str">
            <v>IGNORED</v>
          </cell>
          <cell r="Z38" t="str">
            <v>IGNORED</v>
          </cell>
          <cell r="AA38" t="str">
            <v>IGNORED</v>
          </cell>
          <cell r="AB38" t="str">
            <v>IGNORED</v>
          </cell>
          <cell r="AC38" t="str">
            <v>IGNORED</v>
          </cell>
          <cell r="AD38" t="str">
            <v>IGNORED</v>
          </cell>
          <cell r="AE38" t="str">
            <v>IGNORED</v>
          </cell>
          <cell r="AF38" t="str">
            <v>IGNORED</v>
          </cell>
          <cell r="AG38" t="str">
            <v>IGNORED</v>
          </cell>
          <cell r="AH38" t="str">
            <v>IGNORED</v>
          </cell>
          <cell r="AI38" t="str">
            <v>IGNORED</v>
          </cell>
          <cell r="AJ38" t="str">
            <v>IGNORED</v>
          </cell>
          <cell r="AK38" t="str">
            <v>IGNORED</v>
          </cell>
          <cell r="AL38" t="str">
            <v>IGNORED</v>
          </cell>
          <cell r="AM38" t="str">
            <v>IGNORED</v>
          </cell>
          <cell r="AN38" t="str">
            <v>IGNORED</v>
          </cell>
          <cell r="AO38" t="str">
            <v>IGNORED</v>
          </cell>
          <cell r="AP38" t="str">
            <v>IGNORED</v>
          </cell>
          <cell r="AQ38" t="str">
            <v>IGNORED</v>
          </cell>
          <cell r="AR38" t="str">
            <v>IGNORED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 t="str">
            <v>IGNORED</v>
          </cell>
          <cell r="G39" t="str">
            <v>IGNORED</v>
          </cell>
          <cell r="H39" t="str">
            <v>IGNORED</v>
          </cell>
          <cell r="I39" t="str">
            <v>IGNORED</v>
          </cell>
          <cell r="J39" t="str">
            <v>IGNORED</v>
          </cell>
          <cell r="K39" t="str">
            <v>IGNORED</v>
          </cell>
          <cell r="L39" t="str">
            <v>IGNORED</v>
          </cell>
          <cell r="M39" t="str">
            <v>IGNORED</v>
          </cell>
          <cell r="N39" t="str">
            <v>IGNORED</v>
          </cell>
          <cell r="O39" t="str">
            <v>IGNORED</v>
          </cell>
          <cell r="P39" t="str">
            <v>IGNORED</v>
          </cell>
          <cell r="Q39" t="str">
            <v>IGNORED</v>
          </cell>
          <cell r="R39" t="str">
            <v>IGNORED</v>
          </cell>
          <cell r="S39" t="str">
            <v>IGNORED</v>
          </cell>
          <cell r="T39" t="str">
            <v>IGNORED</v>
          </cell>
          <cell r="U39" t="str">
            <v>IGNORED</v>
          </cell>
          <cell r="V39" t="str">
            <v>IGNORED</v>
          </cell>
          <cell r="W39" t="str">
            <v>IGNORED</v>
          </cell>
          <cell r="X39" t="str">
            <v>IGNORED</v>
          </cell>
          <cell r="Y39" t="str">
            <v>IGNORED</v>
          </cell>
          <cell r="Z39" t="str">
            <v>IGNORED</v>
          </cell>
          <cell r="AA39" t="str">
            <v>IGNORED</v>
          </cell>
          <cell r="AB39" t="str">
            <v>IGNORED</v>
          </cell>
          <cell r="AC39" t="str">
            <v>IGNORED</v>
          </cell>
          <cell r="AD39" t="str">
            <v>IGNORED</v>
          </cell>
          <cell r="AE39" t="str">
            <v>IGNORED</v>
          </cell>
          <cell r="AF39" t="str">
            <v>IGNORED</v>
          </cell>
          <cell r="AG39" t="str">
            <v>IGNORED</v>
          </cell>
          <cell r="AH39" t="str">
            <v>IGNORED</v>
          </cell>
          <cell r="AI39" t="str">
            <v>IGNORED</v>
          </cell>
          <cell r="AJ39" t="str">
            <v>IGNORED</v>
          </cell>
          <cell r="AK39" t="str">
            <v>IGNORED</v>
          </cell>
          <cell r="AL39" t="str">
            <v>IGNORED</v>
          </cell>
          <cell r="AM39" t="str">
            <v>IGNORED</v>
          </cell>
          <cell r="AN39" t="str">
            <v>IGNORED</v>
          </cell>
          <cell r="AO39" t="str">
            <v>IGNORED</v>
          </cell>
          <cell r="AP39" t="str">
            <v>IGNORED</v>
          </cell>
          <cell r="AQ39" t="str">
            <v>IGNORED</v>
          </cell>
          <cell r="AR39" t="str">
            <v>IGNORED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 t="str">
            <v>IGNORED</v>
          </cell>
          <cell r="G40" t="str">
            <v>IGNORED</v>
          </cell>
          <cell r="H40" t="str">
            <v>IGNORED</v>
          </cell>
          <cell r="I40" t="str">
            <v>IGNORED</v>
          </cell>
          <cell r="J40" t="str">
            <v>IGNORED</v>
          </cell>
          <cell r="K40" t="str">
            <v>IGNORED</v>
          </cell>
          <cell r="L40" t="str">
            <v>IGNORED</v>
          </cell>
          <cell r="M40" t="str">
            <v>IGNORED</v>
          </cell>
          <cell r="N40" t="str">
            <v>IGNORED</v>
          </cell>
          <cell r="O40" t="str">
            <v>IGNORED</v>
          </cell>
          <cell r="P40" t="str">
            <v>IGNORED</v>
          </cell>
          <cell r="Q40" t="str">
            <v>IGNORED</v>
          </cell>
          <cell r="R40" t="str">
            <v>IGNORED</v>
          </cell>
          <cell r="S40" t="str">
            <v>IGNORED</v>
          </cell>
          <cell r="T40" t="str">
            <v>IGNORED</v>
          </cell>
          <cell r="U40" t="str">
            <v>IGNORED</v>
          </cell>
          <cell r="V40" t="str">
            <v>IGNORED</v>
          </cell>
          <cell r="W40" t="str">
            <v>IGNORED</v>
          </cell>
          <cell r="X40" t="str">
            <v>IGNORED</v>
          </cell>
          <cell r="Y40" t="str">
            <v>IGNORED</v>
          </cell>
          <cell r="Z40" t="str">
            <v>IGNORED</v>
          </cell>
          <cell r="AA40" t="str">
            <v>IGNORED</v>
          </cell>
          <cell r="AB40" t="str">
            <v>IGNORED</v>
          </cell>
          <cell r="AC40" t="str">
            <v>IGNORED</v>
          </cell>
          <cell r="AD40" t="str">
            <v>IGNORED</v>
          </cell>
          <cell r="AE40" t="str">
            <v>IGNORED</v>
          </cell>
          <cell r="AF40" t="str">
            <v>IGNORED</v>
          </cell>
          <cell r="AG40" t="str">
            <v>IGNORED</v>
          </cell>
          <cell r="AH40" t="str">
            <v>IGNORED</v>
          </cell>
          <cell r="AI40" t="str">
            <v>IGNORED</v>
          </cell>
          <cell r="AJ40" t="str">
            <v>IGNORED</v>
          </cell>
          <cell r="AK40" t="str">
            <v>IGNORED</v>
          </cell>
          <cell r="AL40" t="str">
            <v>IGNORED</v>
          </cell>
          <cell r="AM40" t="str">
            <v>IGNORED</v>
          </cell>
          <cell r="AN40" t="str">
            <v>IGNORED</v>
          </cell>
          <cell r="AO40" t="str">
            <v>IGNORED</v>
          </cell>
          <cell r="AP40" t="str">
            <v>IGNORED</v>
          </cell>
          <cell r="AQ40" t="str">
            <v>IGNORED</v>
          </cell>
          <cell r="AR40" t="str">
            <v>IGNORED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 t="str">
            <v>IGNORED</v>
          </cell>
          <cell r="G41" t="str">
            <v>IGNORED</v>
          </cell>
          <cell r="H41" t="str">
            <v>IGNORED</v>
          </cell>
          <cell r="I41" t="str">
            <v>IGNORED</v>
          </cell>
          <cell r="J41" t="str">
            <v>IGNORED</v>
          </cell>
          <cell r="K41" t="str">
            <v>IGNORED</v>
          </cell>
          <cell r="L41" t="str">
            <v>IGNORED</v>
          </cell>
          <cell r="M41" t="str">
            <v>IGNORED</v>
          </cell>
          <cell r="N41" t="str">
            <v>IGNORED</v>
          </cell>
          <cell r="O41" t="str">
            <v>IGNORED</v>
          </cell>
          <cell r="P41" t="str">
            <v>IGNORED</v>
          </cell>
          <cell r="Q41" t="str">
            <v>IGNORED</v>
          </cell>
          <cell r="R41" t="str">
            <v>IGNORED</v>
          </cell>
          <cell r="S41" t="str">
            <v>IGNORED</v>
          </cell>
          <cell r="T41" t="str">
            <v>IGNORED</v>
          </cell>
          <cell r="U41" t="str">
            <v>IGNORED</v>
          </cell>
          <cell r="V41" t="str">
            <v>IGNORED</v>
          </cell>
          <cell r="W41" t="str">
            <v>IGNORED</v>
          </cell>
          <cell r="X41" t="str">
            <v>IGNORED</v>
          </cell>
          <cell r="Y41" t="str">
            <v>IGNORED</v>
          </cell>
          <cell r="Z41" t="str">
            <v>IGNORED</v>
          </cell>
          <cell r="AA41" t="str">
            <v>IGNORED</v>
          </cell>
          <cell r="AB41" t="str">
            <v>IGNORED</v>
          </cell>
          <cell r="AC41" t="str">
            <v>IGNORED</v>
          </cell>
          <cell r="AD41" t="str">
            <v>IGNORED</v>
          </cell>
          <cell r="AE41" t="str">
            <v>IGNORED</v>
          </cell>
          <cell r="AF41" t="str">
            <v>IGNORED</v>
          </cell>
          <cell r="AG41" t="str">
            <v>IGNORED</v>
          </cell>
          <cell r="AH41" t="str">
            <v>IGNORED</v>
          </cell>
          <cell r="AI41" t="str">
            <v>IGNORED</v>
          </cell>
          <cell r="AJ41" t="str">
            <v>IGNORED</v>
          </cell>
          <cell r="AK41" t="str">
            <v>IGNORED</v>
          </cell>
          <cell r="AL41" t="str">
            <v>IGNORED</v>
          </cell>
          <cell r="AM41" t="str">
            <v>IGNORED</v>
          </cell>
          <cell r="AN41" t="str">
            <v>IGNORED</v>
          </cell>
          <cell r="AO41" t="str">
            <v>IGNORED</v>
          </cell>
          <cell r="AP41" t="str">
            <v>IGNORED</v>
          </cell>
          <cell r="AQ41" t="str">
            <v>IGNORED</v>
          </cell>
          <cell r="AR41" t="str">
            <v>IGNORED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 t="str">
            <v>IGNORED</v>
          </cell>
          <cell r="G42" t="str">
            <v>IGNORED</v>
          </cell>
          <cell r="H42" t="str">
            <v>IGNORED</v>
          </cell>
          <cell r="I42" t="str">
            <v>IGNORED</v>
          </cell>
          <cell r="J42" t="str">
            <v>IGNORED</v>
          </cell>
          <cell r="K42" t="str">
            <v>IGNORED</v>
          </cell>
          <cell r="L42" t="str">
            <v>IGNORED</v>
          </cell>
          <cell r="M42" t="str">
            <v>IGNORED</v>
          </cell>
          <cell r="N42" t="str">
            <v>IGNORED</v>
          </cell>
          <cell r="O42" t="str">
            <v>IGNORED</v>
          </cell>
          <cell r="P42" t="str">
            <v>IGNORED</v>
          </cell>
          <cell r="Q42" t="str">
            <v>IGNORED</v>
          </cell>
          <cell r="R42" t="str">
            <v>IGNORED</v>
          </cell>
          <cell r="S42" t="str">
            <v>IGNORED</v>
          </cell>
          <cell r="T42" t="str">
            <v>IGNORED</v>
          </cell>
          <cell r="U42" t="str">
            <v>IGNORED</v>
          </cell>
          <cell r="V42" t="str">
            <v>IGNORED</v>
          </cell>
          <cell r="W42" t="str">
            <v>IGNORED</v>
          </cell>
          <cell r="X42" t="str">
            <v>IGNORED</v>
          </cell>
          <cell r="Y42" t="str">
            <v>IGNORED</v>
          </cell>
          <cell r="Z42" t="str">
            <v>IGNORED</v>
          </cell>
          <cell r="AA42" t="str">
            <v>IGNORED</v>
          </cell>
          <cell r="AB42" t="str">
            <v>IGNORED</v>
          </cell>
          <cell r="AC42" t="str">
            <v>IGNORED</v>
          </cell>
          <cell r="AD42" t="str">
            <v>IGNORED</v>
          </cell>
          <cell r="AE42" t="str">
            <v>IGNORED</v>
          </cell>
          <cell r="AF42" t="str">
            <v>IGNORED</v>
          </cell>
          <cell r="AG42" t="str">
            <v>IGNORED</v>
          </cell>
          <cell r="AH42" t="str">
            <v>IGNORED</v>
          </cell>
          <cell r="AI42" t="str">
            <v>IGNORED</v>
          </cell>
          <cell r="AJ42" t="str">
            <v>IGNORED</v>
          </cell>
          <cell r="AK42" t="str">
            <v>IGNORED</v>
          </cell>
          <cell r="AL42" t="str">
            <v>IGNORED</v>
          </cell>
          <cell r="AM42" t="str">
            <v>IGNORED</v>
          </cell>
          <cell r="AN42" t="str">
            <v>IGNORED</v>
          </cell>
          <cell r="AO42" t="str">
            <v>IGNORED</v>
          </cell>
          <cell r="AP42" t="str">
            <v>IGNORED</v>
          </cell>
          <cell r="AQ42" t="str">
            <v>IGNORED</v>
          </cell>
          <cell r="AR42" t="str">
            <v>IGNORED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 t="str">
            <v>IGNORED</v>
          </cell>
          <cell r="G43" t="str">
            <v>IGNORED</v>
          </cell>
          <cell r="H43" t="str">
            <v>IGNORED</v>
          </cell>
          <cell r="I43" t="str">
            <v>IGNORED</v>
          </cell>
          <cell r="J43" t="str">
            <v>IGNORED</v>
          </cell>
          <cell r="K43" t="str">
            <v>IGNORED</v>
          </cell>
          <cell r="L43" t="str">
            <v>IGNORED</v>
          </cell>
          <cell r="M43" t="str">
            <v>IGNORED</v>
          </cell>
          <cell r="N43" t="str">
            <v>IGNORED</v>
          </cell>
          <cell r="O43" t="str">
            <v>IGNORED</v>
          </cell>
          <cell r="P43" t="str">
            <v>IGNORED</v>
          </cell>
          <cell r="Q43" t="str">
            <v>IGNORED</v>
          </cell>
          <cell r="R43" t="str">
            <v>IGNORED</v>
          </cell>
          <cell r="S43" t="str">
            <v>IGNORED</v>
          </cell>
          <cell r="T43" t="str">
            <v>IGNORED</v>
          </cell>
          <cell r="U43" t="str">
            <v>IGNORED</v>
          </cell>
          <cell r="V43" t="str">
            <v>IGNORED</v>
          </cell>
          <cell r="W43" t="str">
            <v>IGNORED</v>
          </cell>
          <cell r="X43" t="str">
            <v>IGNORED</v>
          </cell>
          <cell r="Y43" t="str">
            <v>IGNORED</v>
          </cell>
          <cell r="Z43" t="str">
            <v>IGNORED</v>
          </cell>
          <cell r="AA43" t="str">
            <v>IGNORED</v>
          </cell>
          <cell r="AB43" t="str">
            <v>IGNORED</v>
          </cell>
          <cell r="AC43" t="str">
            <v>IGNORED</v>
          </cell>
          <cell r="AD43" t="str">
            <v>IGNORED</v>
          </cell>
          <cell r="AE43" t="str">
            <v>IGNORED</v>
          </cell>
          <cell r="AF43" t="str">
            <v>IGNORED</v>
          </cell>
          <cell r="AG43" t="str">
            <v>IGNORED</v>
          </cell>
          <cell r="AH43" t="str">
            <v>IGNORED</v>
          </cell>
          <cell r="AI43" t="str">
            <v>IGNORED</v>
          </cell>
          <cell r="AJ43" t="str">
            <v>IGNORED</v>
          </cell>
          <cell r="AK43" t="str">
            <v>IGNORED</v>
          </cell>
          <cell r="AL43" t="str">
            <v>IGNORED</v>
          </cell>
          <cell r="AM43" t="str">
            <v>IGNORED</v>
          </cell>
          <cell r="AN43" t="str">
            <v>IGNORED</v>
          </cell>
          <cell r="AO43" t="str">
            <v>IGNORED</v>
          </cell>
          <cell r="AP43" t="str">
            <v>IGNORED</v>
          </cell>
          <cell r="AQ43" t="str">
            <v>IGNORED</v>
          </cell>
          <cell r="AR43" t="str">
            <v>IGNORED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 t="str">
            <v>IGNORED</v>
          </cell>
          <cell r="G44" t="str">
            <v>IGNORED</v>
          </cell>
          <cell r="H44" t="str">
            <v>IGNORED</v>
          </cell>
          <cell r="I44" t="str">
            <v>IGNORED</v>
          </cell>
          <cell r="J44" t="str">
            <v>IGNORED</v>
          </cell>
          <cell r="K44" t="str">
            <v>IGNORED</v>
          </cell>
          <cell r="L44" t="str">
            <v>IGNORED</v>
          </cell>
          <cell r="M44" t="str">
            <v>IGNORED</v>
          </cell>
          <cell r="N44" t="str">
            <v>IGNORED</v>
          </cell>
          <cell r="O44" t="str">
            <v>IGNORED</v>
          </cell>
          <cell r="P44" t="str">
            <v>IGNORED</v>
          </cell>
          <cell r="Q44" t="str">
            <v>IGNORED</v>
          </cell>
          <cell r="R44" t="str">
            <v>IGNORED</v>
          </cell>
          <cell r="S44" t="str">
            <v>IGNORED</v>
          </cell>
          <cell r="T44" t="str">
            <v>IGNORED</v>
          </cell>
          <cell r="U44" t="str">
            <v>IGNORED</v>
          </cell>
          <cell r="V44" t="str">
            <v>IGNORED</v>
          </cell>
          <cell r="W44" t="str">
            <v>IGNORED</v>
          </cell>
          <cell r="X44" t="str">
            <v>IGNORED</v>
          </cell>
          <cell r="Y44" t="str">
            <v>IGNORED</v>
          </cell>
          <cell r="Z44" t="str">
            <v>IGNORED</v>
          </cell>
          <cell r="AA44" t="str">
            <v>IGNORED</v>
          </cell>
          <cell r="AB44" t="str">
            <v>IGNORED</v>
          </cell>
          <cell r="AC44" t="str">
            <v>IGNORED</v>
          </cell>
          <cell r="AD44" t="str">
            <v>IGNORED</v>
          </cell>
          <cell r="AE44" t="str">
            <v>IGNORED</v>
          </cell>
          <cell r="AF44" t="str">
            <v>IGNORED</v>
          </cell>
          <cell r="AG44" t="str">
            <v>IGNORED</v>
          </cell>
          <cell r="AH44" t="str">
            <v>IGNORED</v>
          </cell>
          <cell r="AI44" t="str">
            <v>IGNORED</v>
          </cell>
          <cell r="AJ44" t="str">
            <v>IGNORED</v>
          </cell>
          <cell r="AK44" t="str">
            <v>IGNORED</v>
          </cell>
          <cell r="AL44" t="str">
            <v>IGNORED</v>
          </cell>
          <cell r="AM44" t="str">
            <v>IGNORED</v>
          </cell>
          <cell r="AN44" t="str">
            <v>IGNORED</v>
          </cell>
          <cell r="AO44" t="str">
            <v>IGNORED</v>
          </cell>
          <cell r="AP44" t="str">
            <v>IGNORED</v>
          </cell>
          <cell r="AQ44" t="str">
            <v>IGNORED</v>
          </cell>
          <cell r="AR44" t="str">
            <v>IGNORED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 t="str">
            <v>IGNORED</v>
          </cell>
          <cell r="G45" t="str">
            <v>IGNORED</v>
          </cell>
          <cell r="H45" t="str">
            <v>IGNORED</v>
          </cell>
          <cell r="I45" t="str">
            <v>IGNORED</v>
          </cell>
          <cell r="J45" t="str">
            <v>IGNORED</v>
          </cell>
          <cell r="K45" t="str">
            <v>IGNORED</v>
          </cell>
          <cell r="L45" t="str">
            <v>IGNORED</v>
          </cell>
          <cell r="M45" t="str">
            <v>IGNORED</v>
          </cell>
          <cell r="N45" t="str">
            <v>IGNORED</v>
          </cell>
          <cell r="O45" t="str">
            <v>IGNORED</v>
          </cell>
          <cell r="P45" t="str">
            <v>IGNORED</v>
          </cell>
          <cell r="Q45" t="str">
            <v>IGNORED</v>
          </cell>
          <cell r="R45" t="str">
            <v>IGNORED</v>
          </cell>
          <cell r="S45" t="str">
            <v>IGNORED</v>
          </cell>
          <cell r="T45" t="str">
            <v>IGNORED</v>
          </cell>
          <cell r="U45" t="str">
            <v>IGNORED</v>
          </cell>
          <cell r="V45" t="str">
            <v>IGNORED</v>
          </cell>
          <cell r="W45" t="str">
            <v>IGNORED</v>
          </cell>
          <cell r="X45" t="str">
            <v>IGNORED</v>
          </cell>
          <cell r="Y45" t="str">
            <v>IGNORED</v>
          </cell>
          <cell r="Z45" t="str">
            <v>IGNORED</v>
          </cell>
          <cell r="AA45" t="str">
            <v>IGNORED</v>
          </cell>
          <cell r="AB45" t="str">
            <v>IGNORED</v>
          </cell>
          <cell r="AC45" t="str">
            <v>IGNORED</v>
          </cell>
          <cell r="AD45" t="str">
            <v>IGNORED</v>
          </cell>
          <cell r="AE45" t="str">
            <v>IGNORED</v>
          </cell>
          <cell r="AF45" t="str">
            <v>IGNORED</v>
          </cell>
          <cell r="AG45" t="str">
            <v>IGNORED</v>
          </cell>
          <cell r="AH45" t="str">
            <v>IGNORED</v>
          </cell>
          <cell r="AI45" t="str">
            <v>IGNORED</v>
          </cell>
          <cell r="AJ45" t="str">
            <v>IGNORED</v>
          </cell>
          <cell r="AK45" t="str">
            <v>IGNORED</v>
          </cell>
          <cell r="AL45" t="str">
            <v>IGNORED</v>
          </cell>
          <cell r="AM45" t="str">
            <v>IGNORED</v>
          </cell>
          <cell r="AN45" t="str">
            <v>IGNORED</v>
          </cell>
          <cell r="AO45" t="str">
            <v>IGNORED</v>
          </cell>
          <cell r="AP45" t="str">
            <v>IGNORED</v>
          </cell>
          <cell r="AQ45" t="str">
            <v>IGNORED</v>
          </cell>
          <cell r="AR45" t="str">
            <v>IGNORED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 t="str">
            <v>IGNORED</v>
          </cell>
          <cell r="G46" t="str">
            <v>IGNORED</v>
          </cell>
          <cell r="H46" t="str">
            <v>IGNORED</v>
          </cell>
          <cell r="I46" t="str">
            <v>IGNORED</v>
          </cell>
          <cell r="J46" t="str">
            <v>IGNORED</v>
          </cell>
          <cell r="K46" t="str">
            <v>IGNORED</v>
          </cell>
          <cell r="L46" t="str">
            <v>IGNORED</v>
          </cell>
          <cell r="M46" t="str">
            <v>IGNORED</v>
          </cell>
          <cell r="N46" t="str">
            <v>IGNORED</v>
          </cell>
          <cell r="O46" t="str">
            <v>IGNORED</v>
          </cell>
          <cell r="P46" t="str">
            <v>IGNORED</v>
          </cell>
          <cell r="Q46" t="str">
            <v>IGNORED</v>
          </cell>
          <cell r="R46" t="str">
            <v>IGNORED</v>
          </cell>
          <cell r="S46" t="str">
            <v>IGNORED</v>
          </cell>
          <cell r="T46" t="str">
            <v>IGNORED</v>
          </cell>
          <cell r="U46" t="str">
            <v>IGNORED</v>
          </cell>
          <cell r="V46" t="str">
            <v>IGNORED</v>
          </cell>
          <cell r="W46" t="str">
            <v>IGNORED</v>
          </cell>
          <cell r="X46" t="str">
            <v>IGNORED</v>
          </cell>
          <cell r="Y46" t="str">
            <v>IGNORED</v>
          </cell>
          <cell r="Z46" t="str">
            <v>IGNORED</v>
          </cell>
          <cell r="AA46" t="str">
            <v>IGNORED</v>
          </cell>
          <cell r="AB46" t="str">
            <v>IGNORED</v>
          </cell>
          <cell r="AC46" t="str">
            <v>IGNORED</v>
          </cell>
          <cell r="AD46" t="str">
            <v>IGNORED</v>
          </cell>
          <cell r="AE46" t="str">
            <v>IGNORED</v>
          </cell>
          <cell r="AF46" t="str">
            <v>IGNORED</v>
          </cell>
          <cell r="AG46" t="str">
            <v>IGNORED</v>
          </cell>
          <cell r="AH46" t="str">
            <v>IGNORED</v>
          </cell>
          <cell r="AI46" t="str">
            <v>IGNORED</v>
          </cell>
          <cell r="AJ46" t="str">
            <v>IGNORED</v>
          </cell>
          <cell r="AK46" t="str">
            <v>IGNORED</v>
          </cell>
          <cell r="AL46" t="str">
            <v>IGNORED</v>
          </cell>
          <cell r="AM46" t="str">
            <v>IGNORED</v>
          </cell>
          <cell r="AN46" t="str">
            <v>IGNORED</v>
          </cell>
          <cell r="AO46" t="str">
            <v>IGNORED</v>
          </cell>
          <cell r="AP46" t="str">
            <v>IGNORED</v>
          </cell>
          <cell r="AQ46" t="str">
            <v>IGNORED</v>
          </cell>
          <cell r="AR46" t="str">
            <v>IGNORED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 t="str">
            <v>IGNORED</v>
          </cell>
          <cell r="G47" t="str">
            <v>IGNORED</v>
          </cell>
          <cell r="H47" t="str">
            <v>IGNORED</v>
          </cell>
          <cell r="I47" t="str">
            <v>IGNORED</v>
          </cell>
          <cell r="J47" t="str">
            <v>IGNORED</v>
          </cell>
          <cell r="K47" t="str">
            <v>IGNORED</v>
          </cell>
          <cell r="L47" t="str">
            <v>IGNORED</v>
          </cell>
          <cell r="M47" t="str">
            <v>IGNORED</v>
          </cell>
          <cell r="N47" t="str">
            <v>IGNORED</v>
          </cell>
          <cell r="O47" t="str">
            <v>IGNORED</v>
          </cell>
          <cell r="P47" t="str">
            <v>IGNORED</v>
          </cell>
          <cell r="Q47" t="str">
            <v>IGNORED</v>
          </cell>
          <cell r="R47" t="str">
            <v>IGNORED</v>
          </cell>
          <cell r="S47" t="str">
            <v>IGNORED</v>
          </cell>
          <cell r="T47" t="str">
            <v>IGNORED</v>
          </cell>
          <cell r="U47" t="str">
            <v>IGNORED</v>
          </cell>
          <cell r="V47" t="str">
            <v>IGNORED</v>
          </cell>
          <cell r="W47" t="str">
            <v>IGNORED</v>
          </cell>
          <cell r="X47" t="str">
            <v>IGNORED</v>
          </cell>
          <cell r="Y47" t="str">
            <v>IGNORED</v>
          </cell>
          <cell r="Z47" t="str">
            <v>IGNORED</v>
          </cell>
          <cell r="AA47" t="str">
            <v>IGNORED</v>
          </cell>
          <cell r="AB47" t="str">
            <v>IGNORED</v>
          </cell>
          <cell r="AC47" t="str">
            <v>IGNORED</v>
          </cell>
          <cell r="AD47" t="str">
            <v>IGNORED</v>
          </cell>
          <cell r="AE47" t="str">
            <v>IGNORED</v>
          </cell>
          <cell r="AF47" t="str">
            <v>IGNORED</v>
          </cell>
          <cell r="AG47" t="str">
            <v>IGNORED</v>
          </cell>
          <cell r="AH47" t="str">
            <v>IGNORED</v>
          </cell>
          <cell r="AI47" t="str">
            <v>IGNORED</v>
          </cell>
          <cell r="AJ47" t="str">
            <v>IGNORED</v>
          </cell>
          <cell r="AK47" t="str">
            <v>IGNORED</v>
          </cell>
          <cell r="AL47" t="str">
            <v>IGNORED</v>
          </cell>
          <cell r="AM47" t="str">
            <v>IGNORED</v>
          </cell>
          <cell r="AN47" t="str">
            <v>IGNORED</v>
          </cell>
          <cell r="AO47" t="str">
            <v>IGNORED</v>
          </cell>
          <cell r="AP47" t="str">
            <v>IGNORED</v>
          </cell>
          <cell r="AQ47" t="str">
            <v>IGNORED</v>
          </cell>
          <cell r="AR47" t="str">
            <v>IGNORED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  <cell r="F48" t="str">
            <v>IGNORED</v>
          </cell>
          <cell r="G48" t="str">
            <v>IGNORED</v>
          </cell>
          <cell r="H48" t="str">
            <v>IGNORED</v>
          </cell>
          <cell r="I48" t="str">
            <v>IGNORED</v>
          </cell>
          <cell r="J48" t="str">
            <v>IGNORED</v>
          </cell>
          <cell r="K48" t="str">
            <v>IGNORED</v>
          </cell>
          <cell r="L48" t="str">
            <v>IGNORED</v>
          </cell>
          <cell r="M48" t="str">
            <v>IGNORED</v>
          </cell>
          <cell r="N48" t="str">
            <v>IGNORED</v>
          </cell>
          <cell r="O48" t="str">
            <v>IGNORED</v>
          </cell>
          <cell r="P48" t="str">
            <v>IGNORED</v>
          </cell>
          <cell r="Q48" t="str">
            <v>IGNORED</v>
          </cell>
          <cell r="R48" t="str">
            <v>IGNORED</v>
          </cell>
          <cell r="S48" t="str">
            <v>IGNORED</v>
          </cell>
          <cell r="T48" t="str">
            <v>IGNORED</v>
          </cell>
          <cell r="U48" t="str">
            <v>IGNORED</v>
          </cell>
          <cell r="V48" t="str">
            <v>IGNORED</v>
          </cell>
          <cell r="W48" t="str">
            <v>IGNORED</v>
          </cell>
          <cell r="X48" t="str">
            <v>IGNORED</v>
          </cell>
          <cell r="Y48" t="str">
            <v>IGNORED</v>
          </cell>
          <cell r="Z48" t="str">
            <v>IGNORED</v>
          </cell>
          <cell r="AA48" t="str">
            <v>IGNORED</v>
          </cell>
          <cell r="AB48" t="str">
            <v>IGNORED</v>
          </cell>
          <cell r="AC48" t="str">
            <v>IGNORED</v>
          </cell>
          <cell r="AD48" t="str">
            <v>IGNORED</v>
          </cell>
          <cell r="AE48" t="str">
            <v>IGNORED</v>
          </cell>
          <cell r="AF48" t="str">
            <v>IGNORED</v>
          </cell>
          <cell r="AG48" t="str">
            <v>IGNORED</v>
          </cell>
          <cell r="AH48" t="str">
            <v>IGNORED</v>
          </cell>
          <cell r="AI48" t="str">
            <v>IGNORED</v>
          </cell>
          <cell r="AJ48" t="str">
            <v>IGNORED</v>
          </cell>
          <cell r="AK48" t="str">
            <v>IGNORED</v>
          </cell>
          <cell r="AL48" t="str">
            <v>IGNORED</v>
          </cell>
          <cell r="AM48" t="str">
            <v>IGNORED</v>
          </cell>
          <cell r="AN48" t="str">
            <v>IGNORED</v>
          </cell>
          <cell r="AO48" t="str">
            <v>IGNORED</v>
          </cell>
          <cell r="AP48" t="str">
            <v>IGNORED</v>
          </cell>
          <cell r="AQ48" t="str">
            <v>IGNORED</v>
          </cell>
          <cell r="AR48" t="str">
            <v>IGNORED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 t="str">
            <v>IGNORED</v>
          </cell>
          <cell r="G49" t="str">
            <v>IGNORED</v>
          </cell>
          <cell r="H49" t="str">
            <v>IGNORED</v>
          </cell>
          <cell r="I49" t="str">
            <v>IGNORED</v>
          </cell>
          <cell r="J49" t="str">
            <v>IGNORED</v>
          </cell>
          <cell r="K49" t="str">
            <v>IGNORED</v>
          </cell>
          <cell r="L49" t="str">
            <v>IGNORED</v>
          </cell>
          <cell r="M49" t="str">
            <v>IGNORED</v>
          </cell>
          <cell r="N49" t="str">
            <v>IGNORED</v>
          </cell>
          <cell r="O49" t="str">
            <v>IGNORED</v>
          </cell>
          <cell r="P49" t="str">
            <v>IGNORED</v>
          </cell>
          <cell r="Q49" t="str">
            <v>IGNORED</v>
          </cell>
          <cell r="R49" t="str">
            <v>IGNORED</v>
          </cell>
          <cell r="S49" t="str">
            <v>IGNORED</v>
          </cell>
          <cell r="T49" t="str">
            <v>IGNORED</v>
          </cell>
          <cell r="U49" t="str">
            <v>IGNORED</v>
          </cell>
          <cell r="V49" t="str">
            <v>IGNORED</v>
          </cell>
          <cell r="W49" t="str">
            <v>IGNORED</v>
          </cell>
          <cell r="X49" t="str">
            <v>IGNORED</v>
          </cell>
          <cell r="Y49" t="str">
            <v>IGNORED</v>
          </cell>
          <cell r="Z49" t="str">
            <v>IGNORED</v>
          </cell>
          <cell r="AA49" t="str">
            <v>IGNORED</v>
          </cell>
          <cell r="AB49" t="str">
            <v>IGNORED</v>
          </cell>
          <cell r="AC49" t="str">
            <v>IGNORED</v>
          </cell>
          <cell r="AD49" t="str">
            <v>IGNORED</v>
          </cell>
          <cell r="AE49" t="str">
            <v>IGNORED</v>
          </cell>
          <cell r="AF49" t="str">
            <v>IGNORED</v>
          </cell>
          <cell r="AG49" t="str">
            <v>IGNORED</v>
          </cell>
          <cell r="AH49" t="str">
            <v>IGNORED</v>
          </cell>
          <cell r="AI49" t="str">
            <v>IGNORED</v>
          </cell>
          <cell r="AJ49" t="str">
            <v>IGNORED</v>
          </cell>
          <cell r="AK49" t="str">
            <v>IGNORED</v>
          </cell>
          <cell r="AL49" t="str">
            <v>IGNORED</v>
          </cell>
          <cell r="AM49" t="str">
            <v>IGNORED</v>
          </cell>
          <cell r="AN49" t="str">
            <v>IGNORED</v>
          </cell>
          <cell r="AO49" t="str">
            <v>IGNORED</v>
          </cell>
          <cell r="AP49" t="str">
            <v>IGNORED</v>
          </cell>
          <cell r="AQ49" t="str">
            <v>IGNORED</v>
          </cell>
          <cell r="AR49" t="str">
            <v>IGNORED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 t="str">
            <v>IGNORED</v>
          </cell>
          <cell r="G50" t="str">
            <v>IGNORED</v>
          </cell>
          <cell r="H50" t="str">
            <v>IGNORED</v>
          </cell>
          <cell r="I50" t="str">
            <v>IGNORED</v>
          </cell>
          <cell r="J50" t="str">
            <v>IGNORED</v>
          </cell>
          <cell r="K50" t="str">
            <v>IGNORED</v>
          </cell>
          <cell r="L50" t="str">
            <v>IGNORED</v>
          </cell>
          <cell r="M50" t="str">
            <v>IGNORED</v>
          </cell>
          <cell r="N50" t="str">
            <v>IGNORED</v>
          </cell>
          <cell r="O50" t="str">
            <v>IGNORED</v>
          </cell>
          <cell r="P50" t="str">
            <v>IGNORED</v>
          </cell>
          <cell r="Q50" t="str">
            <v>IGNORED</v>
          </cell>
          <cell r="R50" t="str">
            <v>IGNORED</v>
          </cell>
          <cell r="S50" t="str">
            <v>IGNORED</v>
          </cell>
          <cell r="T50" t="str">
            <v>IGNORED</v>
          </cell>
          <cell r="U50" t="str">
            <v>IGNORED</v>
          </cell>
          <cell r="V50" t="str">
            <v>IGNORED</v>
          </cell>
          <cell r="W50" t="str">
            <v>IGNORED</v>
          </cell>
          <cell r="X50" t="str">
            <v>IGNORED</v>
          </cell>
          <cell r="Y50" t="str">
            <v>IGNORED</v>
          </cell>
          <cell r="Z50" t="str">
            <v>IGNORED</v>
          </cell>
          <cell r="AA50" t="str">
            <v>IGNORED</v>
          </cell>
          <cell r="AB50" t="str">
            <v>IGNORED</v>
          </cell>
          <cell r="AC50" t="str">
            <v>IGNORED</v>
          </cell>
          <cell r="AD50" t="str">
            <v>IGNORED</v>
          </cell>
          <cell r="AE50" t="str">
            <v>IGNORED</v>
          </cell>
          <cell r="AF50" t="str">
            <v>IGNORED</v>
          </cell>
          <cell r="AG50" t="str">
            <v>IGNORED</v>
          </cell>
          <cell r="AH50" t="str">
            <v>IGNORED</v>
          </cell>
          <cell r="AI50" t="str">
            <v>IGNORED</v>
          </cell>
          <cell r="AJ50" t="str">
            <v>IGNORED</v>
          </cell>
          <cell r="AK50" t="str">
            <v>IGNORED</v>
          </cell>
          <cell r="AL50" t="str">
            <v>IGNORED</v>
          </cell>
          <cell r="AM50" t="str">
            <v>IGNORED</v>
          </cell>
          <cell r="AN50" t="str">
            <v>IGNORED</v>
          </cell>
          <cell r="AO50" t="str">
            <v>IGNORED</v>
          </cell>
          <cell r="AP50" t="str">
            <v>IGNORED</v>
          </cell>
          <cell r="AQ50" t="str">
            <v>IGNORED</v>
          </cell>
          <cell r="AR50" t="str">
            <v>IGNORED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 t="str">
            <v>IGNORED</v>
          </cell>
          <cell r="G51" t="str">
            <v>IGNORED</v>
          </cell>
          <cell r="H51" t="str">
            <v>IGNORED</v>
          </cell>
          <cell r="I51" t="str">
            <v>IGNORED</v>
          </cell>
          <cell r="J51" t="str">
            <v>IGNORED</v>
          </cell>
          <cell r="K51" t="str">
            <v>IGNORED</v>
          </cell>
          <cell r="L51" t="str">
            <v>IGNORED</v>
          </cell>
          <cell r="M51" t="str">
            <v>IGNORED</v>
          </cell>
          <cell r="N51" t="str">
            <v>IGNORED</v>
          </cell>
          <cell r="O51" t="str">
            <v>IGNORED</v>
          </cell>
          <cell r="P51" t="str">
            <v>IGNORED</v>
          </cell>
          <cell r="Q51" t="str">
            <v>IGNORED</v>
          </cell>
          <cell r="R51" t="str">
            <v>IGNORED</v>
          </cell>
          <cell r="S51" t="str">
            <v>IGNORED</v>
          </cell>
          <cell r="T51" t="str">
            <v>IGNORED</v>
          </cell>
          <cell r="U51" t="str">
            <v>IGNORED</v>
          </cell>
          <cell r="V51" t="str">
            <v>IGNORED</v>
          </cell>
          <cell r="W51" t="str">
            <v>IGNORED</v>
          </cell>
          <cell r="X51" t="str">
            <v>IGNORED</v>
          </cell>
          <cell r="Y51" t="str">
            <v>IGNORED</v>
          </cell>
          <cell r="Z51" t="str">
            <v>IGNORED</v>
          </cell>
          <cell r="AA51" t="str">
            <v>IGNORED</v>
          </cell>
          <cell r="AB51" t="str">
            <v>IGNORED</v>
          </cell>
          <cell r="AC51" t="str">
            <v>IGNORED</v>
          </cell>
          <cell r="AD51" t="str">
            <v>IGNORED</v>
          </cell>
          <cell r="AE51" t="str">
            <v>IGNORED</v>
          </cell>
          <cell r="AF51" t="str">
            <v>IGNORED</v>
          </cell>
          <cell r="AG51" t="str">
            <v>IGNORED</v>
          </cell>
          <cell r="AH51" t="str">
            <v>IGNORED</v>
          </cell>
          <cell r="AI51" t="str">
            <v>IGNORED</v>
          </cell>
          <cell r="AJ51" t="str">
            <v>IGNORED</v>
          </cell>
          <cell r="AK51" t="str">
            <v>IGNORED</v>
          </cell>
          <cell r="AL51" t="str">
            <v>IGNORED</v>
          </cell>
          <cell r="AM51" t="str">
            <v>IGNORED</v>
          </cell>
          <cell r="AN51" t="str">
            <v>IGNORED</v>
          </cell>
          <cell r="AO51" t="str">
            <v>IGNORED</v>
          </cell>
          <cell r="AP51" t="str">
            <v>IGNORED</v>
          </cell>
          <cell r="AQ51" t="str">
            <v>IGNORED</v>
          </cell>
          <cell r="AR51" t="str">
            <v>IGNORED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 t="str">
            <v>IGNORED</v>
          </cell>
          <cell r="G52" t="str">
            <v>IGNORED</v>
          </cell>
          <cell r="H52" t="str">
            <v>IGNORED</v>
          </cell>
          <cell r="I52" t="str">
            <v>IGNORED</v>
          </cell>
          <cell r="J52" t="str">
            <v>IGNORED</v>
          </cell>
          <cell r="K52" t="str">
            <v>IGNORED</v>
          </cell>
          <cell r="L52" t="str">
            <v>IGNORED</v>
          </cell>
          <cell r="M52" t="str">
            <v>IGNORED</v>
          </cell>
          <cell r="N52" t="str">
            <v>IGNORED</v>
          </cell>
          <cell r="O52" t="str">
            <v>IGNORED</v>
          </cell>
          <cell r="P52" t="str">
            <v>IGNORED</v>
          </cell>
          <cell r="Q52" t="str">
            <v>IGNORED</v>
          </cell>
          <cell r="R52" t="str">
            <v>IGNORED</v>
          </cell>
          <cell r="S52" t="str">
            <v>IGNORED</v>
          </cell>
          <cell r="T52" t="str">
            <v>IGNORED</v>
          </cell>
          <cell r="U52" t="str">
            <v>IGNORED</v>
          </cell>
          <cell r="V52" t="str">
            <v>IGNORED</v>
          </cell>
          <cell r="W52" t="str">
            <v>IGNORED</v>
          </cell>
          <cell r="X52" t="str">
            <v>IGNORED</v>
          </cell>
          <cell r="Y52" t="str">
            <v>IGNORED</v>
          </cell>
          <cell r="Z52" t="str">
            <v>IGNORED</v>
          </cell>
          <cell r="AA52" t="str">
            <v>IGNORED</v>
          </cell>
          <cell r="AB52" t="str">
            <v>IGNORED</v>
          </cell>
          <cell r="AC52" t="str">
            <v>IGNORED</v>
          </cell>
          <cell r="AD52" t="str">
            <v>IGNORED</v>
          </cell>
          <cell r="AE52" t="str">
            <v>IGNORED</v>
          </cell>
          <cell r="AF52" t="str">
            <v>IGNORED</v>
          </cell>
          <cell r="AG52" t="str">
            <v>IGNORED</v>
          </cell>
          <cell r="AH52" t="str">
            <v>IGNORED</v>
          </cell>
          <cell r="AI52" t="str">
            <v>IGNORED</v>
          </cell>
          <cell r="AJ52" t="str">
            <v>IGNORED</v>
          </cell>
          <cell r="AK52" t="str">
            <v>IGNORED</v>
          </cell>
          <cell r="AL52" t="str">
            <v>IGNORED</v>
          </cell>
          <cell r="AM52" t="str">
            <v>IGNORED</v>
          </cell>
          <cell r="AN52" t="str">
            <v>IGNORED</v>
          </cell>
          <cell r="AO52" t="str">
            <v>IGNORED</v>
          </cell>
          <cell r="AP52" t="str">
            <v>IGNORED</v>
          </cell>
          <cell r="AQ52" t="str">
            <v>IGNORED</v>
          </cell>
          <cell r="AR52" t="str">
            <v>IGNORED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 t="str">
            <v>IGNORED</v>
          </cell>
          <cell r="G53" t="str">
            <v>IGNORED</v>
          </cell>
          <cell r="H53" t="str">
            <v>IGNORED</v>
          </cell>
          <cell r="I53" t="str">
            <v>IGNORED</v>
          </cell>
          <cell r="J53" t="str">
            <v>IGNORED</v>
          </cell>
          <cell r="K53" t="str">
            <v>IGNORED</v>
          </cell>
          <cell r="L53" t="str">
            <v>IGNORED</v>
          </cell>
          <cell r="M53" t="str">
            <v>IGNORED</v>
          </cell>
          <cell r="N53" t="str">
            <v>IGNORED</v>
          </cell>
          <cell r="O53" t="str">
            <v>IGNORED</v>
          </cell>
          <cell r="P53" t="str">
            <v>IGNORED</v>
          </cell>
          <cell r="Q53" t="str">
            <v>IGNORED</v>
          </cell>
          <cell r="R53" t="str">
            <v>IGNORED</v>
          </cell>
          <cell r="S53" t="str">
            <v>IGNORED</v>
          </cell>
          <cell r="T53" t="str">
            <v>IGNORED</v>
          </cell>
          <cell r="U53" t="str">
            <v>IGNORED</v>
          </cell>
          <cell r="V53" t="str">
            <v>IGNORED</v>
          </cell>
          <cell r="W53" t="str">
            <v>IGNORED</v>
          </cell>
          <cell r="X53" t="str">
            <v>IGNORED</v>
          </cell>
          <cell r="Y53" t="str">
            <v>IGNORED</v>
          </cell>
          <cell r="Z53" t="str">
            <v>IGNORED</v>
          </cell>
          <cell r="AA53" t="str">
            <v>IGNORED</v>
          </cell>
          <cell r="AB53" t="str">
            <v>IGNORED</v>
          </cell>
          <cell r="AC53" t="str">
            <v>IGNORED</v>
          </cell>
          <cell r="AD53" t="str">
            <v>IGNORED</v>
          </cell>
          <cell r="AE53" t="str">
            <v>IGNORED</v>
          </cell>
          <cell r="AF53" t="str">
            <v>IGNORED</v>
          </cell>
          <cell r="AG53" t="str">
            <v>IGNORED</v>
          </cell>
          <cell r="AH53" t="str">
            <v>IGNORED</v>
          </cell>
          <cell r="AI53" t="str">
            <v>IGNORED</v>
          </cell>
          <cell r="AJ53" t="str">
            <v>IGNORED</v>
          </cell>
          <cell r="AK53" t="str">
            <v>IGNORED</v>
          </cell>
          <cell r="AL53" t="str">
            <v>IGNORED</v>
          </cell>
          <cell r="AM53" t="str">
            <v>IGNORED</v>
          </cell>
          <cell r="AN53" t="str">
            <v>IGNORED</v>
          </cell>
          <cell r="AO53" t="str">
            <v>IGNORED</v>
          </cell>
          <cell r="AP53" t="str">
            <v>IGNORED</v>
          </cell>
          <cell r="AQ53" t="str">
            <v>IGNORED</v>
          </cell>
          <cell r="AR53" t="str">
            <v>IGNORED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 t="str">
            <v>IGNORED</v>
          </cell>
          <cell r="G54" t="str">
            <v>IGNORED</v>
          </cell>
          <cell r="H54" t="str">
            <v>IGNORED</v>
          </cell>
          <cell r="I54" t="str">
            <v>IGNORED</v>
          </cell>
          <cell r="J54" t="str">
            <v>IGNORED</v>
          </cell>
          <cell r="K54" t="str">
            <v>IGNORED</v>
          </cell>
          <cell r="L54" t="str">
            <v>IGNORED</v>
          </cell>
          <cell r="M54" t="str">
            <v>IGNORED</v>
          </cell>
          <cell r="N54" t="str">
            <v>IGNORED</v>
          </cell>
          <cell r="O54" t="str">
            <v>IGNORED</v>
          </cell>
          <cell r="P54" t="str">
            <v>IGNORED</v>
          </cell>
          <cell r="Q54" t="str">
            <v>IGNORED</v>
          </cell>
          <cell r="R54" t="str">
            <v>IGNORED</v>
          </cell>
          <cell r="S54" t="str">
            <v>IGNORED</v>
          </cell>
          <cell r="T54" t="str">
            <v>IGNORED</v>
          </cell>
          <cell r="U54" t="str">
            <v>IGNORED</v>
          </cell>
          <cell r="V54" t="str">
            <v>IGNORED</v>
          </cell>
          <cell r="W54" t="str">
            <v>IGNORED</v>
          </cell>
          <cell r="X54" t="str">
            <v>IGNORED</v>
          </cell>
          <cell r="Y54" t="str">
            <v>IGNORED</v>
          </cell>
          <cell r="Z54" t="str">
            <v>IGNORED</v>
          </cell>
          <cell r="AA54" t="str">
            <v>IGNORED</v>
          </cell>
          <cell r="AB54" t="str">
            <v>IGNORED</v>
          </cell>
          <cell r="AC54" t="str">
            <v>IGNORED</v>
          </cell>
          <cell r="AD54" t="str">
            <v>IGNORED</v>
          </cell>
          <cell r="AE54" t="str">
            <v>IGNORED</v>
          </cell>
          <cell r="AF54" t="str">
            <v>IGNORED</v>
          </cell>
          <cell r="AG54" t="str">
            <v>IGNORED</v>
          </cell>
          <cell r="AH54" t="str">
            <v>IGNORED</v>
          </cell>
          <cell r="AI54" t="str">
            <v>IGNORED</v>
          </cell>
          <cell r="AJ54" t="str">
            <v>IGNORED</v>
          </cell>
          <cell r="AK54" t="str">
            <v>IGNORED</v>
          </cell>
          <cell r="AL54" t="str">
            <v>IGNORED</v>
          </cell>
          <cell r="AM54" t="str">
            <v>IGNORED</v>
          </cell>
          <cell r="AN54" t="str">
            <v>IGNORED</v>
          </cell>
          <cell r="AO54" t="str">
            <v>IGNORED</v>
          </cell>
          <cell r="AP54" t="str">
            <v>IGNORED</v>
          </cell>
          <cell r="AQ54" t="str">
            <v>IGNORED</v>
          </cell>
          <cell r="AR54" t="str">
            <v>IGNORED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 t="str">
            <v>IGNORED</v>
          </cell>
          <cell r="G55" t="str">
            <v>IGNORED</v>
          </cell>
          <cell r="H55" t="str">
            <v>IGNORED</v>
          </cell>
          <cell r="I55" t="str">
            <v>IGNORED</v>
          </cell>
          <cell r="J55" t="str">
            <v>IGNORED</v>
          </cell>
          <cell r="K55" t="str">
            <v>IGNORED</v>
          </cell>
          <cell r="L55" t="str">
            <v>IGNORED</v>
          </cell>
          <cell r="M55" t="str">
            <v>IGNORED</v>
          </cell>
          <cell r="N55" t="str">
            <v>IGNORED</v>
          </cell>
          <cell r="O55" t="str">
            <v>IGNORED</v>
          </cell>
          <cell r="P55" t="str">
            <v>IGNORED</v>
          </cell>
          <cell r="Q55" t="str">
            <v>IGNORED</v>
          </cell>
          <cell r="R55" t="str">
            <v>IGNORED</v>
          </cell>
          <cell r="S55" t="str">
            <v>IGNORED</v>
          </cell>
          <cell r="T55" t="str">
            <v>IGNORED</v>
          </cell>
          <cell r="U55" t="str">
            <v>IGNORED</v>
          </cell>
          <cell r="V55" t="str">
            <v>IGNORED</v>
          </cell>
          <cell r="W55" t="str">
            <v>IGNORED</v>
          </cell>
          <cell r="X55" t="str">
            <v>IGNORED</v>
          </cell>
          <cell r="Y55" t="str">
            <v>IGNORED</v>
          </cell>
          <cell r="Z55" t="str">
            <v>IGNORED</v>
          </cell>
          <cell r="AA55" t="str">
            <v>IGNORED</v>
          </cell>
          <cell r="AB55" t="str">
            <v>IGNORED</v>
          </cell>
          <cell r="AC55" t="str">
            <v>IGNORED</v>
          </cell>
          <cell r="AD55" t="str">
            <v>IGNORED</v>
          </cell>
          <cell r="AE55" t="str">
            <v>IGNORED</v>
          </cell>
          <cell r="AF55" t="str">
            <v>IGNORED</v>
          </cell>
          <cell r="AG55" t="str">
            <v>IGNORED</v>
          </cell>
          <cell r="AH55" t="str">
            <v>IGNORED</v>
          </cell>
          <cell r="AI55" t="str">
            <v>IGNORED</v>
          </cell>
          <cell r="AJ55" t="str">
            <v>IGNORED</v>
          </cell>
          <cell r="AK55" t="str">
            <v>IGNORED</v>
          </cell>
          <cell r="AL55" t="str">
            <v>IGNORED</v>
          </cell>
          <cell r="AM55" t="str">
            <v>IGNORED</v>
          </cell>
          <cell r="AN55" t="str">
            <v>IGNORED</v>
          </cell>
          <cell r="AO55" t="str">
            <v>IGNORED</v>
          </cell>
          <cell r="AP55" t="str">
            <v>IGNORED</v>
          </cell>
          <cell r="AQ55" t="str">
            <v>IGNORED</v>
          </cell>
          <cell r="AR55" t="str">
            <v>IGNORED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 t="str">
            <v>IGNORED</v>
          </cell>
          <cell r="G56" t="str">
            <v>IGNORED</v>
          </cell>
          <cell r="H56" t="str">
            <v>IGNORED</v>
          </cell>
          <cell r="I56" t="str">
            <v>IGNORED</v>
          </cell>
          <cell r="J56" t="str">
            <v>IGNORED</v>
          </cell>
          <cell r="K56" t="str">
            <v>IGNORED</v>
          </cell>
          <cell r="L56" t="str">
            <v>IGNORED</v>
          </cell>
          <cell r="M56" t="str">
            <v>IGNORED</v>
          </cell>
          <cell r="N56" t="str">
            <v>IGNORED</v>
          </cell>
          <cell r="O56" t="str">
            <v>IGNORED</v>
          </cell>
          <cell r="P56" t="str">
            <v>IGNORED</v>
          </cell>
          <cell r="Q56" t="str">
            <v>IGNORED</v>
          </cell>
          <cell r="R56" t="str">
            <v>IGNORED</v>
          </cell>
          <cell r="S56" t="str">
            <v>IGNORED</v>
          </cell>
          <cell r="T56" t="str">
            <v>IGNORED</v>
          </cell>
          <cell r="U56" t="str">
            <v>IGNORED</v>
          </cell>
          <cell r="V56" t="str">
            <v>IGNORED</v>
          </cell>
          <cell r="W56" t="str">
            <v>IGNORED</v>
          </cell>
          <cell r="X56" t="str">
            <v>IGNORED</v>
          </cell>
          <cell r="Y56" t="str">
            <v>IGNORED</v>
          </cell>
          <cell r="Z56" t="str">
            <v>IGNORED</v>
          </cell>
          <cell r="AA56" t="str">
            <v>IGNORED</v>
          </cell>
          <cell r="AB56" t="str">
            <v>IGNORED</v>
          </cell>
          <cell r="AC56" t="str">
            <v>IGNORED</v>
          </cell>
          <cell r="AD56" t="str">
            <v>IGNORED</v>
          </cell>
          <cell r="AE56" t="str">
            <v>IGNORED</v>
          </cell>
          <cell r="AF56" t="str">
            <v>IGNORED</v>
          </cell>
          <cell r="AG56" t="str">
            <v>IGNORED</v>
          </cell>
          <cell r="AH56" t="str">
            <v>IGNORED</v>
          </cell>
          <cell r="AI56" t="str">
            <v>IGNORED</v>
          </cell>
          <cell r="AJ56" t="str">
            <v>IGNORED</v>
          </cell>
          <cell r="AK56" t="str">
            <v>IGNORED</v>
          </cell>
          <cell r="AL56" t="str">
            <v>IGNORED</v>
          </cell>
          <cell r="AM56" t="str">
            <v>IGNORED</v>
          </cell>
          <cell r="AN56" t="str">
            <v>IGNORED</v>
          </cell>
          <cell r="AO56" t="str">
            <v>IGNORED</v>
          </cell>
          <cell r="AP56" t="str">
            <v>IGNORED</v>
          </cell>
          <cell r="AQ56" t="str">
            <v>IGNORED</v>
          </cell>
          <cell r="AR56" t="str">
            <v>IGNORED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 t="str">
            <v>IGNORED</v>
          </cell>
          <cell r="G57" t="str">
            <v>IGNORED</v>
          </cell>
          <cell r="H57" t="str">
            <v>IGNORED</v>
          </cell>
          <cell r="I57" t="str">
            <v>IGNORED</v>
          </cell>
          <cell r="J57" t="str">
            <v>IGNORED</v>
          </cell>
          <cell r="K57" t="str">
            <v>IGNORED</v>
          </cell>
          <cell r="L57" t="str">
            <v>IGNORED</v>
          </cell>
          <cell r="M57" t="str">
            <v>IGNORED</v>
          </cell>
          <cell r="N57" t="str">
            <v>IGNORED</v>
          </cell>
          <cell r="O57" t="str">
            <v>IGNORED</v>
          </cell>
          <cell r="P57" t="str">
            <v>IGNORED</v>
          </cell>
          <cell r="Q57" t="str">
            <v>IGNORED</v>
          </cell>
          <cell r="R57" t="str">
            <v>IGNORED</v>
          </cell>
          <cell r="S57" t="str">
            <v>IGNORED</v>
          </cell>
          <cell r="T57" t="str">
            <v>IGNORED</v>
          </cell>
          <cell r="U57" t="str">
            <v>IGNORED</v>
          </cell>
          <cell r="V57" t="str">
            <v>IGNORED</v>
          </cell>
          <cell r="W57" t="str">
            <v>IGNORED</v>
          </cell>
          <cell r="X57" t="str">
            <v>IGNORED</v>
          </cell>
          <cell r="Y57" t="str">
            <v>IGNORED</v>
          </cell>
          <cell r="Z57" t="str">
            <v>IGNORED</v>
          </cell>
          <cell r="AA57" t="str">
            <v>IGNORED</v>
          </cell>
          <cell r="AB57" t="str">
            <v>IGNORED</v>
          </cell>
          <cell r="AC57" t="str">
            <v>IGNORED</v>
          </cell>
          <cell r="AD57" t="str">
            <v>IGNORED</v>
          </cell>
          <cell r="AE57" t="str">
            <v>IGNORED</v>
          </cell>
          <cell r="AF57" t="str">
            <v>IGNORED</v>
          </cell>
          <cell r="AG57" t="str">
            <v>IGNORED</v>
          </cell>
          <cell r="AH57" t="str">
            <v>IGNORED</v>
          </cell>
          <cell r="AI57" t="str">
            <v>IGNORED</v>
          </cell>
          <cell r="AJ57" t="str">
            <v>IGNORED</v>
          </cell>
          <cell r="AK57" t="str">
            <v>IGNORED</v>
          </cell>
          <cell r="AL57" t="str">
            <v>IGNORED</v>
          </cell>
          <cell r="AM57" t="str">
            <v>IGNORED</v>
          </cell>
          <cell r="AN57" t="str">
            <v>IGNORED</v>
          </cell>
          <cell r="AO57" t="str">
            <v>IGNORED</v>
          </cell>
          <cell r="AP57" t="str">
            <v>IGNORED</v>
          </cell>
          <cell r="AQ57" t="str">
            <v>IGNORED</v>
          </cell>
          <cell r="AR57" t="str">
            <v>IGNORED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 t="str">
            <v>IGNORED</v>
          </cell>
          <cell r="G58" t="str">
            <v>IGNORED</v>
          </cell>
          <cell r="H58" t="str">
            <v>IGNORED</v>
          </cell>
          <cell r="I58" t="str">
            <v>IGNORED</v>
          </cell>
          <cell r="J58" t="str">
            <v>IGNORED</v>
          </cell>
          <cell r="K58" t="str">
            <v>IGNORED</v>
          </cell>
          <cell r="L58" t="str">
            <v>IGNORED</v>
          </cell>
          <cell r="M58" t="str">
            <v>IGNORED</v>
          </cell>
          <cell r="N58" t="str">
            <v>IGNORED</v>
          </cell>
          <cell r="O58" t="str">
            <v>IGNORED</v>
          </cell>
          <cell r="P58" t="str">
            <v>IGNORED</v>
          </cell>
          <cell r="Q58" t="str">
            <v>IGNORED</v>
          </cell>
          <cell r="R58" t="str">
            <v>IGNORED</v>
          </cell>
          <cell r="S58" t="str">
            <v>IGNORED</v>
          </cell>
          <cell r="T58" t="str">
            <v>IGNORED</v>
          </cell>
          <cell r="U58" t="str">
            <v>IGNORED</v>
          </cell>
          <cell r="V58" t="str">
            <v>IGNORED</v>
          </cell>
          <cell r="W58" t="str">
            <v>IGNORED</v>
          </cell>
          <cell r="X58" t="str">
            <v>IGNORED</v>
          </cell>
          <cell r="Y58" t="str">
            <v>IGNORED</v>
          </cell>
          <cell r="Z58" t="str">
            <v>IGNORED</v>
          </cell>
          <cell r="AA58" t="str">
            <v>IGNORED</v>
          </cell>
          <cell r="AB58" t="str">
            <v>IGNORED</v>
          </cell>
          <cell r="AC58" t="str">
            <v>IGNORED</v>
          </cell>
          <cell r="AD58" t="str">
            <v>IGNORED</v>
          </cell>
          <cell r="AE58" t="str">
            <v>IGNORED</v>
          </cell>
          <cell r="AF58" t="str">
            <v>IGNORED</v>
          </cell>
          <cell r="AG58" t="str">
            <v>IGNORED</v>
          </cell>
          <cell r="AH58" t="str">
            <v>IGNORED</v>
          </cell>
          <cell r="AI58" t="str">
            <v>IGNORED</v>
          </cell>
          <cell r="AJ58" t="str">
            <v>IGNORED</v>
          </cell>
          <cell r="AK58" t="str">
            <v>IGNORED</v>
          </cell>
          <cell r="AL58" t="str">
            <v>IGNORED</v>
          </cell>
          <cell r="AM58" t="str">
            <v>IGNORED</v>
          </cell>
          <cell r="AN58" t="str">
            <v>IGNORED</v>
          </cell>
          <cell r="AO58" t="str">
            <v>IGNORED</v>
          </cell>
          <cell r="AP58" t="str">
            <v>IGNORED</v>
          </cell>
          <cell r="AQ58" t="str">
            <v>IGNORED</v>
          </cell>
          <cell r="AR58" t="str">
            <v>IGNORED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 t="str">
            <v>IGNORED</v>
          </cell>
          <cell r="G59" t="str">
            <v>IGNORED</v>
          </cell>
          <cell r="H59" t="str">
            <v>IGNORED</v>
          </cell>
          <cell r="I59" t="str">
            <v>IGNORED</v>
          </cell>
          <cell r="J59" t="str">
            <v>IGNORED</v>
          </cell>
          <cell r="K59" t="str">
            <v>IGNORED</v>
          </cell>
          <cell r="L59" t="str">
            <v>IGNORED</v>
          </cell>
          <cell r="M59" t="str">
            <v>IGNORED</v>
          </cell>
          <cell r="N59" t="str">
            <v>IGNORED</v>
          </cell>
          <cell r="O59" t="str">
            <v>IGNORED</v>
          </cell>
          <cell r="P59" t="str">
            <v>IGNORED</v>
          </cell>
          <cell r="Q59" t="str">
            <v>IGNORED</v>
          </cell>
          <cell r="R59" t="str">
            <v>IGNORED</v>
          </cell>
          <cell r="S59" t="str">
            <v>IGNORED</v>
          </cell>
          <cell r="T59" t="str">
            <v>IGNORED</v>
          </cell>
          <cell r="U59" t="str">
            <v>IGNORED</v>
          </cell>
          <cell r="V59" t="str">
            <v>IGNORED</v>
          </cell>
          <cell r="W59" t="str">
            <v>IGNORED</v>
          </cell>
          <cell r="X59" t="str">
            <v>IGNORED</v>
          </cell>
          <cell r="Y59" t="str">
            <v>IGNORED</v>
          </cell>
          <cell r="Z59" t="str">
            <v>IGNORED</v>
          </cell>
          <cell r="AA59" t="str">
            <v>IGNORED</v>
          </cell>
          <cell r="AB59" t="str">
            <v>IGNORED</v>
          </cell>
          <cell r="AC59" t="str">
            <v>IGNORED</v>
          </cell>
          <cell r="AD59" t="str">
            <v>IGNORED</v>
          </cell>
          <cell r="AE59" t="str">
            <v>IGNORED</v>
          </cell>
          <cell r="AF59" t="str">
            <v>IGNORED</v>
          </cell>
          <cell r="AG59" t="str">
            <v>IGNORED</v>
          </cell>
          <cell r="AH59" t="str">
            <v>IGNORED</v>
          </cell>
          <cell r="AI59" t="str">
            <v>IGNORED</v>
          </cell>
          <cell r="AJ59" t="str">
            <v>IGNORED</v>
          </cell>
          <cell r="AK59" t="str">
            <v>IGNORED</v>
          </cell>
          <cell r="AL59" t="str">
            <v>IGNORED</v>
          </cell>
          <cell r="AM59" t="str">
            <v>IGNORED</v>
          </cell>
          <cell r="AN59" t="str">
            <v>IGNORED</v>
          </cell>
          <cell r="AO59" t="str">
            <v>IGNORED</v>
          </cell>
          <cell r="AP59" t="str">
            <v>IGNORED</v>
          </cell>
          <cell r="AQ59" t="str">
            <v>IGNORED</v>
          </cell>
          <cell r="AR59" t="str">
            <v>IGNORED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 t="str">
            <v>IGNORED</v>
          </cell>
          <cell r="G60" t="str">
            <v>IGNORED</v>
          </cell>
          <cell r="H60" t="str">
            <v>IGNORED</v>
          </cell>
          <cell r="I60" t="str">
            <v>IGNORED</v>
          </cell>
          <cell r="J60" t="str">
            <v>IGNORED</v>
          </cell>
          <cell r="K60" t="str">
            <v>IGNORED</v>
          </cell>
          <cell r="L60" t="str">
            <v>IGNORED</v>
          </cell>
          <cell r="M60" t="str">
            <v>IGNORED</v>
          </cell>
          <cell r="N60" t="str">
            <v>IGNORED</v>
          </cell>
          <cell r="O60" t="str">
            <v>IGNORED</v>
          </cell>
          <cell r="P60" t="str">
            <v>IGNORED</v>
          </cell>
          <cell r="Q60" t="str">
            <v>IGNORED</v>
          </cell>
          <cell r="R60" t="str">
            <v>IGNORED</v>
          </cell>
          <cell r="S60" t="str">
            <v>IGNORED</v>
          </cell>
          <cell r="T60" t="str">
            <v>IGNORED</v>
          </cell>
          <cell r="U60" t="str">
            <v>IGNORED</v>
          </cell>
          <cell r="V60" t="str">
            <v>IGNORED</v>
          </cell>
          <cell r="W60" t="str">
            <v>IGNORED</v>
          </cell>
          <cell r="X60" t="str">
            <v>IGNORED</v>
          </cell>
          <cell r="Y60" t="str">
            <v>IGNORED</v>
          </cell>
          <cell r="Z60" t="str">
            <v>IGNORED</v>
          </cell>
          <cell r="AA60" t="str">
            <v>IGNORED</v>
          </cell>
          <cell r="AB60" t="str">
            <v>IGNORED</v>
          </cell>
          <cell r="AC60" t="str">
            <v>IGNORED</v>
          </cell>
          <cell r="AD60" t="str">
            <v>IGNORED</v>
          </cell>
          <cell r="AE60" t="str">
            <v>IGNORED</v>
          </cell>
          <cell r="AF60" t="str">
            <v>IGNORED</v>
          </cell>
          <cell r="AG60" t="str">
            <v>IGNORED</v>
          </cell>
          <cell r="AH60" t="str">
            <v>IGNORED</v>
          </cell>
          <cell r="AI60" t="str">
            <v>IGNORED</v>
          </cell>
          <cell r="AJ60" t="str">
            <v>IGNORED</v>
          </cell>
          <cell r="AK60" t="str">
            <v>IGNORED</v>
          </cell>
          <cell r="AL60" t="str">
            <v>IGNORED</v>
          </cell>
          <cell r="AM60" t="str">
            <v>IGNORED</v>
          </cell>
          <cell r="AN60" t="str">
            <v>IGNORED</v>
          </cell>
          <cell r="AO60" t="str">
            <v>IGNORED</v>
          </cell>
          <cell r="AP60" t="str">
            <v>IGNORED</v>
          </cell>
          <cell r="AQ60" t="str">
            <v>IGNORED</v>
          </cell>
          <cell r="AR60" t="str">
            <v>IGNORED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 t="str">
            <v>IGNORED</v>
          </cell>
          <cell r="G61" t="str">
            <v>IGNORED</v>
          </cell>
          <cell r="H61" t="str">
            <v>IGNORED</v>
          </cell>
          <cell r="I61" t="str">
            <v>IGNORED</v>
          </cell>
          <cell r="J61" t="str">
            <v>IGNORED</v>
          </cell>
          <cell r="K61" t="str">
            <v>IGNORED</v>
          </cell>
          <cell r="L61" t="str">
            <v>IGNORED</v>
          </cell>
          <cell r="M61" t="str">
            <v>IGNORED</v>
          </cell>
          <cell r="N61" t="str">
            <v>IGNORED</v>
          </cell>
          <cell r="O61" t="str">
            <v>IGNORED</v>
          </cell>
          <cell r="P61" t="str">
            <v>IGNORED</v>
          </cell>
          <cell r="Q61" t="str">
            <v>IGNORED</v>
          </cell>
          <cell r="R61" t="str">
            <v>IGNORED</v>
          </cell>
          <cell r="S61" t="str">
            <v>IGNORED</v>
          </cell>
          <cell r="T61" t="str">
            <v>IGNORED</v>
          </cell>
          <cell r="U61" t="str">
            <v>IGNORED</v>
          </cell>
          <cell r="V61" t="str">
            <v>IGNORED</v>
          </cell>
          <cell r="W61" t="str">
            <v>IGNORED</v>
          </cell>
          <cell r="X61" t="str">
            <v>IGNORED</v>
          </cell>
          <cell r="Y61" t="str">
            <v>IGNORED</v>
          </cell>
          <cell r="Z61" t="str">
            <v>IGNORED</v>
          </cell>
          <cell r="AA61" t="str">
            <v>IGNORED</v>
          </cell>
          <cell r="AB61" t="str">
            <v>IGNORED</v>
          </cell>
          <cell r="AC61" t="str">
            <v>IGNORED</v>
          </cell>
          <cell r="AD61" t="str">
            <v>IGNORED</v>
          </cell>
          <cell r="AE61" t="str">
            <v>IGNORED</v>
          </cell>
          <cell r="AF61" t="str">
            <v>IGNORED</v>
          </cell>
          <cell r="AG61" t="str">
            <v>IGNORED</v>
          </cell>
          <cell r="AH61" t="str">
            <v>IGNORED</v>
          </cell>
          <cell r="AI61" t="str">
            <v>IGNORED</v>
          </cell>
          <cell r="AJ61" t="str">
            <v>IGNORED</v>
          </cell>
          <cell r="AK61" t="str">
            <v>IGNORED</v>
          </cell>
          <cell r="AL61" t="str">
            <v>IGNORED</v>
          </cell>
          <cell r="AM61" t="str">
            <v>IGNORED</v>
          </cell>
          <cell r="AN61" t="str">
            <v>IGNORED</v>
          </cell>
          <cell r="AO61" t="str">
            <v>IGNORED</v>
          </cell>
          <cell r="AP61" t="str">
            <v>IGNORED</v>
          </cell>
          <cell r="AQ61" t="str">
            <v>IGNORED</v>
          </cell>
          <cell r="AR61" t="str">
            <v>IGNORED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 t="str">
            <v>IGNORED</v>
          </cell>
          <cell r="G62" t="str">
            <v>IGNORED</v>
          </cell>
          <cell r="H62" t="str">
            <v>IGNORED</v>
          </cell>
          <cell r="I62" t="str">
            <v>IGNORED</v>
          </cell>
          <cell r="J62" t="str">
            <v>IGNORED</v>
          </cell>
          <cell r="K62" t="str">
            <v>IGNORED</v>
          </cell>
          <cell r="L62" t="str">
            <v>IGNORED</v>
          </cell>
          <cell r="M62" t="str">
            <v>IGNORED</v>
          </cell>
          <cell r="N62" t="str">
            <v>IGNORED</v>
          </cell>
          <cell r="O62" t="str">
            <v>IGNORED</v>
          </cell>
          <cell r="P62" t="str">
            <v>IGNORED</v>
          </cell>
          <cell r="Q62" t="str">
            <v>IGNORED</v>
          </cell>
          <cell r="R62" t="str">
            <v>IGNORED</v>
          </cell>
          <cell r="S62" t="str">
            <v>IGNORED</v>
          </cell>
          <cell r="T62" t="str">
            <v>IGNORED</v>
          </cell>
          <cell r="U62" t="str">
            <v>IGNORED</v>
          </cell>
          <cell r="V62" t="str">
            <v>IGNORED</v>
          </cell>
          <cell r="W62" t="str">
            <v>IGNORED</v>
          </cell>
          <cell r="X62" t="str">
            <v>IGNORED</v>
          </cell>
          <cell r="Y62" t="str">
            <v>IGNORED</v>
          </cell>
          <cell r="Z62" t="str">
            <v>IGNORED</v>
          </cell>
          <cell r="AA62" t="str">
            <v>IGNORED</v>
          </cell>
          <cell r="AB62" t="str">
            <v>IGNORED</v>
          </cell>
          <cell r="AC62" t="str">
            <v>IGNORED</v>
          </cell>
          <cell r="AD62" t="str">
            <v>IGNORED</v>
          </cell>
          <cell r="AE62" t="str">
            <v>IGNORED</v>
          </cell>
          <cell r="AF62" t="str">
            <v>IGNORED</v>
          </cell>
          <cell r="AG62" t="str">
            <v>IGNORED</v>
          </cell>
          <cell r="AH62" t="str">
            <v>IGNORED</v>
          </cell>
          <cell r="AI62" t="str">
            <v>IGNORED</v>
          </cell>
          <cell r="AJ62" t="str">
            <v>IGNORED</v>
          </cell>
          <cell r="AK62" t="str">
            <v>IGNORED</v>
          </cell>
          <cell r="AL62" t="str">
            <v>IGNORED</v>
          </cell>
          <cell r="AM62" t="str">
            <v>IGNORED</v>
          </cell>
          <cell r="AN62" t="str">
            <v>IGNORED</v>
          </cell>
          <cell r="AO62" t="str">
            <v>IGNORED</v>
          </cell>
          <cell r="AP62" t="str">
            <v>IGNORED</v>
          </cell>
          <cell r="AQ62" t="str">
            <v>IGNORED</v>
          </cell>
          <cell r="AR62" t="str">
            <v>IGNORED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 t="str">
            <v>IGNORED</v>
          </cell>
          <cell r="G63" t="str">
            <v>IGNORED</v>
          </cell>
          <cell r="H63" t="str">
            <v>IGNORED</v>
          </cell>
          <cell r="I63" t="str">
            <v>IGNORED</v>
          </cell>
          <cell r="J63" t="str">
            <v>IGNORED</v>
          </cell>
          <cell r="K63" t="str">
            <v>IGNORED</v>
          </cell>
          <cell r="L63" t="str">
            <v>IGNORED</v>
          </cell>
          <cell r="M63" t="str">
            <v>IGNORED</v>
          </cell>
          <cell r="N63" t="str">
            <v>IGNORED</v>
          </cell>
          <cell r="O63" t="str">
            <v>IGNORED</v>
          </cell>
          <cell r="P63" t="str">
            <v>IGNORED</v>
          </cell>
          <cell r="Q63" t="str">
            <v>IGNORED</v>
          </cell>
          <cell r="R63" t="str">
            <v>IGNORED</v>
          </cell>
          <cell r="S63" t="str">
            <v>IGNORED</v>
          </cell>
          <cell r="T63" t="str">
            <v>IGNORED</v>
          </cell>
          <cell r="U63" t="str">
            <v>IGNORED</v>
          </cell>
          <cell r="V63" t="str">
            <v>IGNORED</v>
          </cell>
          <cell r="W63" t="str">
            <v>IGNORED</v>
          </cell>
          <cell r="X63" t="str">
            <v>IGNORED</v>
          </cell>
          <cell r="Y63" t="str">
            <v>IGNORED</v>
          </cell>
          <cell r="Z63" t="str">
            <v>IGNORED</v>
          </cell>
          <cell r="AA63" t="str">
            <v>IGNORED</v>
          </cell>
          <cell r="AB63" t="str">
            <v>IGNORED</v>
          </cell>
          <cell r="AC63" t="str">
            <v>IGNORED</v>
          </cell>
          <cell r="AD63" t="str">
            <v>IGNORED</v>
          </cell>
          <cell r="AE63" t="str">
            <v>IGNORED</v>
          </cell>
          <cell r="AF63" t="str">
            <v>IGNORED</v>
          </cell>
          <cell r="AG63" t="str">
            <v>IGNORED</v>
          </cell>
          <cell r="AH63" t="str">
            <v>IGNORED</v>
          </cell>
          <cell r="AI63" t="str">
            <v>IGNORED</v>
          </cell>
          <cell r="AJ63" t="str">
            <v>IGNORED</v>
          </cell>
          <cell r="AK63" t="str">
            <v>IGNORED</v>
          </cell>
          <cell r="AL63" t="str">
            <v>IGNORED</v>
          </cell>
          <cell r="AM63" t="str">
            <v>IGNORED</v>
          </cell>
          <cell r="AN63" t="str">
            <v>IGNORED</v>
          </cell>
          <cell r="AO63" t="str">
            <v>IGNORED</v>
          </cell>
          <cell r="AP63" t="str">
            <v>IGNORED</v>
          </cell>
          <cell r="AQ63" t="str">
            <v>IGNORED</v>
          </cell>
          <cell r="AR63" t="str">
            <v>IGNORED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 t="str">
            <v>IGNORED</v>
          </cell>
          <cell r="G64" t="str">
            <v>IGNORED</v>
          </cell>
          <cell r="H64" t="str">
            <v>IGNORED</v>
          </cell>
          <cell r="I64" t="str">
            <v>IGNORED</v>
          </cell>
          <cell r="J64" t="str">
            <v>IGNORED</v>
          </cell>
          <cell r="K64" t="str">
            <v>IGNORED</v>
          </cell>
          <cell r="L64" t="str">
            <v>IGNORED</v>
          </cell>
          <cell r="M64" t="str">
            <v>IGNORED</v>
          </cell>
          <cell r="N64" t="str">
            <v>IGNORED</v>
          </cell>
          <cell r="O64" t="str">
            <v>IGNORED</v>
          </cell>
          <cell r="P64" t="str">
            <v>IGNORED</v>
          </cell>
          <cell r="Q64" t="str">
            <v>IGNORED</v>
          </cell>
          <cell r="R64" t="str">
            <v>IGNORED</v>
          </cell>
          <cell r="S64" t="str">
            <v>IGNORED</v>
          </cell>
          <cell r="T64" t="str">
            <v>IGNORED</v>
          </cell>
          <cell r="U64" t="str">
            <v>IGNORED</v>
          </cell>
          <cell r="V64" t="str">
            <v>IGNORED</v>
          </cell>
          <cell r="W64" t="str">
            <v>IGNORED</v>
          </cell>
          <cell r="X64" t="str">
            <v>IGNORED</v>
          </cell>
          <cell r="Y64" t="str">
            <v>IGNORED</v>
          </cell>
          <cell r="Z64" t="str">
            <v>IGNORED</v>
          </cell>
          <cell r="AA64" t="str">
            <v>IGNORED</v>
          </cell>
          <cell r="AB64" t="str">
            <v>IGNORED</v>
          </cell>
          <cell r="AC64" t="str">
            <v>IGNORED</v>
          </cell>
          <cell r="AD64" t="str">
            <v>IGNORED</v>
          </cell>
          <cell r="AE64" t="str">
            <v>IGNORED</v>
          </cell>
          <cell r="AF64" t="str">
            <v>IGNORED</v>
          </cell>
          <cell r="AG64" t="str">
            <v>IGNORED</v>
          </cell>
          <cell r="AH64" t="str">
            <v>IGNORED</v>
          </cell>
          <cell r="AI64" t="str">
            <v>IGNORED</v>
          </cell>
          <cell r="AJ64" t="str">
            <v>IGNORED</v>
          </cell>
          <cell r="AK64" t="str">
            <v>IGNORED</v>
          </cell>
          <cell r="AL64" t="str">
            <v>IGNORED</v>
          </cell>
          <cell r="AM64" t="str">
            <v>IGNORED</v>
          </cell>
          <cell r="AN64" t="str">
            <v>IGNORED</v>
          </cell>
          <cell r="AO64" t="str">
            <v>IGNORED</v>
          </cell>
          <cell r="AP64" t="str">
            <v>IGNORED</v>
          </cell>
          <cell r="AQ64" t="str">
            <v>IGNORED</v>
          </cell>
          <cell r="AR64" t="str">
            <v>IGNORED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 t="str">
            <v>IGNORED</v>
          </cell>
          <cell r="G66" t="str">
            <v>IGNORED</v>
          </cell>
          <cell r="H66" t="str">
            <v>IGNORED</v>
          </cell>
          <cell r="I66" t="str">
            <v>IGNORED</v>
          </cell>
          <cell r="J66" t="str">
            <v>IGNORED</v>
          </cell>
          <cell r="K66" t="str">
            <v>IGNORED</v>
          </cell>
          <cell r="L66" t="str">
            <v>IGNORED</v>
          </cell>
          <cell r="M66" t="str">
            <v>IGNORED</v>
          </cell>
          <cell r="N66" t="str">
            <v>IGNORED</v>
          </cell>
          <cell r="O66" t="str">
            <v>IGNORED</v>
          </cell>
          <cell r="P66" t="str">
            <v>IGNORED</v>
          </cell>
          <cell r="Q66" t="str">
            <v>IGNORED</v>
          </cell>
          <cell r="R66" t="str">
            <v>IGNORED</v>
          </cell>
          <cell r="S66" t="str">
            <v>IGNORED</v>
          </cell>
          <cell r="T66" t="str">
            <v>IGNORED</v>
          </cell>
          <cell r="U66" t="str">
            <v>IGNORED</v>
          </cell>
          <cell r="V66" t="str">
            <v>IGNORED</v>
          </cell>
          <cell r="W66" t="str">
            <v>IGNORED</v>
          </cell>
          <cell r="X66" t="str">
            <v>IGNORED</v>
          </cell>
          <cell r="Y66" t="str">
            <v>IGNORED</v>
          </cell>
          <cell r="Z66" t="str">
            <v>IGNORED</v>
          </cell>
          <cell r="AA66" t="str">
            <v>IGNORED</v>
          </cell>
          <cell r="AB66" t="str">
            <v>IGNORED</v>
          </cell>
          <cell r="AC66" t="str">
            <v>IGNORED</v>
          </cell>
          <cell r="AD66" t="str">
            <v>IGNORED</v>
          </cell>
          <cell r="AE66" t="str">
            <v>IGNORED</v>
          </cell>
          <cell r="AF66" t="str">
            <v>IGNORED</v>
          </cell>
          <cell r="AG66" t="str">
            <v>IGNORED</v>
          </cell>
          <cell r="AH66" t="str">
            <v>IGNORED</v>
          </cell>
          <cell r="AI66" t="str">
            <v>IGNORED</v>
          </cell>
          <cell r="AJ66" t="str">
            <v>IGNORED</v>
          </cell>
          <cell r="AK66" t="str">
            <v>IGNORED</v>
          </cell>
          <cell r="AL66" t="str">
            <v>IGNORED</v>
          </cell>
          <cell r="AM66" t="str">
            <v>IGNORED</v>
          </cell>
          <cell r="AN66" t="str">
            <v>IGNORED</v>
          </cell>
          <cell r="AO66" t="str">
            <v>IGNORED</v>
          </cell>
          <cell r="AP66" t="str">
            <v>IGNORED</v>
          </cell>
          <cell r="AQ66" t="str">
            <v>IGNORED</v>
          </cell>
          <cell r="AR66" t="str">
            <v>IGNORED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 t="str">
            <v>IGNORED</v>
          </cell>
          <cell r="G67" t="str">
            <v>IGNORED</v>
          </cell>
          <cell r="H67" t="str">
            <v>IGNORED</v>
          </cell>
          <cell r="I67" t="str">
            <v>IGNORED</v>
          </cell>
          <cell r="J67" t="str">
            <v>IGNORED</v>
          </cell>
          <cell r="K67" t="str">
            <v>IGNORED</v>
          </cell>
          <cell r="L67" t="str">
            <v>IGNORED</v>
          </cell>
          <cell r="M67" t="str">
            <v>IGNORED</v>
          </cell>
          <cell r="N67" t="str">
            <v>IGNORED</v>
          </cell>
          <cell r="O67" t="str">
            <v>IGNORED</v>
          </cell>
          <cell r="P67" t="str">
            <v>IGNORED</v>
          </cell>
          <cell r="Q67" t="str">
            <v>IGNORED</v>
          </cell>
          <cell r="R67" t="str">
            <v>IGNORED</v>
          </cell>
          <cell r="S67" t="str">
            <v>IGNORED</v>
          </cell>
          <cell r="T67" t="str">
            <v>IGNORED</v>
          </cell>
          <cell r="U67" t="str">
            <v>IGNORED</v>
          </cell>
          <cell r="V67" t="str">
            <v>IGNORED</v>
          </cell>
          <cell r="W67" t="str">
            <v>IGNORED</v>
          </cell>
          <cell r="X67" t="str">
            <v>IGNORED</v>
          </cell>
          <cell r="Y67" t="str">
            <v>IGNORED</v>
          </cell>
          <cell r="Z67" t="str">
            <v>IGNORED</v>
          </cell>
          <cell r="AA67" t="str">
            <v>IGNORED</v>
          </cell>
          <cell r="AB67" t="str">
            <v>IGNORED</v>
          </cell>
          <cell r="AC67" t="str">
            <v>IGNORED</v>
          </cell>
          <cell r="AD67" t="str">
            <v>IGNORED</v>
          </cell>
          <cell r="AE67" t="str">
            <v>IGNORED</v>
          </cell>
          <cell r="AF67" t="str">
            <v>IGNORED</v>
          </cell>
          <cell r="AG67" t="str">
            <v>IGNORED</v>
          </cell>
          <cell r="AH67" t="str">
            <v>IGNORED</v>
          </cell>
          <cell r="AI67" t="str">
            <v>IGNORED</v>
          </cell>
          <cell r="AJ67" t="str">
            <v>IGNORED</v>
          </cell>
          <cell r="AK67" t="str">
            <v>IGNORED</v>
          </cell>
          <cell r="AL67" t="str">
            <v>IGNORED</v>
          </cell>
          <cell r="AM67" t="str">
            <v>IGNORED</v>
          </cell>
          <cell r="AN67" t="str">
            <v>IGNORED</v>
          </cell>
          <cell r="AO67" t="str">
            <v>IGNORED</v>
          </cell>
          <cell r="AP67" t="str">
            <v>IGNORED</v>
          </cell>
          <cell r="AQ67" t="str">
            <v>IGNORED</v>
          </cell>
          <cell r="AR67" t="str">
            <v>IGNORED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  <cell r="F68" t="str">
            <v>IGNORED</v>
          </cell>
          <cell r="G68" t="str">
            <v>IGNORED</v>
          </cell>
          <cell r="H68" t="str">
            <v>IGNORED</v>
          </cell>
          <cell r="I68" t="str">
            <v>IGNORED</v>
          </cell>
          <cell r="J68" t="str">
            <v>IGNORED</v>
          </cell>
          <cell r="K68" t="str">
            <v>IGNORED</v>
          </cell>
          <cell r="L68" t="str">
            <v>IGNORED</v>
          </cell>
          <cell r="M68" t="str">
            <v>IGNORED</v>
          </cell>
          <cell r="N68" t="str">
            <v>IGNORED</v>
          </cell>
          <cell r="O68" t="str">
            <v>IGNORED</v>
          </cell>
          <cell r="P68" t="str">
            <v>IGNORED</v>
          </cell>
          <cell r="Q68" t="str">
            <v>IGNORED</v>
          </cell>
          <cell r="R68" t="str">
            <v>IGNORED</v>
          </cell>
          <cell r="S68" t="str">
            <v>IGNORED</v>
          </cell>
          <cell r="T68" t="str">
            <v>IGNORED</v>
          </cell>
          <cell r="U68" t="str">
            <v>IGNORED</v>
          </cell>
          <cell r="V68" t="str">
            <v>IGNORED</v>
          </cell>
          <cell r="W68" t="str">
            <v>IGNORED</v>
          </cell>
          <cell r="X68" t="str">
            <v>IGNORED</v>
          </cell>
          <cell r="Y68" t="str">
            <v>IGNORED</v>
          </cell>
          <cell r="Z68" t="str">
            <v>IGNORED</v>
          </cell>
          <cell r="AA68" t="str">
            <v>IGNORED</v>
          </cell>
          <cell r="AB68" t="str">
            <v>IGNORED</v>
          </cell>
          <cell r="AC68" t="str">
            <v>IGNORED</v>
          </cell>
          <cell r="AD68" t="str">
            <v>IGNORED</v>
          </cell>
          <cell r="AE68" t="str">
            <v>IGNORED</v>
          </cell>
          <cell r="AF68" t="str">
            <v>IGNORED</v>
          </cell>
          <cell r="AG68" t="str">
            <v>IGNORED</v>
          </cell>
          <cell r="AH68" t="str">
            <v>IGNORED</v>
          </cell>
          <cell r="AI68" t="str">
            <v>IGNORED</v>
          </cell>
          <cell r="AJ68" t="str">
            <v>IGNORED</v>
          </cell>
          <cell r="AK68" t="str">
            <v>IGNORED</v>
          </cell>
          <cell r="AL68" t="str">
            <v>IGNORED</v>
          </cell>
          <cell r="AM68" t="str">
            <v>IGNORED</v>
          </cell>
          <cell r="AN68" t="str">
            <v>IGNORED</v>
          </cell>
          <cell r="AO68" t="str">
            <v>IGNORED</v>
          </cell>
          <cell r="AP68" t="str">
            <v>IGNORED</v>
          </cell>
          <cell r="AQ68" t="str">
            <v>IGNORED</v>
          </cell>
          <cell r="AR68" t="str">
            <v>IGNORED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 t="str">
            <v>IGNORED</v>
          </cell>
          <cell r="G69" t="str">
            <v>IGNORED</v>
          </cell>
          <cell r="H69" t="str">
            <v>IGNORED</v>
          </cell>
          <cell r="I69" t="str">
            <v>IGNORED</v>
          </cell>
          <cell r="J69" t="str">
            <v>IGNORED</v>
          </cell>
          <cell r="K69" t="str">
            <v>IGNORED</v>
          </cell>
          <cell r="L69" t="str">
            <v>IGNORED</v>
          </cell>
          <cell r="M69" t="str">
            <v>IGNORED</v>
          </cell>
          <cell r="N69" t="str">
            <v>IGNORED</v>
          </cell>
          <cell r="O69" t="str">
            <v>IGNORED</v>
          </cell>
          <cell r="P69" t="str">
            <v>IGNORED</v>
          </cell>
          <cell r="Q69" t="str">
            <v>IGNORED</v>
          </cell>
          <cell r="R69" t="str">
            <v>IGNORED</v>
          </cell>
          <cell r="S69" t="str">
            <v>IGNORED</v>
          </cell>
          <cell r="T69" t="str">
            <v>IGNORED</v>
          </cell>
          <cell r="U69" t="str">
            <v>IGNORED</v>
          </cell>
          <cell r="V69" t="str">
            <v>IGNORED</v>
          </cell>
          <cell r="W69" t="str">
            <v>IGNORED</v>
          </cell>
          <cell r="X69" t="str">
            <v>IGNORED</v>
          </cell>
          <cell r="Y69" t="str">
            <v>IGNORED</v>
          </cell>
          <cell r="Z69" t="str">
            <v>IGNORED</v>
          </cell>
          <cell r="AA69" t="str">
            <v>IGNORED</v>
          </cell>
          <cell r="AB69" t="str">
            <v>IGNORED</v>
          </cell>
          <cell r="AC69" t="str">
            <v>IGNORED</v>
          </cell>
          <cell r="AD69" t="str">
            <v>IGNORED</v>
          </cell>
          <cell r="AE69" t="str">
            <v>IGNORED</v>
          </cell>
          <cell r="AF69" t="str">
            <v>IGNORED</v>
          </cell>
          <cell r="AG69" t="str">
            <v>IGNORED</v>
          </cell>
          <cell r="AH69" t="str">
            <v>IGNORED</v>
          </cell>
          <cell r="AI69" t="str">
            <v>IGNORED</v>
          </cell>
          <cell r="AJ69" t="str">
            <v>IGNORED</v>
          </cell>
          <cell r="AK69" t="str">
            <v>IGNORED</v>
          </cell>
          <cell r="AL69" t="str">
            <v>IGNORED</v>
          </cell>
          <cell r="AM69" t="str">
            <v>IGNORED</v>
          </cell>
          <cell r="AN69" t="str">
            <v>IGNORED</v>
          </cell>
          <cell r="AO69" t="str">
            <v>IGNORED</v>
          </cell>
          <cell r="AP69" t="str">
            <v>IGNORED</v>
          </cell>
          <cell r="AQ69" t="str">
            <v>IGNORED</v>
          </cell>
          <cell r="AR69" t="str">
            <v>IGNORED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  <cell r="F70" t="str">
            <v>IGNORED</v>
          </cell>
          <cell r="G70" t="str">
            <v>IGNORED</v>
          </cell>
          <cell r="H70" t="str">
            <v>IGNORED</v>
          </cell>
          <cell r="I70" t="str">
            <v>IGNORED</v>
          </cell>
          <cell r="J70" t="str">
            <v>IGNORED</v>
          </cell>
          <cell r="K70" t="str">
            <v>IGNORED</v>
          </cell>
          <cell r="L70" t="str">
            <v>IGNORED</v>
          </cell>
          <cell r="M70" t="str">
            <v>IGNORED</v>
          </cell>
          <cell r="N70" t="str">
            <v>IGNORED</v>
          </cell>
          <cell r="O70" t="str">
            <v>IGNORED</v>
          </cell>
          <cell r="P70" t="str">
            <v>IGNORED</v>
          </cell>
          <cell r="Q70" t="str">
            <v>IGNORED</v>
          </cell>
          <cell r="R70" t="str">
            <v>IGNORED</v>
          </cell>
          <cell r="S70" t="str">
            <v>IGNORED</v>
          </cell>
          <cell r="T70" t="str">
            <v>IGNORED</v>
          </cell>
          <cell r="U70" t="str">
            <v>IGNORED</v>
          </cell>
          <cell r="V70" t="str">
            <v>IGNORED</v>
          </cell>
          <cell r="W70" t="str">
            <v>IGNORED</v>
          </cell>
          <cell r="X70" t="str">
            <v>IGNORED</v>
          </cell>
          <cell r="Y70" t="str">
            <v>IGNORED</v>
          </cell>
          <cell r="Z70" t="str">
            <v>IGNORED</v>
          </cell>
          <cell r="AA70" t="str">
            <v>IGNORED</v>
          </cell>
          <cell r="AB70" t="str">
            <v>IGNORED</v>
          </cell>
          <cell r="AC70" t="str">
            <v>IGNORED</v>
          </cell>
          <cell r="AD70" t="str">
            <v>IGNORED</v>
          </cell>
          <cell r="AE70" t="str">
            <v>IGNORED</v>
          </cell>
          <cell r="AF70" t="str">
            <v>IGNORED</v>
          </cell>
          <cell r="AG70" t="str">
            <v>IGNORED</v>
          </cell>
          <cell r="AH70" t="str">
            <v>IGNORED</v>
          </cell>
          <cell r="AI70" t="str">
            <v>IGNORED</v>
          </cell>
          <cell r="AJ70" t="str">
            <v>IGNORED</v>
          </cell>
          <cell r="AK70" t="str">
            <v>IGNORED</v>
          </cell>
          <cell r="AL70" t="str">
            <v>IGNORED</v>
          </cell>
          <cell r="AM70" t="str">
            <v>IGNORED</v>
          </cell>
          <cell r="AN70" t="str">
            <v>IGNORED</v>
          </cell>
          <cell r="AO70" t="str">
            <v>IGNORED</v>
          </cell>
          <cell r="AP70" t="str">
            <v>IGNORED</v>
          </cell>
          <cell r="AQ70" t="str">
            <v>IGNORED</v>
          </cell>
          <cell r="AR70" t="str">
            <v>IGNORED</v>
          </cell>
        </row>
        <row r="71">
          <cell r="B71" t="str">
            <v>Company borrowing margin</v>
          </cell>
          <cell r="C71" t="str">
            <v>CO_BOR_MARGIN</v>
          </cell>
          <cell r="F71" t="e">
            <v>#VALUE!</v>
          </cell>
          <cell r="G71" t="e">
            <v>#VALUE!</v>
          </cell>
          <cell r="H71" t="e">
            <v>#VALUE!</v>
          </cell>
          <cell r="I71" t="e">
            <v>#VALUE!</v>
          </cell>
          <cell r="J71" t="e">
            <v>#VALUE!</v>
          </cell>
          <cell r="K71" t="e">
            <v>#VALUE!</v>
          </cell>
          <cell r="L71" t="e">
            <v>#VALUE!</v>
          </cell>
          <cell r="M71" t="e">
            <v>#VALUE!</v>
          </cell>
          <cell r="N71" t="e">
            <v>#VALUE!</v>
          </cell>
          <cell r="O71" t="e">
            <v>#VALUE!</v>
          </cell>
          <cell r="P71" t="e">
            <v>#VALUE!</v>
          </cell>
          <cell r="Q71" t="str">
            <v>IGNORED</v>
          </cell>
          <cell r="R71" t="str">
            <v>IGNORED</v>
          </cell>
          <cell r="S71" t="str">
            <v>IGNORED</v>
          </cell>
          <cell r="T71" t="str">
            <v>IGNORED</v>
          </cell>
          <cell r="U71" t="e">
            <v>#VALUE!</v>
          </cell>
          <cell r="V71" t="str">
            <v>IGNORED</v>
          </cell>
          <cell r="W71" t="str">
            <v>IGNORED</v>
          </cell>
          <cell r="X71" t="str">
            <v>IGNORED</v>
          </cell>
          <cell r="Y71" t="str">
            <v>IGNORED</v>
          </cell>
          <cell r="Z71" t="str">
            <v>IGNORED</v>
          </cell>
          <cell r="AA71" t="str">
            <v>IGNORED</v>
          </cell>
          <cell r="AB71" t="str">
            <v>IGNORED</v>
          </cell>
          <cell r="AC71" t="str">
            <v>IGNORED</v>
          </cell>
          <cell r="AD71" t="str">
            <v>IGNORED</v>
          </cell>
          <cell r="AE71" t="e">
            <v>#VALUE!</v>
          </cell>
          <cell r="AF71" t="str">
            <v>IGNORED</v>
          </cell>
          <cell r="AG71" t="str">
            <v>IGNORED</v>
          </cell>
          <cell r="AH71" t="str">
            <v>IGNORED</v>
          </cell>
          <cell r="AI71" t="str">
            <v>IGNORED</v>
          </cell>
          <cell r="AJ71" t="e">
            <v>#VALUE!</v>
          </cell>
          <cell r="AK71" t="str">
            <v>IGNORED</v>
          </cell>
          <cell r="AL71" t="str">
            <v>IGNORED</v>
          </cell>
          <cell r="AM71" t="str">
            <v>IGNORED</v>
          </cell>
          <cell r="AN71" t="str">
            <v>IGNORED</v>
          </cell>
          <cell r="AO71" t="e">
            <v>#VALUE!</v>
          </cell>
          <cell r="AP71" t="e">
            <v>#VALUE!</v>
          </cell>
          <cell r="AQ71" t="e">
            <v>#VALUE!</v>
          </cell>
          <cell r="AR71" t="e">
            <v>#VALUE!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 t="str">
            <v>IGNORED</v>
          </cell>
          <cell r="G72" t="str">
            <v>IGNORED</v>
          </cell>
          <cell r="H72" t="str">
            <v>IGNORED</v>
          </cell>
          <cell r="I72" t="str">
            <v>IGNORED</v>
          </cell>
          <cell r="J72" t="str">
            <v>IGNORED</v>
          </cell>
          <cell r="K72" t="str">
            <v>IGNORED</v>
          </cell>
          <cell r="L72" t="str">
            <v>IGNORED</v>
          </cell>
          <cell r="M72" t="str">
            <v>IGNORED</v>
          </cell>
          <cell r="N72" t="str">
            <v>IGNORED</v>
          </cell>
          <cell r="O72" t="str">
            <v>IGNORED</v>
          </cell>
          <cell r="P72" t="str">
            <v>IGNORED</v>
          </cell>
          <cell r="Q72" t="str">
            <v>IGNORED</v>
          </cell>
          <cell r="R72" t="str">
            <v>IGNORED</v>
          </cell>
          <cell r="S72" t="str">
            <v>IGNORED</v>
          </cell>
          <cell r="T72" t="str">
            <v>IGNORED</v>
          </cell>
          <cell r="U72" t="str">
            <v>IGNORED</v>
          </cell>
          <cell r="V72" t="str">
            <v>IGNORED</v>
          </cell>
          <cell r="W72" t="str">
            <v>IGNORED</v>
          </cell>
          <cell r="X72" t="str">
            <v>IGNORED</v>
          </cell>
          <cell r="Y72" t="str">
            <v>IGNORED</v>
          </cell>
          <cell r="Z72" t="str">
            <v>IGNORED</v>
          </cell>
          <cell r="AA72" t="str">
            <v>IGNORED</v>
          </cell>
          <cell r="AB72" t="str">
            <v>IGNORED</v>
          </cell>
          <cell r="AC72" t="str">
            <v>IGNORED</v>
          </cell>
          <cell r="AD72" t="str">
            <v>IGNORED</v>
          </cell>
          <cell r="AE72" t="str">
            <v>IGNORED</v>
          </cell>
          <cell r="AF72" t="str">
            <v>IGNORED</v>
          </cell>
          <cell r="AG72" t="str">
            <v>IGNORED</v>
          </cell>
          <cell r="AH72" t="str">
            <v>IGNORED</v>
          </cell>
          <cell r="AI72" t="str">
            <v>IGNORED</v>
          </cell>
          <cell r="AJ72" t="str">
            <v>IGNORED</v>
          </cell>
          <cell r="AK72" t="str">
            <v>IGNORED</v>
          </cell>
          <cell r="AL72" t="str">
            <v>IGNORED</v>
          </cell>
          <cell r="AM72" t="str">
            <v>IGNORED</v>
          </cell>
          <cell r="AN72" t="str">
            <v>IGNORED</v>
          </cell>
          <cell r="AO72" t="str">
            <v>IGNORED</v>
          </cell>
          <cell r="AP72" t="str">
            <v>IGNORED</v>
          </cell>
          <cell r="AQ72" t="str">
            <v>IGNORED</v>
          </cell>
          <cell r="AR72" t="str">
            <v>IGNORED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  <cell r="F73" t="str">
            <v>IGNORED</v>
          </cell>
          <cell r="G73" t="str">
            <v>IGNORED</v>
          </cell>
          <cell r="H73" t="str">
            <v>IGNORED</v>
          </cell>
          <cell r="I73" t="str">
            <v>IGNORED</v>
          </cell>
          <cell r="J73" t="str">
            <v>IGNORED</v>
          </cell>
          <cell r="K73" t="str">
            <v>IGNORED</v>
          </cell>
          <cell r="L73" t="str">
            <v>IGNORED</v>
          </cell>
          <cell r="M73" t="str">
            <v>IGNORED</v>
          </cell>
          <cell r="N73" t="str">
            <v>IGNORED</v>
          </cell>
          <cell r="O73" t="str">
            <v>IGNORED</v>
          </cell>
          <cell r="P73" t="str">
            <v>IGNORED</v>
          </cell>
          <cell r="Q73" t="str">
            <v>IGNORED</v>
          </cell>
          <cell r="R73" t="str">
            <v>IGNORED</v>
          </cell>
          <cell r="S73" t="str">
            <v>IGNORED</v>
          </cell>
          <cell r="T73" t="str">
            <v>IGNORED</v>
          </cell>
          <cell r="U73" t="str">
            <v>IGNORED</v>
          </cell>
          <cell r="V73" t="str">
            <v>IGNORED</v>
          </cell>
          <cell r="W73" t="str">
            <v>IGNORED</v>
          </cell>
          <cell r="X73" t="str">
            <v>IGNORED</v>
          </cell>
          <cell r="Y73" t="str">
            <v>IGNORED</v>
          </cell>
          <cell r="Z73" t="str">
            <v>IGNORED</v>
          </cell>
          <cell r="AA73" t="str">
            <v>IGNORED</v>
          </cell>
          <cell r="AB73" t="str">
            <v>IGNORED</v>
          </cell>
          <cell r="AC73" t="str">
            <v>IGNORED</v>
          </cell>
          <cell r="AD73" t="str">
            <v>IGNORED</v>
          </cell>
          <cell r="AE73" t="str">
            <v>IGNORED</v>
          </cell>
          <cell r="AF73" t="str">
            <v>IGNORED</v>
          </cell>
          <cell r="AG73" t="str">
            <v>IGNORED</v>
          </cell>
          <cell r="AH73" t="str">
            <v>IGNORED</v>
          </cell>
          <cell r="AI73" t="str">
            <v>IGNORED</v>
          </cell>
          <cell r="AJ73" t="str">
            <v>IGNORED</v>
          </cell>
          <cell r="AK73" t="str">
            <v>IGNORED</v>
          </cell>
          <cell r="AL73" t="str">
            <v>IGNORED</v>
          </cell>
          <cell r="AM73" t="str">
            <v>IGNORED</v>
          </cell>
          <cell r="AN73" t="str">
            <v>IGNORED</v>
          </cell>
          <cell r="AO73" t="str">
            <v>IGNORED</v>
          </cell>
          <cell r="AP73" t="str">
            <v>IGNORED</v>
          </cell>
          <cell r="AQ73" t="str">
            <v>IGNORED</v>
          </cell>
          <cell r="AR73" t="str">
            <v>IGNORED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 t="str">
            <v>IGNORED</v>
          </cell>
          <cell r="G74" t="str">
            <v>IGNORED</v>
          </cell>
          <cell r="H74" t="str">
            <v>IGNORED</v>
          </cell>
          <cell r="I74" t="str">
            <v>IGNORED</v>
          </cell>
          <cell r="J74" t="str">
            <v>IGNORED</v>
          </cell>
          <cell r="K74" t="str">
            <v>IGNORED</v>
          </cell>
          <cell r="L74" t="str">
            <v>IGNORED</v>
          </cell>
          <cell r="M74" t="str">
            <v>IGNORED</v>
          </cell>
          <cell r="N74" t="str">
            <v>IGNORED</v>
          </cell>
          <cell r="O74" t="str">
            <v>IGNORED</v>
          </cell>
          <cell r="P74" t="str">
            <v>IGNORED</v>
          </cell>
          <cell r="Q74" t="str">
            <v>IGNORED</v>
          </cell>
          <cell r="R74" t="str">
            <v>IGNORED</v>
          </cell>
          <cell r="S74" t="str">
            <v>IGNORED</v>
          </cell>
          <cell r="T74" t="str">
            <v>IGNORED</v>
          </cell>
          <cell r="U74" t="str">
            <v>IGNORED</v>
          </cell>
          <cell r="V74" t="str">
            <v>IGNORED</v>
          </cell>
          <cell r="W74" t="str">
            <v>IGNORED</v>
          </cell>
          <cell r="X74" t="str">
            <v>IGNORED</v>
          </cell>
          <cell r="Y74" t="str">
            <v>IGNORED</v>
          </cell>
          <cell r="Z74" t="str">
            <v>IGNORED</v>
          </cell>
          <cell r="AA74" t="str">
            <v>IGNORED</v>
          </cell>
          <cell r="AB74" t="str">
            <v>IGNORED</v>
          </cell>
          <cell r="AC74" t="str">
            <v>IGNORED</v>
          </cell>
          <cell r="AD74" t="str">
            <v>IGNORED</v>
          </cell>
          <cell r="AE74" t="str">
            <v>IGNORED</v>
          </cell>
          <cell r="AF74" t="str">
            <v>IGNORED</v>
          </cell>
          <cell r="AG74" t="str">
            <v>IGNORED</v>
          </cell>
          <cell r="AH74" t="str">
            <v>IGNORED</v>
          </cell>
          <cell r="AI74" t="str">
            <v>IGNORED</v>
          </cell>
          <cell r="AJ74" t="str">
            <v>IGNORED</v>
          </cell>
          <cell r="AK74" t="str">
            <v>IGNORED</v>
          </cell>
          <cell r="AL74" t="str">
            <v>IGNORED</v>
          </cell>
          <cell r="AM74" t="str">
            <v>IGNORED</v>
          </cell>
          <cell r="AN74" t="str">
            <v>IGNORED</v>
          </cell>
          <cell r="AO74" t="str">
            <v>IGNORED</v>
          </cell>
          <cell r="AP74" t="str">
            <v>IGNORED</v>
          </cell>
          <cell r="AQ74" t="str">
            <v>IGNORED</v>
          </cell>
          <cell r="AR74" t="str">
            <v>IGNORED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 t="str">
            <v>IGNORED</v>
          </cell>
          <cell r="G75" t="str">
            <v>IGNORED</v>
          </cell>
          <cell r="H75" t="str">
            <v>IGNORED</v>
          </cell>
          <cell r="I75" t="str">
            <v>IGNORED</v>
          </cell>
          <cell r="J75" t="str">
            <v>IGNORED</v>
          </cell>
          <cell r="K75" t="str">
            <v>IGNORED</v>
          </cell>
          <cell r="L75" t="str">
            <v>IGNORED</v>
          </cell>
          <cell r="M75" t="str">
            <v>IGNORED</v>
          </cell>
          <cell r="N75" t="str">
            <v>IGNORED</v>
          </cell>
          <cell r="O75" t="str">
            <v>IGNORED</v>
          </cell>
          <cell r="P75" t="str">
            <v>IGNORED</v>
          </cell>
          <cell r="Q75" t="str">
            <v>IGNORED</v>
          </cell>
          <cell r="R75" t="str">
            <v>IGNORED</v>
          </cell>
          <cell r="S75" t="str">
            <v>IGNORED</v>
          </cell>
          <cell r="T75" t="str">
            <v>IGNORED</v>
          </cell>
          <cell r="U75" t="str">
            <v>IGNORED</v>
          </cell>
          <cell r="V75" t="str">
            <v>IGNORED</v>
          </cell>
          <cell r="W75" t="str">
            <v>IGNORED</v>
          </cell>
          <cell r="X75" t="str">
            <v>IGNORED</v>
          </cell>
          <cell r="Y75" t="str">
            <v>IGNORED</v>
          </cell>
          <cell r="Z75" t="str">
            <v>IGNORED</v>
          </cell>
          <cell r="AA75" t="str">
            <v>IGNORED</v>
          </cell>
          <cell r="AB75" t="str">
            <v>IGNORED</v>
          </cell>
          <cell r="AC75" t="str">
            <v>IGNORED</v>
          </cell>
          <cell r="AD75" t="str">
            <v>IGNORED</v>
          </cell>
          <cell r="AE75" t="str">
            <v>IGNORED</v>
          </cell>
          <cell r="AF75" t="str">
            <v>IGNORED</v>
          </cell>
          <cell r="AG75" t="str">
            <v>IGNORED</v>
          </cell>
          <cell r="AH75" t="str">
            <v>IGNORED</v>
          </cell>
          <cell r="AI75" t="str">
            <v>IGNORED</v>
          </cell>
          <cell r="AJ75" t="str">
            <v>IGNORED</v>
          </cell>
          <cell r="AK75" t="str">
            <v>IGNORED</v>
          </cell>
          <cell r="AL75" t="str">
            <v>IGNORED</v>
          </cell>
          <cell r="AM75" t="str">
            <v>IGNORED</v>
          </cell>
          <cell r="AN75" t="str">
            <v>IGNORED</v>
          </cell>
          <cell r="AO75" t="str">
            <v>IGNORED</v>
          </cell>
          <cell r="AP75" t="str">
            <v>IGNORED</v>
          </cell>
          <cell r="AQ75" t="str">
            <v>IGNORED</v>
          </cell>
          <cell r="AR75" t="str">
            <v>IGNORED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F76" t="str">
            <v>IGNORED</v>
          </cell>
          <cell r="G76" t="str">
            <v>IGNORED</v>
          </cell>
          <cell r="H76" t="str">
            <v>IGNORED</v>
          </cell>
          <cell r="I76" t="str">
            <v>IGNORED</v>
          </cell>
          <cell r="J76" t="str">
            <v>IGNORED</v>
          </cell>
          <cell r="K76" t="str">
            <v>IGNORED</v>
          </cell>
          <cell r="L76" t="str">
            <v>IGNORED</v>
          </cell>
          <cell r="M76" t="str">
            <v>IGNORED</v>
          </cell>
          <cell r="N76" t="str">
            <v>IGNORED</v>
          </cell>
          <cell r="O76" t="str">
            <v>IGNORED</v>
          </cell>
          <cell r="P76" t="str">
            <v>IGNORED</v>
          </cell>
          <cell r="Q76" t="str">
            <v>IGNORED</v>
          </cell>
          <cell r="R76" t="str">
            <v>IGNORED</v>
          </cell>
          <cell r="S76" t="str">
            <v>IGNORED</v>
          </cell>
          <cell r="T76" t="str">
            <v>IGNORED</v>
          </cell>
          <cell r="U76" t="str">
            <v>IGNORED</v>
          </cell>
          <cell r="V76" t="str">
            <v>IGNORED</v>
          </cell>
          <cell r="W76" t="str">
            <v>IGNORED</v>
          </cell>
          <cell r="X76" t="str">
            <v>IGNORED</v>
          </cell>
          <cell r="Y76" t="str">
            <v>IGNORED</v>
          </cell>
          <cell r="Z76" t="str">
            <v>IGNORED</v>
          </cell>
          <cell r="AA76" t="str">
            <v>IGNORED</v>
          </cell>
          <cell r="AB76" t="str">
            <v>IGNORED</v>
          </cell>
          <cell r="AC76" t="str">
            <v>IGNORED</v>
          </cell>
          <cell r="AD76" t="str">
            <v>IGNORED</v>
          </cell>
          <cell r="AE76" t="str">
            <v>IGNORED</v>
          </cell>
          <cell r="AF76" t="str">
            <v>IGNORED</v>
          </cell>
          <cell r="AG76" t="str">
            <v>IGNORED</v>
          </cell>
          <cell r="AH76" t="str">
            <v>IGNORED</v>
          </cell>
          <cell r="AI76" t="str">
            <v>IGNORED</v>
          </cell>
          <cell r="AJ76" t="str">
            <v>IGNORED</v>
          </cell>
          <cell r="AK76" t="str">
            <v>IGNORED</v>
          </cell>
          <cell r="AL76" t="str">
            <v>IGNORED</v>
          </cell>
          <cell r="AM76" t="str">
            <v>IGNORED</v>
          </cell>
          <cell r="AN76" t="str">
            <v>IGNORED</v>
          </cell>
          <cell r="AO76" t="str">
            <v>IGNORED</v>
          </cell>
          <cell r="AP76" t="str">
            <v>IGNORED</v>
          </cell>
          <cell r="AQ76" t="str">
            <v>IGNORED</v>
          </cell>
          <cell r="AR76" t="str">
            <v>IGNORED</v>
          </cell>
        </row>
        <row r="77">
          <cell r="B77" t="str">
            <v>GCI inflator</v>
          </cell>
          <cell r="C77" t="str">
            <v>GCI_INFL</v>
          </cell>
          <cell r="F77" t="str">
            <v>IGNORED</v>
          </cell>
          <cell r="G77" t="str">
            <v>IGNORED</v>
          </cell>
          <cell r="H77" t="str">
            <v>IGNORED</v>
          </cell>
          <cell r="I77" t="str">
            <v>IGNORED</v>
          </cell>
          <cell r="J77" t="str">
            <v>IGNORED</v>
          </cell>
          <cell r="K77" t="str">
            <v>IGNORED</v>
          </cell>
          <cell r="L77" t="str">
            <v>IGNORED</v>
          </cell>
          <cell r="M77" t="str">
            <v>IGNORED</v>
          </cell>
          <cell r="N77" t="str">
            <v>IGNORED</v>
          </cell>
          <cell r="O77" t="str">
            <v>IGNORED</v>
          </cell>
          <cell r="P77" t="str">
            <v>IGNORED</v>
          </cell>
          <cell r="Q77" t="str">
            <v>IGNORED</v>
          </cell>
          <cell r="R77" t="str">
            <v>IGNORED</v>
          </cell>
          <cell r="S77" t="str">
            <v>IGNORED</v>
          </cell>
          <cell r="T77" t="str">
            <v>IGNORED</v>
          </cell>
          <cell r="U77" t="str">
            <v>IGNORED</v>
          </cell>
          <cell r="V77" t="str">
            <v>IGNORED</v>
          </cell>
          <cell r="W77" t="str">
            <v>IGNORED</v>
          </cell>
          <cell r="X77" t="str">
            <v>IGNORED</v>
          </cell>
          <cell r="Y77" t="str">
            <v>IGNORED</v>
          </cell>
          <cell r="Z77" t="str">
            <v>IGNORED</v>
          </cell>
          <cell r="AA77" t="str">
            <v>IGNORED</v>
          </cell>
          <cell r="AB77" t="str">
            <v>IGNORED</v>
          </cell>
          <cell r="AC77" t="str">
            <v>IGNORED</v>
          </cell>
          <cell r="AD77" t="str">
            <v>IGNORED</v>
          </cell>
          <cell r="AE77" t="str">
            <v>IGNORED</v>
          </cell>
          <cell r="AF77" t="str">
            <v>IGNORED</v>
          </cell>
          <cell r="AG77" t="str">
            <v>IGNORED</v>
          </cell>
          <cell r="AH77" t="str">
            <v>IGNORED</v>
          </cell>
          <cell r="AI77" t="str">
            <v>IGNORED</v>
          </cell>
          <cell r="AJ77" t="str">
            <v>IGNORED</v>
          </cell>
          <cell r="AK77" t="str">
            <v>IGNORED</v>
          </cell>
          <cell r="AL77" t="str">
            <v>IGNORED</v>
          </cell>
          <cell r="AM77" t="str">
            <v>IGNORED</v>
          </cell>
          <cell r="AN77" t="str">
            <v>IGNORED</v>
          </cell>
          <cell r="AO77" t="str">
            <v>IGNORED</v>
          </cell>
          <cell r="AP77" t="str">
            <v>IGNORED</v>
          </cell>
          <cell r="AQ77" t="str">
            <v>IGNORED</v>
          </cell>
          <cell r="AR77" t="str">
            <v>IGNORED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 t="str">
            <v>IGNORED</v>
          </cell>
          <cell r="G78" t="str">
            <v>IGNORED</v>
          </cell>
          <cell r="H78" t="str">
            <v>IGNORED</v>
          </cell>
          <cell r="I78" t="str">
            <v>IGNORED</v>
          </cell>
          <cell r="J78" t="str">
            <v>IGNORED</v>
          </cell>
          <cell r="K78" t="str">
            <v>IGNORED</v>
          </cell>
          <cell r="L78" t="str">
            <v>IGNORED</v>
          </cell>
          <cell r="M78" t="str">
            <v>IGNORED</v>
          </cell>
          <cell r="N78" t="str">
            <v>IGNORED</v>
          </cell>
          <cell r="O78" t="str">
            <v>IGNORED</v>
          </cell>
          <cell r="P78" t="str">
            <v>IGNORED</v>
          </cell>
          <cell r="Q78" t="str">
            <v>IGNORED</v>
          </cell>
          <cell r="R78" t="str">
            <v>IGNORED</v>
          </cell>
          <cell r="S78" t="str">
            <v>IGNORED</v>
          </cell>
          <cell r="T78" t="str">
            <v>IGNORED</v>
          </cell>
          <cell r="U78" t="str">
            <v>IGNORED</v>
          </cell>
          <cell r="V78" t="str">
            <v>IGNORED</v>
          </cell>
          <cell r="W78" t="str">
            <v>IGNORED</v>
          </cell>
          <cell r="X78" t="str">
            <v>IGNORED</v>
          </cell>
          <cell r="Y78" t="str">
            <v>IGNORED</v>
          </cell>
          <cell r="Z78" t="str">
            <v>IGNORED</v>
          </cell>
          <cell r="AA78" t="str">
            <v>IGNORED</v>
          </cell>
          <cell r="AB78" t="str">
            <v>IGNORED</v>
          </cell>
          <cell r="AC78" t="str">
            <v>IGNORED</v>
          </cell>
          <cell r="AD78" t="str">
            <v>IGNORED</v>
          </cell>
          <cell r="AE78" t="str">
            <v>IGNORED</v>
          </cell>
          <cell r="AF78" t="str">
            <v>IGNORED</v>
          </cell>
          <cell r="AG78" t="str">
            <v>IGNORED</v>
          </cell>
          <cell r="AH78" t="str">
            <v>IGNORED</v>
          </cell>
          <cell r="AI78" t="str">
            <v>IGNORED</v>
          </cell>
          <cell r="AJ78" t="str">
            <v>IGNORED</v>
          </cell>
          <cell r="AK78" t="str">
            <v>IGNORED</v>
          </cell>
          <cell r="AL78" t="str">
            <v>IGNORED</v>
          </cell>
          <cell r="AM78" t="str">
            <v>IGNORED</v>
          </cell>
          <cell r="AN78" t="str">
            <v>IGNORED</v>
          </cell>
          <cell r="AO78" t="str">
            <v>IGNORED</v>
          </cell>
          <cell r="AP78" t="str">
            <v>IGNORED</v>
          </cell>
          <cell r="AQ78" t="str">
            <v>IGNORED</v>
          </cell>
          <cell r="AR78" t="str">
            <v>IGNORED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 t="str">
            <v>IGNORED</v>
          </cell>
          <cell r="G80" t="str">
            <v>IGNORED</v>
          </cell>
          <cell r="H80" t="str">
            <v>IGNORED</v>
          </cell>
          <cell r="I80" t="str">
            <v>IGNORED</v>
          </cell>
          <cell r="J80" t="str">
            <v>IGNORED</v>
          </cell>
          <cell r="K80" t="str">
            <v>IGNORED</v>
          </cell>
          <cell r="L80" t="str">
            <v>IGNORED</v>
          </cell>
          <cell r="M80" t="str">
            <v>IGNORED</v>
          </cell>
          <cell r="N80" t="str">
            <v>IGNORED</v>
          </cell>
          <cell r="O80" t="str">
            <v>IGNORED</v>
          </cell>
          <cell r="P80" t="str">
            <v>IGNORED</v>
          </cell>
          <cell r="Q80" t="str">
            <v>IGNORED</v>
          </cell>
          <cell r="R80" t="str">
            <v>IGNORED</v>
          </cell>
          <cell r="S80" t="str">
            <v>IGNORED</v>
          </cell>
          <cell r="T80" t="str">
            <v>IGNORED</v>
          </cell>
          <cell r="U80" t="str">
            <v>IGNORED</v>
          </cell>
          <cell r="V80" t="str">
            <v>IGNORED</v>
          </cell>
          <cell r="W80" t="str">
            <v>IGNORED</v>
          </cell>
          <cell r="X80" t="str">
            <v>IGNORED</v>
          </cell>
          <cell r="Y80" t="str">
            <v>IGNORED</v>
          </cell>
          <cell r="Z80" t="str">
            <v>IGNORED</v>
          </cell>
          <cell r="AA80" t="str">
            <v>IGNORED</v>
          </cell>
          <cell r="AB80" t="str">
            <v>IGNORED</v>
          </cell>
          <cell r="AC80" t="str">
            <v>IGNORED</v>
          </cell>
          <cell r="AD80" t="str">
            <v>IGNORED</v>
          </cell>
          <cell r="AE80" t="str">
            <v>IGNORED</v>
          </cell>
          <cell r="AF80" t="str">
            <v>IGNORED</v>
          </cell>
          <cell r="AG80" t="str">
            <v>IGNORED</v>
          </cell>
          <cell r="AH80" t="str">
            <v>IGNORED</v>
          </cell>
          <cell r="AI80" t="str">
            <v>IGNORED</v>
          </cell>
          <cell r="AJ80" t="str">
            <v>IGNORED</v>
          </cell>
          <cell r="AK80" t="str">
            <v>IGNORED</v>
          </cell>
          <cell r="AL80" t="str">
            <v>IGNORED</v>
          </cell>
          <cell r="AM80" t="str">
            <v>IGNORED</v>
          </cell>
          <cell r="AN80" t="str">
            <v>IGNORED</v>
          </cell>
          <cell r="AO80" t="str">
            <v>IGNORED</v>
          </cell>
          <cell r="AP80" t="str">
            <v>IGNORED</v>
          </cell>
          <cell r="AQ80" t="str">
            <v>IGNORED</v>
          </cell>
          <cell r="AR80" t="str">
            <v>IGNORED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 t="str">
            <v>IGNORED</v>
          </cell>
          <cell r="G81" t="str">
            <v>IGNORED</v>
          </cell>
          <cell r="H81" t="str">
            <v>IGNORED</v>
          </cell>
          <cell r="I81" t="str">
            <v>IGNORED</v>
          </cell>
          <cell r="J81" t="str">
            <v>IGNORED</v>
          </cell>
          <cell r="K81" t="str">
            <v>IGNORED</v>
          </cell>
          <cell r="L81" t="str">
            <v>IGNORED</v>
          </cell>
          <cell r="M81" t="str">
            <v>IGNORED</v>
          </cell>
          <cell r="N81" t="str">
            <v>IGNORED</v>
          </cell>
          <cell r="O81" t="str">
            <v>IGNORED</v>
          </cell>
          <cell r="P81" t="str">
            <v>IGNORED</v>
          </cell>
          <cell r="Q81" t="str">
            <v>IGNORED</v>
          </cell>
          <cell r="R81" t="str">
            <v>IGNORED</v>
          </cell>
          <cell r="S81" t="str">
            <v>IGNORED</v>
          </cell>
          <cell r="T81" t="str">
            <v>IGNORED</v>
          </cell>
          <cell r="U81" t="str">
            <v>IGNORED</v>
          </cell>
          <cell r="V81" t="str">
            <v>IGNORED</v>
          </cell>
          <cell r="W81" t="str">
            <v>IGNORED</v>
          </cell>
          <cell r="X81" t="str">
            <v>IGNORED</v>
          </cell>
          <cell r="Y81" t="str">
            <v>IGNORED</v>
          </cell>
          <cell r="Z81" t="str">
            <v>IGNORED</v>
          </cell>
          <cell r="AA81" t="str">
            <v>IGNORED</v>
          </cell>
          <cell r="AB81" t="str">
            <v>IGNORED</v>
          </cell>
          <cell r="AC81" t="str">
            <v>IGNORED</v>
          </cell>
          <cell r="AD81" t="str">
            <v>IGNORED</v>
          </cell>
          <cell r="AE81" t="str">
            <v>IGNORED</v>
          </cell>
          <cell r="AF81" t="str">
            <v>IGNORED</v>
          </cell>
          <cell r="AG81" t="str">
            <v>IGNORED</v>
          </cell>
          <cell r="AH81" t="str">
            <v>IGNORED</v>
          </cell>
          <cell r="AI81" t="str">
            <v>IGNORED</v>
          </cell>
          <cell r="AJ81" t="str">
            <v>IGNORED</v>
          </cell>
          <cell r="AK81" t="str">
            <v>IGNORED</v>
          </cell>
          <cell r="AL81" t="str">
            <v>IGNORED</v>
          </cell>
          <cell r="AM81" t="str">
            <v>IGNORED</v>
          </cell>
          <cell r="AN81" t="str">
            <v>IGNORED</v>
          </cell>
          <cell r="AO81" t="str">
            <v>IGNORED</v>
          </cell>
          <cell r="AP81" t="str">
            <v>IGNORED</v>
          </cell>
          <cell r="AQ81" t="str">
            <v>IGNORED</v>
          </cell>
          <cell r="AR81" t="str">
            <v>IGNORED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 t="str">
            <v>IGNORED</v>
          </cell>
          <cell r="G82" t="str">
            <v>IGNORED</v>
          </cell>
          <cell r="H82" t="str">
            <v>IGNORED</v>
          </cell>
          <cell r="I82" t="str">
            <v>IGNORED</v>
          </cell>
          <cell r="J82" t="str">
            <v>IGNORED</v>
          </cell>
          <cell r="K82" t="str">
            <v>IGNORED</v>
          </cell>
          <cell r="L82" t="str">
            <v>IGNORED</v>
          </cell>
          <cell r="M82" t="str">
            <v>IGNORED</v>
          </cell>
          <cell r="N82" t="str">
            <v>IGNORED</v>
          </cell>
          <cell r="O82" t="str">
            <v>IGNORED</v>
          </cell>
          <cell r="P82" t="str">
            <v>IGNORED</v>
          </cell>
          <cell r="Q82" t="str">
            <v>IGNORED</v>
          </cell>
          <cell r="R82" t="str">
            <v>IGNORED</v>
          </cell>
          <cell r="S82" t="str">
            <v>IGNORED</v>
          </cell>
          <cell r="T82" t="str">
            <v>IGNORED</v>
          </cell>
          <cell r="U82" t="str">
            <v>IGNORED</v>
          </cell>
          <cell r="V82" t="str">
            <v>IGNORED</v>
          </cell>
          <cell r="W82" t="str">
            <v>IGNORED</v>
          </cell>
          <cell r="X82" t="str">
            <v>IGNORED</v>
          </cell>
          <cell r="Y82" t="str">
            <v>IGNORED</v>
          </cell>
          <cell r="Z82" t="str">
            <v>IGNORED</v>
          </cell>
          <cell r="AA82" t="str">
            <v>IGNORED</v>
          </cell>
          <cell r="AB82" t="str">
            <v>IGNORED</v>
          </cell>
          <cell r="AC82" t="str">
            <v>IGNORED</v>
          </cell>
          <cell r="AD82" t="str">
            <v>IGNORED</v>
          </cell>
          <cell r="AE82" t="str">
            <v>IGNORED</v>
          </cell>
          <cell r="AF82" t="str">
            <v>IGNORED</v>
          </cell>
          <cell r="AG82" t="str">
            <v>IGNORED</v>
          </cell>
          <cell r="AH82" t="str">
            <v>IGNORED</v>
          </cell>
          <cell r="AI82" t="str">
            <v>IGNORED</v>
          </cell>
          <cell r="AJ82" t="str">
            <v>IGNORED</v>
          </cell>
          <cell r="AK82" t="str">
            <v>IGNORED</v>
          </cell>
          <cell r="AL82" t="str">
            <v>IGNORED</v>
          </cell>
          <cell r="AM82" t="str">
            <v>IGNORED</v>
          </cell>
          <cell r="AN82" t="str">
            <v>IGNORED</v>
          </cell>
          <cell r="AO82" t="str">
            <v>IGNORED</v>
          </cell>
          <cell r="AP82" t="str">
            <v>IGNORED</v>
          </cell>
          <cell r="AQ82" t="str">
            <v>IGNORED</v>
          </cell>
          <cell r="AR82" t="str">
            <v>IGNORED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 t="str">
            <v>IGNORED</v>
          </cell>
          <cell r="G83" t="str">
            <v>IGNORED</v>
          </cell>
          <cell r="H83" t="str">
            <v>IGNORED</v>
          </cell>
          <cell r="I83" t="str">
            <v>IGNORED</v>
          </cell>
          <cell r="J83" t="str">
            <v>IGNORED</v>
          </cell>
          <cell r="K83" t="str">
            <v>IGNORED</v>
          </cell>
          <cell r="L83" t="str">
            <v>IGNORED</v>
          </cell>
          <cell r="M83" t="str">
            <v>IGNORED</v>
          </cell>
          <cell r="N83" t="str">
            <v>IGNORED</v>
          </cell>
          <cell r="O83" t="str">
            <v>IGNORED</v>
          </cell>
          <cell r="P83" t="str">
            <v>IGNORED</v>
          </cell>
          <cell r="Q83" t="str">
            <v>IGNORED</v>
          </cell>
          <cell r="R83" t="str">
            <v>IGNORED</v>
          </cell>
          <cell r="S83" t="str">
            <v>IGNORED</v>
          </cell>
          <cell r="T83" t="str">
            <v>IGNORED</v>
          </cell>
          <cell r="U83" t="str">
            <v>IGNORED</v>
          </cell>
          <cell r="V83" t="str">
            <v>IGNORED</v>
          </cell>
          <cell r="W83" t="str">
            <v>IGNORED</v>
          </cell>
          <cell r="X83" t="str">
            <v>IGNORED</v>
          </cell>
          <cell r="Y83" t="str">
            <v>IGNORED</v>
          </cell>
          <cell r="Z83" t="str">
            <v>IGNORED</v>
          </cell>
          <cell r="AA83" t="str">
            <v>IGNORED</v>
          </cell>
          <cell r="AB83" t="str">
            <v>IGNORED</v>
          </cell>
          <cell r="AC83" t="str">
            <v>IGNORED</v>
          </cell>
          <cell r="AD83" t="str">
            <v>IGNORED</v>
          </cell>
          <cell r="AE83" t="str">
            <v>IGNORED</v>
          </cell>
          <cell r="AF83" t="str">
            <v>IGNORED</v>
          </cell>
          <cell r="AG83" t="str">
            <v>IGNORED</v>
          </cell>
          <cell r="AH83" t="str">
            <v>IGNORED</v>
          </cell>
          <cell r="AI83" t="str">
            <v>IGNORED</v>
          </cell>
          <cell r="AJ83" t="str">
            <v>IGNORED</v>
          </cell>
          <cell r="AK83" t="str">
            <v>IGNORED</v>
          </cell>
          <cell r="AL83" t="str">
            <v>IGNORED</v>
          </cell>
          <cell r="AM83" t="str">
            <v>IGNORED</v>
          </cell>
          <cell r="AN83" t="str">
            <v>IGNORED</v>
          </cell>
          <cell r="AO83" t="str">
            <v>IGNORED</v>
          </cell>
          <cell r="AP83" t="str">
            <v>IGNORED</v>
          </cell>
          <cell r="AQ83" t="str">
            <v>IGNORED</v>
          </cell>
          <cell r="AR83" t="str">
            <v>IGNORED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 t="str">
            <v>IGNORED</v>
          </cell>
          <cell r="G84" t="str">
            <v>IGNORED</v>
          </cell>
          <cell r="H84" t="str">
            <v>IGNORED</v>
          </cell>
          <cell r="I84" t="str">
            <v>IGNORED</v>
          </cell>
          <cell r="J84" t="str">
            <v>IGNORED</v>
          </cell>
          <cell r="K84" t="str">
            <v>IGNORED</v>
          </cell>
          <cell r="L84" t="str">
            <v>IGNORED</v>
          </cell>
          <cell r="M84" t="str">
            <v>IGNORED</v>
          </cell>
          <cell r="N84" t="str">
            <v>IGNORED</v>
          </cell>
          <cell r="O84" t="str">
            <v>IGNORED</v>
          </cell>
          <cell r="P84" t="str">
            <v>IGNORED</v>
          </cell>
          <cell r="Q84" t="str">
            <v>IGNORED</v>
          </cell>
          <cell r="R84" t="str">
            <v>IGNORED</v>
          </cell>
          <cell r="S84" t="str">
            <v>IGNORED</v>
          </cell>
          <cell r="T84" t="str">
            <v>IGNORED</v>
          </cell>
          <cell r="U84" t="str">
            <v>IGNORED</v>
          </cell>
          <cell r="V84" t="str">
            <v>IGNORED</v>
          </cell>
          <cell r="W84" t="str">
            <v>IGNORED</v>
          </cell>
          <cell r="X84" t="str">
            <v>IGNORED</v>
          </cell>
          <cell r="Y84" t="str">
            <v>IGNORED</v>
          </cell>
          <cell r="Z84" t="str">
            <v>IGNORED</v>
          </cell>
          <cell r="AA84" t="str">
            <v>IGNORED</v>
          </cell>
          <cell r="AB84" t="str">
            <v>IGNORED</v>
          </cell>
          <cell r="AC84" t="str">
            <v>IGNORED</v>
          </cell>
          <cell r="AD84" t="str">
            <v>IGNORED</v>
          </cell>
          <cell r="AE84" t="str">
            <v>IGNORED</v>
          </cell>
          <cell r="AF84" t="str">
            <v>IGNORED</v>
          </cell>
          <cell r="AG84" t="str">
            <v>IGNORED</v>
          </cell>
          <cell r="AH84" t="str">
            <v>IGNORED</v>
          </cell>
          <cell r="AI84" t="str">
            <v>IGNORED</v>
          </cell>
          <cell r="AJ84" t="str">
            <v>IGNORED</v>
          </cell>
          <cell r="AK84" t="str">
            <v>IGNORED</v>
          </cell>
          <cell r="AL84" t="str">
            <v>IGNORED</v>
          </cell>
          <cell r="AM84" t="str">
            <v>IGNORED</v>
          </cell>
          <cell r="AN84" t="str">
            <v>IGNORED</v>
          </cell>
          <cell r="AO84" t="str">
            <v>IGNORED</v>
          </cell>
          <cell r="AP84" t="str">
            <v>IGNORED</v>
          </cell>
          <cell r="AQ84" t="str">
            <v>IGNORED</v>
          </cell>
          <cell r="AR84" t="str">
            <v>IGNORED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 t="str">
            <v>IGNORED</v>
          </cell>
          <cell r="G85" t="str">
            <v>IGNORED</v>
          </cell>
          <cell r="H85" t="str">
            <v>IGNORED</v>
          </cell>
          <cell r="I85" t="str">
            <v>IGNORED</v>
          </cell>
          <cell r="J85" t="str">
            <v>IGNORED</v>
          </cell>
          <cell r="K85" t="str">
            <v>IGNORED</v>
          </cell>
          <cell r="L85" t="str">
            <v>IGNORED</v>
          </cell>
          <cell r="M85" t="str">
            <v>IGNORED</v>
          </cell>
          <cell r="N85" t="str">
            <v>IGNORED</v>
          </cell>
          <cell r="O85" t="str">
            <v>IGNORED</v>
          </cell>
          <cell r="P85" t="str">
            <v>IGNORED</v>
          </cell>
          <cell r="Q85" t="str">
            <v>IGNORED</v>
          </cell>
          <cell r="R85" t="str">
            <v>IGNORED</v>
          </cell>
          <cell r="S85" t="str">
            <v>IGNORED</v>
          </cell>
          <cell r="T85" t="str">
            <v>IGNORED</v>
          </cell>
          <cell r="U85" t="str">
            <v>IGNORED</v>
          </cell>
          <cell r="V85" t="str">
            <v>IGNORED</v>
          </cell>
          <cell r="W85" t="str">
            <v>IGNORED</v>
          </cell>
          <cell r="X85" t="str">
            <v>IGNORED</v>
          </cell>
          <cell r="Y85" t="str">
            <v>IGNORED</v>
          </cell>
          <cell r="Z85" t="str">
            <v>IGNORED</v>
          </cell>
          <cell r="AA85" t="str">
            <v>IGNORED</v>
          </cell>
          <cell r="AB85" t="str">
            <v>IGNORED</v>
          </cell>
          <cell r="AC85" t="str">
            <v>IGNORED</v>
          </cell>
          <cell r="AD85" t="str">
            <v>IGNORED</v>
          </cell>
          <cell r="AE85" t="str">
            <v>IGNORED</v>
          </cell>
          <cell r="AF85" t="str">
            <v>IGNORED</v>
          </cell>
          <cell r="AG85" t="str">
            <v>IGNORED</v>
          </cell>
          <cell r="AH85" t="str">
            <v>IGNORED</v>
          </cell>
          <cell r="AI85" t="str">
            <v>IGNORED</v>
          </cell>
          <cell r="AJ85" t="str">
            <v>IGNORED</v>
          </cell>
          <cell r="AK85" t="str">
            <v>IGNORED</v>
          </cell>
          <cell r="AL85" t="str">
            <v>IGNORED</v>
          </cell>
          <cell r="AM85" t="str">
            <v>IGNORED</v>
          </cell>
          <cell r="AN85" t="str">
            <v>IGNORED</v>
          </cell>
          <cell r="AO85" t="str">
            <v>IGNORED</v>
          </cell>
          <cell r="AP85" t="str">
            <v>IGNORED</v>
          </cell>
          <cell r="AQ85" t="str">
            <v>IGNORED</v>
          </cell>
          <cell r="AR85" t="str">
            <v>IGNORED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 t="str">
            <v>IGNORED</v>
          </cell>
          <cell r="G86" t="str">
            <v>IGNORED</v>
          </cell>
          <cell r="H86" t="str">
            <v>IGNORED</v>
          </cell>
          <cell r="I86" t="str">
            <v>IGNORED</v>
          </cell>
          <cell r="J86" t="str">
            <v>IGNORED</v>
          </cell>
          <cell r="K86" t="str">
            <v>IGNORED</v>
          </cell>
          <cell r="L86" t="str">
            <v>IGNORED</v>
          </cell>
          <cell r="M86" t="str">
            <v>IGNORED</v>
          </cell>
          <cell r="N86" t="str">
            <v>IGNORED</v>
          </cell>
          <cell r="O86" t="str">
            <v>IGNORED</v>
          </cell>
          <cell r="P86" t="str">
            <v>IGNORED</v>
          </cell>
          <cell r="Q86" t="str">
            <v>IGNORED</v>
          </cell>
          <cell r="R86" t="str">
            <v>IGNORED</v>
          </cell>
          <cell r="S86" t="str">
            <v>IGNORED</v>
          </cell>
          <cell r="T86" t="str">
            <v>IGNORED</v>
          </cell>
          <cell r="U86" t="str">
            <v>IGNORED</v>
          </cell>
          <cell r="V86" t="str">
            <v>IGNORED</v>
          </cell>
          <cell r="W86" t="str">
            <v>IGNORED</v>
          </cell>
          <cell r="X86" t="str">
            <v>IGNORED</v>
          </cell>
          <cell r="Y86" t="str">
            <v>IGNORED</v>
          </cell>
          <cell r="Z86" t="str">
            <v>IGNORED</v>
          </cell>
          <cell r="AA86" t="str">
            <v>IGNORED</v>
          </cell>
          <cell r="AB86" t="str">
            <v>IGNORED</v>
          </cell>
          <cell r="AC86" t="str">
            <v>IGNORED</v>
          </cell>
          <cell r="AD86" t="str">
            <v>IGNORED</v>
          </cell>
          <cell r="AE86" t="str">
            <v>IGNORED</v>
          </cell>
          <cell r="AF86" t="str">
            <v>IGNORED</v>
          </cell>
          <cell r="AG86" t="str">
            <v>IGNORED</v>
          </cell>
          <cell r="AH86" t="str">
            <v>IGNORED</v>
          </cell>
          <cell r="AI86" t="str">
            <v>IGNORED</v>
          </cell>
          <cell r="AJ86" t="str">
            <v>IGNORED</v>
          </cell>
          <cell r="AK86" t="str">
            <v>IGNORED</v>
          </cell>
          <cell r="AL86" t="str">
            <v>IGNORED</v>
          </cell>
          <cell r="AM86" t="str">
            <v>IGNORED</v>
          </cell>
          <cell r="AN86" t="str">
            <v>IGNORED</v>
          </cell>
          <cell r="AO86" t="str">
            <v>IGNORED</v>
          </cell>
          <cell r="AP86" t="str">
            <v>IGNORED</v>
          </cell>
          <cell r="AQ86" t="str">
            <v>IGNORED</v>
          </cell>
          <cell r="AR86" t="str">
            <v>IGNORED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 t="str">
            <v>IGNORED</v>
          </cell>
          <cell r="G87" t="str">
            <v>IGNORED</v>
          </cell>
          <cell r="H87" t="str">
            <v>IGNORED</v>
          </cell>
          <cell r="I87" t="str">
            <v>IGNORED</v>
          </cell>
          <cell r="J87" t="str">
            <v>IGNORED</v>
          </cell>
          <cell r="K87" t="str">
            <v>IGNORED</v>
          </cell>
          <cell r="L87" t="str">
            <v>IGNORED</v>
          </cell>
          <cell r="M87" t="str">
            <v>IGNORED</v>
          </cell>
          <cell r="N87" t="str">
            <v>IGNORED</v>
          </cell>
          <cell r="O87" t="str">
            <v>IGNORED</v>
          </cell>
          <cell r="P87" t="str">
            <v>IGNORED</v>
          </cell>
          <cell r="Q87" t="str">
            <v>IGNORED</v>
          </cell>
          <cell r="R87" t="str">
            <v>IGNORED</v>
          </cell>
          <cell r="S87" t="str">
            <v>IGNORED</v>
          </cell>
          <cell r="T87" t="str">
            <v>IGNORED</v>
          </cell>
          <cell r="U87" t="str">
            <v>IGNORED</v>
          </cell>
          <cell r="V87" t="str">
            <v>IGNORED</v>
          </cell>
          <cell r="W87" t="str">
            <v>IGNORED</v>
          </cell>
          <cell r="X87" t="str">
            <v>IGNORED</v>
          </cell>
          <cell r="Y87" t="str">
            <v>IGNORED</v>
          </cell>
          <cell r="Z87" t="str">
            <v>IGNORED</v>
          </cell>
          <cell r="AA87" t="str">
            <v>IGNORED</v>
          </cell>
          <cell r="AB87" t="str">
            <v>IGNORED</v>
          </cell>
          <cell r="AC87" t="str">
            <v>IGNORED</v>
          </cell>
          <cell r="AD87" t="str">
            <v>IGNORED</v>
          </cell>
          <cell r="AE87" t="str">
            <v>IGNORED</v>
          </cell>
          <cell r="AF87" t="str">
            <v>IGNORED</v>
          </cell>
          <cell r="AG87" t="str">
            <v>IGNORED</v>
          </cell>
          <cell r="AH87" t="str">
            <v>IGNORED</v>
          </cell>
          <cell r="AI87" t="str">
            <v>IGNORED</v>
          </cell>
          <cell r="AJ87" t="str">
            <v>IGNORED</v>
          </cell>
          <cell r="AK87" t="str">
            <v>IGNORED</v>
          </cell>
          <cell r="AL87" t="str">
            <v>IGNORED</v>
          </cell>
          <cell r="AM87" t="str">
            <v>IGNORED</v>
          </cell>
          <cell r="AN87" t="str">
            <v>IGNORED</v>
          </cell>
          <cell r="AO87" t="str">
            <v>IGNORED</v>
          </cell>
          <cell r="AP87" t="str">
            <v>IGNORED</v>
          </cell>
          <cell r="AQ87" t="str">
            <v>IGNORED</v>
          </cell>
          <cell r="AR87" t="str">
            <v>IGNORED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 t="str">
            <v>IGNORED</v>
          </cell>
          <cell r="G88" t="str">
            <v>IGNORED</v>
          </cell>
          <cell r="H88" t="str">
            <v>IGNORED</v>
          </cell>
          <cell r="I88" t="str">
            <v>IGNORED</v>
          </cell>
          <cell r="J88" t="str">
            <v>IGNORED</v>
          </cell>
          <cell r="K88" t="str">
            <v>IGNORED</v>
          </cell>
          <cell r="L88" t="str">
            <v>IGNORED</v>
          </cell>
          <cell r="M88" t="str">
            <v>IGNORED</v>
          </cell>
          <cell r="N88" t="str">
            <v>IGNORED</v>
          </cell>
          <cell r="O88" t="str">
            <v>IGNORED</v>
          </cell>
          <cell r="P88" t="str">
            <v>IGNORED</v>
          </cell>
          <cell r="Q88" t="str">
            <v>IGNORED</v>
          </cell>
          <cell r="R88" t="str">
            <v>IGNORED</v>
          </cell>
          <cell r="S88" t="str">
            <v>IGNORED</v>
          </cell>
          <cell r="T88" t="str">
            <v>IGNORED</v>
          </cell>
          <cell r="U88" t="str">
            <v>IGNORED</v>
          </cell>
          <cell r="V88" t="str">
            <v>IGNORED</v>
          </cell>
          <cell r="W88" t="str">
            <v>IGNORED</v>
          </cell>
          <cell r="X88" t="str">
            <v>IGNORED</v>
          </cell>
          <cell r="Y88" t="str">
            <v>IGNORED</v>
          </cell>
          <cell r="Z88" t="str">
            <v>IGNORED</v>
          </cell>
          <cell r="AA88" t="str">
            <v>IGNORED</v>
          </cell>
          <cell r="AB88" t="str">
            <v>IGNORED</v>
          </cell>
          <cell r="AC88" t="str">
            <v>IGNORED</v>
          </cell>
          <cell r="AD88" t="str">
            <v>IGNORED</v>
          </cell>
          <cell r="AE88" t="str">
            <v>IGNORED</v>
          </cell>
          <cell r="AF88" t="str">
            <v>IGNORED</v>
          </cell>
          <cell r="AG88" t="str">
            <v>IGNORED</v>
          </cell>
          <cell r="AH88" t="str">
            <v>IGNORED</v>
          </cell>
          <cell r="AI88" t="str">
            <v>IGNORED</v>
          </cell>
          <cell r="AJ88" t="str">
            <v>IGNORED</v>
          </cell>
          <cell r="AK88" t="str">
            <v>IGNORED</v>
          </cell>
          <cell r="AL88" t="str">
            <v>IGNORED</v>
          </cell>
          <cell r="AM88" t="str">
            <v>IGNORED</v>
          </cell>
          <cell r="AN88" t="str">
            <v>IGNORED</v>
          </cell>
          <cell r="AO88" t="str">
            <v>IGNORED</v>
          </cell>
          <cell r="AP88" t="str">
            <v>IGNORED</v>
          </cell>
          <cell r="AQ88" t="str">
            <v>IGNORED</v>
          </cell>
          <cell r="AR88" t="str">
            <v>IGNORED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 t="str">
            <v>IGNORED</v>
          </cell>
          <cell r="G89" t="str">
            <v>IGNORED</v>
          </cell>
          <cell r="H89" t="str">
            <v>IGNORED</v>
          </cell>
          <cell r="I89" t="str">
            <v>IGNORED</v>
          </cell>
          <cell r="J89" t="str">
            <v>IGNORED</v>
          </cell>
          <cell r="K89" t="str">
            <v>IGNORED</v>
          </cell>
          <cell r="L89" t="str">
            <v>IGNORED</v>
          </cell>
          <cell r="M89" t="str">
            <v>IGNORED</v>
          </cell>
          <cell r="N89" t="str">
            <v>IGNORED</v>
          </cell>
          <cell r="O89" t="str">
            <v>IGNORED</v>
          </cell>
          <cell r="P89" t="str">
            <v>IGNORED</v>
          </cell>
          <cell r="Q89" t="str">
            <v>IGNORED</v>
          </cell>
          <cell r="R89" t="str">
            <v>IGNORED</v>
          </cell>
          <cell r="S89" t="str">
            <v>IGNORED</v>
          </cell>
          <cell r="T89" t="str">
            <v>IGNORED</v>
          </cell>
          <cell r="U89" t="str">
            <v>IGNORED</v>
          </cell>
          <cell r="V89" t="str">
            <v>IGNORED</v>
          </cell>
          <cell r="W89" t="str">
            <v>IGNORED</v>
          </cell>
          <cell r="X89" t="str">
            <v>IGNORED</v>
          </cell>
          <cell r="Y89" t="str">
            <v>IGNORED</v>
          </cell>
          <cell r="Z89" t="str">
            <v>IGNORED</v>
          </cell>
          <cell r="AA89" t="str">
            <v>IGNORED</v>
          </cell>
          <cell r="AB89" t="str">
            <v>IGNORED</v>
          </cell>
          <cell r="AC89" t="str">
            <v>IGNORED</v>
          </cell>
          <cell r="AD89" t="str">
            <v>IGNORED</v>
          </cell>
          <cell r="AE89" t="str">
            <v>IGNORED</v>
          </cell>
          <cell r="AF89" t="str">
            <v>IGNORED</v>
          </cell>
          <cell r="AG89" t="str">
            <v>IGNORED</v>
          </cell>
          <cell r="AH89" t="str">
            <v>IGNORED</v>
          </cell>
          <cell r="AI89" t="str">
            <v>IGNORED</v>
          </cell>
          <cell r="AJ89" t="str">
            <v>IGNORED</v>
          </cell>
          <cell r="AK89" t="str">
            <v>IGNORED</v>
          </cell>
          <cell r="AL89" t="str">
            <v>IGNORED</v>
          </cell>
          <cell r="AM89" t="str">
            <v>IGNORED</v>
          </cell>
          <cell r="AN89" t="str">
            <v>IGNORED</v>
          </cell>
          <cell r="AO89" t="str">
            <v>IGNORED</v>
          </cell>
          <cell r="AP89" t="str">
            <v>IGNORED</v>
          </cell>
          <cell r="AQ89" t="str">
            <v>IGNORED</v>
          </cell>
          <cell r="AR89" t="str">
            <v>IGNORED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 t="str">
            <v>IGNORED</v>
          </cell>
          <cell r="G90" t="str">
            <v>IGNORED</v>
          </cell>
          <cell r="H90" t="str">
            <v>IGNORED</v>
          </cell>
          <cell r="I90" t="str">
            <v>IGNORED</v>
          </cell>
          <cell r="J90" t="str">
            <v>IGNORED</v>
          </cell>
          <cell r="K90" t="str">
            <v>IGNORED</v>
          </cell>
          <cell r="L90" t="str">
            <v>IGNORED</v>
          </cell>
          <cell r="M90" t="str">
            <v>IGNORED</v>
          </cell>
          <cell r="N90" t="str">
            <v>IGNORED</v>
          </cell>
          <cell r="O90" t="str">
            <v>IGNORED</v>
          </cell>
          <cell r="P90" t="str">
            <v>IGNORED</v>
          </cell>
          <cell r="Q90" t="str">
            <v>IGNORED</v>
          </cell>
          <cell r="R90" t="str">
            <v>IGNORED</v>
          </cell>
          <cell r="S90" t="str">
            <v>IGNORED</v>
          </cell>
          <cell r="T90" t="str">
            <v>IGNORED</v>
          </cell>
          <cell r="U90" t="str">
            <v>IGNORED</v>
          </cell>
          <cell r="V90" t="str">
            <v>IGNORED</v>
          </cell>
          <cell r="W90" t="str">
            <v>IGNORED</v>
          </cell>
          <cell r="X90" t="str">
            <v>IGNORED</v>
          </cell>
          <cell r="Y90" t="str">
            <v>IGNORED</v>
          </cell>
          <cell r="Z90" t="str">
            <v>IGNORED</v>
          </cell>
          <cell r="AA90" t="str">
            <v>IGNORED</v>
          </cell>
          <cell r="AB90" t="str">
            <v>IGNORED</v>
          </cell>
          <cell r="AC90" t="str">
            <v>IGNORED</v>
          </cell>
          <cell r="AD90" t="str">
            <v>IGNORED</v>
          </cell>
          <cell r="AE90" t="str">
            <v>IGNORED</v>
          </cell>
          <cell r="AF90" t="str">
            <v>IGNORED</v>
          </cell>
          <cell r="AG90" t="str">
            <v>IGNORED</v>
          </cell>
          <cell r="AH90" t="str">
            <v>IGNORED</v>
          </cell>
          <cell r="AI90" t="str">
            <v>IGNORED</v>
          </cell>
          <cell r="AJ90" t="str">
            <v>IGNORED</v>
          </cell>
          <cell r="AK90" t="str">
            <v>IGNORED</v>
          </cell>
          <cell r="AL90" t="str">
            <v>IGNORED</v>
          </cell>
          <cell r="AM90" t="str">
            <v>IGNORED</v>
          </cell>
          <cell r="AN90" t="str">
            <v>IGNORED</v>
          </cell>
          <cell r="AO90" t="str">
            <v>IGNORED</v>
          </cell>
          <cell r="AP90" t="str">
            <v>IGNORED</v>
          </cell>
          <cell r="AQ90" t="str">
            <v>IGNORED</v>
          </cell>
          <cell r="AR90" t="str">
            <v>IGNORED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 t="str">
            <v>IGNORED</v>
          </cell>
          <cell r="G91" t="str">
            <v>IGNORED</v>
          </cell>
          <cell r="H91" t="str">
            <v>IGNORED</v>
          </cell>
          <cell r="I91" t="str">
            <v>IGNORED</v>
          </cell>
          <cell r="J91" t="str">
            <v>IGNORED</v>
          </cell>
          <cell r="K91" t="str">
            <v>IGNORED</v>
          </cell>
          <cell r="L91" t="str">
            <v>IGNORED</v>
          </cell>
          <cell r="M91" t="str">
            <v>IGNORED</v>
          </cell>
          <cell r="N91" t="str">
            <v>IGNORED</v>
          </cell>
          <cell r="O91" t="str">
            <v>IGNORED</v>
          </cell>
          <cell r="P91" t="str">
            <v>IGNORED</v>
          </cell>
          <cell r="Q91" t="str">
            <v>IGNORED</v>
          </cell>
          <cell r="R91" t="str">
            <v>IGNORED</v>
          </cell>
          <cell r="S91" t="str">
            <v>IGNORED</v>
          </cell>
          <cell r="T91" t="str">
            <v>IGNORED</v>
          </cell>
          <cell r="U91" t="str">
            <v>IGNORED</v>
          </cell>
          <cell r="V91" t="str">
            <v>IGNORED</v>
          </cell>
          <cell r="W91" t="str">
            <v>IGNORED</v>
          </cell>
          <cell r="X91" t="str">
            <v>IGNORED</v>
          </cell>
          <cell r="Y91" t="str">
            <v>IGNORED</v>
          </cell>
          <cell r="Z91" t="str">
            <v>IGNORED</v>
          </cell>
          <cell r="AA91" t="str">
            <v>IGNORED</v>
          </cell>
          <cell r="AB91" t="str">
            <v>IGNORED</v>
          </cell>
          <cell r="AC91" t="str">
            <v>IGNORED</v>
          </cell>
          <cell r="AD91" t="str">
            <v>IGNORED</v>
          </cell>
          <cell r="AE91" t="str">
            <v>IGNORED</v>
          </cell>
          <cell r="AF91" t="str">
            <v>IGNORED</v>
          </cell>
          <cell r="AG91" t="str">
            <v>IGNORED</v>
          </cell>
          <cell r="AH91" t="str">
            <v>IGNORED</v>
          </cell>
          <cell r="AI91" t="str">
            <v>IGNORED</v>
          </cell>
          <cell r="AJ91" t="str">
            <v>IGNORED</v>
          </cell>
          <cell r="AK91" t="str">
            <v>IGNORED</v>
          </cell>
          <cell r="AL91" t="str">
            <v>IGNORED</v>
          </cell>
          <cell r="AM91" t="str">
            <v>IGNORED</v>
          </cell>
          <cell r="AN91" t="str">
            <v>IGNORED</v>
          </cell>
          <cell r="AO91" t="str">
            <v>IGNORED</v>
          </cell>
          <cell r="AP91" t="str">
            <v>IGNORED</v>
          </cell>
          <cell r="AQ91" t="str">
            <v>IGNORED</v>
          </cell>
          <cell r="AR91" t="str">
            <v>IGNORED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 t="str">
            <v>IGNORED</v>
          </cell>
          <cell r="G92" t="str">
            <v>IGNORED</v>
          </cell>
          <cell r="H92" t="str">
            <v>IGNORED</v>
          </cell>
          <cell r="I92" t="str">
            <v>IGNORED</v>
          </cell>
          <cell r="J92" t="str">
            <v>IGNORED</v>
          </cell>
          <cell r="K92" t="str">
            <v>IGNORED</v>
          </cell>
          <cell r="L92" t="str">
            <v>IGNORED</v>
          </cell>
          <cell r="M92" t="str">
            <v>IGNORED</v>
          </cell>
          <cell r="N92" t="str">
            <v>IGNORED</v>
          </cell>
          <cell r="O92" t="str">
            <v>IGNORED</v>
          </cell>
          <cell r="P92" t="str">
            <v>IGNORED</v>
          </cell>
          <cell r="Q92" t="str">
            <v>IGNORED</v>
          </cell>
          <cell r="R92" t="str">
            <v>IGNORED</v>
          </cell>
          <cell r="S92" t="str">
            <v>IGNORED</v>
          </cell>
          <cell r="T92" t="str">
            <v>IGNORED</v>
          </cell>
          <cell r="U92" t="str">
            <v>IGNORED</v>
          </cell>
          <cell r="V92" t="str">
            <v>IGNORED</v>
          </cell>
          <cell r="W92" t="str">
            <v>IGNORED</v>
          </cell>
          <cell r="X92" t="str">
            <v>IGNORED</v>
          </cell>
          <cell r="Y92" t="str">
            <v>IGNORED</v>
          </cell>
          <cell r="Z92" t="str">
            <v>IGNORED</v>
          </cell>
          <cell r="AA92" t="str">
            <v>IGNORED</v>
          </cell>
          <cell r="AB92" t="str">
            <v>IGNORED</v>
          </cell>
          <cell r="AC92" t="str">
            <v>IGNORED</v>
          </cell>
          <cell r="AD92" t="str">
            <v>IGNORED</v>
          </cell>
          <cell r="AE92" t="str">
            <v>IGNORED</v>
          </cell>
          <cell r="AF92" t="str">
            <v>IGNORED</v>
          </cell>
          <cell r="AG92" t="str">
            <v>IGNORED</v>
          </cell>
          <cell r="AH92" t="str">
            <v>IGNORED</v>
          </cell>
          <cell r="AI92" t="str">
            <v>IGNORED</v>
          </cell>
          <cell r="AJ92" t="str">
            <v>IGNORED</v>
          </cell>
          <cell r="AK92" t="str">
            <v>IGNORED</v>
          </cell>
          <cell r="AL92" t="str">
            <v>IGNORED</v>
          </cell>
          <cell r="AM92" t="str">
            <v>IGNORED</v>
          </cell>
          <cell r="AN92" t="str">
            <v>IGNORED</v>
          </cell>
          <cell r="AO92" t="str">
            <v>IGNORED</v>
          </cell>
          <cell r="AP92" t="str">
            <v>IGNORED</v>
          </cell>
          <cell r="AQ92" t="str">
            <v>IGNORED</v>
          </cell>
          <cell r="AR92" t="str">
            <v>IGNORED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 t="str">
            <v>IGNORED</v>
          </cell>
          <cell r="G93" t="str">
            <v>IGNORED</v>
          </cell>
          <cell r="H93" t="str">
            <v>IGNORED</v>
          </cell>
          <cell r="I93" t="str">
            <v>IGNORED</v>
          </cell>
          <cell r="J93" t="str">
            <v>IGNORED</v>
          </cell>
          <cell r="K93" t="str">
            <v>IGNORED</v>
          </cell>
          <cell r="L93" t="str">
            <v>IGNORED</v>
          </cell>
          <cell r="M93" t="str">
            <v>IGNORED</v>
          </cell>
          <cell r="N93" t="str">
            <v>IGNORED</v>
          </cell>
          <cell r="O93" t="str">
            <v>IGNORED</v>
          </cell>
          <cell r="P93" t="str">
            <v>IGNORED</v>
          </cell>
          <cell r="Q93" t="str">
            <v>IGNORED</v>
          </cell>
          <cell r="R93" t="str">
            <v>IGNORED</v>
          </cell>
          <cell r="S93" t="str">
            <v>IGNORED</v>
          </cell>
          <cell r="T93" t="str">
            <v>IGNORED</v>
          </cell>
          <cell r="U93" t="str">
            <v>IGNORED</v>
          </cell>
          <cell r="V93" t="str">
            <v>IGNORED</v>
          </cell>
          <cell r="W93" t="str">
            <v>IGNORED</v>
          </cell>
          <cell r="X93" t="str">
            <v>IGNORED</v>
          </cell>
          <cell r="Y93" t="str">
            <v>IGNORED</v>
          </cell>
          <cell r="Z93" t="str">
            <v>IGNORED</v>
          </cell>
          <cell r="AA93" t="str">
            <v>IGNORED</v>
          </cell>
          <cell r="AB93" t="str">
            <v>IGNORED</v>
          </cell>
          <cell r="AC93" t="str">
            <v>IGNORED</v>
          </cell>
          <cell r="AD93" t="str">
            <v>IGNORED</v>
          </cell>
          <cell r="AE93" t="str">
            <v>IGNORED</v>
          </cell>
          <cell r="AF93" t="str">
            <v>IGNORED</v>
          </cell>
          <cell r="AG93" t="str">
            <v>IGNORED</v>
          </cell>
          <cell r="AH93" t="str">
            <v>IGNORED</v>
          </cell>
          <cell r="AI93" t="str">
            <v>IGNORED</v>
          </cell>
          <cell r="AJ93" t="str">
            <v>IGNORED</v>
          </cell>
          <cell r="AK93" t="str">
            <v>IGNORED</v>
          </cell>
          <cell r="AL93" t="str">
            <v>IGNORED</v>
          </cell>
          <cell r="AM93" t="str">
            <v>IGNORED</v>
          </cell>
          <cell r="AN93" t="str">
            <v>IGNORED</v>
          </cell>
          <cell r="AO93" t="str">
            <v>IGNORED</v>
          </cell>
          <cell r="AP93" t="str">
            <v>IGNORED</v>
          </cell>
          <cell r="AQ93" t="str">
            <v>IGNORED</v>
          </cell>
          <cell r="AR93" t="str">
            <v>IGNORED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 t="str">
            <v>IGNORED</v>
          </cell>
          <cell r="G94" t="str">
            <v>IGNORED</v>
          </cell>
          <cell r="H94" t="str">
            <v>IGNORED</v>
          </cell>
          <cell r="I94" t="str">
            <v>IGNORED</v>
          </cell>
          <cell r="J94" t="str">
            <v>IGNORED</v>
          </cell>
          <cell r="K94" t="str">
            <v>IGNORED</v>
          </cell>
          <cell r="L94" t="str">
            <v>IGNORED</v>
          </cell>
          <cell r="M94" t="str">
            <v>IGNORED</v>
          </cell>
          <cell r="N94" t="str">
            <v>IGNORED</v>
          </cell>
          <cell r="O94" t="str">
            <v>IGNORED</v>
          </cell>
          <cell r="P94" t="str">
            <v>IGNORED</v>
          </cell>
          <cell r="Q94" t="str">
            <v>IGNORED</v>
          </cell>
          <cell r="R94" t="str">
            <v>IGNORED</v>
          </cell>
          <cell r="S94" t="str">
            <v>IGNORED</v>
          </cell>
          <cell r="T94" t="str">
            <v>IGNORED</v>
          </cell>
          <cell r="U94" t="str">
            <v>IGNORED</v>
          </cell>
          <cell r="V94" t="str">
            <v>IGNORED</v>
          </cell>
          <cell r="W94" t="str">
            <v>IGNORED</v>
          </cell>
          <cell r="X94" t="str">
            <v>IGNORED</v>
          </cell>
          <cell r="Y94" t="str">
            <v>IGNORED</v>
          </cell>
          <cell r="Z94" t="str">
            <v>IGNORED</v>
          </cell>
          <cell r="AA94" t="str">
            <v>IGNORED</v>
          </cell>
          <cell r="AB94" t="str">
            <v>IGNORED</v>
          </cell>
          <cell r="AC94" t="str">
            <v>IGNORED</v>
          </cell>
          <cell r="AD94" t="str">
            <v>IGNORED</v>
          </cell>
          <cell r="AE94" t="str">
            <v>IGNORED</v>
          </cell>
          <cell r="AF94" t="str">
            <v>IGNORED</v>
          </cell>
          <cell r="AG94" t="str">
            <v>IGNORED</v>
          </cell>
          <cell r="AH94" t="str">
            <v>IGNORED</v>
          </cell>
          <cell r="AI94" t="str">
            <v>IGNORED</v>
          </cell>
          <cell r="AJ94" t="str">
            <v>IGNORED</v>
          </cell>
          <cell r="AK94" t="str">
            <v>IGNORED</v>
          </cell>
          <cell r="AL94" t="str">
            <v>IGNORED</v>
          </cell>
          <cell r="AM94" t="str">
            <v>IGNORED</v>
          </cell>
          <cell r="AN94" t="str">
            <v>IGNORED</v>
          </cell>
          <cell r="AO94" t="str">
            <v>IGNORED</v>
          </cell>
          <cell r="AP94" t="str">
            <v>IGNORED</v>
          </cell>
          <cell r="AQ94" t="str">
            <v>IGNORED</v>
          </cell>
          <cell r="AR94" t="str">
            <v>IGNORED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 t="str">
            <v>IGNORED</v>
          </cell>
          <cell r="G95" t="str">
            <v>IGNORED</v>
          </cell>
          <cell r="H95" t="str">
            <v>IGNORED</v>
          </cell>
          <cell r="I95" t="str">
            <v>IGNORED</v>
          </cell>
          <cell r="J95" t="str">
            <v>IGNORED</v>
          </cell>
          <cell r="K95" t="str">
            <v>IGNORED</v>
          </cell>
          <cell r="L95" t="str">
            <v>IGNORED</v>
          </cell>
          <cell r="M95" t="str">
            <v>IGNORED</v>
          </cell>
          <cell r="N95" t="str">
            <v>IGNORED</v>
          </cell>
          <cell r="O95" t="str">
            <v>IGNORED</v>
          </cell>
          <cell r="P95" t="str">
            <v>IGNORED</v>
          </cell>
          <cell r="Q95" t="str">
            <v>IGNORED</v>
          </cell>
          <cell r="R95" t="str">
            <v>IGNORED</v>
          </cell>
          <cell r="S95" t="str">
            <v>IGNORED</v>
          </cell>
          <cell r="T95" t="str">
            <v>IGNORED</v>
          </cell>
          <cell r="U95" t="str">
            <v>IGNORED</v>
          </cell>
          <cell r="V95" t="str">
            <v>IGNORED</v>
          </cell>
          <cell r="W95" t="str">
            <v>IGNORED</v>
          </cell>
          <cell r="X95" t="str">
            <v>IGNORED</v>
          </cell>
          <cell r="Y95" t="str">
            <v>IGNORED</v>
          </cell>
          <cell r="Z95" t="str">
            <v>IGNORED</v>
          </cell>
          <cell r="AA95" t="str">
            <v>IGNORED</v>
          </cell>
          <cell r="AB95" t="str">
            <v>IGNORED</v>
          </cell>
          <cell r="AC95" t="str">
            <v>IGNORED</v>
          </cell>
          <cell r="AD95" t="str">
            <v>IGNORED</v>
          </cell>
          <cell r="AE95" t="str">
            <v>IGNORED</v>
          </cell>
          <cell r="AF95" t="str">
            <v>IGNORED</v>
          </cell>
          <cell r="AG95" t="str">
            <v>IGNORED</v>
          </cell>
          <cell r="AH95" t="str">
            <v>IGNORED</v>
          </cell>
          <cell r="AI95" t="str">
            <v>IGNORED</v>
          </cell>
          <cell r="AJ95" t="str">
            <v>IGNORED</v>
          </cell>
          <cell r="AK95" t="str">
            <v>IGNORED</v>
          </cell>
          <cell r="AL95" t="str">
            <v>IGNORED</v>
          </cell>
          <cell r="AM95" t="str">
            <v>IGNORED</v>
          </cell>
          <cell r="AN95" t="str">
            <v>IGNORED</v>
          </cell>
          <cell r="AO95" t="str">
            <v>IGNORED</v>
          </cell>
          <cell r="AP95" t="str">
            <v>IGNORED</v>
          </cell>
          <cell r="AQ95" t="str">
            <v>IGNORED</v>
          </cell>
          <cell r="AR95" t="str">
            <v>IGNORED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  <cell r="F97" t="str">
            <v>IGNORED</v>
          </cell>
          <cell r="G97" t="str">
            <v>IGNORED</v>
          </cell>
          <cell r="H97" t="str">
            <v>IGNORED</v>
          </cell>
          <cell r="I97" t="str">
            <v>IGNORED</v>
          </cell>
          <cell r="J97" t="str">
            <v>IGNORED</v>
          </cell>
          <cell r="K97" t="str">
            <v>IGNORED</v>
          </cell>
          <cell r="L97" t="str">
            <v>IGNORED</v>
          </cell>
          <cell r="M97" t="str">
            <v>IGNORED</v>
          </cell>
          <cell r="N97" t="str">
            <v>IGNORED</v>
          </cell>
          <cell r="O97" t="str">
            <v>IGNORED</v>
          </cell>
          <cell r="P97" t="str">
            <v>IGNORED</v>
          </cell>
          <cell r="Q97" t="str">
            <v>IGNORED</v>
          </cell>
          <cell r="R97" t="str">
            <v>IGNORED</v>
          </cell>
          <cell r="S97" t="str">
            <v>IGNORED</v>
          </cell>
          <cell r="T97" t="str">
            <v>IGNORED</v>
          </cell>
          <cell r="U97" t="str">
            <v>IGNORED</v>
          </cell>
          <cell r="V97" t="str">
            <v>IGNORED</v>
          </cell>
          <cell r="W97" t="str">
            <v>IGNORED</v>
          </cell>
          <cell r="X97" t="str">
            <v>IGNORED</v>
          </cell>
          <cell r="Y97" t="str">
            <v>IGNORED</v>
          </cell>
          <cell r="Z97" t="str">
            <v>IGNORED</v>
          </cell>
          <cell r="AA97" t="str">
            <v>IGNORED</v>
          </cell>
          <cell r="AB97" t="str">
            <v>IGNORED</v>
          </cell>
          <cell r="AC97" t="str">
            <v>IGNORED</v>
          </cell>
          <cell r="AD97" t="str">
            <v>IGNORED</v>
          </cell>
          <cell r="AE97" t="str">
            <v>IGNORED</v>
          </cell>
          <cell r="AF97" t="str">
            <v>IGNORED</v>
          </cell>
          <cell r="AG97" t="str">
            <v>IGNORED</v>
          </cell>
          <cell r="AH97" t="str">
            <v>IGNORED</v>
          </cell>
          <cell r="AI97" t="str">
            <v>IGNORED</v>
          </cell>
          <cell r="AJ97" t="str">
            <v>IGNORED</v>
          </cell>
          <cell r="AK97" t="str">
            <v>IGNORED</v>
          </cell>
          <cell r="AL97" t="str">
            <v>IGNORED</v>
          </cell>
          <cell r="AM97" t="str">
            <v>IGNORED</v>
          </cell>
          <cell r="AN97" t="str">
            <v>IGNORED</v>
          </cell>
          <cell r="AO97" t="str">
            <v>IGNORED</v>
          </cell>
          <cell r="AP97" t="str">
            <v>IGNORED</v>
          </cell>
          <cell r="AQ97" t="str">
            <v>IGNORED</v>
          </cell>
          <cell r="AR97" t="str">
            <v>IGNORED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  <cell r="F98" t="str">
            <v>IGNORED</v>
          </cell>
          <cell r="G98" t="str">
            <v>IGNORED</v>
          </cell>
          <cell r="H98" t="str">
            <v>IGNORED</v>
          </cell>
          <cell r="I98" t="str">
            <v>IGNORED</v>
          </cell>
          <cell r="J98" t="str">
            <v>IGNORED</v>
          </cell>
          <cell r="K98" t="str">
            <v>IGNORED</v>
          </cell>
          <cell r="L98" t="str">
            <v>IGNORED</v>
          </cell>
          <cell r="M98" t="str">
            <v>IGNORED</v>
          </cell>
          <cell r="N98" t="str">
            <v>IGNORED</v>
          </cell>
          <cell r="O98" t="str">
            <v>IGNORED</v>
          </cell>
          <cell r="P98" t="str">
            <v>IGNORED</v>
          </cell>
          <cell r="Q98" t="str">
            <v>IGNORED</v>
          </cell>
          <cell r="R98" t="str">
            <v>IGNORED</v>
          </cell>
          <cell r="S98" t="str">
            <v>IGNORED</v>
          </cell>
          <cell r="T98" t="str">
            <v>IGNORED</v>
          </cell>
          <cell r="U98" t="str">
            <v>IGNORED</v>
          </cell>
          <cell r="V98" t="str">
            <v>IGNORED</v>
          </cell>
          <cell r="W98" t="str">
            <v>IGNORED</v>
          </cell>
          <cell r="X98" t="str">
            <v>IGNORED</v>
          </cell>
          <cell r="Y98" t="str">
            <v>IGNORED</v>
          </cell>
          <cell r="Z98" t="str">
            <v>IGNORED</v>
          </cell>
          <cell r="AA98" t="str">
            <v>IGNORED</v>
          </cell>
          <cell r="AB98" t="str">
            <v>IGNORED</v>
          </cell>
          <cell r="AC98" t="str">
            <v>IGNORED</v>
          </cell>
          <cell r="AD98" t="str">
            <v>IGNORED</v>
          </cell>
          <cell r="AE98" t="str">
            <v>IGNORED</v>
          </cell>
          <cell r="AF98" t="str">
            <v>IGNORED</v>
          </cell>
          <cell r="AG98" t="str">
            <v>IGNORED</v>
          </cell>
          <cell r="AH98" t="str">
            <v>IGNORED</v>
          </cell>
          <cell r="AI98" t="str">
            <v>IGNORED</v>
          </cell>
          <cell r="AJ98" t="str">
            <v>IGNORED</v>
          </cell>
          <cell r="AK98" t="str">
            <v>IGNORED</v>
          </cell>
          <cell r="AL98" t="str">
            <v>IGNORED</v>
          </cell>
          <cell r="AM98" t="str">
            <v>IGNORED</v>
          </cell>
          <cell r="AN98" t="str">
            <v>IGNORED</v>
          </cell>
          <cell r="AO98" t="str">
            <v>IGNORED</v>
          </cell>
          <cell r="AP98" t="str">
            <v>IGNORED</v>
          </cell>
          <cell r="AQ98" t="str">
            <v>IGNORED</v>
          </cell>
          <cell r="AR98" t="str">
            <v>IGNORED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  <cell r="F99" t="str">
            <v>IGNORED</v>
          </cell>
          <cell r="G99" t="str">
            <v>IGNORED</v>
          </cell>
          <cell r="H99" t="str">
            <v>IGNORED</v>
          </cell>
          <cell r="I99" t="str">
            <v>IGNORED</v>
          </cell>
          <cell r="J99" t="str">
            <v>IGNORED</v>
          </cell>
          <cell r="K99" t="str">
            <v>IGNORED</v>
          </cell>
          <cell r="L99" t="str">
            <v>IGNORED</v>
          </cell>
          <cell r="M99" t="str">
            <v>IGNORED</v>
          </cell>
          <cell r="N99" t="str">
            <v>IGNORED</v>
          </cell>
          <cell r="O99" t="str">
            <v>IGNORED</v>
          </cell>
          <cell r="P99" t="str">
            <v>IGNORED</v>
          </cell>
          <cell r="Q99" t="str">
            <v>IGNORED</v>
          </cell>
          <cell r="R99" t="str">
            <v>IGNORED</v>
          </cell>
          <cell r="S99" t="str">
            <v>IGNORED</v>
          </cell>
          <cell r="T99" t="str">
            <v>IGNORED</v>
          </cell>
          <cell r="U99" t="str">
            <v>IGNORED</v>
          </cell>
          <cell r="V99" t="str">
            <v>IGNORED</v>
          </cell>
          <cell r="W99" t="str">
            <v>IGNORED</v>
          </cell>
          <cell r="X99" t="str">
            <v>IGNORED</v>
          </cell>
          <cell r="Y99" t="str">
            <v>IGNORED</v>
          </cell>
          <cell r="Z99" t="str">
            <v>IGNORED</v>
          </cell>
          <cell r="AA99" t="str">
            <v>IGNORED</v>
          </cell>
          <cell r="AB99" t="str">
            <v>IGNORED</v>
          </cell>
          <cell r="AC99" t="str">
            <v>IGNORED</v>
          </cell>
          <cell r="AD99" t="str">
            <v>IGNORED</v>
          </cell>
          <cell r="AE99" t="str">
            <v>IGNORED</v>
          </cell>
          <cell r="AF99" t="str">
            <v>IGNORED</v>
          </cell>
          <cell r="AG99" t="str">
            <v>IGNORED</v>
          </cell>
          <cell r="AH99" t="str">
            <v>IGNORED</v>
          </cell>
          <cell r="AI99" t="str">
            <v>IGNORED</v>
          </cell>
          <cell r="AJ99" t="str">
            <v>IGNORED</v>
          </cell>
          <cell r="AK99" t="str">
            <v>IGNORED</v>
          </cell>
          <cell r="AL99" t="str">
            <v>IGNORED</v>
          </cell>
          <cell r="AM99" t="str">
            <v>IGNORED</v>
          </cell>
          <cell r="AN99" t="str">
            <v>IGNORED</v>
          </cell>
          <cell r="AO99" t="str">
            <v>IGNORED</v>
          </cell>
          <cell r="AP99" t="str">
            <v>IGNORED</v>
          </cell>
          <cell r="AQ99" t="str">
            <v>IGNORED</v>
          </cell>
          <cell r="AR99" t="str">
            <v>IGNORED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F100" t="str">
            <v>IGNORED</v>
          </cell>
          <cell r="G100" t="str">
            <v>IGNORED</v>
          </cell>
          <cell r="H100" t="str">
            <v>IGNORED</v>
          </cell>
          <cell r="I100" t="str">
            <v>IGNORED</v>
          </cell>
          <cell r="J100" t="str">
            <v>IGNORED</v>
          </cell>
          <cell r="K100" t="str">
            <v>IGNORED</v>
          </cell>
          <cell r="L100" t="str">
            <v>IGNORED</v>
          </cell>
          <cell r="M100" t="str">
            <v>IGNORED</v>
          </cell>
          <cell r="N100" t="str">
            <v>IGNORED</v>
          </cell>
          <cell r="O100" t="str">
            <v>IGNORED</v>
          </cell>
          <cell r="P100" t="str">
            <v>IGNORED</v>
          </cell>
          <cell r="Q100" t="str">
            <v>IGNORED</v>
          </cell>
          <cell r="R100" t="str">
            <v>IGNORED</v>
          </cell>
          <cell r="S100" t="str">
            <v>IGNORED</v>
          </cell>
          <cell r="T100" t="str">
            <v>IGNORED</v>
          </cell>
          <cell r="U100" t="str">
            <v>IGNORED</v>
          </cell>
          <cell r="V100" t="str">
            <v>IGNORED</v>
          </cell>
          <cell r="W100" t="str">
            <v>IGNORED</v>
          </cell>
          <cell r="X100" t="str">
            <v>IGNORED</v>
          </cell>
          <cell r="Y100" t="str">
            <v>IGNORED</v>
          </cell>
          <cell r="Z100" t="str">
            <v>IGNORED</v>
          </cell>
          <cell r="AA100" t="str">
            <v>IGNORED</v>
          </cell>
          <cell r="AB100" t="str">
            <v>IGNORED</v>
          </cell>
          <cell r="AC100" t="str">
            <v>IGNORED</v>
          </cell>
          <cell r="AD100" t="str">
            <v>IGNORED</v>
          </cell>
          <cell r="AE100" t="str">
            <v>IGNORED</v>
          </cell>
          <cell r="AF100" t="str">
            <v>IGNORED</v>
          </cell>
          <cell r="AG100" t="str">
            <v>IGNORED</v>
          </cell>
          <cell r="AH100" t="str">
            <v>IGNORED</v>
          </cell>
          <cell r="AI100" t="str">
            <v>IGNORED</v>
          </cell>
          <cell r="AJ100" t="str">
            <v>IGNORED</v>
          </cell>
          <cell r="AK100" t="str">
            <v>IGNORED</v>
          </cell>
          <cell r="AL100" t="str">
            <v>IGNORED</v>
          </cell>
          <cell r="AM100" t="str">
            <v>IGNORED</v>
          </cell>
          <cell r="AN100" t="str">
            <v>IGNORED</v>
          </cell>
          <cell r="AO100" t="str">
            <v>IGNORED</v>
          </cell>
          <cell r="AP100" t="str">
            <v>IGNORED</v>
          </cell>
          <cell r="AQ100" t="str">
            <v>IGNORED</v>
          </cell>
          <cell r="AR100" t="str">
            <v>IGNORED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  <cell r="F101" t="str">
            <v>IGNORED</v>
          </cell>
          <cell r="G101" t="str">
            <v>IGNORED</v>
          </cell>
          <cell r="H101" t="str">
            <v>IGNORED</v>
          </cell>
          <cell r="I101" t="str">
            <v>IGNORED</v>
          </cell>
          <cell r="J101" t="str">
            <v>IGNORED</v>
          </cell>
          <cell r="K101" t="str">
            <v>IGNORED</v>
          </cell>
          <cell r="L101" t="str">
            <v>IGNORED</v>
          </cell>
          <cell r="M101" t="str">
            <v>IGNORED</v>
          </cell>
          <cell r="N101" t="str">
            <v>IGNORED</v>
          </cell>
          <cell r="O101" t="str">
            <v>IGNORED</v>
          </cell>
          <cell r="P101" t="str">
            <v>IGNORED</v>
          </cell>
          <cell r="Q101" t="str">
            <v>IGNORED</v>
          </cell>
          <cell r="R101" t="str">
            <v>IGNORED</v>
          </cell>
          <cell r="S101" t="str">
            <v>IGNORED</v>
          </cell>
          <cell r="T101" t="str">
            <v>IGNORED</v>
          </cell>
          <cell r="U101" t="str">
            <v>IGNORED</v>
          </cell>
          <cell r="V101" t="str">
            <v>IGNORED</v>
          </cell>
          <cell r="W101" t="str">
            <v>IGNORED</v>
          </cell>
          <cell r="X101" t="str">
            <v>IGNORED</v>
          </cell>
          <cell r="Y101" t="str">
            <v>IGNORED</v>
          </cell>
          <cell r="Z101" t="str">
            <v>IGNORED</v>
          </cell>
          <cell r="AA101" t="str">
            <v>IGNORED</v>
          </cell>
          <cell r="AB101" t="str">
            <v>IGNORED</v>
          </cell>
          <cell r="AC101" t="str">
            <v>IGNORED</v>
          </cell>
          <cell r="AD101" t="str">
            <v>IGNORED</v>
          </cell>
          <cell r="AE101" t="str">
            <v>IGNORED</v>
          </cell>
          <cell r="AF101" t="str">
            <v>IGNORED</v>
          </cell>
          <cell r="AG101" t="str">
            <v>IGNORED</v>
          </cell>
          <cell r="AH101" t="str">
            <v>IGNORED</v>
          </cell>
          <cell r="AI101" t="str">
            <v>IGNORED</v>
          </cell>
          <cell r="AJ101" t="str">
            <v>IGNORED</v>
          </cell>
          <cell r="AK101" t="str">
            <v>IGNORED</v>
          </cell>
          <cell r="AL101" t="str">
            <v>IGNORED</v>
          </cell>
          <cell r="AM101" t="str">
            <v>IGNORED</v>
          </cell>
          <cell r="AN101" t="str">
            <v>IGNORED</v>
          </cell>
          <cell r="AO101" t="str">
            <v>IGNORED</v>
          </cell>
          <cell r="AP101" t="str">
            <v>IGNORED</v>
          </cell>
          <cell r="AQ101" t="str">
            <v>IGNORED</v>
          </cell>
          <cell r="AR101" t="str">
            <v>IGNORED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  <cell r="F102" t="str">
            <v>IGNORED</v>
          </cell>
          <cell r="G102" t="str">
            <v>IGNORED</v>
          </cell>
          <cell r="H102" t="str">
            <v>IGNORED</v>
          </cell>
          <cell r="I102" t="str">
            <v>IGNORED</v>
          </cell>
          <cell r="J102" t="str">
            <v>IGNORED</v>
          </cell>
          <cell r="K102" t="str">
            <v>IGNORED</v>
          </cell>
          <cell r="L102" t="str">
            <v>IGNORED</v>
          </cell>
          <cell r="M102" t="str">
            <v>IGNORED</v>
          </cell>
          <cell r="N102" t="str">
            <v>IGNORED</v>
          </cell>
          <cell r="O102" t="str">
            <v>IGNORED</v>
          </cell>
          <cell r="P102" t="str">
            <v>IGNORED</v>
          </cell>
          <cell r="Q102" t="str">
            <v>IGNORED</v>
          </cell>
          <cell r="R102" t="str">
            <v>IGNORED</v>
          </cell>
          <cell r="S102" t="str">
            <v>IGNORED</v>
          </cell>
          <cell r="T102" t="str">
            <v>IGNORED</v>
          </cell>
          <cell r="U102" t="str">
            <v>IGNORED</v>
          </cell>
          <cell r="V102" t="str">
            <v>IGNORED</v>
          </cell>
          <cell r="W102" t="str">
            <v>IGNORED</v>
          </cell>
          <cell r="X102" t="str">
            <v>IGNORED</v>
          </cell>
          <cell r="Y102" t="str">
            <v>IGNORED</v>
          </cell>
          <cell r="Z102" t="str">
            <v>IGNORED</v>
          </cell>
          <cell r="AA102" t="str">
            <v>IGNORED</v>
          </cell>
          <cell r="AB102" t="str">
            <v>IGNORED</v>
          </cell>
          <cell r="AC102" t="str">
            <v>IGNORED</v>
          </cell>
          <cell r="AD102" t="str">
            <v>IGNORED</v>
          </cell>
          <cell r="AE102" t="str">
            <v>IGNORED</v>
          </cell>
          <cell r="AF102" t="str">
            <v>IGNORED</v>
          </cell>
          <cell r="AG102" t="str">
            <v>IGNORED</v>
          </cell>
          <cell r="AH102" t="str">
            <v>IGNORED</v>
          </cell>
          <cell r="AI102" t="str">
            <v>IGNORED</v>
          </cell>
          <cell r="AJ102" t="str">
            <v>IGNORED</v>
          </cell>
          <cell r="AK102" t="str">
            <v>IGNORED</v>
          </cell>
          <cell r="AL102" t="str">
            <v>IGNORED</v>
          </cell>
          <cell r="AM102" t="str">
            <v>IGNORED</v>
          </cell>
          <cell r="AN102" t="str">
            <v>IGNORED</v>
          </cell>
          <cell r="AO102" t="str">
            <v>IGNORED</v>
          </cell>
          <cell r="AP102" t="str">
            <v>IGNORED</v>
          </cell>
          <cell r="AQ102" t="str">
            <v>IGNORED</v>
          </cell>
          <cell r="AR102" t="str">
            <v>IGNORED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  <cell r="F103" t="str">
            <v>IGNORED</v>
          </cell>
          <cell r="G103" t="str">
            <v>IGNORED</v>
          </cell>
          <cell r="H103" t="str">
            <v>IGNORED</v>
          </cell>
          <cell r="I103" t="str">
            <v>IGNORED</v>
          </cell>
          <cell r="J103" t="str">
            <v>IGNORED</v>
          </cell>
          <cell r="K103" t="str">
            <v>IGNORED</v>
          </cell>
          <cell r="L103" t="str">
            <v>IGNORED</v>
          </cell>
          <cell r="M103" t="str">
            <v>IGNORED</v>
          </cell>
          <cell r="N103" t="str">
            <v>IGNORED</v>
          </cell>
          <cell r="O103" t="str">
            <v>IGNORED</v>
          </cell>
          <cell r="P103" t="str">
            <v>IGNORED</v>
          </cell>
          <cell r="Q103" t="str">
            <v>IGNORED</v>
          </cell>
          <cell r="R103" t="str">
            <v>IGNORED</v>
          </cell>
          <cell r="S103" t="str">
            <v>IGNORED</v>
          </cell>
          <cell r="T103" t="str">
            <v>IGNORED</v>
          </cell>
          <cell r="U103" t="str">
            <v>IGNORED</v>
          </cell>
          <cell r="V103" t="str">
            <v>IGNORED</v>
          </cell>
          <cell r="W103" t="str">
            <v>IGNORED</v>
          </cell>
          <cell r="X103" t="str">
            <v>IGNORED</v>
          </cell>
          <cell r="Y103" t="str">
            <v>IGNORED</v>
          </cell>
          <cell r="Z103" t="str">
            <v>IGNORED</v>
          </cell>
          <cell r="AA103" t="str">
            <v>IGNORED</v>
          </cell>
          <cell r="AB103" t="str">
            <v>IGNORED</v>
          </cell>
          <cell r="AC103" t="str">
            <v>IGNORED</v>
          </cell>
          <cell r="AD103" t="str">
            <v>IGNORED</v>
          </cell>
          <cell r="AE103" t="str">
            <v>IGNORED</v>
          </cell>
          <cell r="AF103" t="str">
            <v>IGNORED</v>
          </cell>
          <cell r="AG103" t="str">
            <v>IGNORED</v>
          </cell>
          <cell r="AH103" t="str">
            <v>IGNORED</v>
          </cell>
          <cell r="AI103" t="str">
            <v>IGNORED</v>
          </cell>
          <cell r="AJ103" t="str">
            <v>IGNORED</v>
          </cell>
          <cell r="AK103" t="str">
            <v>IGNORED</v>
          </cell>
          <cell r="AL103" t="str">
            <v>IGNORED</v>
          </cell>
          <cell r="AM103" t="str">
            <v>IGNORED</v>
          </cell>
          <cell r="AN103" t="str">
            <v>IGNORED</v>
          </cell>
          <cell r="AO103" t="str">
            <v>IGNORED</v>
          </cell>
          <cell r="AP103" t="str">
            <v>IGNORED</v>
          </cell>
          <cell r="AQ103" t="str">
            <v>IGNORED</v>
          </cell>
          <cell r="AR103" t="str">
            <v>IGNORED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  <cell r="F104" t="str">
            <v>IGNORED</v>
          </cell>
          <cell r="G104" t="str">
            <v>IGNORED</v>
          </cell>
          <cell r="H104" t="str">
            <v>IGNORED</v>
          </cell>
          <cell r="I104" t="str">
            <v>IGNORED</v>
          </cell>
          <cell r="J104" t="str">
            <v>IGNORED</v>
          </cell>
          <cell r="K104" t="str">
            <v>IGNORED</v>
          </cell>
          <cell r="L104" t="str">
            <v>IGNORED</v>
          </cell>
          <cell r="M104" t="str">
            <v>IGNORED</v>
          </cell>
          <cell r="N104" t="str">
            <v>IGNORED</v>
          </cell>
          <cell r="O104" t="str">
            <v>IGNORED</v>
          </cell>
          <cell r="P104" t="str">
            <v>IGNORED</v>
          </cell>
          <cell r="Q104" t="str">
            <v>IGNORED</v>
          </cell>
          <cell r="R104" t="str">
            <v>IGNORED</v>
          </cell>
          <cell r="S104" t="str">
            <v>IGNORED</v>
          </cell>
          <cell r="T104" t="str">
            <v>IGNORED</v>
          </cell>
          <cell r="U104" t="str">
            <v>IGNORED</v>
          </cell>
          <cell r="V104" t="str">
            <v>IGNORED</v>
          </cell>
          <cell r="W104" t="str">
            <v>IGNORED</v>
          </cell>
          <cell r="X104" t="str">
            <v>IGNORED</v>
          </cell>
          <cell r="Y104" t="str">
            <v>IGNORED</v>
          </cell>
          <cell r="Z104" t="str">
            <v>IGNORED</v>
          </cell>
          <cell r="AA104" t="str">
            <v>IGNORED</v>
          </cell>
          <cell r="AB104" t="str">
            <v>IGNORED</v>
          </cell>
          <cell r="AC104" t="str">
            <v>IGNORED</v>
          </cell>
          <cell r="AD104" t="str">
            <v>IGNORED</v>
          </cell>
          <cell r="AE104" t="str">
            <v>IGNORED</v>
          </cell>
          <cell r="AF104" t="str">
            <v>IGNORED</v>
          </cell>
          <cell r="AG104" t="str">
            <v>IGNORED</v>
          </cell>
          <cell r="AH104" t="str">
            <v>IGNORED</v>
          </cell>
          <cell r="AI104" t="str">
            <v>IGNORED</v>
          </cell>
          <cell r="AJ104" t="str">
            <v>IGNORED</v>
          </cell>
          <cell r="AK104" t="str">
            <v>IGNORED</v>
          </cell>
          <cell r="AL104" t="str">
            <v>IGNORED</v>
          </cell>
          <cell r="AM104" t="str">
            <v>IGNORED</v>
          </cell>
          <cell r="AN104" t="str">
            <v>IGNORED</v>
          </cell>
          <cell r="AO104" t="str">
            <v>IGNORED</v>
          </cell>
          <cell r="AP104" t="str">
            <v>IGNORED</v>
          </cell>
          <cell r="AQ104" t="str">
            <v>IGNORED</v>
          </cell>
          <cell r="AR104" t="str">
            <v>IGNORED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  <cell r="F105" t="str">
            <v>IGNORED</v>
          </cell>
          <cell r="G105" t="str">
            <v>IGNORED</v>
          </cell>
          <cell r="H105" t="str">
            <v>IGNORED</v>
          </cell>
          <cell r="I105" t="str">
            <v>IGNORED</v>
          </cell>
          <cell r="J105" t="str">
            <v>IGNORED</v>
          </cell>
          <cell r="K105" t="str">
            <v>IGNORED</v>
          </cell>
          <cell r="L105" t="str">
            <v>IGNORED</v>
          </cell>
          <cell r="M105" t="str">
            <v>IGNORED</v>
          </cell>
          <cell r="N105" t="str">
            <v>IGNORED</v>
          </cell>
          <cell r="O105" t="str">
            <v>IGNORED</v>
          </cell>
          <cell r="P105" t="str">
            <v>IGNORED</v>
          </cell>
          <cell r="Q105" t="str">
            <v>IGNORED</v>
          </cell>
          <cell r="R105" t="str">
            <v>IGNORED</v>
          </cell>
          <cell r="S105" t="str">
            <v>IGNORED</v>
          </cell>
          <cell r="T105" t="str">
            <v>IGNORED</v>
          </cell>
          <cell r="U105" t="str">
            <v>IGNORED</v>
          </cell>
          <cell r="V105" t="str">
            <v>IGNORED</v>
          </cell>
          <cell r="W105" t="str">
            <v>IGNORED</v>
          </cell>
          <cell r="X105" t="str">
            <v>IGNORED</v>
          </cell>
          <cell r="Y105" t="str">
            <v>IGNORED</v>
          </cell>
          <cell r="Z105" t="str">
            <v>IGNORED</v>
          </cell>
          <cell r="AA105" t="str">
            <v>IGNORED</v>
          </cell>
          <cell r="AB105" t="str">
            <v>IGNORED</v>
          </cell>
          <cell r="AC105" t="str">
            <v>IGNORED</v>
          </cell>
          <cell r="AD105" t="str">
            <v>IGNORED</v>
          </cell>
          <cell r="AE105" t="str">
            <v>IGNORED</v>
          </cell>
          <cell r="AF105" t="str">
            <v>IGNORED</v>
          </cell>
          <cell r="AG105" t="str">
            <v>IGNORED</v>
          </cell>
          <cell r="AH105" t="str">
            <v>IGNORED</v>
          </cell>
          <cell r="AI105" t="str">
            <v>IGNORED</v>
          </cell>
          <cell r="AJ105" t="str">
            <v>IGNORED</v>
          </cell>
          <cell r="AK105" t="str">
            <v>IGNORED</v>
          </cell>
          <cell r="AL105" t="str">
            <v>IGNORED</v>
          </cell>
          <cell r="AM105" t="str">
            <v>IGNORED</v>
          </cell>
          <cell r="AN105" t="str">
            <v>IGNORED</v>
          </cell>
          <cell r="AO105" t="str">
            <v>IGNORED</v>
          </cell>
          <cell r="AP105" t="str">
            <v>IGNORED</v>
          </cell>
          <cell r="AQ105" t="str">
            <v>IGNORED</v>
          </cell>
          <cell r="AR105" t="str">
            <v>IGNORED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  <cell r="F106" t="str">
            <v>IGNORED</v>
          </cell>
          <cell r="G106" t="str">
            <v>IGNORED</v>
          </cell>
          <cell r="H106" t="str">
            <v>IGNORED</v>
          </cell>
          <cell r="I106" t="str">
            <v>IGNORED</v>
          </cell>
          <cell r="J106" t="str">
            <v>IGNORED</v>
          </cell>
          <cell r="K106" t="str">
            <v>IGNORED</v>
          </cell>
          <cell r="L106" t="str">
            <v>IGNORED</v>
          </cell>
          <cell r="M106" t="str">
            <v>IGNORED</v>
          </cell>
          <cell r="N106" t="str">
            <v>IGNORED</v>
          </cell>
          <cell r="O106" t="str">
            <v>IGNORED</v>
          </cell>
          <cell r="P106" t="str">
            <v>IGNORED</v>
          </cell>
          <cell r="Q106" t="str">
            <v>IGNORED</v>
          </cell>
          <cell r="R106" t="str">
            <v>IGNORED</v>
          </cell>
          <cell r="S106" t="str">
            <v>IGNORED</v>
          </cell>
          <cell r="T106" t="str">
            <v>IGNORED</v>
          </cell>
          <cell r="U106" t="str">
            <v>IGNORED</v>
          </cell>
          <cell r="V106" t="str">
            <v>IGNORED</v>
          </cell>
          <cell r="W106" t="str">
            <v>IGNORED</v>
          </cell>
          <cell r="X106" t="str">
            <v>IGNORED</v>
          </cell>
          <cell r="Y106" t="str">
            <v>IGNORED</v>
          </cell>
          <cell r="Z106" t="str">
            <v>IGNORED</v>
          </cell>
          <cell r="AA106" t="str">
            <v>IGNORED</v>
          </cell>
          <cell r="AB106" t="str">
            <v>IGNORED</v>
          </cell>
          <cell r="AC106" t="str">
            <v>IGNORED</v>
          </cell>
          <cell r="AD106" t="str">
            <v>IGNORED</v>
          </cell>
          <cell r="AE106" t="str">
            <v>IGNORED</v>
          </cell>
          <cell r="AF106" t="str">
            <v>IGNORED</v>
          </cell>
          <cell r="AG106" t="str">
            <v>IGNORED</v>
          </cell>
          <cell r="AH106" t="str">
            <v>IGNORED</v>
          </cell>
          <cell r="AI106" t="str">
            <v>IGNORED</v>
          </cell>
          <cell r="AJ106" t="str">
            <v>IGNORED</v>
          </cell>
          <cell r="AK106" t="str">
            <v>IGNORED</v>
          </cell>
          <cell r="AL106" t="str">
            <v>IGNORED</v>
          </cell>
          <cell r="AM106" t="str">
            <v>IGNORED</v>
          </cell>
          <cell r="AN106" t="str">
            <v>IGNORED</v>
          </cell>
          <cell r="AO106" t="str">
            <v>IGNORED</v>
          </cell>
          <cell r="AP106" t="str">
            <v>IGNORED</v>
          </cell>
          <cell r="AQ106" t="str">
            <v>IGNORED</v>
          </cell>
          <cell r="AR106" t="str">
            <v>IGNORED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  <cell r="F107" t="str">
            <v>IGNORED</v>
          </cell>
          <cell r="G107" t="str">
            <v>IGNORED</v>
          </cell>
          <cell r="H107" t="str">
            <v>IGNORED</v>
          </cell>
          <cell r="I107" t="str">
            <v>IGNORED</v>
          </cell>
          <cell r="J107" t="str">
            <v>IGNORED</v>
          </cell>
          <cell r="K107" t="str">
            <v>IGNORED</v>
          </cell>
          <cell r="L107" t="str">
            <v>IGNORED</v>
          </cell>
          <cell r="M107" t="str">
            <v>IGNORED</v>
          </cell>
          <cell r="N107" t="str">
            <v>IGNORED</v>
          </cell>
          <cell r="O107" t="str">
            <v>IGNORED</v>
          </cell>
          <cell r="P107" t="str">
            <v>IGNORED</v>
          </cell>
          <cell r="Q107" t="str">
            <v>IGNORED</v>
          </cell>
          <cell r="R107" t="str">
            <v>IGNORED</v>
          </cell>
          <cell r="S107" t="str">
            <v>IGNORED</v>
          </cell>
          <cell r="T107" t="str">
            <v>IGNORED</v>
          </cell>
          <cell r="U107" t="str">
            <v>IGNORED</v>
          </cell>
          <cell r="V107" t="str">
            <v>IGNORED</v>
          </cell>
          <cell r="W107" t="str">
            <v>IGNORED</v>
          </cell>
          <cell r="X107" t="str">
            <v>IGNORED</v>
          </cell>
          <cell r="Y107" t="str">
            <v>IGNORED</v>
          </cell>
          <cell r="Z107" t="str">
            <v>IGNORED</v>
          </cell>
          <cell r="AA107" t="str">
            <v>IGNORED</v>
          </cell>
          <cell r="AB107" t="str">
            <v>IGNORED</v>
          </cell>
          <cell r="AC107" t="str">
            <v>IGNORED</v>
          </cell>
          <cell r="AD107" t="str">
            <v>IGNORED</v>
          </cell>
          <cell r="AE107" t="str">
            <v>IGNORED</v>
          </cell>
          <cell r="AF107" t="str">
            <v>IGNORED</v>
          </cell>
          <cell r="AG107" t="str">
            <v>IGNORED</v>
          </cell>
          <cell r="AH107" t="str">
            <v>IGNORED</v>
          </cell>
          <cell r="AI107" t="str">
            <v>IGNORED</v>
          </cell>
          <cell r="AJ107" t="str">
            <v>IGNORED</v>
          </cell>
          <cell r="AK107" t="str">
            <v>IGNORED</v>
          </cell>
          <cell r="AL107" t="str">
            <v>IGNORED</v>
          </cell>
          <cell r="AM107" t="str">
            <v>IGNORED</v>
          </cell>
          <cell r="AN107" t="str">
            <v>IGNORED</v>
          </cell>
          <cell r="AO107" t="str">
            <v>IGNORED</v>
          </cell>
          <cell r="AP107" t="str">
            <v>IGNORED</v>
          </cell>
          <cell r="AQ107" t="str">
            <v>IGNORED</v>
          </cell>
          <cell r="AR107" t="str">
            <v>IGNORED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 t="str">
            <v>IGNORED</v>
          </cell>
          <cell r="G109" t="str">
            <v>IGNORED</v>
          </cell>
          <cell r="H109" t="str">
            <v>IGNORED</v>
          </cell>
          <cell r="I109" t="str">
            <v>IGNORED</v>
          </cell>
          <cell r="J109" t="str">
            <v>IGNORED</v>
          </cell>
          <cell r="K109" t="str">
            <v>IGNORED</v>
          </cell>
          <cell r="L109" t="str">
            <v>IGNORED</v>
          </cell>
          <cell r="M109" t="str">
            <v>IGNORED</v>
          </cell>
          <cell r="N109" t="str">
            <v>IGNORED</v>
          </cell>
          <cell r="O109" t="str">
            <v>IGNORED</v>
          </cell>
          <cell r="P109" t="str">
            <v>IGNORED</v>
          </cell>
          <cell r="Q109" t="str">
            <v>IGNORED</v>
          </cell>
          <cell r="R109" t="str">
            <v>IGNORED</v>
          </cell>
          <cell r="S109" t="str">
            <v>IGNORED</v>
          </cell>
          <cell r="T109" t="str">
            <v>IGNORED</v>
          </cell>
          <cell r="U109" t="str">
            <v>IGNORED</v>
          </cell>
          <cell r="V109" t="str">
            <v>IGNORED</v>
          </cell>
          <cell r="W109" t="str">
            <v>IGNORED</v>
          </cell>
          <cell r="X109" t="str">
            <v>IGNORED</v>
          </cell>
          <cell r="Y109" t="str">
            <v>IGNORED</v>
          </cell>
          <cell r="Z109" t="str">
            <v>IGNORED</v>
          </cell>
          <cell r="AA109" t="str">
            <v>IGNORED</v>
          </cell>
          <cell r="AB109" t="str">
            <v>IGNORED</v>
          </cell>
          <cell r="AC109" t="str">
            <v>IGNORED</v>
          </cell>
          <cell r="AD109" t="str">
            <v>IGNORED</v>
          </cell>
          <cell r="AE109" t="str">
            <v>IGNORED</v>
          </cell>
          <cell r="AF109" t="str">
            <v>IGNORED</v>
          </cell>
          <cell r="AG109" t="str">
            <v>IGNORED</v>
          </cell>
          <cell r="AH109" t="str">
            <v>IGNORED</v>
          </cell>
          <cell r="AI109" t="str">
            <v>IGNORED</v>
          </cell>
          <cell r="AJ109" t="str">
            <v>IGNORED</v>
          </cell>
          <cell r="AK109" t="str">
            <v>IGNORED</v>
          </cell>
          <cell r="AL109" t="str">
            <v>IGNORED</v>
          </cell>
          <cell r="AM109" t="str">
            <v>IGNORED</v>
          </cell>
          <cell r="AN109" t="str">
            <v>IGNORED</v>
          </cell>
          <cell r="AO109" t="str">
            <v>IGNORED</v>
          </cell>
          <cell r="AP109" t="str">
            <v>IGNORED</v>
          </cell>
          <cell r="AQ109" t="str">
            <v>IGNORED</v>
          </cell>
          <cell r="AR109" t="str">
            <v>IGNORED</v>
          </cell>
        </row>
        <row r="110">
          <cell r="A110" t="str">
            <v>Geographical Breakdown</v>
          </cell>
        </row>
        <row r="111">
          <cell r="B111" t="str">
            <v>Sales - % Total Americas</v>
          </cell>
          <cell r="C111" t="str">
            <v>SALES_TOT_AM</v>
          </cell>
          <cell r="F111" t="str">
            <v>IGNORED</v>
          </cell>
          <cell r="G111" t="str">
            <v>IGNORED</v>
          </cell>
          <cell r="H111" t="str">
            <v>IGNORED</v>
          </cell>
          <cell r="I111" t="str">
            <v>IGNORED</v>
          </cell>
          <cell r="J111" t="str">
            <v>IGNORED</v>
          </cell>
          <cell r="K111" t="str">
            <v>IGNORED</v>
          </cell>
          <cell r="L111" t="str">
            <v>IGNORED</v>
          </cell>
          <cell r="M111" t="str">
            <v>IGNORED</v>
          </cell>
          <cell r="N111" t="str">
            <v>IGNORED</v>
          </cell>
          <cell r="O111" t="str">
            <v>IGNORED</v>
          </cell>
          <cell r="P111" t="str">
            <v>IGNORED</v>
          </cell>
          <cell r="Q111" t="str">
            <v>IGNORED</v>
          </cell>
          <cell r="R111" t="str">
            <v>IGNORED</v>
          </cell>
          <cell r="S111" t="str">
            <v>IGNORED</v>
          </cell>
          <cell r="T111" t="str">
            <v>IGNORED</v>
          </cell>
          <cell r="U111" t="str">
            <v>IGNORED</v>
          </cell>
          <cell r="V111" t="str">
            <v>IGNORED</v>
          </cell>
          <cell r="W111" t="str">
            <v>IGNORED</v>
          </cell>
          <cell r="X111" t="str">
            <v>IGNORED</v>
          </cell>
          <cell r="Y111" t="str">
            <v>IGNORED</v>
          </cell>
          <cell r="Z111" t="str">
            <v>IGNORED</v>
          </cell>
          <cell r="AA111" t="str">
            <v>IGNORED</v>
          </cell>
          <cell r="AB111" t="str">
            <v>IGNORED</v>
          </cell>
          <cell r="AC111" t="str">
            <v>IGNORED</v>
          </cell>
          <cell r="AD111" t="str">
            <v>IGNORED</v>
          </cell>
          <cell r="AE111" t="str">
            <v>IGNORED</v>
          </cell>
          <cell r="AF111" t="str">
            <v>IGNORED</v>
          </cell>
          <cell r="AG111" t="str">
            <v>IGNORED</v>
          </cell>
          <cell r="AH111" t="str">
            <v>IGNORED</v>
          </cell>
          <cell r="AI111" t="str">
            <v>IGNORED</v>
          </cell>
          <cell r="AJ111" t="str">
            <v>IGNORED</v>
          </cell>
          <cell r="AK111" t="str">
            <v>IGNORED</v>
          </cell>
          <cell r="AL111" t="str">
            <v>IGNORED</v>
          </cell>
          <cell r="AM111" t="str">
            <v>IGNORED</v>
          </cell>
          <cell r="AN111" t="str">
            <v>IGNORED</v>
          </cell>
          <cell r="AO111" t="str">
            <v>IGNORED</v>
          </cell>
          <cell r="AP111" t="str">
            <v>IGNORED</v>
          </cell>
          <cell r="AQ111" t="str">
            <v>IGNORED</v>
          </cell>
          <cell r="AR111" t="str">
            <v>IGNORED</v>
          </cell>
        </row>
        <row r="112">
          <cell r="B112" t="str">
            <v>Sales - % United States</v>
          </cell>
          <cell r="C112" t="str">
            <v>SALES_US</v>
          </cell>
          <cell r="F112" t="str">
            <v>IGNORED</v>
          </cell>
          <cell r="G112" t="str">
            <v>IGNORED</v>
          </cell>
          <cell r="H112" t="str">
            <v>IGNORED</v>
          </cell>
          <cell r="I112" t="str">
            <v>IGNORED</v>
          </cell>
          <cell r="J112" t="str">
            <v>IGNORED</v>
          </cell>
          <cell r="K112" t="str">
            <v>IGNORED</v>
          </cell>
          <cell r="L112" t="str">
            <v>IGNORED</v>
          </cell>
          <cell r="M112" t="str">
            <v>IGNORED</v>
          </cell>
          <cell r="N112" t="str">
            <v>IGNORED</v>
          </cell>
          <cell r="O112" t="str">
            <v>IGNORED</v>
          </cell>
          <cell r="P112" t="str">
            <v>IGNORED</v>
          </cell>
          <cell r="Q112" t="str">
            <v>IGNORED</v>
          </cell>
          <cell r="R112" t="str">
            <v>IGNORED</v>
          </cell>
          <cell r="S112" t="str">
            <v>IGNORED</v>
          </cell>
          <cell r="T112" t="str">
            <v>IGNORED</v>
          </cell>
          <cell r="U112" t="str">
            <v>IGNORED</v>
          </cell>
          <cell r="V112" t="str">
            <v>IGNORED</v>
          </cell>
          <cell r="W112" t="str">
            <v>IGNORED</v>
          </cell>
          <cell r="X112" t="str">
            <v>IGNORED</v>
          </cell>
          <cell r="Y112" t="str">
            <v>IGNORED</v>
          </cell>
          <cell r="Z112" t="str">
            <v>IGNORED</v>
          </cell>
          <cell r="AA112" t="str">
            <v>IGNORED</v>
          </cell>
          <cell r="AB112" t="str">
            <v>IGNORED</v>
          </cell>
          <cell r="AC112" t="str">
            <v>IGNORED</v>
          </cell>
          <cell r="AD112" t="str">
            <v>IGNORED</v>
          </cell>
          <cell r="AE112" t="str">
            <v>IGNORED</v>
          </cell>
          <cell r="AF112" t="str">
            <v>IGNORED</v>
          </cell>
          <cell r="AG112" t="str">
            <v>IGNORED</v>
          </cell>
          <cell r="AH112" t="str">
            <v>IGNORED</v>
          </cell>
          <cell r="AI112" t="str">
            <v>IGNORED</v>
          </cell>
          <cell r="AJ112" t="str">
            <v>IGNORED</v>
          </cell>
          <cell r="AK112" t="str">
            <v>IGNORED</v>
          </cell>
          <cell r="AL112" t="str">
            <v>IGNORED</v>
          </cell>
          <cell r="AM112" t="str">
            <v>IGNORED</v>
          </cell>
          <cell r="AN112" t="str">
            <v>IGNORED</v>
          </cell>
          <cell r="AO112" t="str">
            <v>IGNORED</v>
          </cell>
          <cell r="AP112" t="str">
            <v>IGNORED</v>
          </cell>
          <cell r="AQ112" t="str">
            <v>IGNORED</v>
          </cell>
          <cell r="AR112" t="str">
            <v>IGNORED</v>
          </cell>
        </row>
        <row r="113">
          <cell r="B113" t="str">
            <v>Sales - % Canada</v>
          </cell>
          <cell r="C113" t="str">
            <v>SALES_CANADA</v>
          </cell>
          <cell r="F113" t="str">
            <v>IGNORED</v>
          </cell>
          <cell r="G113" t="str">
            <v>IGNORED</v>
          </cell>
          <cell r="H113" t="str">
            <v>IGNORED</v>
          </cell>
          <cell r="I113" t="str">
            <v>IGNORED</v>
          </cell>
          <cell r="J113" t="str">
            <v>IGNORED</v>
          </cell>
          <cell r="K113" t="str">
            <v>IGNORED</v>
          </cell>
          <cell r="L113" t="str">
            <v>IGNORED</v>
          </cell>
          <cell r="M113" t="str">
            <v>IGNORED</v>
          </cell>
          <cell r="N113" t="str">
            <v>IGNORED</v>
          </cell>
          <cell r="O113" t="str">
            <v>IGNORED</v>
          </cell>
          <cell r="P113" t="str">
            <v>IGNORED</v>
          </cell>
          <cell r="Q113" t="str">
            <v>IGNORED</v>
          </cell>
          <cell r="R113" t="str">
            <v>IGNORED</v>
          </cell>
          <cell r="S113" t="str">
            <v>IGNORED</v>
          </cell>
          <cell r="T113" t="str">
            <v>IGNORED</v>
          </cell>
          <cell r="U113" t="str">
            <v>IGNORED</v>
          </cell>
          <cell r="V113" t="str">
            <v>IGNORED</v>
          </cell>
          <cell r="W113" t="str">
            <v>IGNORED</v>
          </cell>
          <cell r="X113" t="str">
            <v>IGNORED</v>
          </cell>
          <cell r="Y113" t="str">
            <v>IGNORED</v>
          </cell>
          <cell r="Z113" t="str">
            <v>IGNORED</v>
          </cell>
          <cell r="AA113" t="str">
            <v>IGNORED</v>
          </cell>
          <cell r="AB113" t="str">
            <v>IGNORED</v>
          </cell>
          <cell r="AC113" t="str">
            <v>IGNORED</v>
          </cell>
          <cell r="AD113" t="str">
            <v>IGNORED</v>
          </cell>
          <cell r="AE113" t="str">
            <v>IGNORED</v>
          </cell>
          <cell r="AF113" t="str">
            <v>IGNORED</v>
          </cell>
          <cell r="AG113" t="str">
            <v>IGNORED</v>
          </cell>
          <cell r="AH113" t="str">
            <v>IGNORED</v>
          </cell>
          <cell r="AI113" t="str">
            <v>IGNORED</v>
          </cell>
          <cell r="AJ113" t="str">
            <v>IGNORED</v>
          </cell>
          <cell r="AK113" t="str">
            <v>IGNORED</v>
          </cell>
          <cell r="AL113" t="str">
            <v>IGNORED</v>
          </cell>
          <cell r="AM113" t="str">
            <v>IGNORED</v>
          </cell>
          <cell r="AN113" t="str">
            <v>IGNORED</v>
          </cell>
          <cell r="AO113" t="str">
            <v>IGNORED</v>
          </cell>
          <cell r="AP113" t="str">
            <v>IGNORED</v>
          </cell>
          <cell r="AQ113" t="str">
            <v>IGNORED</v>
          </cell>
          <cell r="AR113" t="str">
            <v>IGNORED</v>
          </cell>
        </row>
        <row r="114">
          <cell r="B114" t="str">
            <v>Sales - % Brazil</v>
          </cell>
          <cell r="C114" t="str">
            <v>SALES_BRAZIL</v>
          </cell>
          <cell r="F114" t="str">
            <v>IGNORED</v>
          </cell>
          <cell r="G114" t="str">
            <v>IGNORED</v>
          </cell>
          <cell r="H114" t="str">
            <v>IGNORED</v>
          </cell>
          <cell r="I114" t="str">
            <v>IGNORED</v>
          </cell>
          <cell r="J114" t="str">
            <v>IGNORED</v>
          </cell>
          <cell r="K114" t="str">
            <v>IGNORED</v>
          </cell>
          <cell r="L114" t="str">
            <v>IGNORED</v>
          </cell>
          <cell r="M114" t="str">
            <v>IGNORED</v>
          </cell>
          <cell r="N114" t="str">
            <v>IGNORED</v>
          </cell>
          <cell r="O114" t="str">
            <v>IGNORED</v>
          </cell>
          <cell r="P114" t="str">
            <v>IGNORED</v>
          </cell>
          <cell r="Q114" t="str">
            <v>IGNORED</v>
          </cell>
          <cell r="R114" t="str">
            <v>IGNORED</v>
          </cell>
          <cell r="S114" t="str">
            <v>IGNORED</v>
          </cell>
          <cell r="T114" t="str">
            <v>IGNORED</v>
          </cell>
          <cell r="U114" t="str">
            <v>IGNORED</v>
          </cell>
          <cell r="V114" t="str">
            <v>IGNORED</v>
          </cell>
          <cell r="W114" t="str">
            <v>IGNORED</v>
          </cell>
          <cell r="X114" t="str">
            <v>IGNORED</v>
          </cell>
          <cell r="Y114" t="str">
            <v>IGNORED</v>
          </cell>
          <cell r="Z114" t="str">
            <v>IGNORED</v>
          </cell>
          <cell r="AA114" t="str">
            <v>IGNORED</v>
          </cell>
          <cell r="AB114" t="str">
            <v>IGNORED</v>
          </cell>
          <cell r="AC114" t="str">
            <v>IGNORED</v>
          </cell>
          <cell r="AD114" t="str">
            <v>IGNORED</v>
          </cell>
          <cell r="AE114" t="str">
            <v>IGNORED</v>
          </cell>
          <cell r="AF114" t="str">
            <v>IGNORED</v>
          </cell>
          <cell r="AG114" t="str">
            <v>IGNORED</v>
          </cell>
          <cell r="AH114" t="str">
            <v>IGNORED</v>
          </cell>
          <cell r="AI114" t="str">
            <v>IGNORED</v>
          </cell>
          <cell r="AJ114" t="str">
            <v>IGNORED</v>
          </cell>
          <cell r="AK114" t="str">
            <v>IGNORED</v>
          </cell>
          <cell r="AL114" t="str">
            <v>IGNORED</v>
          </cell>
          <cell r="AM114" t="str">
            <v>IGNORED</v>
          </cell>
          <cell r="AN114" t="str">
            <v>IGNORED</v>
          </cell>
          <cell r="AO114" t="str">
            <v>IGNORED</v>
          </cell>
          <cell r="AP114" t="str">
            <v>IGNORED</v>
          </cell>
          <cell r="AQ114" t="str">
            <v>IGNORED</v>
          </cell>
          <cell r="AR114" t="str">
            <v>IGNORED</v>
          </cell>
        </row>
        <row r="115">
          <cell r="B115" t="str">
            <v>Sales - % Other Americas</v>
          </cell>
          <cell r="C115" t="str">
            <v>SALES_OTH_AM</v>
          </cell>
          <cell r="F115" t="str">
            <v>IGNORED</v>
          </cell>
          <cell r="G115" t="str">
            <v>IGNORED</v>
          </cell>
          <cell r="H115" t="str">
            <v>IGNORED</v>
          </cell>
          <cell r="I115" t="str">
            <v>IGNORED</v>
          </cell>
          <cell r="J115" t="str">
            <v>IGNORED</v>
          </cell>
          <cell r="K115" t="str">
            <v>IGNORED</v>
          </cell>
          <cell r="L115" t="str">
            <v>IGNORED</v>
          </cell>
          <cell r="M115" t="str">
            <v>IGNORED</v>
          </cell>
          <cell r="N115" t="str">
            <v>IGNORED</v>
          </cell>
          <cell r="O115" t="str">
            <v>IGNORED</v>
          </cell>
          <cell r="P115" t="str">
            <v>IGNORED</v>
          </cell>
          <cell r="Q115" t="str">
            <v>IGNORED</v>
          </cell>
          <cell r="R115" t="str">
            <v>IGNORED</v>
          </cell>
          <cell r="S115" t="str">
            <v>IGNORED</v>
          </cell>
          <cell r="T115" t="str">
            <v>IGNORED</v>
          </cell>
          <cell r="U115" t="str">
            <v>IGNORED</v>
          </cell>
          <cell r="V115" t="str">
            <v>IGNORED</v>
          </cell>
          <cell r="W115" t="str">
            <v>IGNORED</v>
          </cell>
          <cell r="X115" t="str">
            <v>IGNORED</v>
          </cell>
          <cell r="Y115" t="str">
            <v>IGNORED</v>
          </cell>
          <cell r="Z115" t="str">
            <v>IGNORED</v>
          </cell>
          <cell r="AA115" t="str">
            <v>IGNORED</v>
          </cell>
          <cell r="AB115" t="str">
            <v>IGNORED</v>
          </cell>
          <cell r="AC115" t="str">
            <v>IGNORED</v>
          </cell>
          <cell r="AD115" t="str">
            <v>IGNORED</v>
          </cell>
          <cell r="AE115" t="str">
            <v>IGNORED</v>
          </cell>
          <cell r="AF115" t="str">
            <v>IGNORED</v>
          </cell>
          <cell r="AG115" t="str">
            <v>IGNORED</v>
          </cell>
          <cell r="AH115" t="str">
            <v>IGNORED</v>
          </cell>
          <cell r="AI115" t="str">
            <v>IGNORED</v>
          </cell>
          <cell r="AJ115" t="str">
            <v>IGNORED</v>
          </cell>
          <cell r="AK115" t="str">
            <v>IGNORED</v>
          </cell>
          <cell r="AL115" t="str">
            <v>IGNORED</v>
          </cell>
          <cell r="AM115" t="str">
            <v>IGNORED</v>
          </cell>
          <cell r="AN115" t="str">
            <v>IGNORED</v>
          </cell>
          <cell r="AO115" t="str">
            <v>IGNORED</v>
          </cell>
          <cell r="AP115" t="str">
            <v>IGNORED</v>
          </cell>
          <cell r="AQ115" t="str">
            <v>IGNORED</v>
          </cell>
          <cell r="AR115" t="str">
            <v>IGNORED</v>
          </cell>
        </row>
        <row r="116">
          <cell r="B116" t="str">
            <v>Sales - Total % EMEA</v>
          </cell>
          <cell r="C116" t="str">
            <v>SALES_TOT_EMEA</v>
          </cell>
          <cell r="F116" t="str">
            <v>IGNORED</v>
          </cell>
          <cell r="G116" t="str">
            <v>IGNORED</v>
          </cell>
          <cell r="H116" t="str">
            <v>IGNORED</v>
          </cell>
          <cell r="I116" t="str">
            <v>IGNORED</v>
          </cell>
          <cell r="J116" t="str">
            <v>IGNORED</v>
          </cell>
          <cell r="K116" t="str">
            <v>IGNORED</v>
          </cell>
          <cell r="L116" t="str">
            <v>IGNORED</v>
          </cell>
          <cell r="M116" t="str">
            <v>IGNORED</v>
          </cell>
          <cell r="N116" t="str">
            <v>IGNORED</v>
          </cell>
          <cell r="O116" t="str">
            <v>IGNORED</v>
          </cell>
          <cell r="P116" t="str">
            <v>IGNORED</v>
          </cell>
          <cell r="Q116" t="str">
            <v>IGNORED</v>
          </cell>
          <cell r="R116" t="str">
            <v>IGNORED</v>
          </cell>
          <cell r="S116" t="str">
            <v>IGNORED</v>
          </cell>
          <cell r="T116" t="str">
            <v>IGNORED</v>
          </cell>
          <cell r="U116" t="str">
            <v>IGNORED</v>
          </cell>
          <cell r="V116" t="str">
            <v>IGNORED</v>
          </cell>
          <cell r="W116" t="str">
            <v>IGNORED</v>
          </cell>
          <cell r="X116" t="str">
            <v>IGNORED</v>
          </cell>
          <cell r="Y116" t="str">
            <v>IGNORED</v>
          </cell>
          <cell r="Z116" t="str">
            <v>IGNORED</v>
          </cell>
          <cell r="AA116" t="str">
            <v>IGNORED</v>
          </cell>
          <cell r="AB116" t="str">
            <v>IGNORED</v>
          </cell>
          <cell r="AC116" t="str">
            <v>IGNORED</v>
          </cell>
          <cell r="AD116" t="str">
            <v>IGNORED</v>
          </cell>
          <cell r="AE116" t="str">
            <v>IGNORED</v>
          </cell>
          <cell r="AF116" t="str">
            <v>IGNORED</v>
          </cell>
          <cell r="AG116" t="str">
            <v>IGNORED</v>
          </cell>
          <cell r="AH116" t="str">
            <v>IGNORED</v>
          </cell>
          <cell r="AI116" t="str">
            <v>IGNORED</v>
          </cell>
          <cell r="AJ116" t="str">
            <v>IGNORED</v>
          </cell>
          <cell r="AK116" t="str">
            <v>IGNORED</v>
          </cell>
          <cell r="AL116" t="str">
            <v>IGNORED</v>
          </cell>
          <cell r="AM116" t="str">
            <v>IGNORED</v>
          </cell>
          <cell r="AN116" t="str">
            <v>IGNORED</v>
          </cell>
          <cell r="AO116" t="str">
            <v>IGNORED</v>
          </cell>
          <cell r="AP116" t="str">
            <v>IGNORED</v>
          </cell>
          <cell r="AQ116" t="str">
            <v>IGNORED</v>
          </cell>
          <cell r="AR116" t="str">
            <v>IGNORED</v>
          </cell>
        </row>
        <row r="117">
          <cell r="B117" t="str">
            <v>Sales - % UK</v>
          </cell>
          <cell r="C117" t="str">
            <v>SALES_UK</v>
          </cell>
          <cell r="F117" t="str">
            <v>IGNORED</v>
          </cell>
          <cell r="G117" t="str">
            <v>IGNORED</v>
          </cell>
          <cell r="H117" t="str">
            <v>IGNORED</v>
          </cell>
          <cell r="I117" t="str">
            <v>IGNORED</v>
          </cell>
          <cell r="J117" t="str">
            <v>IGNORED</v>
          </cell>
          <cell r="K117" t="str">
            <v>IGNORED</v>
          </cell>
          <cell r="L117" t="str">
            <v>IGNORED</v>
          </cell>
          <cell r="M117" t="str">
            <v>IGNORED</v>
          </cell>
          <cell r="N117" t="str">
            <v>IGNORED</v>
          </cell>
          <cell r="O117" t="str">
            <v>IGNORED</v>
          </cell>
          <cell r="P117" t="str">
            <v>IGNORED</v>
          </cell>
          <cell r="Q117" t="str">
            <v>IGNORED</v>
          </cell>
          <cell r="R117" t="str">
            <v>IGNORED</v>
          </cell>
          <cell r="S117" t="str">
            <v>IGNORED</v>
          </cell>
          <cell r="T117" t="str">
            <v>IGNORED</v>
          </cell>
          <cell r="U117" t="str">
            <v>IGNORED</v>
          </cell>
          <cell r="V117" t="str">
            <v>IGNORED</v>
          </cell>
          <cell r="W117" t="str">
            <v>IGNORED</v>
          </cell>
          <cell r="X117" t="str">
            <v>IGNORED</v>
          </cell>
          <cell r="Y117" t="str">
            <v>IGNORED</v>
          </cell>
          <cell r="Z117" t="str">
            <v>IGNORED</v>
          </cell>
          <cell r="AA117" t="str">
            <v>IGNORED</v>
          </cell>
          <cell r="AB117" t="str">
            <v>IGNORED</v>
          </cell>
          <cell r="AC117" t="str">
            <v>IGNORED</v>
          </cell>
          <cell r="AD117" t="str">
            <v>IGNORED</v>
          </cell>
          <cell r="AE117" t="str">
            <v>IGNORED</v>
          </cell>
          <cell r="AF117" t="str">
            <v>IGNORED</v>
          </cell>
          <cell r="AG117" t="str">
            <v>IGNORED</v>
          </cell>
          <cell r="AH117" t="str">
            <v>IGNORED</v>
          </cell>
          <cell r="AI117" t="str">
            <v>IGNORED</v>
          </cell>
          <cell r="AJ117" t="str">
            <v>IGNORED</v>
          </cell>
          <cell r="AK117" t="str">
            <v>IGNORED</v>
          </cell>
          <cell r="AL117" t="str">
            <v>IGNORED</v>
          </cell>
          <cell r="AM117" t="str">
            <v>IGNORED</v>
          </cell>
          <cell r="AN117" t="str">
            <v>IGNORED</v>
          </cell>
          <cell r="AO117" t="str">
            <v>IGNORED</v>
          </cell>
          <cell r="AP117" t="str">
            <v>IGNORED</v>
          </cell>
          <cell r="AQ117" t="str">
            <v>IGNORED</v>
          </cell>
          <cell r="AR117" t="str">
            <v>IGNORED</v>
          </cell>
        </row>
        <row r="118">
          <cell r="B118" t="str">
            <v>Sales - % Europe-Ex UK</v>
          </cell>
          <cell r="C118" t="str">
            <v>SALES_EU_EX_UK</v>
          </cell>
          <cell r="F118" t="str">
            <v>IGNORED</v>
          </cell>
          <cell r="G118" t="str">
            <v>IGNORED</v>
          </cell>
          <cell r="H118" t="str">
            <v>IGNORED</v>
          </cell>
          <cell r="I118" t="str">
            <v>IGNORED</v>
          </cell>
          <cell r="J118" t="str">
            <v>IGNORED</v>
          </cell>
          <cell r="K118" t="str">
            <v>IGNORED</v>
          </cell>
          <cell r="L118" t="str">
            <v>IGNORED</v>
          </cell>
          <cell r="M118" t="str">
            <v>IGNORED</v>
          </cell>
          <cell r="N118" t="str">
            <v>IGNORED</v>
          </cell>
          <cell r="O118" t="str">
            <v>IGNORED</v>
          </cell>
          <cell r="P118" t="str">
            <v>IGNORED</v>
          </cell>
          <cell r="Q118" t="str">
            <v>IGNORED</v>
          </cell>
          <cell r="R118" t="str">
            <v>IGNORED</v>
          </cell>
          <cell r="S118" t="str">
            <v>IGNORED</v>
          </cell>
          <cell r="T118" t="str">
            <v>IGNORED</v>
          </cell>
          <cell r="U118" t="str">
            <v>IGNORED</v>
          </cell>
          <cell r="V118" t="str">
            <v>IGNORED</v>
          </cell>
          <cell r="W118" t="str">
            <v>IGNORED</v>
          </cell>
          <cell r="X118" t="str">
            <v>IGNORED</v>
          </cell>
          <cell r="Y118" t="str">
            <v>IGNORED</v>
          </cell>
          <cell r="Z118" t="str">
            <v>IGNORED</v>
          </cell>
          <cell r="AA118" t="str">
            <v>IGNORED</v>
          </cell>
          <cell r="AB118" t="str">
            <v>IGNORED</v>
          </cell>
          <cell r="AC118" t="str">
            <v>IGNORED</v>
          </cell>
          <cell r="AD118" t="str">
            <v>IGNORED</v>
          </cell>
          <cell r="AE118" t="str">
            <v>IGNORED</v>
          </cell>
          <cell r="AF118" t="str">
            <v>IGNORED</v>
          </cell>
          <cell r="AG118" t="str">
            <v>IGNORED</v>
          </cell>
          <cell r="AH118" t="str">
            <v>IGNORED</v>
          </cell>
          <cell r="AI118" t="str">
            <v>IGNORED</v>
          </cell>
          <cell r="AJ118" t="str">
            <v>IGNORED</v>
          </cell>
          <cell r="AK118" t="str">
            <v>IGNORED</v>
          </cell>
          <cell r="AL118" t="str">
            <v>IGNORED</v>
          </cell>
          <cell r="AM118" t="str">
            <v>IGNORED</v>
          </cell>
          <cell r="AN118" t="str">
            <v>IGNORED</v>
          </cell>
          <cell r="AO118" t="str">
            <v>IGNORED</v>
          </cell>
          <cell r="AP118" t="str">
            <v>IGNORED</v>
          </cell>
          <cell r="AQ118" t="str">
            <v>IGNORED</v>
          </cell>
          <cell r="AR118" t="str">
            <v>IGNORED</v>
          </cell>
        </row>
        <row r="119">
          <cell r="B119" t="str">
            <v>Sales - % Austria</v>
          </cell>
          <cell r="C119" t="str">
            <v>SALES_AUSTRIA</v>
          </cell>
          <cell r="F119" t="str">
            <v>IGNORED</v>
          </cell>
          <cell r="G119" t="str">
            <v>IGNORED</v>
          </cell>
          <cell r="H119" t="str">
            <v>IGNORED</v>
          </cell>
          <cell r="I119" t="str">
            <v>IGNORED</v>
          </cell>
          <cell r="J119" t="str">
            <v>IGNORED</v>
          </cell>
          <cell r="K119" t="str">
            <v>IGNORED</v>
          </cell>
          <cell r="L119" t="str">
            <v>IGNORED</v>
          </cell>
          <cell r="M119" t="str">
            <v>IGNORED</v>
          </cell>
          <cell r="N119" t="str">
            <v>IGNORED</v>
          </cell>
          <cell r="O119" t="str">
            <v>IGNORED</v>
          </cell>
          <cell r="P119" t="str">
            <v>IGNORED</v>
          </cell>
          <cell r="Q119" t="str">
            <v>IGNORED</v>
          </cell>
          <cell r="R119" t="str">
            <v>IGNORED</v>
          </cell>
          <cell r="S119" t="str">
            <v>IGNORED</v>
          </cell>
          <cell r="T119" t="str">
            <v>IGNORED</v>
          </cell>
          <cell r="U119" t="str">
            <v>IGNORED</v>
          </cell>
          <cell r="V119" t="str">
            <v>IGNORED</v>
          </cell>
          <cell r="W119" t="str">
            <v>IGNORED</v>
          </cell>
          <cell r="X119" t="str">
            <v>IGNORED</v>
          </cell>
          <cell r="Y119" t="str">
            <v>IGNORED</v>
          </cell>
          <cell r="Z119" t="str">
            <v>IGNORED</v>
          </cell>
          <cell r="AA119" t="str">
            <v>IGNORED</v>
          </cell>
          <cell r="AB119" t="str">
            <v>IGNORED</v>
          </cell>
          <cell r="AC119" t="str">
            <v>IGNORED</v>
          </cell>
          <cell r="AD119" t="str">
            <v>IGNORED</v>
          </cell>
          <cell r="AE119" t="str">
            <v>IGNORED</v>
          </cell>
          <cell r="AF119" t="str">
            <v>IGNORED</v>
          </cell>
          <cell r="AG119" t="str">
            <v>IGNORED</v>
          </cell>
          <cell r="AH119" t="str">
            <v>IGNORED</v>
          </cell>
          <cell r="AI119" t="str">
            <v>IGNORED</v>
          </cell>
          <cell r="AJ119" t="str">
            <v>IGNORED</v>
          </cell>
          <cell r="AK119" t="str">
            <v>IGNORED</v>
          </cell>
          <cell r="AL119" t="str">
            <v>IGNORED</v>
          </cell>
          <cell r="AM119" t="str">
            <v>IGNORED</v>
          </cell>
          <cell r="AN119" t="str">
            <v>IGNORED</v>
          </cell>
          <cell r="AO119" t="str">
            <v>IGNORED</v>
          </cell>
          <cell r="AP119" t="str">
            <v>IGNORED</v>
          </cell>
          <cell r="AQ119" t="str">
            <v>IGNORED</v>
          </cell>
          <cell r="AR119" t="str">
            <v>IGNORED</v>
          </cell>
        </row>
        <row r="120">
          <cell r="B120" t="str">
            <v>Sales - % Belgium</v>
          </cell>
          <cell r="C120" t="str">
            <v>SALES_BEL</v>
          </cell>
          <cell r="F120" t="str">
            <v>IGNORED</v>
          </cell>
          <cell r="G120" t="str">
            <v>IGNORED</v>
          </cell>
          <cell r="H120" t="str">
            <v>IGNORED</v>
          </cell>
          <cell r="I120" t="str">
            <v>IGNORED</v>
          </cell>
          <cell r="J120" t="str">
            <v>IGNORED</v>
          </cell>
          <cell r="K120" t="str">
            <v>IGNORED</v>
          </cell>
          <cell r="L120" t="str">
            <v>IGNORED</v>
          </cell>
          <cell r="M120" t="str">
            <v>IGNORED</v>
          </cell>
          <cell r="N120" t="str">
            <v>IGNORED</v>
          </cell>
          <cell r="O120" t="str">
            <v>IGNORED</v>
          </cell>
          <cell r="P120" t="str">
            <v>IGNORED</v>
          </cell>
          <cell r="Q120" t="str">
            <v>IGNORED</v>
          </cell>
          <cell r="R120" t="str">
            <v>IGNORED</v>
          </cell>
          <cell r="S120" t="str">
            <v>IGNORED</v>
          </cell>
          <cell r="T120" t="str">
            <v>IGNORED</v>
          </cell>
          <cell r="U120" t="str">
            <v>IGNORED</v>
          </cell>
          <cell r="V120" t="str">
            <v>IGNORED</v>
          </cell>
          <cell r="W120" t="str">
            <v>IGNORED</v>
          </cell>
          <cell r="X120" t="str">
            <v>IGNORED</v>
          </cell>
          <cell r="Y120" t="str">
            <v>IGNORED</v>
          </cell>
          <cell r="Z120" t="str">
            <v>IGNORED</v>
          </cell>
          <cell r="AA120" t="str">
            <v>IGNORED</v>
          </cell>
          <cell r="AB120" t="str">
            <v>IGNORED</v>
          </cell>
          <cell r="AC120" t="str">
            <v>IGNORED</v>
          </cell>
          <cell r="AD120" t="str">
            <v>IGNORED</v>
          </cell>
          <cell r="AE120" t="str">
            <v>IGNORED</v>
          </cell>
          <cell r="AF120" t="str">
            <v>IGNORED</v>
          </cell>
          <cell r="AG120" t="str">
            <v>IGNORED</v>
          </cell>
          <cell r="AH120" t="str">
            <v>IGNORED</v>
          </cell>
          <cell r="AI120" t="str">
            <v>IGNORED</v>
          </cell>
          <cell r="AJ120" t="str">
            <v>IGNORED</v>
          </cell>
          <cell r="AK120" t="str">
            <v>IGNORED</v>
          </cell>
          <cell r="AL120" t="str">
            <v>IGNORED</v>
          </cell>
          <cell r="AM120" t="str">
            <v>IGNORED</v>
          </cell>
          <cell r="AN120" t="str">
            <v>IGNORED</v>
          </cell>
          <cell r="AO120" t="str">
            <v>IGNORED</v>
          </cell>
          <cell r="AP120" t="str">
            <v>IGNORED</v>
          </cell>
          <cell r="AQ120" t="str">
            <v>IGNORED</v>
          </cell>
          <cell r="AR120" t="str">
            <v>IGNORED</v>
          </cell>
        </row>
        <row r="121">
          <cell r="B121" t="str">
            <v>Sales - % Denmark</v>
          </cell>
          <cell r="C121" t="str">
            <v>SALES_DEN</v>
          </cell>
          <cell r="F121" t="str">
            <v>IGNORED</v>
          </cell>
          <cell r="G121" t="str">
            <v>IGNORED</v>
          </cell>
          <cell r="H121" t="str">
            <v>IGNORED</v>
          </cell>
          <cell r="I121" t="str">
            <v>IGNORED</v>
          </cell>
          <cell r="J121" t="str">
            <v>IGNORED</v>
          </cell>
          <cell r="K121" t="str">
            <v>IGNORED</v>
          </cell>
          <cell r="L121" t="str">
            <v>IGNORED</v>
          </cell>
          <cell r="M121" t="str">
            <v>IGNORED</v>
          </cell>
          <cell r="N121" t="str">
            <v>IGNORED</v>
          </cell>
          <cell r="O121" t="str">
            <v>IGNORED</v>
          </cell>
          <cell r="P121" t="str">
            <v>IGNORED</v>
          </cell>
          <cell r="Q121" t="str">
            <v>IGNORED</v>
          </cell>
          <cell r="R121" t="str">
            <v>IGNORED</v>
          </cell>
          <cell r="S121" t="str">
            <v>IGNORED</v>
          </cell>
          <cell r="T121" t="str">
            <v>IGNORED</v>
          </cell>
          <cell r="U121" t="str">
            <v>IGNORED</v>
          </cell>
          <cell r="V121" t="str">
            <v>IGNORED</v>
          </cell>
          <cell r="W121" t="str">
            <v>IGNORED</v>
          </cell>
          <cell r="X121" t="str">
            <v>IGNORED</v>
          </cell>
          <cell r="Y121" t="str">
            <v>IGNORED</v>
          </cell>
          <cell r="Z121" t="str">
            <v>IGNORED</v>
          </cell>
          <cell r="AA121" t="str">
            <v>IGNORED</v>
          </cell>
          <cell r="AB121" t="str">
            <v>IGNORED</v>
          </cell>
          <cell r="AC121" t="str">
            <v>IGNORED</v>
          </cell>
          <cell r="AD121" t="str">
            <v>IGNORED</v>
          </cell>
          <cell r="AE121" t="str">
            <v>IGNORED</v>
          </cell>
          <cell r="AF121" t="str">
            <v>IGNORED</v>
          </cell>
          <cell r="AG121" t="str">
            <v>IGNORED</v>
          </cell>
          <cell r="AH121" t="str">
            <v>IGNORED</v>
          </cell>
          <cell r="AI121" t="str">
            <v>IGNORED</v>
          </cell>
          <cell r="AJ121" t="str">
            <v>IGNORED</v>
          </cell>
          <cell r="AK121" t="str">
            <v>IGNORED</v>
          </cell>
          <cell r="AL121" t="str">
            <v>IGNORED</v>
          </cell>
          <cell r="AM121" t="str">
            <v>IGNORED</v>
          </cell>
          <cell r="AN121" t="str">
            <v>IGNORED</v>
          </cell>
          <cell r="AO121" t="str">
            <v>IGNORED</v>
          </cell>
          <cell r="AP121" t="str">
            <v>IGNORED</v>
          </cell>
          <cell r="AQ121" t="str">
            <v>IGNORED</v>
          </cell>
          <cell r="AR121" t="str">
            <v>IGNORED</v>
          </cell>
        </row>
        <row r="122">
          <cell r="B122" t="str">
            <v>Sales - % Finland</v>
          </cell>
          <cell r="C122" t="str">
            <v>SALES_FIN</v>
          </cell>
          <cell r="F122" t="str">
            <v>IGNORED</v>
          </cell>
          <cell r="G122" t="str">
            <v>IGNORED</v>
          </cell>
          <cell r="H122" t="str">
            <v>IGNORED</v>
          </cell>
          <cell r="I122" t="str">
            <v>IGNORED</v>
          </cell>
          <cell r="J122" t="str">
            <v>IGNORED</v>
          </cell>
          <cell r="K122" t="str">
            <v>IGNORED</v>
          </cell>
          <cell r="L122" t="str">
            <v>IGNORED</v>
          </cell>
          <cell r="M122" t="str">
            <v>IGNORED</v>
          </cell>
          <cell r="N122" t="str">
            <v>IGNORED</v>
          </cell>
          <cell r="O122" t="str">
            <v>IGNORED</v>
          </cell>
          <cell r="P122" t="str">
            <v>IGNORED</v>
          </cell>
          <cell r="Q122" t="str">
            <v>IGNORED</v>
          </cell>
          <cell r="R122" t="str">
            <v>IGNORED</v>
          </cell>
          <cell r="S122" t="str">
            <v>IGNORED</v>
          </cell>
          <cell r="T122" t="str">
            <v>IGNORED</v>
          </cell>
          <cell r="U122" t="str">
            <v>IGNORED</v>
          </cell>
          <cell r="V122" t="str">
            <v>IGNORED</v>
          </cell>
          <cell r="W122" t="str">
            <v>IGNORED</v>
          </cell>
          <cell r="X122" t="str">
            <v>IGNORED</v>
          </cell>
          <cell r="Y122" t="str">
            <v>IGNORED</v>
          </cell>
          <cell r="Z122" t="str">
            <v>IGNORED</v>
          </cell>
          <cell r="AA122" t="str">
            <v>IGNORED</v>
          </cell>
          <cell r="AB122" t="str">
            <v>IGNORED</v>
          </cell>
          <cell r="AC122" t="str">
            <v>IGNORED</v>
          </cell>
          <cell r="AD122" t="str">
            <v>IGNORED</v>
          </cell>
          <cell r="AE122" t="str">
            <v>IGNORED</v>
          </cell>
          <cell r="AF122" t="str">
            <v>IGNORED</v>
          </cell>
          <cell r="AG122" t="str">
            <v>IGNORED</v>
          </cell>
          <cell r="AH122" t="str">
            <v>IGNORED</v>
          </cell>
          <cell r="AI122" t="str">
            <v>IGNORED</v>
          </cell>
          <cell r="AJ122" t="str">
            <v>IGNORED</v>
          </cell>
          <cell r="AK122" t="str">
            <v>IGNORED</v>
          </cell>
          <cell r="AL122" t="str">
            <v>IGNORED</v>
          </cell>
          <cell r="AM122" t="str">
            <v>IGNORED</v>
          </cell>
          <cell r="AN122" t="str">
            <v>IGNORED</v>
          </cell>
          <cell r="AO122" t="str">
            <v>IGNORED</v>
          </cell>
          <cell r="AP122" t="str">
            <v>IGNORED</v>
          </cell>
          <cell r="AQ122" t="str">
            <v>IGNORED</v>
          </cell>
          <cell r="AR122" t="str">
            <v>IGNORED</v>
          </cell>
        </row>
        <row r="123">
          <cell r="B123" t="str">
            <v>Sales - % France</v>
          </cell>
          <cell r="C123" t="str">
            <v>SALES_FRA</v>
          </cell>
          <cell r="F123" t="str">
            <v>IGNORED</v>
          </cell>
          <cell r="G123" t="str">
            <v>IGNORED</v>
          </cell>
          <cell r="H123" t="str">
            <v>IGNORED</v>
          </cell>
          <cell r="I123" t="str">
            <v>IGNORED</v>
          </cell>
          <cell r="J123" t="str">
            <v>IGNORED</v>
          </cell>
          <cell r="K123" t="str">
            <v>IGNORED</v>
          </cell>
          <cell r="L123" t="str">
            <v>IGNORED</v>
          </cell>
          <cell r="M123" t="str">
            <v>IGNORED</v>
          </cell>
          <cell r="N123" t="str">
            <v>IGNORED</v>
          </cell>
          <cell r="O123" t="str">
            <v>IGNORED</v>
          </cell>
          <cell r="P123" t="str">
            <v>IGNORED</v>
          </cell>
          <cell r="Q123" t="str">
            <v>IGNORED</v>
          </cell>
          <cell r="R123" t="str">
            <v>IGNORED</v>
          </cell>
          <cell r="S123" t="str">
            <v>IGNORED</v>
          </cell>
          <cell r="T123" t="str">
            <v>IGNORED</v>
          </cell>
          <cell r="U123" t="str">
            <v>IGNORED</v>
          </cell>
          <cell r="V123" t="str">
            <v>IGNORED</v>
          </cell>
          <cell r="W123" t="str">
            <v>IGNORED</v>
          </cell>
          <cell r="X123" t="str">
            <v>IGNORED</v>
          </cell>
          <cell r="Y123" t="str">
            <v>IGNORED</v>
          </cell>
          <cell r="Z123" t="str">
            <v>IGNORED</v>
          </cell>
          <cell r="AA123" t="str">
            <v>IGNORED</v>
          </cell>
          <cell r="AB123" t="str">
            <v>IGNORED</v>
          </cell>
          <cell r="AC123" t="str">
            <v>IGNORED</v>
          </cell>
          <cell r="AD123" t="str">
            <v>IGNORED</v>
          </cell>
          <cell r="AE123" t="str">
            <v>IGNORED</v>
          </cell>
          <cell r="AF123" t="str">
            <v>IGNORED</v>
          </cell>
          <cell r="AG123" t="str">
            <v>IGNORED</v>
          </cell>
          <cell r="AH123" t="str">
            <v>IGNORED</v>
          </cell>
          <cell r="AI123" t="str">
            <v>IGNORED</v>
          </cell>
          <cell r="AJ123" t="str">
            <v>IGNORED</v>
          </cell>
          <cell r="AK123" t="str">
            <v>IGNORED</v>
          </cell>
          <cell r="AL123" t="str">
            <v>IGNORED</v>
          </cell>
          <cell r="AM123" t="str">
            <v>IGNORED</v>
          </cell>
          <cell r="AN123" t="str">
            <v>IGNORED</v>
          </cell>
          <cell r="AO123" t="str">
            <v>IGNORED</v>
          </cell>
          <cell r="AP123" t="str">
            <v>IGNORED</v>
          </cell>
          <cell r="AQ123" t="str">
            <v>IGNORED</v>
          </cell>
          <cell r="AR123" t="str">
            <v>IGNORED</v>
          </cell>
        </row>
        <row r="124">
          <cell r="B124" t="str">
            <v>Sales - % Germany</v>
          </cell>
          <cell r="C124" t="str">
            <v>SALES_GER</v>
          </cell>
          <cell r="F124" t="str">
            <v>IGNORED</v>
          </cell>
          <cell r="G124" t="str">
            <v>IGNORED</v>
          </cell>
          <cell r="H124" t="str">
            <v>IGNORED</v>
          </cell>
          <cell r="I124" t="str">
            <v>IGNORED</v>
          </cell>
          <cell r="J124" t="str">
            <v>IGNORED</v>
          </cell>
          <cell r="K124" t="str">
            <v>IGNORED</v>
          </cell>
          <cell r="L124" t="str">
            <v>IGNORED</v>
          </cell>
          <cell r="M124" t="str">
            <v>IGNORED</v>
          </cell>
          <cell r="N124" t="str">
            <v>IGNORED</v>
          </cell>
          <cell r="O124" t="str">
            <v>IGNORED</v>
          </cell>
          <cell r="P124" t="str">
            <v>IGNORED</v>
          </cell>
          <cell r="Q124" t="str">
            <v>IGNORED</v>
          </cell>
          <cell r="R124" t="str">
            <v>IGNORED</v>
          </cell>
          <cell r="S124" t="str">
            <v>IGNORED</v>
          </cell>
          <cell r="T124" t="str">
            <v>IGNORED</v>
          </cell>
          <cell r="U124" t="str">
            <v>IGNORED</v>
          </cell>
          <cell r="V124" t="str">
            <v>IGNORED</v>
          </cell>
          <cell r="W124" t="str">
            <v>IGNORED</v>
          </cell>
          <cell r="X124" t="str">
            <v>IGNORED</v>
          </cell>
          <cell r="Y124" t="str">
            <v>IGNORED</v>
          </cell>
          <cell r="Z124" t="str">
            <v>IGNORED</v>
          </cell>
          <cell r="AA124" t="str">
            <v>IGNORED</v>
          </cell>
          <cell r="AB124" t="str">
            <v>IGNORED</v>
          </cell>
          <cell r="AC124" t="str">
            <v>IGNORED</v>
          </cell>
          <cell r="AD124" t="str">
            <v>IGNORED</v>
          </cell>
          <cell r="AE124" t="str">
            <v>IGNORED</v>
          </cell>
          <cell r="AF124" t="str">
            <v>IGNORED</v>
          </cell>
          <cell r="AG124" t="str">
            <v>IGNORED</v>
          </cell>
          <cell r="AH124" t="str">
            <v>IGNORED</v>
          </cell>
          <cell r="AI124" t="str">
            <v>IGNORED</v>
          </cell>
          <cell r="AJ124" t="str">
            <v>IGNORED</v>
          </cell>
          <cell r="AK124" t="str">
            <v>IGNORED</v>
          </cell>
          <cell r="AL124" t="str">
            <v>IGNORED</v>
          </cell>
          <cell r="AM124" t="str">
            <v>IGNORED</v>
          </cell>
          <cell r="AN124" t="str">
            <v>IGNORED</v>
          </cell>
          <cell r="AO124" t="str">
            <v>IGNORED</v>
          </cell>
          <cell r="AP124" t="str">
            <v>IGNORED</v>
          </cell>
          <cell r="AQ124" t="str">
            <v>IGNORED</v>
          </cell>
          <cell r="AR124" t="str">
            <v>IGNORED</v>
          </cell>
        </row>
        <row r="125">
          <cell r="B125" t="str">
            <v>Sales - % Greece</v>
          </cell>
          <cell r="C125" t="str">
            <v>SALES_GRE</v>
          </cell>
          <cell r="F125" t="str">
            <v>IGNORED</v>
          </cell>
          <cell r="G125" t="str">
            <v>IGNORED</v>
          </cell>
          <cell r="H125" t="str">
            <v>IGNORED</v>
          </cell>
          <cell r="I125" t="str">
            <v>IGNORED</v>
          </cell>
          <cell r="J125" t="str">
            <v>IGNORED</v>
          </cell>
          <cell r="K125" t="str">
            <v>IGNORED</v>
          </cell>
          <cell r="L125" t="str">
            <v>IGNORED</v>
          </cell>
          <cell r="M125" t="str">
            <v>IGNORED</v>
          </cell>
          <cell r="N125" t="str">
            <v>IGNORED</v>
          </cell>
          <cell r="O125" t="str">
            <v>IGNORED</v>
          </cell>
          <cell r="P125" t="str">
            <v>IGNORED</v>
          </cell>
          <cell r="Q125" t="str">
            <v>IGNORED</v>
          </cell>
          <cell r="R125" t="str">
            <v>IGNORED</v>
          </cell>
          <cell r="S125" t="str">
            <v>IGNORED</v>
          </cell>
          <cell r="T125" t="str">
            <v>IGNORED</v>
          </cell>
          <cell r="U125" t="str">
            <v>IGNORED</v>
          </cell>
          <cell r="V125" t="str">
            <v>IGNORED</v>
          </cell>
          <cell r="W125" t="str">
            <v>IGNORED</v>
          </cell>
          <cell r="X125" t="str">
            <v>IGNORED</v>
          </cell>
          <cell r="Y125" t="str">
            <v>IGNORED</v>
          </cell>
          <cell r="Z125" t="str">
            <v>IGNORED</v>
          </cell>
          <cell r="AA125" t="str">
            <v>IGNORED</v>
          </cell>
          <cell r="AB125" t="str">
            <v>IGNORED</v>
          </cell>
          <cell r="AC125" t="str">
            <v>IGNORED</v>
          </cell>
          <cell r="AD125" t="str">
            <v>IGNORED</v>
          </cell>
          <cell r="AE125" t="str">
            <v>IGNORED</v>
          </cell>
          <cell r="AF125" t="str">
            <v>IGNORED</v>
          </cell>
          <cell r="AG125" t="str">
            <v>IGNORED</v>
          </cell>
          <cell r="AH125" t="str">
            <v>IGNORED</v>
          </cell>
          <cell r="AI125" t="str">
            <v>IGNORED</v>
          </cell>
          <cell r="AJ125" t="str">
            <v>IGNORED</v>
          </cell>
          <cell r="AK125" t="str">
            <v>IGNORED</v>
          </cell>
          <cell r="AL125" t="str">
            <v>IGNORED</v>
          </cell>
          <cell r="AM125" t="str">
            <v>IGNORED</v>
          </cell>
          <cell r="AN125" t="str">
            <v>IGNORED</v>
          </cell>
          <cell r="AO125" t="str">
            <v>IGNORED</v>
          </cell>
          <cell r="AP125" t="str">
            <v>IGNORED</v>
          </cell>
          <cell r="AQ125" t="str">
            <v>IGNORED</v>
          </cell>
          <cell r="AR125" t="str">
            <v>IGNORED</v>
          </cell>
        </row>
        <row r="126">
          <cell r="B126" t="str">
            <v>Sales - % Iceland</v>
          </cell>
          <cell r="C126" t="str">
            <v>SALES_ICE</v>
          </cell>
          <cell r="F126" t="str">
            <v>IGNORED</v>
          </cell>
          <cell r="G126" t="str">
            <v>IGNORED</v>
          </cell>
          <cell r="H126" t="str">
            <v>IGNORED</v>
          </cell>
          <cell r="I126" t="str">
            <v>IGNORED</v>
          </cell>
          <cell r="J126" t="str">
            <v>IGNORED</v>
          </cell>
          <cell r="K126" t="str">
            <v>IGNORED</v>
          </cell>
          <cell r="L126" t="str">
            <v>IGNORED</v>
          </cell>
          <cell r="M126" t="str">
            <v>IGNORED</v>
          </cell>
          <cell r="N126" t="str">
            <v>IGNORED</v>
          </cell>
          <cell r="O126" t="str">
            <v>IGNORED</v>
          </cell>
          <cell r="P126" t="str">
            <v>IGNORED</v>
          </cell>
          <cell r="Q126" t="str">
            <v>IGNORED</v>
          </cell>
          <cell r="R126" t="str">
            <v>IGNORED</v>
          </cell>
          <cell r="S126" t="str">
            <v>IGNORED</v>
          </cell>
          <cell r="T126" t="str">
            <v>IGNORED</v>
          </cell>
          <cell r="U126" t="str">
            <v>IGNORED</v>
          </cell>
          <cell r="V126" t="str">
            <v>IGNORED</v>
          </cell>
          <cell r="W126" t="str">
            <v>IGNORED</v>
          </cell>
          <cell r="X126" t="str">
            <v>IGNORED</v>
          </cell>
          <cell r="Y126" t="str">
            <v>IGNORED</v>
          </cell>
          <cell r="Z126" t="str">
            <v>IGNORED</v>
          </cell>
          <cell r="AA126" t="str">
            <v>IGNORED</v>
          </cell>
          <cell r="AB126" t="str">
            <v>IGNORED</v>
          </cell>
          <cell r="AC126" t="str">
            <v>IGNORED</v>
          </cell>
          <cell r="AD126" t="str">
            <v>IGNORED</v>
          </cell>
          <cell r="AE126" t="str">
            <v>IGNORED</v>
          </cell>
          <cell r="AF126" t="str">
            <v>IGNORED</v>
          </cell>
          <cell r="AG126" t="str">
            <v>IGNORED</v>
          </cell>
          <cell r="AH126" t="str">
            <v>IGNORED</v>
          </cell>
          <cell r="AI126" t="str">
            <v>IGNORED</v>
          </cell>
          <cell r="AJ126" t="str">
            <v>IGNORED</v>
          </cell>
          <cell r="AK126" t="str">
            <v>IGNORED</v>
          </cell>
          <cell r="AL126" t="str">
            <v>IGNORED</v>
          </cell>
          <cell r="AM126" t="str">
            <v>IGNORED</v>
          </cell>
          <cell r="AN126" t="str">
            <v>IGNORED</v>
          </cell>
          <cell r="AO126" t="str">
            <v>IGNORED</v>
          </cell>
          <cell r="AP126" t="str">
            <v>IGNORED</v>
          </cell>
          <cell r="AQ126" t="str">
            <v>IGNORED</v>
          </cell>
          <cell r="AR126" t="str">
            <v>IGNORED</v>
          </cell>
        </row>
        <row r="127">
          <cell r="B127" t="str">
            <v>Sales - % Ireland</v>
          </cell>
          <cell r="C127" t="str">
            <v>SALES_IRE</v>
          </cell>
          <cell r="F127" t="str">
            <v>IGNORED</v>
          </cell>
          <cell r="G127" t="str">
            <v>IGNORED</v>
          </cell>
          <cell r="H127" t="str">
            <v>IGNORED</v>
          </cell>
          <cell r="I127" t="str">
            <v>IGNORED</v>
          </cell>
          <cell r="J127" t="str">
            <v>IGNORED</v>
          </cell>
          <cell r="K127" t="str">
            <v>IGNORED</v>
          </cell>
          <cell r="L127" t="str">
            <v>IGNORED</v>
          </cell>
          <cell r="M127" t="str">
            <v>IGNORED</v>
          </cell>
          <cell r="N127" t="str">
            <v>IGNORED</v>
          </cell>
          <cell r="O127" t="str">
            <v>IGNORED</v>
          </cell>
          <cell r="P127" t="str">
            <v>IGNORED</v>
          </cell>
          <cell r="Q127" t="str">
            <v>IGNORED</v>
          </cell>
          <cell r="R127" t="str">
            <v>IGNORED</v>
          </cell>
          <cell r="S127" t="str">
            <v>IGNORED</v>
          </cell>
          <cell r="T127" t="str">
            <v>IGNORED</v>
          </cell>
          <cell r="U127" t="str">
            <v>IGNORED</v>
          </cell>
          <cell r="V127" t="str">
            <v>IGNORED</v>
          </cell>
          <cell r="W127" t="str">
            <v>IGNORED</v>
          </cell>
          <cell r="X127" t="str">
            <v>IGNORED</v>
          </cell>
          <cell r="Y127" t="str">
            <v>IGNORED</v>
          </cell>
          <cell r="Z127" t="str">
            <v>IGNORED</v>
          </cell>
          <cell r="AA127" t="str">
            <v>IGNORED</v>
          </cell>
          <cell r="AB127" t="str">
            <v>IGNORED</v>
          </cell>
          <cell r="AC127" t="str">
            <v>IGNORED</v>
          </cell>
          <cell r="AD127" t="str">
            <v>IGNORED</v>
          </cell>
          <cell r="AE127" t="str">
            <v>IGNORED</v>
          </cell>
          <cell r="AF127" t="str">
            <v>IGNORED</v>
          </cell>
          <cell r="AG127" t="str">
            <v>IGNORED</v>
          </cell>
          <cell r="AH127" t="str">
            <v>IGNORED</v>
          </cell>
          <cell r="AI127" t="str">
            <v>IGNORED</v>
          </cell>
          <cell r="AJ127" t="str">
            <v>IGNORED</v>
          </cell>
          <cell r="AK127" t="str">
            <v>IGNORED</v>
          </cell>
          <cell r="AL127" t="str">
            <v>IGNORED</v>
          </cell>
          <cell r="AM127" t="str">
            <v>IGNORED</v>
          </cell>
          <cell r="AN127" t="str">
            <v>IGNORED</v>
          </cell>
          <cell r="AO127" t="str">
            <v>IGNORED</v>
          </cell>
          <cell r="AP127" t="str">
            <v>IGNORED</v>
          </cell>
          <cell r="AQ127" t="str">
            <v>IGNORED</v>
          </cell>
          <cell r="AR127" t="str">
            <v>IGNORED</v>
          </cell>
        </row>
        <row r="128">
          <cell r="B128" t="str">
            <v>Sales - % Italy</v>
          </cell>
          <cell r="C128" t="str">
            <v>SALES_ITA</v>
          </cell>
          <cell r="F128" t="str">
            <v>IGNORED</v>
          </cell>
          <cell r="G128" t="str">
            <v>IGNORED</v>
          </cell>
          <cell r="H128" t="str">
            <v>IGNORED</v>
          </cell>
          <cell r="I128" t="str">
            <v>IGNORED</v>
          </cell>
          <cell r="J128" t="str">
            <v>IGNORED</v>
          </cell>
          <cell r="K128" t="str">
            <v>IGNORED</v>
          </cell>
          <cell r="L128" t="str">
            <v>IGNORED</v>
          </cell>
          <cell r="M128" t="str">
            <v>IGNORED</v>
          </cell>
          <cell r="N128" t="str">
            <v>IGNORED</v>
          </cell>
          <cell r="O128" t="str">
            <v>IGNORED</v>
          </cell>
          <cell r="P128" t="str">
            <v>IGNORED</v>
          </cell>
          <cell r="Q128" t="str">
            <v>IGNORED</v>
          </cell>
          <cell r="R128" t="str">
            <v>IGNORED</v>
          </cell>
          <cell r="S128" t="str">
            <v>IGNORED</v>
          </cell>
          <cell r="T128" t="str">
            <v>IGNORED</v>
          </cell>
          <cell r="U128" t="str">
            <v>IGNORED</v>
          </cell>
          <cell r="V128" t="str">
            <v>IGNORED</v>
          </cell>
          <cell r="W128" t="str">
            <v>IGNORED</v>
          </cell>
          <cell r="X128" t="str">
            <v>IGNORED</v>
          </cell>
          <cell r="Y128" t="str">
            <v>IGNORED</v>
          </cell>
          <cell r="Z128" t="str">
            <v>IGNORED</v>
          </cell>
          <cell r="AA128" t="str">
            <v>IGNORED</v>
          </cell>
          <cell r="AB128" t="str">
            <v>IGNORED</v>
          </cell>
          <cell r="AC128" t="str">
            <v>IGNORED</v>
          </cell>
          <cell r="AD128" t="str">
            <v>IGNORED</v>
          </cell>
          <cell r="AE128" t="str">
            <v>IGNORED</v>
          </cell>
          <cell r="AF128" t="str">
            <v>IGNORED</v>
          </cell>
          <cell r="AG128" t="str">
            <v>IGNORED</v>
          </cell>
          <cell r="AH128" t="str">
            <v>IGNORED</v>
          </cell>
          <cell r="AI128" t="str">
            <v>IGNORED</v>
          </cell>
          <cell r="AJ128" t="str">
            <v>IGNORED</v>
          </cell>
          <cell r="AK128" t="str">
            <v>IGNORED</v>
          </cell>
          <cell r="AL128" t="str">
            <v>IGNORED</v>
          </cell>
          <cell r="AM128" t="str">
            <v>IGNORED</v>
          </cell>
          <cell r="AN128" t="str">
            <v>IGNORED</v>
          </cell>
          <cell r="AO128" t="str">
            <v>IGNORED</v>
          </cell>
          <cell r="AP128" t="str">
            <v>IGNORED</v>
          </cell>
          <cell r="AQ128" t="str">
            <v>IGNORED</v>
          </cell>
          <cell r="AR128" t="str">
            <v>IGNORED</v>
          </cell>
        </row>
        <row r="129">
          <cell r="B129" t="str">
            <v>Sales - % Netherlands</v>
          </cell>
          <cell r="C129" t="str">
            <v>SALES_NETH</v>
          </cell>
          <cell r="F129" t="str">
            <v>IGNORED</v>
          </cell>
          <cell r="G129" t="str">
            <v>IGNORED</v>
          </cell>
          <cell r="H129" t="str">
            <v>IGNORED</v>
          </cell>
          <cell r="I129" t="str">
            <v>IGNORED</v>
          </cell>
          <cell r="J129" t="str">
            <v>IGNORED</v>
          </cell>
          <cell r="K129" t="str">
            <v>IGNORED</v>
          </cell>
          <cell r="L129" t="str">
            <v>IGNORED</v>
          </cell>
          <cell r="M129" t="str">
            <v>IGNORED</v>
          </cell>
          <cell r="N129" t="str">
            <v>IGNORED</v>
          </cell>
          <cell r="O129" t="str">
            <v>IGNORED</v>
          </cell>
          <cell r="P129" t="str">
            <v>IGNORED</v>
          </cell>
          <cell r="Q129" t="str">
            <v>IGNORED</v>
          </cell>
          <cell r="R129" t="str">
            <v>IGNORED</v>
          </cell>
          <cell r="S129" t="str">
            <v>IGNORED</v>
          </cell>
          <cell r="T129" t="str">
            <v>IGNORED</v>
          </cell>
          <cell r="U129" t="str">
            <v>IGNORED</v>
          </cell>
          <cell r="V129" t="str">
            <v>IGNORED</v>
          </cell>
          <cell r="W129" t="str">
            <v>IGNORED</v>
          </cell>
          <cell r="X129" t="str">
            <v>IGNORED</v>
          </cell>
          <cell r="Y129" t="str">
            <v>IGNORED</v>
          </cell>
          <cell r="Z129" t="str">
            <v>IGNORED</v>
          </cell>
          <cell r="AA129" t="str">
            <v>IGNORED</v>
          </cell>
          <cell r="AB129" t="str">
            <v>IGNORED</v>
          </cell>
          <cell r="AC129" t="str">
            <v>IGNORED</v>
          </cell>
          <cell r="AD129" t="str">
            <v>IGNORED</v>
          </cell>
          <cell r="AE129" t="str">
            <v>IGNORED</v>
          </cell>
          <cell r="AF129" t="str">
            <v>IGNORED</v>
          </cell>
          <cell r="AG129" t="str">
            <v>IGNORED</v>
          </cell>
          <cell r="AH129" t="str">
            <v>IGNORED</v>
          </cell>
          <cell r="AI129" t="str">
            <v>IGNORED</v>
          </cell>
          <cell r="AJ129" t="str">
            <v>IGNORED</v>
          </cell>
          <cell r="AK129" t="str">
            <v>IGNORED</v>
          </cell>
          <cell r="AL129" t="str">
            <v>IGNORED</v>
          </cell>
          <cell r="AM129" t="str">
            <v>IGNORED</v>
          </cell>
          <cell r="AN129" t="str">
            <v>IGNORED</v>
          </cell>
          <cell r="AO129" t="str">
            <v>IGNORED</v>
          </cell>
          <cell r="AP129" t="str">
            <v>IGNORED</v>
          </cell>
          <cell r="AQ129" t="str">
            <v>IGNORED</v>
          </cell>
          <cell r="AR129" t="str">
            <v>IGNORED</v>
          </cell>
        </row>
        <row r="130">
          <cell r="B130" t="str">
            <v>Sales - % Norway</v>
          </cell>
          <cell r="C130" t="str">
            <v>SALES_NOR</v>
          </cell>
          <cell r="F130" t="str">
            <v>IGNORED</v>
          </cell>
          <cell r="G130" t="str">
            <v>IGNORED</v>
          </cell>
          <cell r="H130" t="str">
            <v>IGNORED</v>
          </cell>
          <cell r="I130" t="str">
            <v>IGNORED</v>
          </cell>
          <cell r="J130" t="str">
            <v>IGNORED</v>
          </cell>
          <cell r="K130" t="str">
            <v>IGNORED</v>
          </cell>
          <cell r="L130" t="str">
            <v>IGNORED</v>
          </cell>
          <cell r="M130" t="str">
            <v>IGNORED</v>
          </cell>
          <cell r="N130" t="str">
            <v>IGNORED</v>
          </cell>
          <cell r="O130" t="str">
            <v>IGNORED</v>
          </cell>
          <cell r="P130" t="str">
            <v>IGNORED</v>
          </cell>
          <cell r="Q130" t="str">
            <v>IGNORED</v>
          </cell>
          <cell r="R130" t="str">
            <v>IGNORED</v>
          </cell>
          <cell r="S130" t="str">
            <v>IGNORED</v>
          </cell>
          <cell r="T130" t="str">
            <v>IGNORED</v>
          </cell>
          <cell r="U130" t="str">
            <v>IGNORED</v>
          </cell>
          <cell r="V130" t="str">
            <v>IGNORED</v>
          </cell>
          <cell r="W130" t="str">
            <v>IGNORED</v>
          </cell>
          <cell r="X130" t="str">
            <v>IGNORED</v>
          </cell>
          <cell r="Y130" t="str">
            <v>IGNORED</v>
          </cell>
          <cell r="Z130" t="str">
            <v>IGNORED</v>
          </cell>
          <cell r="AA130" t="str">
            <v>IGNORED</v>
          </cell>
          <cell r="AB130" t="str">
            <v>IGNORED</v>
          </cell>
          <cell r="AC130" t="str">
            <v>IGNORED</v>
          </cell>
          <cell r="AD130" t="str">
            <v>IGNORED</v>
          </cell>
          <cell r="AE130" t="str">
            <v>IGNORED</v>
          </cell>
          <cell r="AF130" t="str">
            <v>IGNORED</v>
          </cell>
          <cell r="AG130" t="str">
            <v>IGNORED</v>
          </cell>
          <cell r="AH130" t="str">
            <v>IGNORED</v>
          </cell>
          <cell r="AI130" t="str">
            <v>IGNORED</v>
          </cell>
          <cell r="AJ130" t="str">
            <v>IGNORED</v>
          </cell>
          <cell r="AK130" t="str">
            <v>IGNORED</v>
          </cell>
          <cell r="AL130" t="str">
            <v>IGNORED</v>
          </cell>
          <cell r="AM130" t="str">
            <v>IGNORED</v>
          </cell>
          <cell r="AN130" t="str">
            <v>IGNORED</v>
          </cell>
          <cell r="AO130" t="str">
            <v>IGNORED</v>
          </cell>
          <cell r="AP130" t="str">
            <v>IGNORED</v>
          </cell>
          <cell r="AQ130" t="str">
            <v>IGNORED</v>
          </cell>
          <cell r="AR130" t="str">
            <v>IGNORED</v>
          </cell>
        </row>
        <row r="131">
          <cell r="B131" t="str">
            <v>Sales - % Portugal</v>
          </cell>
          <cell r="C131" t="str">
            <v>SALES_POR</v>
          </cell>
          <cell r="F131" t="str">
            <v>IGNORED</v>
          </cell>
          <cell r="G131" t="str">
            <v>IGNORED</v>
          </cell>
          <cell r="H131" t="str">
            <v>IGNORED</v>
          </cell>
          <cell r="I131" t="str">
            <v>IGNORED</v>
          </cell>
          <cell r="J131" t="str">
            <v>IGNORED</v>
          </cell>
          <cell r="K131" t="str">
            <v>IGNORED</v>
          </cell>
          <cell r="L131" t="str">
            <v>IGNORED</v>
          </cell>
          <cell r="M131" t="str">
            <v>IGNORED</v>
          </cell>
          <cell r="N131" t="str">
            <v>IGNORED</v>
          </cell>
          <cell r="O131" t="str">
            <v>IGNORED</v>
          </cell>
          <cell r="P131" t="str">
            <v>IGNORED</v>
          </cell>
          <cell r="Q131" t="str">
            <v>IGNORED</v>
          </cell>
          <cell r="R131" t="str">
            <v>IGNORED</v>
          </cell>
          <cell r="S131" t="str">
            <v>IGNORED</v>
          </cell>
          <cell r="T131" t="str">
            <v>IGNORED</v>
          </cell>
          <cell r="U131" t="str">
            <v>IGNORED</v>
          </cell>
          <cell r="V131" t="str">
            <v>IGNORED</v>
          </cell>
          <cell r="W131" t="str">
            <v>IGNORED</v>
          </cell>
          <cell r="X131" t="str">
            <v>IGNORED</v>
          </cell>
          <cell r="Y131" t="str">
            <v>IGNORED</v>
          </cell>
          <cell r="Z131" t="str">
            <v>IGNORED</v>
          </cell>
          <cell r="AA131" t="str">
            <v>IGNORED</v>
          </cell>
          <cell r="AB131" t="str">
            <v>IGNORED</v>
          </cell>
          <cell r="AC131" t="str">
            <v>IGNORED</v>
          </cell>
          <cell r="AD131" t="str">
            <v>IGNORED</v>
          </cell>
          <cell r="AE131" t="str">
            <v>IGNORED</v>
          </cell>
          <cell r="AF131" t="str">
            <v>IGNORED</v>
          </cell>
          <cell r="AG131" t="str">
            <v>IGNORED</v>
          </cell>
          <cell r="AH131" t="str">
            <v>IGNORED</v>
          </cell>
          <cell r="AI131" t="str">
            <v>IGNORED</v>
          </cell>
          <cell r="AJ131" t="str">
            <v>IGNORED</v>
          </cell>
          <cell r="AK131" t="str">
            <v>IGNORED</v>
          </cell>
          <cell r="AL131" t="str">
            <v>IGNORED</v>
          </cell>
          <cell r="AM131" t="str">
            <v>IGNORED</v>
          </cell>
          <cell r="AN131" t="str">
            <v>IGNORED</v>
          </cell>
          <cell r="AO131" t="str">
            <v>IGNORED</v>
          </cell>
          <cell r="AP131" t="str">
            <v>IGNORED</v>
          </cell>
          <cell r="AQ131" t="str">
            <v>IGNORED</v>
          </cell>
          <cell r="AR131" t="str">
            <v>IGNORED</v>
          </cell>
        </row>
        <row r="132">
          <cell r="B132" t="str">
            <v>Sales - % Spain</v>
          </cell>
          <cell r="C132" t="str">
            <v>SALES_SPA</v>
          </cell>
          <cell r="F132" t="str">
            <v>IGNORED</v>
          </cell>
          <cell r="G132" t="str">
            <v>IGNORED</v>
          </cell>
          <cell r="H132" t="str">
            <v>IGNORED</v>
          </cell>
          <cell r="I132" t="str">
            <v>IGNORED</v>
          </cell>
          <cell r="J132" t="str">
            <v>IGNORED</v>
          </cell>
          <cell r="K132" t="str">
            <v>IGNORED</v>
          </cell>
          <cell r="L132" t="str">
            <v>IGNORED</v>
          </cell>
          <cell r="M132" t="str">
            <v>IGNORED</v>
          </cell>
          <cell r="N132" t="str">
            <v>IGNORED</v>
          </cell>
          <cell r="O132" t="str">
            <v>IGNORED</v>
          </cell>
          <cell r="P132" t="str">
            <v>IGNORED</v>
          </cell>
          <cell r="Q132" t="str">
            <v>IGNORED</v>
          </cell>
          <cell r="R132" t="str">
            <v>IGNORED</v>
          </cell>
          <cell r="S132" t="str">
            <v>IGNORED</v>
          </cell>
          <cell r="T132" t="str">
            <v>IGNORED</v>
          </cell>
          <cell r="U132" t="str">
            <v>IGNORED</v>
          </cell>
          <cell r="V132" t="str">
            <v>IGNORED</v>
          </cell>
          <cell r="W132" t="str">
            <v>IGNORED</v>
          </cell>
          <cell r="X132" t="str">
            <v>IGNORED</v>
          </cell>
          <cell r="Y132" t="str">
            <v>IGNORED</v>
          </cell>
          <cell r="Z132" t="str">
            <v>IGNORED</v>
          </cell>
          <cell r="AA132" t="str">
            <v>IGNORED</v>
          </cell>
          <cell r="AB132" t="str">
            <v>IGNORED</v>
          </cell>
          <cell r="AC132" t="str">
            <v>IGNORED</v>
          </cell>
          <cell r="AD132" t="str">
            <v>IGNORED</v>
          </cell>
          <cell r="AE132" t="str">
            <v>IGNORED</v>
          </cell>
          <cell r="AF132" t="str">
            <v>IGNORED</v>
          </cell>
          <cell r="AG132" t="str">
            <v>IGNORED</v>
          </cell>
          <cell r="AH132" t="str">
            <v>IGNORED</v>
          </cell>
          <cell r="AI132" t="str">
            <v>IGNORED</v>
          </cell>
          <cell r="AJ132" t="str">
            <v>IGNORED</v>
          </cell>
          <cell r="AK132" t="str">
            <v>IGNORED</v>
          </cell>
          <cell r="AL132" t="str">
            <v>IGNORED</v>
          </cell>
          <cell r="AM132" t="str">
            <v>IGNORED</v>
          </cell>
          <cell r="AN132" t="str">
            <v>IGNORED</v>
          </cell>
          <cell r="AO132" t="str">
            <v>IGNORED</v>
          </cell>
          <cell r="AP132" t="str">
            <v>IGNORED</v>
          </cell>
          <cell r="AQ132" t="str">
            <v>IGNORED</v>
          </cell>
          <cell r="AR132" t="str">
            <v>IGNORED</v>
          </cell>
        </row>
        <row r="133">
          <cell r="B133" t="str">
            <v>Sales - % Sweden</v>
          </cell>
          <cell r="C133" t="str">
            <v>SALES_SWE</v>
          </cell>
          <cell r="F133" t="str">
            <v>IGNORED</v>
          </cell>
          <cell r="G133" t="str">
            <v>IGNORED</v>
          </cell>
          <cell r="H133" t="str">
            <v>IGNORED</v>
          </cell>
          <cell r="I133" t="str">
            <v>IGNORED</v>
          </cell>
          <cell r="J133" t="str">
            <v>IGNORED</v>
          </cell>
          <cell r="K133" t="str">
            <v>IGNORED</v>
          </cell>
          <cell r="L133" t="str">
            <v>IGNORED</v>
          </cell>
          <cell r="M133" t="str">
            <v>IGNORED</v>
          </cell>
          <cell r="N133" t="str">
            <v>IGNORED</v>
          </cell>
          <cell r="O133" t="str">
            <v>IGNORED</v>
          </cell>
          <cell r="P133" t="str">
            <v>IGNORED</v>
          </cell>
          <cell r="Q133" t="str">
            <v>IGNORED</v>
          </cell>
          <cell r="R133" t="str">
            <v>IGNORED</v>
          </cell>
          <cell r="S133" t="str">
            <v>IGNORED</v>
          </cell>
          <cell r="T133" t="str">
            <v>IGNORED</v>
          </cell>
          <cell r="U133" t="str">
            <v>IGNORED</v>
          </cell>
          <cell r="V133" t="str">
            <v>IGNORED</v>
          </cell>
          <cell r="W133" t="str">
            <v>IGNORED</v>
          </cell>
          <cell r="X133" t="str">
            <v>IGNORED</v>
          </cell>
          <cell r="Y133" t="str">
            <v>IGNORED</v>
          </cell>
          <cell r="Z133" t="str">
            <v>IGNORED</v>
          </cell>
          <cell r="AA133" t="str">
            <v>IGNORED</v>
          </cell>
          <cell r="AB133" t="str">
            <v>IGNORED</v>
          </cell>
          <cell r="AC133" t="str">
            <v>IGNORED</v>
          </cell>
          <cell r="AD133" t="str">
            <v>IGNORED</v>
          </cell>
          <cell r="AE133" t="str">
            <v>IGNORED</v>
          </cell>
          <cell r="AF133" t="str">
            <v>IGNORED</v>
          </cell>
          <cell r="AG133" t="str">
            <v>IGNORED</v>
          </cell>
          <cell r="AH133" t="str">
            <v>IGNORED</v>
          </cell>
          <cell r="AI133" t="str">
            <v>IGNORED</v>
          </cell>
          <cell r="AJ133" t="str">
            <v>IGNORED</v>
          </cell>
          <cell r="AK133" t="str">
            <v>IGNORED</v>
          </cell>
          <cell r="AL133" t="str">
            <v>IGNORED</v>
          </cell>
          <cell r="AM133" t="str">
            <v>IGNORED</v>
          </cell>
          <cell r="AN133" t="str">
            <v>IGNORED</v>
          </cell>
          <cell r="AO133" t="str">
            <v>IGNORED</v>
          </cell>
          <cell r="AP133" t="str">
            <v>IGNORED</v>
          </cell>
          <cell r="AQ133" t="str">
            <v>IGNORED</v>
          </cell>
          <cell r="AR133" t="str">
            <v>IGNORED</v>
          </cell>
        </row>
        <row r="134">
          <cell r="B134" t="str">
            <v>Sales - % Switzerland</v>
          </cell>
          <cell r="C134" t="str">
            <v>SALES_SWIT</v>
          </cell>
          <cell r="F134" t="str">
            <v>IGNORED</v>
          </cell>
          <cell r="G134" t="str">
            <v>IGNORED</v>
          </cell>
          <cell r="H134" t="str">
            <v>IGNORED</v>
          </cell>
          <cell r="I134" t="str">
            <v>IGNORED</v>
          </cell>
          <cell r="J134" t="str">
            <v>IGNORED</v>
          </cell>
          <cell r="K134" t="str">
            <v>IGNORED</v>
          </cell>
          <cell r="L134" t="str">
            <v>IGNORED</v>
          </cell>
          <cell r="M134" t="str">
            <v>IGNORED</v>
          </cell>
          <cell r="N134" t="str">
            <v>IGNORED</v>
          </cell>
          <cell r="O134" t="str">
            <v>IGNORED</v>
          </cell>
          <cell r="P134" t="str">
            <v>IGNORED</v>
          </cell>
          <cell r="Q134" t="str">
            <v>IGNORED</v>
          </cell>
          <cell r="R134" t="str">
            <v>IGNORED</v>
          </cell>
          <cell r="S134" t="str">
            <v>IGNORED</v>
          </cell>
          <cell r="T134" t="str">
            <v>IGNORED</v>
          </cell>
          <cell r="U134" t="str">
            <v>IGNORED</v>
          </cell>
          <cell r="V134" t="str">
            <v>IGNORED</v>
          </cell>
          <cell r="W134" t="str">
            <v>IGNORED</v>
          </cell>
          <cell r="X134" t="str">
            <v>IGNORED</v>
          </cell>
          <cell r="Y134" t="str">
            <v>IGNORED</v>
          </cell>
          <cell r="Z134" t="str">
            <v>IGNORED</v>
          </cell>
          <cell r="AA134" t="str">
            <v>IGNORED</v>
          </cell>
          <cell r="AB134" t="str">
            <v>IGNORED</v>
          </cell>
          <cell r="AC134" t="str">
            <v>IGNORED</v>
          </cell>
          <cell r="AD134" t="str">
            <v>IGNORED</v>
          </cell>
          <cell r="AE134" t="str">
            <v>IGNORED</v>
          </cell>
          <cell r="AF134" t="str">
            <v>IGNORED</v>
          </cell>
          <cell r="AG134" t="str">
            <v>IGNORED</v>
          </cell>
          <cell r="AH134" t="str">
            <v>IGNORED</v>
          </cell>
          <cell r="AI134" t="str">
            <v>IGNORED</v>
          </cell>
          <cell r="AJ134" t="str">
            <v>IGNORED</v>
          </cell>
          <cell r="AK134" t="str">
            <v>IGNORED</v>
          </cell>
          <cell r="AL134" t="str">
            <v>IGNORED</v>
          </cell>
          <cell r="AM134" t="str">
            <v>IGNORED</v>
          </cell>
          <cell r="AN134" t="str">
            <v>IGNORED</v>
          </cell>
          <cell r="AO134" t="str">
            <v>IGNORED</v>
          </cell>
          <cell r="AP134" t="str">
            <v>IGNORED</v>
          </cell>
          <cell r="AQ134" t="str">
            <v>IGNORED</v>
          </cell>
          <cell r="AR134" t="str">
            <v>IGNORED</v>
          </cell>
        </row>
        <row r="135">
          <cell r="B135" t="str">
            <v>Sales - % Central &amp; Eastern Europe</v>
          </cell>
          <cell r="C135" t="str">
            <v>SALES_CEE</v>
          </cell>
          <cell r="F135" t="str">
            <v>IGNORED</v>
          </cell>
          <cell r="G135" t="str">
            <v>IGNORED</v>
          </cell>
          <cell r="H135" t="str">
            <v>IGNORED</v>
          </cell>
          <cell r="I135" t="str">
            <v>IGNORED</v>
          </cell>
          <cell r="J135" t="str">
            <v>IGNORED</v>
          </cell>
          <cell r="K135" t="str">
            <v>IGNORED</v>
          </cell>
          <cell r="L135" t="str">
            <v>IGNORED</v>
          </cell>
          <cell r="M135" t="str">
            <v>IGNORED</v>
          </cell>
          <cell r="N135" t="str">
            <v>IGNORED</v>
          </cell>
          <cell r="O135" t="str">
            <v>IGNORED</v>
          </cell>
          <cell r="P135" t="str">
            <v>IGNORED</v>
          </cell>
          <cell r="Q135" t="str">
            <v>IGNORED</v>
          </cell>
          <cell r="R135" t="str">
            <v>IGNORED</v>
          </cell>
          <cell r="S135" t="str">
            <v>IGNORED</v>
          </cell>
          <cell r="T135" t="str">
            <v>IGNORED</v>
          </cell>
          <cell r="U135" t="str">
            <v>IGNORED</v>
          </cell>
          <cell r="V135" t="str">
            <v>IGNORED</v>
          </cell>
          <cell r="W135" t="str">
            <v>IGNORED</v>
          </cell>
          <cell r="X135" t="str">
            <v>IGNORED</v>
          </cell>
          <cell r="Y135" t="str">
            <v>IGNORED</v>
          </cell>
          <cell r="Z135" t="str">
            <v>IGNORED</v>
          </cell>
          <cell r="AA135" t="str">
            <v>IGNORED</v>
          </cell>
          <cell r="AB135" t="str">
            <v>IGNORED</v>
          </cell>
          <cell r="AC135" t="str">
            <v>IGNORED</v>
          </cell>
          <cell r="AD135" t="str">
            <v>IGNORED</v>
          </cell>
          <cell r="AE135" t="str">
            <v>IGNORED</v>
          </cell>
          <cell r="AF135" t="str">
            <v>IGNORED</v>
          </cell>
          <cell r="AG135" t="str">
            <v>IGNORED</v>
          </cell>
          <cell r="AH135" t="str">
            <v>IGNORED</v>
          </cell>
          <cell r="AI135" t="str">
            <v>IGNORED</v>
          </cell>
          <cell r="AJ135" t="str">
            <v>IGNORED</v>
          </cell>
          <cell r="AK135" t="str">
            <v>IGNORED</v>
          </cell>
          <cell r="AL135" t="str">
            <v>IGNORED</v>
          </cell>
          <cell r="AM135" t="str">
            <v>IGNORED</v>
          </cell>
          <cell r="AN135" t="str">
            <v>IGNORED</v>
          </cell>
          <cell r="AO135" t="str">
            <v>IGNORED</v>
          </cell>
          <cell r="AP135" t="str">
            <v>IGNORED</v>
          </cell>
          <cell r="AQ135" t="str">
            <v>IGNORED</v>
          </cell>
          <cell r="AR135" t="str">
            <v>IGNORED</v>
          </cell>
        </row>
        <row r="136">
          <cell r="B136" t="str">
            <v>Sales - % Middle East</v>
          </cell>
          <cell r="C136" t="str">
            <v>SALES_ME</v>
          </cell>
          <cell r="F136" t="str">
            <v>IGNORED</v>
          </cell>
          <cell r="G136" t="str">
            <v>IGNORED</v>
          </cell>
          <cell r="H136" t="str">
            <v>IGNORED</v>
          </cell>
          <cell r="I136" t="str">
            <v>IGNORED</v>
          </cell>
          <cell r="J136" t="str">
            <v>IGNORED</v>
          </cell>
          <cell r="K136" t="str">
            <v>IGNORED</v>
          </cell>
          <cell r="L136" t="str">
            <v>IGNORED</v>
          </cell>
          <cell r="M136" t="str">
            <v>IGNORED</v>
          </cell>
          <cell r="N136" t="str">
            <v>IGNORED</v>
          </cell>
          <cell r="O136" t="str">
            <v>IGNORED</v>
          </cell>
          <cell r="P136" t="str">
            <v>IGNORED</v>
          </cell>
          <cell r="Q136" t="str">
            <v>IGNORED</v>
          </cell>
          <cell r="R136" t="str">
            <v>IGNORED</v>
          </cell>
          <cell r="S136" t="str">
            <v>IGNORED</v>
          </cell>
          <cell r="T136" t="str">
            <v>IGNORED</v>
          </cell>
          <cell r="U136" t="str">
            <v>IGNORED</v>
          </cell>
          <cell r="V136" t="str">
            <v>IGNORED</v>
          </cell>
          <cell r="W136" t="str">
            <v>IGNORED</v>
          </cell>
          <cell r="X136" t="str">
            <v>IGNORED</v>
          </cell>
          <cell r="Y136" t="str">
            <v>IGNORED</v>
          </cell>
          <cell r="Z136" t="str">
            <v>IGNORED</v>
          </cell>
          <cell r="AA136" t="str">
            <v>IGNORED</v>
          </cell>
          <cell r="AB136" t="str">
            <v>IGNORED</v>
          </cell>
          <cell r="AC136" t="str">
            <v>IGNORED</v>
          </cell>
          <cell r="AD136" t="str">
            <v>IGNORED</v>
          </cell>
          <cell r="AE136" t="str">
            <v>IGNORED</v>
          </cell>
          <cell r="AF136" t="str">
            <v>IGNORED</v>
          </cell>
          <cell r="AG136" t="str">
            <v>IGNORED</v>
          </cell>
          <cell r="AH136" t="str">
            <v>IGNORED</v>
          </cell>
          <cell r="AI136" t="str">
            <v>IGNORED</v>
          </cell>
          <cell r="AJ136" t="str">
            <v>IGNORED</v>
          </cell>
          <cell r="AK136" t="str">
            <v>IGNORED</v>
          </cell>
          <cell r="AL136" t="str">
            <v>IGNORED</v>
          </cell>
          <cell r="AM136" t="str">
            <v>IGNORED</v>
          </cell>
          <cell r="AN136" t="str">
            <v>IGNORED</v>
          </cell>
          <cell r="AO136" t="str">
            <v>IGNORED</v>
          </cell>
          <cell r="AP136" t="str">
            <v>IGNORED</v>
          </cell>
          <cell r="AQ136" t="str">
            <v>IGNORED</v>
          </cell>
          <cell r="AR136" t="str">
            <v>IGNORED</v>
          </cell>
        </row>
        <row r="137">
          <cell r="B137" t="str">
            <v>Sales - % Russia</v>
          </cell>
          <cell r="C137" t="str">
            <v>SALES_RUSSIA</v>
          </cell>
          <cell r="F137" t="str">
            <v>IGNORED</v>
          </cell>
          <cell r="G137" t="str">
            <v>IGNORED</v>
          </cell>
          <cell r="H137" t="str">
            <v>IGNORED</v>
          </cell>
          <cell r="I137" t="str">
            <v>IGNORED</v>
          </cell>
          <cell r="J137" t="str">
            <v>IGNORED</v>
          </cell>
          <cell r="K137" t="str">
            <v>IGNORED</v>
          </cell>
          <cell r="L137" t="str">
            <v>IGNORED</v>
          </cell>
          <cell r="M137" t="str">
            <v>IGNORED</v>
          </cell>
          <cell r="N137" t="str">
            <v>IGNORED</v>
          </cell>
          <cell r="O137" t="str">
            <v>IGNORED</v>
          </cell>
          <cell r="P137" t="str">
            <v>IGNORED</v>
          </cell>
          <cell r="Q137" t="str">
            <v>IGNORED</v>
          </cell>
          <cell r="R137" t="str">
            <v>IGNORED</v>
          </cell>
          <cell r="S137" t="str">
            <v>IGNORED</v>
          </cell>
          <cell r="T137" t="str">
            <v>IGNORED</v>
          </cell>
          <cell r="U137" t="str">
            <v>IGNORED</v>
          </cell>
          <cell r="V137" t="str">
            <v>IGNORED</v>
          </cell>
          <cell r="W137" t="str">
            <v>IGNORED</v>
          </cell>
          <cell r="X137" t="str">
            <v>IGNORED</v>
          </cell>
          <cell r="Y137" t="str">
            <v>IGNORED</v>
          </cell>
          <cell r="Z137" t="str">
            <v>IGNORED</v>
          </cell>
          <cell r="AA137" t="str">
            <v>IGNORED</v>
          </cell>
          <cell r="AB137" t="str">
            <v>IGNORED</v>
          </cell>
          <cell r="AC137" t="str">
            <v>IGNORED</v>
          </cell>
          <cell r="AD137" t="str">
            <v>IGNORED</v>
          </cell>
          <cell r="AE137" t="str">
            <v>IGNORED</v>
          </cell>
          <cell r="AF137" t="str">
            <v>IGNORED</v>
          </cell>
          <cell r="AG137" t="str">
            <v>IGNORED</v>
          </cell>
          <cell r="AH137" t="str">
            <v>IGNORED</v>
          </cell>
          <cell r="AI137" t="str">
            <v>IGNORED</v>
          </cell>
          <cell r="AJ137" t="str">
            <v>IGNORED</v>
          </cell>
          <cell r="AK137" t="str">
            <v>IGNORED</v>
          </cell>
          <cell r="AL137" t="str">
            <v>IGNORED</v>
          </cell>
          <cell r="AM137" t="str">
            <v>IGNORED</v>
          </cell>
          <cell r="AN137" t="str">
            <v>IGNORED</v>
          </cell>
          <cell r="AO137" t="str">
            <v>IGNORED</v>
          </cell>
          <cell r="AP137" t="str">
            <v>IGNORED</v>
          </cell>
          <cell r="AQ137" t="str">
            <v>IGNORED</v>
          </cell>
          <cell r="AR137" t="str">
            <v>IGNORED</v>
          </cell>
        </row>
        <row r="138">
          <cell r="B138" t="str">
            <v>Sales - % Other EMEA</v>
          </cell>
          <cell r="C138" t="str">
            <v>SALES_OTH_EMEA</v>
          </cell>
          <cell r="F138" t="str">
            <v>IGNORED</v>
          </cell>
          <cell r="G138" t="str">
            <v>IGNORED</v>
          </cell>
          <cell r="H138" t="str">
            <v>IGNORED</v>
          </cell>
          <cell r="I138" t="str">
            <v>IGNORED</v>
          </cell>
          <cell r="J138" t="str">
            <v>IGNORED</v>
          </cell>
          <cell r="K138" t="str">
            <v>IGNORED</v>
          </cell>
          <cell r="L138" t="str">
            <v>IGNORED</v>
          </cell>
          <cell r="M138" t="str">
            <v>IGNORED</v>
          </cell>
          <cell r="N138" t="str">
            <v>IGNORED</v>
          </cell>
          <cell r="O138" t="str">
            <v>IGNORED</v>
          </cell>
          <cell r="P138" t="str">
            <v>IGNORED</v>
          </cell>
          <cell r="Q138" t="str">
            <v>IGNORED</v>
          </cell>
          <cell r="R138" t="str">
            <v>IGNORED</v>
          </cell>
          <cell r="S138" t="str">
            <v>IGNORED</v>
          </cell>
          <cell r="T138" t="str">
            <v>IGNORED</v>
          </cell>
          <cell r="U138" t="str">
            <v>IGNORED</v>
          </cell>
          <cell r="V138" t="str">
            <v>IGNORED</v>
          </cell>
          <cell r="W138" t="str">
            <v>IGNORED</v>
          </cell>
          <cell r="X138" t="str">
            <v>IGNORED</v>
          </cell>
          <cell r="Y138" t="str">
            <v>IGNORED</v>
          </cell>
          <cell r="Z138" t="str">
            <v>IGNORED</v>
          </cell>
          <cell r="AA138" t="str">
            <v>IGNORED</v>
          </cell>
          <cell r="AB138" t="str">
            <v>IGNORED</v>
          </cell>
          <cell r="AC138" t="str">
            <v>IGNORED</v>
          </cell>
          <cell r="AD138" t="str">
            <v>IGNORED</v>
          </cell>
          <cell r="AE138" t="str">
            <v>IGNORED</v>
          </cell>
          <cell r="AF138" t="str">
            <v>IGNORED</v>
          </cell>
          <cell r="AG138" t="str">
            <v>IGNORED</v>
          </cell>
          <cell r="AH138" t="str">
            <v>IGNORED</v>
          </cell>
          <cell r="AI138" t="str">
            <v>IGNORED</v>
          </cell>
          <cell r="AJ138" t="str">
            <v>IGNORED</v>
          </cell>
          <cell r="AK138" t="str">
            <v>IGNORED</v>
          </cell>
          <cell r="AL138" t="str">
            <v>IGNORED</v>
          </cell>
          <cell r="AM138" t="str">
            <v>IGNORED</v>
          </cell>
          <cell r="AN138" t="str">
            <v>IGNORED</v>
          </cell>
          <cell r="AO138" t="str">
            <v>IGNORED</v>
          </cell>
          <cell r="AP138" t="str">
            <v>IGNORED</v>
          </cell>
          <cell r="AQ138" t="str">
            <v>IGNORED</v>
          </cell>
          <cell r="AR138" t="str">
            <v>IGNORED</v>
          </cell>
        </row>
        <row r="139">
          <cell r="B139" t="str">
            <v>Sales - Total % Asia (incl Australia &amp; New Zealand)</v>
          </cell>
          <cell r="C139" t="str">
            <v>SALES_TOT_ASIA</v>
          </cell>
          <cell r="F139" t="str">
            <v>IGNORED</v>
          </cell>
          <cell r="G139" t="str">
            <v>IGNORED</v>
          </cell>
          <cell r="H139" t="str">
            <v>IGNORED</v>
          </cell>
          <cell r="I139" t="str">
            <v>IGNORED</v>
          </cell>
          <cell r="J139" t="str">
            <v>IGNORED</v>
          </cell>
          <cell r="K139" t="str">
            <v>IGNORED</v>
          </cell>
          <cell r="L139" t="str">
            <v>IGNORED</v>
          </cell>
          <cell r="M139" t="str">
            <v>IGNORED</v>
          </cell>
          <cell r="N139" t="str">
            <v>IGNORED</v>
          </cell>
          <cell r="O139" t="str">
            <v>IGNORED</v>
          </cell>
          <cell r="P139" t="str">
            <v>IGNORED</v>
          </cell>
          <cell r="Q139" t="str">
            <v>IGNORED</v>
          </cell>
          <cell r="R139" t="str">
            <v>IGNORED</v>
          </cell>
          <cell r="S139" t="str">
            <v>IGNORED</v>
          </cell>
          <cell r="T139" t="str">
            <v>IGNORED</v>
          </cell>
          <cell r="U139" t="str">
            <v>IGNORED</v>
          </cell>
          <cell r="V139" t="str">
            <v>IGNORED</v>
          </cell>
          <cell r="W139" t="str">
            <v>IGNORED</v>
          </cell>
          <cell r="X139" t="str">
            <v>IGNORED</v>
          </cell>
          <cell r="Y139" t="str">
            <v>IGNORED</v>
          </cell>
          <cell r="Z139" t="str">
            <v>IGNORED</v>
          </cell>
          <cell r="AA139" t="str">
            <v>IGNORED</v>
          </cell>
          <cell r="AB139" t="str">
            <v>IGNORED</v>
          </cell>
          <cell r="AC139" t="str">
            <v>IGNORED</v>
          </cell>
          <cell r="AD139" t="str">
            <v>IGNORED</v>
          </cell>
          <cell r="AE139" t="str">
            <v>IGNORED</v>
          </cell>
          <cell r="AF139" t="str">
            <v>IGNORED</v>
          </cell>
          <cell r="AG139" t="str">
            <v>IGNORED</v>
          </cell>
          <cell r="AH139" t="str">
            <v>IGNORED</v>
          </cell>
          <cell r="AI139" t="str">
            <v>IGNORED</v>
          </cell>
          <cell r="AJ139" t="str">
            <v>IGNORED</v>
          </cell>
          <cell r="AK139" t="str">
            <v>IGNORED</v>
          </cell>
          <cell r="AL139" t="str">
            <v>IGNORED</v>
          </cell>
          <cell r="AM139" t="str">
            <v>IGNORED</v>
          </cell>
          <cell r="AN139" t="str">
            <v>IGNORED</v>
          </cell>
          <cell r="AO139" t="str">
            <v>IGNORED</v>
          </cell>
          <cell r="AP139" t="str">
            <v>IGNORED</v>
          </cell>
          <cell r="AQ139" t="str">
            <v>IGNORED</v>
          </cell>
          <cell r="AR139" t="str">
            <v>IGNORED</v>
          </cell>
        </row>
        <row r="140">
          <cell r="B140" t="str">
            <v>Sales - % Japan</v>
          </cell>
          <cell r="C140" t="str">
            <v>SALES_JAPAN</v>
          </cell>
          <cell r="F140" t="str">
            <v>IGNORED</v>
          </cell>
          <cell r="G140" t="str">
            <v>IGNORED</v>
          </cell>
          <cell r="H140" t="str">
            <v>IGNORED</v>
          </cell>
          <cell r="I140" t="str">
            <v>IGNORED</v>
          </cell>
          <cell r="J140" t="str">
            <v>IGNORED</v>
          </cell>
          <cell r="K140" t="str">
            <v>IGNORED</v>
          </cell>
          <cell r="L140" t="str">
            <v>IGNORED</v>
          </cell>
          <cell r="M140" t="str">
            <v>IGNORED</v>
          </cell>
          <cell r="N140" t="str">
            <v>IGNORED</v>
          </cell>
          <cell r="O140" t="str">
            <v>IGNORED</v>
          </cell>
          <cell r="P140" t="str">
            <v>IGNORED</v>
          </cell>
          <cell r="Q140" t="str">
            <v>IGNORED</v>
          </cell>
          <cell r="R140" t="str">
            <v>IGNORED</v>
          </cell>
          <cell r="S140" t="str">
            <v>IGNORED</v>
          </cell>
          <cell r="T140" t="str">
            <v>IGNORED</v>
          </cell>
          <cell r="U140" t="str">
            <v>IGNORED</v>
          </cell>
          <cell r="V140" t="str">
            <v>IGNORED</v>
          </cell>
          <cell r="W140" t="str">
            <v>IGNORED</v>
          </cell>
          <cell r="X140" t="str">
            <v>IGNORED</v>
          </cell>
          <cell r="Y140" t="str">
            <v>IGNORED</v>
          </cell>
          <cell r="Z140" t="str">
            <v>IGNORED</v>
          </cell>
          <cell r="AA140" t="str">
            <v>IGNORED</v>
          </cell>
          <cell r="AB140" t="str">
            <v>IGNORED</v>
          </cell>
          <cell r="AC140" t="str">
            <v>IGNORED</v>
          </cell>
          <cell r="AD140" t="str">
            <v>IGNORED</v>
          </cell>
          <cell r="AE140" t="str">
            <v>IGNORED</v>
          </cell>
          <cell r="AF140" t="str">
            <v>IGNORED</v>
          </cell>
          <cell r="AG140" t="str">
            <v>IGNORED</v>
          </cell>
          <cell r="AH140" t="str">
            <v>IGNORED</v>
          </cell>
          <cell r="AI140" t="str">
            <v>IGNORED</v>
          </cell>
          <cell r="AJ140" t="str">
            <v>IGNORED</v>
          </cell>
          <cell r="AK140" t="str">
            <v>IGNORED</v>
          </cell>
          <cell r="AL140" t="str">
            <v>IGNORED</v>
          </cell>
          <cell r="AM140" t="str">
            <v>IGNORED</v>
          </cell>
          <cell r="AN140" t="str">
            <v>IGNORED</v>
          </cell>
          <cell r="AO140" t="str">
            <v>IGNORED</v>
          </cell>
          <cell r="AP140" t="str">
            <v>IGNORED</v>
          </cell>
          <cell r="AQ140" t="str">
            <v>IGNORED</v>
          </cell>
          <cell r="AR140" t="str">
            <v>IGNORED</v>
          </cell>
        </row>
        <row r="141">
          <cell r="B141" t="str">
            <v>Sales - % Greater China (incl HK)</v>
          </cell>
          <cell r="C141" t="str">
            <v>SALES_CHINA</v>
          </cell>
          <cell r="F141" t="str">
            <v>IGNORED</v>
          </cell>
          <cell r="G141" t="str">
            <v>IGNORED</v>
          </cell>
          <cell r="H141" t="str">
            <v>IGNORED</v>
          </cell>
          <cell r="I141" t="str">
            <v>IGNORED</v>
          </cell>
          <cell r="J141" t="str">
            <v>IGNORED</v>
          </cell>
          <cell r="K141" t="str">
            <v>IGNORED</v>
          </cell>
          <cell r="L141" t="str">
            <v>IGNORED</v>
          </cell>
          <cell r="M141" t="str">
            <v>IGNORED</v>
          </cell>
          <cell r="N141" t="str">
            <v>IGNORED</v>
          </cell>
          <cell r="O141" t="str">
            <v>IGNORED</v>
          </cell>
          <cell r="P141" t="str">
            <v>IGNORED</v>
          </cell>
          <cell r="Q141" t="str">
            <v>IGNORED</v>
          </cell>
          <cell r="R141" t="str">
            <v>IGNORED</v>
          </cell>
          <cell r="S141" t="str">
            <v>IGNORED</v>
          </cell>
          <cell r="T141" t="str">
            <v>IGNORED</v>
          </cell>
          <cell r="U141" t="str">
            <v>IGNORED</v>
          </cell>
          <cell r="V141" t="str">
            <v>IGNORED</v>
          </cell>
          <cell r="W141" t="str">
            <v>IGNORED</v>
          </cell>
          <cell r="X141" t="str">
            <v>IGNORED</v>
          </cell>
          <cell r="Y141" t="str">
            <v>IGNORED</v>
          </cell>
          <cell r="Z141" t="str">
            <v>IGNORED</v>
          </cell>
          <cell r="AA141" t="str">
            <v>IGNORED</v>
          </cell>
          <cell r="AB141" t="str">
            <v>IGNORED</v>
          </cell>
          <cell r="AC141" t="str">
            <v>IGNORED</v>
          </cell>
          <cell r="AD141" t="str">
            <v>IGNORED</v>
          </cell>
          <cell r="AE141" t="str">
            <v>IGNORED</v>
          </cell>
          <cell r="AF141" t="str">
            <v>IGNORED</v>
          </cell>
          <cell r="AG141" t="str">
            <v>IGNORED</v>
          </cell>
          <cell r="AH141" t="str">
            <v>IGNORED</v>
          </cell>
          <cell r="AI141" t="str">
            <v>IGNORED</v>
          </cell>
          <cell r="AJ141" t="str">
            <v>IGNORED</v>
          </cell>
          <cell r="AK141" t="str">
            <v>IGNORED</v>
          </cell>
          <cell r="AL141" t="str">
            <v>IGNORED</v>
          </cell>
          <cell r="AM141" t="str">
            <v>IGNORED</v>
          </cell>
          <cell r="AN141" t="str">
            <v>IGNORED</v>
          </cell>
          <cell r="AO141" t="str">
            <v>IGNORED</v>
          </cell>
          <cell r="AP141" t="str">
            <v>IGNORED</v>
          </cell>
          <cell r="AQ141" t="str">
            <v>IGNORED</v>
          </cell>
          <cell r="AR141" t="str">
            <v>IGNORED</v>
          </cell>
        </row>
        <row r="142">
          <cell r="B142" t="str">
            <v>Sales - % India</v>
          </cell>
          <cell r="C142" t="str">
            <v>SALES_INDIA</v>
          </cell>
          <cell r="F142" t="str">
            <v>IGNORED</v>
          </cell>
          <cell r="G142" t="str">
            <v>IGNORED</v>
          </cell>
          <cell r="H142" t="str">
            <v>IGNORED</v>
          </cell>
          <cell r="I142" t="str">
            <v>IGNORED</v>
          </cell>
          <cell r="J142" t="str">
            <v>IGNORED</v>
          </cell>
          <cell r="K142" t="str">
            <v>IGNORED</v>
          </cell>
          <cell r="L142" t="str">
            <v>IGNORED</v>
          </cell>
          <cell r="M142" t="str">
            <v>IGNORED</v>
          </cell>
          <cell r="N142" t="str">
            <v>IGNORED</v>
          </cell>
          <cell r="O142" t="str">
            <v>IGNORED</v>
          </cell>
          <cell r="P142" t="str">
            <v>IGNORED</v>
          </cell>
          <cell r="Q142" t="str">
            <v>IGNORED</v>
          </cell>
          <cell r="R142" t="str">
            <v>IGNORED</v>
          </cell>
          <cell r="S142" t="str">
            <v>IGNORED</v>
          </cell>
          <cell r="T142" t="str">
            <v>IGNORED</v>
          </cell>
          <cell r="U142" t="str">
            <v>IGNORED</v>
          </cell>
          <cell r="V142" t="str">
            <v>IGNORED</v>
          </cell>
          <cell r="W142" t="str">
            <v>IGNORED</v>
          </cell>
          <cell r="X142" t="str">
            <v>IGNORED</v>
          </cell>
          <cell r="Y142" t="str">
            <v>IGNORED</v>
          </cell>
          <cell r="Z142" t="str">
            <v>IGNORED</v>
          </cell>
          <cell r="AA142" t="str">
            <v>IGNORED</v>
          </cell>
          <cell r="AB142" t="str">
            <v>IGNORED</v>
          </cell>
          <cell r="AC142" t="str">
            <v>IGNORED</v>
          </cell>
          <cell r="AD142" t="str">
            <v>IGNORED</v>
          </cell>
          <cell r="AE142" t="str">
            <v>IGNORED</v>
          </cell>
          <cell r="AF142" t="str">
            <v>IGNORED</v>
          </cell>
          <cell r="AG142" t="str">
            <v>IGNORED</v>
          </cell>
          <cell r="AH142" t="str">
            <v>IGNORED</v>
          </cell>
          <cell r="AI142" t="str">
            <v>IGNORED</v>
          </cell>
          <cell r="AJ142" t="str">
            <v>IGNORED</v>
          </cell>
          <cell r="AK142" t="str">
            <v>IGNORED</v>
          </cell>
          <cell r="AL142" t="str">
            <v>IGNORED</v>
          </cell>
          <cell r="AM142" t="str">
            <v>IGNORED</v>
          </cell>
          <cell r="AN142" t="str">
            <v>IGNORED</v>
          </cell>
          <cell r="AO142" t="str">
            <v>IGNORED</v>
          </cell>
          <cell r="AP142" t="str">
            <v>IGNORED</v>
          </cell>
          <cell r="AQ142" t="str">
            <v>IGNORED</v>
          </cell>
          <cell r="AR142" t="str">
            <v>IGNORED</v>
          </cell>
        </row>
        <row r="143">
          <cell r="B143" t="str">
            <v>Sales - % South Korea</v>
          </cell>
          <cell r="C143" t="str">
            <v>SALES_SK</v>
          </cell>
          <cell r="F143" t="str">
            <v>IGNORED</v>
          </cell>
          <cell r="G143" t="str">
            <v>IGNORED</v>
          </cell>
          <cell r="H143" t="str">
            <v>IGNORED</v>
          </cell>
          <cell r="I143" t="str">
            <v>IGNORED</v>
          </cell>
          <cell r="J143" t="str">
            <v>IGNORED</v>
          </cell>
          <cell r="K143" t="str">
            <v>IGNORED</v>
          </cell>
          <cell r="L143" t="str">
            <v>IGNORED</v>
          </cell>
          <cell r="M143" t="str">
            <v>IGNORED</v>
          </cell>
          <cell r="N143" t="str">
            <v>IGNORED</v>
          </cell>
          <cell r="O143" t="str">
            <v>IGNORED</v>
          </cell>
          <cell r="P143" t="str">
            <v>IGNORED</v>
          </cell>
          <cell r="Q143" t="str">
            <v>IGNORED</v>
          </cell>
          <cell r="R143" t="str">
            <v>IGNORED</v>
          </cell>
          <cell r="S143" t="str">
            <v>IGNORED</v>
          </cell>
          <cell r="T143" t="str">
            <v>IGNORED</v>
          </cell>
          <cell r="U143" t="str">
            <v>IGNORED</v>
          </cell>
          <cell r="V143" t="str">
            <v>IGNORED</v>
          </cell>
          <cell r="W143" t="str">
            <v>IGNORED</v>
          </cell>
          <cell r="X143" t="str">
            <v>IGNORED</v>
          </cell>
          <cell r="Y143" t="str">
            <v>IGNORED</v>
          </cell>
          <cell r="Z143" t="str">
            <v>IGNORED</v>
          </cell>
          <cell r="AA143" t="str">
            <v>IGNORED</v>
          </cell>
          <cell r="AB143" t="str">
            <v>IGNORED</v>
          </cell>
          <cell r="AC143" t="str">
            <v>IGNORED</v>
          </cell>
          <cell r="AD143" t="str">
            <v>IGNORED</v>
          </cell>
          <cell r="AE143" t="str">
            <v>IGNORED</v>
          </cell>
          <cell r="AF143" t="str">
            <v>IGNORED</v>
          </cell>
          <cell r="AG143" t="str">
            <v>IGNORED</v>
          </cell>
          <cell r="AH143" t="str">
            <v>IGNORED</v>
          </cell>
          <cell r="AI143" t="str">
            <v>IGNORED</v>
          </cell>
          <cell r="AJ143" t="str">
            <v>IGNORED</v>
          </cell>
          <cell r="AK143" t="str">
            <v>IGNORED</v>
          </cell>
          <cell r="AL143" t="str">
            <v>IGNORED</v>
          </cell>
          <cell r="AM143" t="str">
            <v>IGNORED</v>
          </cell>
          <cell r="AN143" t="str">
            <v>IGNORED</v>
          </cell>
          <cell r="AO143" t="str">
            <v>IGNORED</v>
          </cell>
          <cell r="AP143" t="str">
            <v>IGNORED</v>
          </cell>
          <cell r="AQ143" t="str">
            <v>IGNORED</v>
          </cell>
          <cell r="AR143" t="str">
            <v>IGNORED</v>
          </cell>
        </row>
        <row r="144">
          <cell r="B144" t="str">
            <v>Sales - % Australia</v>
          </cell>
          <cell r="C144" t="str">
            <v>SALES_AUSTRA</v>
          </cell>
          <cell r="F144" t="str">
            <v>IGNORED</v>
          </cell>
          <cell r="G144" t="str">
            <v>IGNORED</v>
          </cell>
          <cell r="H144" t="str">
            <v>IGNORED</v>
          </cell>
          <cell r="I144" t="str">
            <v>IGNORED</v>
          </cell>
          <cell r="J144" t="str">
            <v>IGNORED</v>
          </cell>
          <cell r="K144" t="str">
            <v>IGNORED</v>
          </cell>
          <cell r="L144" t="str">
            <v>IGNORED</v>
          </cell>
          <cell r="M144" t="str">
            <v>IGNORED</v>
          </cell>
          <cell r="N144" t="str">
            <v>IGNORED</v>
          </cell>
          <cell r="O144" t="str">
            <v>IGNORED</v>
          </cell>
          <cell r="P144" t="str">
            <v>IGNORED</v>
          </cell>
          <cell r="Q144" t="str">
            <v>IGNORED</v>
          </cell>
          <cell r="R144" t="str">
            <v>IGNORED</v>
          </cell>
          <cell r="S144" t="str">
            <v>IGNORED</v>
          </cell>
          <cell r="T144" t="str">
            <v>IGNORED</v>
          </cell>
          <cell r="U144" t="str">
            <v>IGNORED</v>
          </cell>
          <cell r="V144" t="str">
            <v>IGNORED</v>
          </cell>
          <cell r="W144" t="str">
            <v>IGNORED</v>
          </cell>
          <cell r="X144" t="str">
            <v>IGNORED</v>
          </cell>
          <cell r="Y144" t="str">
            <v>IGNORED</v>
          </cell>
          <cell r="Z144" t="str">
            <v>IGNORED</v>
          </cell>
          <cell r="AA144" t="str">
            <v>IGNORED</v>
          </cell>
          <cell r="AB144" t="str">
            <v>IGNORED</v>
          </cell>
          <cell r="AC144" t="str">
            <v>IGNORED</v>
          </cell>
          <cell r="AD144" t="str">
            <v>IGNORED</v>
          </cell>
          <cell r="AE144" t="str">
            <v>IGNORED</v>
          </cell>
          <cell r="AF144" t="str">
            <v>IGNORED</v>
          </cell>
          <cell r="AG144" t="str">
            <v>IGNORED</v>
          </cell>
          <cell r="AH144" t="str">
            <v>IGNORED</v>
          </cell>
          <cell r="AI144" t="str">
            <v>IGNORED</v>
          </cell>
          <cell r="AJ144" t="str">
            <v>IGNORED</v>
          </cell>
          <cell r="AK144" t="str">
            <v>IGNORED</v>
          </cell>
          <cell r="AL144" t="str">
            <v>IGNORED</v>
          </cell>
          <cell r="AM144" t="str">
            <v>IGNORED</v>
          </cell>
          <cell r="AN144" t="str">
            <v>IGNORED</v>
          </cell>
          <cell r="AO144" t="str">
            <v>IGNORED</v>
          </cell>
          <cell r="AP144" t="str">
            <v>IGNORED</v>
          </cell>
          <cell r="AQ144" t="str">
            <v>IGNORED</v>
          </cell>
          <cell r="AR144" t="str">
            <v>IGNORED</v>
          </cell>
        </row>
        <row r="145">
          <cell r="B145" t="str">
            <v>Sales - % New Zealand</v>
          </cell>
          <cell r="C145" t="str">
            <v>SALES_NZ</v>
          </cell>
          <cell r="F145" t="str">
            <v>IGNORED</v>
          </cell>
          <cell r="G145" t="str">
            <v>IGNORED</v>
          </cell>
          <cell r="H145" t="str">
            <v>IGNORED</v>
          </cell>
          <cell r="I145" t="str">
            <v>IGNORED</v>
          </cell>
          <cell r="J145" t="str">
            <v>IGNORED</v>
          </cell>
          <cell r="K145" t="str">
            <v>IGNORED</v>
          </cell>
          <cell r="L145" t="str">
            <v>IGNORED</v>
          </cell>
          <cell r="M145" t="str">
            <v>IGNORED</v>
          </cell>
          <cell r="N145" t="str">
            <v>IGNORED</v>
          </cell>
          <cell r="O145" t="str">
            <v>IGNORED</v>
          </cell>
          <cell r="P145" t="str">
            <v>IGNORED</v>
          </cell>
          <cell r="Q145" t="str">
            <v>IGNORED</v>
          </cell>
          <cell r="R145" t="str">
            <v>IGNORED</v>
          </cell>
          <cell r="S145" t="str">
            <v>IGNORED</v>
          </cell>
          <cell r="T145" t="str">
            <v>IGNORED</v>
          </cell>
          <cell r="U145" t="str">
            <v>IGNORED</v>
          </cell>
          <cell r="V145" t="str">
            <v>IGNORED</v>
          </cell>
          <cell r="W145" t="str">
            <v>IGNORED</v>
          </cell>
          <cell r="X145" t="str">
            <v>IGNORED</v>
          </cell>
          <cell r="Y145" t="str">
            <v>IGNORED</v>
          </cell>
          <cell r="Z145" t="str">
            <v>IGNORED</v>
          </cell>
          <cell r="AA145" t="str">
            <v>IGNORED</v>
          </cell>
          <cell r="AB145" t="str">
            <v>IGNORED</v>
          </cell>
          <cell r="AC145" t="str">
            <v>IGNORED</v>
          </cell>
          <cell r="AD145" t="str">
            <v>IGNORED</v>
          </cell>
          <cell r="AE145" t="str">
            <v>IGNORED</v>
          </cell>
          <cell r="AF145" t="str">
            <v>IGNORED</v>
          </cell>
          <cell r="AG145" t="str">
            <v>IGNORED</v>
          </cell>
          <cell r="AH145" t="str">
            <v>IGNORED</v>
          </cell>
          <cell r="AI145" t="str">
            <v>IGNORED</v>
          </cell>
          <cell r="AJ145" t="str">
            <v>IGNORED</v>
          </cell>
          <cell r="AK145" t="str">
            <v>IGNORED</v>
          </cell>
          <cell r="AL145" t="str">
            <v>IGNORED</v>
          </cell>
          <cell r="AM145" t="str">
            <v>IGNORED</v>
          </cell>
          <cell r="AN145" t="str">
            <v>IGNORED</v>
          </cell>
          <cell r="AO145" t="str">
            <v>IGNORED</v>
          </cell>
          <cell r="AP145" t="str">
            <v>IGNORED</v>
          </cell>
          <cell r="AQ145" t="str">
            <v>IGNORED</v>
          </cell>
          <cell r="AR145" t="str">
            <v>IGNORED</v>
          </cell>
        </row>
        <row r="146">
          <cell r="B146" t="str">
            <v>Sales - % Other AEJ (incl Taiwan)</v>
          </cell>
          <cell r="C146" t="str">
            <v>SALES_OTH_AEJ</v>
          </cell>
          <cell r="F146" t="str">
            <v>IGNORED</v>
          </cell>
          <cell r="G146" t="str">
            <v>IGNORED</v>
          </cell>
          <cell r="H146" t="str">
            <v>IGNORED</v>
          </cell>
          <cell r="I146" t="str">
            <v>IGNORED</v>
          </cell>
          <cell r="J146" t="str">
            <v>IGNORED</v>
          </cell>
          <cell r="K146" t="str">
            <v>IGNORED</v>
          </cell>
          <cell r="L146" t="str">
            <v>IGNORED</v>
          </cell>
          <cell r="M146" t="str">
            <v>IGNORED</v>
          </cell>
          <cell r="N146" t="str">
            <v>IGNORED</v>
          </cell>
          <cell r="O146" t="str">
            <v>IGNORED</v>
          </cell>
          <cell r="P146" t="str">
            <v>IGNORED</v>
          </cell>
          <cell r="Q146" t="str">
            <v>IGNORED</v>
          </cell>
          <cell r="R146" t="str">
            <v>IGNORED</v>
          </cell>
          <cell r="S146" t="str">
            <v>IGNORED</v>
          </cell>
          <cell r="T146" t="str">
            <v>IGNORED</v>
          </cell>
          <cell r="U146" t="str">
            <v>IGNORED</v>
          </cell>
          <cell r="V146" t="str">
            <v>IGNORED</v>
          </cell>
          <cell r="W146" t="str">
            <v>IGNORED</v>
          </cell>
          <cell r="X146" t="str">
            <v>IGNORED</v>
          </cell>
          <cell r="Y146" t="str">
            <v>IGNORED</v>
          </cell>
          <cell r="Z146" t="str">
            <v>IGNORED</v>
          </cell>
          <cell r="AA146" t="str">
            <v>IGNORED</v>
          </cell>
          <cell r="AB146" t="str">
            <v>IGNORED</v>
          </cell>
          <cell r="AC146" t="str">
            <v>IGNORED</v>
          </cell>
          <cell r="AD146" t="str">
            <v>IGNORED</v>
          </cell>
          <cell r="AE146" t="str">
            <v>IGNORED</v>
          </cell>
          <cell r="AF146" t="str">
            <v>IGNORED</v>
          </cell>
          <cell r="AG146" t="str">
            <v>IGNORED</v>
          </cell>
          <cell r="AH146" t="str">
            <v>IGNORED</v>
          </cell>
          <cell r="AI146" t="str">
            <v>IGNORED</v>
          </cell>
          <cell r="AJ146" t="str">
            <v>IGNORED</v>
          </cell>
          <cell r="AK146" t="str">
            <v>IGNORED</v>
          </cell>
          <cell r="AL146" t="str">
            <v>IGNORED</v>
          </cell>
          <cell r="AM146" t="str">
            <v>IGNORED</v>
          </cell>
          <cell r="AN146" t="str">
            <v>IGNORED</v>
          </cell>
          <cell r="AO146" t="str">
            <v>IGNORED</v>
          </cell>
          <cell r="AP146" t="str">
            <v>IGNORED</v>
          </cell>
          <cell r="AQ146" t="str">
            <v>IGNORED</v>
          </cell>
          <cell r="AR146" t="str">
            <v>IGNORED</v>
          </cell>
        </row>
        <row r="147">
          <cell r="B147" t="str">
            <v>Sales - % Others</v>
          </cell>
          <cell r="C147" t="str">
            <v>SALES_OTHER</v>
          </cell>
          <cell r="F147" t="str">
            <v>IGNORED</v>
          </cell>
          <cell r="G147" t="str">
            <v>IGNORED</v>
          </cell>
          <cell r="H147" t="str">
            <v>IGNORED</v>
          </cell>
          <cell r="I147" t="str">
            <v>IGNORED</v>
          </cell>
          <cell r="J147" t="str">
            <v>IGNORED</v>
          </cell>
          <cell r="K147" t="str">
            <v>IGNORED</v>
          </cell>
          <cell r="L147" t="str">
            <v>IGNORED</v>
          </cell>
          <cell r="M147" t="str">
            <v>IGNORED</v>
          </cell>
          <cell r="N147" t="str">
            <v>IGNORED</v>
          </cell>
          <cell r="O147" t="str">
            <v>IGNORED</v>
          </cell>
          <cell r="P147" t="str">
            <v>IGNORED</v>
          </cell>
          <cell r="Q147" t="str">
            <v>IGNORED</v>
          </cell>
          <cell r="R147" t="str">
            <v>IGNORED</v>
          </cell>
          <cell r="S147" t="str">
            <v>IGNORED</v>
          </cell>
          <cell r="T147" t="str">
            <v>IGNORED</v>
          </cell>
          <cell r="U147" t="str">
            <v>IGNORED</v>
          </cell>
          <cell r="V147" t="str">
            <v>IGNORED</v>
          </cell>
          <cell r="W147" t="str">
            <v>IGNORED</v>
          </cell>
          <cell r="X147" t="str">
            <v>IGNORED</v>
          </cell>
          <cell r="Y147" t="str">
            <v>IGNORED</v>
          </cell>
          <cell r="Z147" t="str">
            <v>IGNORED</v>
          </cell>
          <cell r="AA147" t="str">
            <v>IGNORED</v>
          </cell>
          <cell r="AB147" t="str">
            <v>IGNORED</v>
          </cell>
          <cell r="AC147" t="str">
            <v>IGNORED</v>
          </cell>
          <cell r="AD147" t="str">
            <v>IGNORED</v>
          </cell>
          <cell r="AE147" t="str">
            <v>IGNORED</v>
          </cell>
          <cell r="AF147" t="str">
            <v>IGNORED</v>
          </cell>
          <cell r="AG147" t="str">
            <v>IGNORED</v>
          </cell>
          <cell r="AH147" t="str">
            <v>IGNORED</v>
          </cell>
          <cell r="AI147" t="str">
            <v>IGNORED</v>
          </cell>
          <cell r="AJ147" t="str">
            <v>IGNORED</v>
          </cell>
          <cell r="AK147" t="str">
            <v>IGNORED</v>
          </cell>
          <cell r="AL147" t="str">
            <v>IGNORED</v>
          </cell>
          <cell r="AM147" t="str">
            <v>IGNORED</v>
          </cell>
          <cell r="AN147" t="str">
            <v>IGNORED</v>
          </cell>
          <cell r="AO147" t="str">
            <v>IGNORED</v>
          </cell>
          <cell r="AP147" t="str">
            <v>IGNORED</v>
          </cell>
          <cell r="AQ147" t="str">
            <v>IGNORED</v>
          </cell>
          <cell r="AR147" t="str">
            <v>IGNORED</v>
          </cell>
        </row>
        <row r="148">
          <cell r="B148" t="str">
            <v>Operating Profit - % Total Americas</v>
          </cell>
          <cell r="C148" t="str">
            <v>OP_TOT_AM</v>
          </cell>
          <cell r="F148" t="str">
            <v>IGNORED</v>
          </cell>
          <cell r="G148" t="str">
            <v>IGNORED</v>
          </cell>
          <cell r="H148" t="str">
            <v>IGNORED</v>
          </cell>
          <cell r="I148" t="str">
            <v>IGNORED</v>
          </cell>
          <cell r="J148" t="str">
            <v>IGNORED</v>
          </cell>
          <cell r="K148" t="str">
            <v>IGNORED</v>
          </cell>
          <cell r="L148" t="str">
            <v>IGNORED</v>
          </cell>
          <cell r="M148" t="str">
            <v>IGNORED</v>
          </cell>
          <cell r="N148" t="str">
            <v>IGNORED</v>
          </cell>
          <cell r="O148" t="str">
            <v>IGNORED</v>
          </cell>
          <cell r="P148" t="str">
            <v>IGNORED</v>
          </cell>
          <cell r="Q148" t="str">
            <v>IGNORED</v>
          </cell>
          <cell r="R148" t="str">
            <v>IGNORED</v>
          </cell>
          <cell r="S148" t="str">
            <v>IGNORED</v>
          </cell>
          <cell r="T148" t="str">
            <v>IGNORED</v>
          </cell>
          <cell r="U148" t="str">
            <v>IGNORED</v>
          </cell>
          <cell r="V148" t="str">
            <v>IGNORED</v>
          </cell>
          <cell r="W148" t="str">
            <v>IGNORED</v>
          </cell>
          <cell r="X148" t="str">
            <v>IGNORED</v>
          </cell>
          <cell r="Y148" t="str">
            <v>IGNORED</v>
          </cell>
          <cell r="Z148" t="str">
            <v>IGNORED</v>
          </cell>
          <cell r="AA148" t="str">
            <v>IGNORED</v>
          </cell>
          <cell r="AB148" t="str">
            <v>IGNORED</v>
          </cell>
          <cell r="AC148" t="str">
            <v>IGNORED</v>
          </cell>
          <cell r="AD148" t="str">
            <v>IGNORED</v>
          </cell>
          <cell r="AE148" t="str">
            <v>IGNORED</v>
          </cell>
          <cell r="AF148" t="str">
            <v>IGNORED</v>
          </cell>
          <cell r="AG148" t="str">
            <v>IGNORED</v>
          </cell>
          <cell r="AH148" t="str">
            <v>IGNORED</v>
          </cell>
          <cell r="AI148" t="str">
            <v>IGNORED</v>
          </cell>
          <cell r="AJ148" t="str">
            <v>IGNORED</v>
          </cell>
          <cell r="AK148" t="str">
            <v>IGNORED</v>
          </cell>
          <cell r="AL148" t="str">
            <v>IGNORED</v>
          </cell>
          <cell r="AM148" t="str">
            <v>IGNORED</v>
          </cell>
          <cell r="AN148" t="str">
            <v>IGNORED</v>
          </cell>
          <cell r="AO148" t="str">
            <v>IGNORED</v>
          </cell>
          <cell r="AP148" t="str">
            <v>IGNORED</v>
          </cell>
          <cell r="AQ148" t="str">
            <v>IGNORED</v>
          </cell>
          <cell r="AR148" t="str">
            <v>IGNORED</v>
          </cell>
        </row>
        <row r="149">
          <cell r="B149" t="str">
            <v>Operating Profit - % United States</v>
          </cell>
          <cell r="C149" t="str">
            <v>OP_US</v>
          </cell>
          <cell r="F149" t="str">
            <v>IGNORED</v>
          </cell>
          <cell r="G149" t="str">
            <v>IGNORED</v>
          </cell>
          <cell r="H149" t="str">
            <v>IGNORED</v>
          </cell>
          <cell r="I149" t="str">
            <v>IGNORED</v>
          </cell>
          <cell r="J149" t="str">
            <v>IGNORED</v>
          </cell>
          <cell r="K149" t="str">
            <v>IGNORED</v>
          </cell>
          <cell r="L149" t="str">
            <v>IGNORED</v>
          </cell>
          <cell r="M149" t="str">
            <v>IGNORED</v>
          </cell>
          <cell r="N149" t="str">
            <v>IGNORED</v>
          </cell>
          <cell r="O149" t="str">
            <v>IGNORED</v>
          </cell>
          <cell r="P149" t="str">
            <v>IGNORED</v>
          </cell>
          <cell r="Q149" t="str">
            <v>IGNORED</v>
          </cell>
          <cell r="R149" t="str">
            <v>IGNORED</v>
          </cell>
          <cell r="S149" t="str">
            <v>IGNORED</v>
          </cell>
          <cell r="T149" t="str">
            <v>IGNORED</v>
          </cell>
          <cell r="U149" t="str">
            <v>IGNORED</v>
          </cell>
          <cell r="V149" t="str">
            <v>IGNORED</v>
          </cell>
          <cell r="W149" t="str">
            <v>IGNORED</v>
          </cell>
          <cell r="X149" t="str">
            <v>IGNORED</v>
          </cell>
          <cell r="Y149" t="str">
            <v>IGNORED</v>
          </cell>
          <cell r="Z149" t="str">
            <v>IGNORED</v>
          </cell>
          <cell r="AA149" t="str">
            <v>IGNORED</v>
          </cell>
          <cell r="AB149" t="str">
            <v>IGNORED</v>
          </cell>
          <cell r="AC149" t="str">
            <v>IGNORED</v>
          </cell>
          <cell r="AD149" t="str">
            <v>IGNORED</v>
          </cell>
          <cell r="AE149" t="str">
            <v>IGNORED</v>
          </cell>
          <cell r="AF149" t="str">
            <v>IGNORED</v>
          </cell>
          <cell r="AG149" t="str">
            <v>IGNORED</v>
          </cell>
          <cell r="AH149" t="str">
            <v>IGNORED</v>
          </cell>
          <cell r="AI149" t="str">
            <v>IGNORED</v>
          </cell>
          <cell r="AJ149" t="str">
            <v>IGNORED</v>
          </cell>
          <cell r="AK149" t="str">
            <v>IGNORED</v>
          </cell>
          <cell r="AL149" t="str">
            <v>IGNORED</v>
          </cell>
          <cell r="AM149" t="str">
            <v>IGNORED</v>
          </cell>
          <cell r="AN149" t="str">
            <v>IGNORED</v>
          </cell>
          <cell r="AO149" t="str">
            <v>IGNORED</v>
          </cell>
          <cell r="AP149" t="str">
            <v>IGNORED</v>
          </cell>
          <cell r="AQ149" t="str">
            <v>IGNORED</v>
          </cell>
          <cell r="AR149" t="str">
            <v>IGNORED</v>
          </cell>
        </row>
        <row r="150">
          <cell r="B150" t="str">
            <v>Operating Profit - % Canada</v>
          </cell>
          <cell r="C150" t="str">
            <v>OP_CANADA</v>
          </cell>
          <cell r="F150" t="str">
            <v>IGNORED</v>
          </cell>
          <cell r="G150" t="str">
            <v>IGNORED</v>
          </cell>
          <cell r="H150" t="str">
            <v>IGNORED</v>
          </cell>
          <cell r="I150" t="str">
            <v>IGNORED</v>
          </cell>
          <cell r="J150" t="str">
            <v>IGNORED</v>
          </cell>
          <cell r="K150" t="str">
            <v>IGNORED</v>
          </cell>
          <cell r="L150" t="str">
            <v>IGNORED</v>
          </cell>
          <cell r="M150" t="str">
            <v>IGNORED</v>
          </cell>
          <cell r="N150" t="str">
            <v>IGNORED</v>
          </cell>
          <cell r="O150" t="str">
            <v>IGNORED</v>
          </cell>
          <cell r="P150" t="str">
            <v>IGNORED</v>
          </cell>
          <cell r="Q150" t="str">
            <v>IGNORED</v>
          </cell>
          <cell r="R150" t="str">
            <v>IGNORED</v>
          </cell>
          <cell r="S150" t="str">
            <v>IGNORED</v>
          </cell>
          <cell r="T150" t="str">
            <v>IGNORED</v>
          </cell>
          <cell r="U150" t="str">
            <v>IGNORED</v>
          </cell>
          <cell r="V150" t="str">
            <v>IGNORED</v>
          </cell>
          <cell r="W150" t="str">
            <v>IGNORED</v>
          </cell>
          <cell r="X150" t="str">
            <v>IGNORED</v>
          </cell>
          <cell r="Y150" t="str">
            <v>IGNORED</v>
          </cell>
          <cell r="Z150" t="str">
            <v>IGNORED</v>
          </cell>
          <cell r="AA150" t="str">
            <v>IGNORED</v>
          </cell>
          <cell r="AB150" t="str">
            <v>IGNORED</v>
          </cell>
          <cell r="AC150" t="str">
            <v>IGNORED</v>
          </cell>
          <cell r="AD150" t="str">
            <v>IGNORED</v>
          </cell>
          <cell r="AE150" t="str">
            <v>IGNORED</v>
          </cell>
          <cell r="AF150" t="str">
            <v>IGNORED</v>
          </cell>
          <cell r="AG150" t="str">
            <v>IGNORED</v>
          </cell>
          <cell r="AH150" t="str">
            <v>IGNORED</v>
          </cell>
          <cell r="AI150" t="str">
            <v>IGNORED</v>
          </cell>
          <cell r="AJ150" t="str">
            <v>IGNORED</v>
          </cell>
          <cell r="AK150" t="str">
            <v>IGNORED</v>
          </cell>
          <cell r="AL150" t="str">
            <v>IGNORED</v>
          </cell>
          <cell r="AM150" t="str">
            <v>IGNORED</v>
          </cell>
          <cell r="AN150" t="str">
            <v>IGNORED</v>
          </cell>
          <cell r="AO150" t="str">
            <v>IGNORED</v>
          </cell>
          <cell r="AP150" t="str">
            <v>IGNORED</v>
          </cell>
          <cell r="AQ150" t="str">
            <v>IGNORED</v>
          </cell>
          <cell r="AR150" t="str">
            <v>IGNORED</v>
          </cell>
        </row>
        <row r="151">
          <cell r="B151" t="str">
            <v>Operating Profit - % Brazil</v>
          </cell>
          <cell r="C151" t="str">
            <v>OP_BRAZIL</v>
          </cell>
          <cell r="F151" t="str">
            <v>IGNORED</v>
          </cell>
          <cell r="G151" t="str">
            <v>IGNORED</v>
          </cell>
          <cell r="H151" t="str">
            <v>IGNORED</v>
          </cell>
          <cell r="I151" t="str">
            <v>IGNORED</v>
          </cell>
          <cell r="J151" t="str">
            <v>IGNORED</v>
          </cell>
          <cell r="K151" t="str">
            <v>IGNORED</v>
          </cell>
          <cell r="L151" t="str">
            <v>IGNORED</v>
          </cell>
          <cell r="M151" t="str">
            <v>IGNORED</v>
          </cell>
          <cell r="N151" t="str">
            <v>IGNORED</v>
          </cell>
          <cell r="O151" t="str">
            <v>IGNORED</v>
          </cell>
          <cell r="P151" t="str">
            <v>IGNORED</v>
          </cell>
          <cell r="Q151" t="str">
            <v>IGNORED</v>
          </cell>
          <cell r="R151" t="str">
            <v>IGNORED</v>
          </cell>
          <cell r="S151" t="str">
            <v>IGNORED</v>
          </cell>
          <cell r="T151" t="str">
            <v>IGNORED</v>
          </cell>
          <cell r="U151" t="str">
            <v>IGNORED</v>
          </cell>
          <cell r="V151" t="str">
            <v>IGNORED</v>
          </cell>
          <cell r="W151" t="str">
            <v>IGNORED</v>
          </cell>
          <cell r="X151" t="str">
            <v>IGNORED</v>
          </cell>
          <cell r="Y151" t="str">
            <v>IGNORED</v>
          </cell>
          <cell r="Z151" t="str">
            <v>IGNORED</v>
          </cell>
          <cell r="AA151" t="str">
            <v>IGNORED</v>
          </cell>
          <cell r="AB151" t="str">
            <v>IGNORED</v>
          </cell>
          <cell r="AC151" t="str">
            <v>IGNORED</v>
          </cell>
          <cell r="AD151" t="str">
            <v>IGNORED</v>
          </cell>
          <cell r="AE151" t="str">
            <v>IGNORED</v>
          </cell>
          <cell r="AF151" t="str">
            <v>IGNORED</v>
          </cell>
          <cell r="AG151" t="str">
            <v>IGNORED</v>
          </cell>
          <cell r="AH151" t="str">
            <v>IGNORED</v>
          </cell>
          <cell r="AI151" t="str">
            <v>IGNORED</v>
          </cell>
          <cell r="AJ151" t="str">
            <v>IGNORED</v>
          </cell>
          <cell r="AK151" t="str">
            <v>IGNORED</v>
          </cell>
          <cell r="AL151" t="str">
            <v>IGNORED</v>
          </cell>
          <cell r="AM151" t="str">
            <v>IGNORED</v>
          </cell>
          <cell r="AN151" t="str">
            <v>IGNORED</v>
          </cell>
          <cell r="AO151" t="str">
            <v>IGNORED</v>
          </cell>
          <cell r="AP151" t="str">
            <v>IGNORED</v>
          </cell>
          <cell r="AQ151" t="str">
            <v>IGNORED</v>
          </cell>
          <cell r="AR151" t="str">
            <v>IGNORED</v>
          </cell>
        </row>
        <row r="152">
          <cell r="B152" t="str">
            <v>Operating Profit - % Other Americas</v>
          </cell>
          <cell r="C152" t="str">
            <v>OP_OTH_AM</v>
          </cell>
          <cell r="F152" t="str">
            <v>IGNORED</v>
          </cell>
          <cell r="G152" t="str">
            <v>IGNORED</v>
          </cell>
          <cell r="H152" t="str">
            <v>IGNORED</v>
          </cell>
          <cell r="I152" t="str">
            <v>IGNORED</v>
          </cell>
          <cell r="J152" t="str">
            <v>IGNORED</v>
          </cell>
          <cell r="K152" t="str">
            <v>IGNORED</v>
          </cell>
          <cell r="L152" t="str">
            <v>IGNORED</v>
          </cell>
          <cell r="M152" t="str">
            <v>IGNORED</v>
          </cell>
          <cell r="N152" t="str">
            <v>IGNORED</v>
          </cell>
          <cell r="O152" t="str">
            <v>IGNORED</v>
          </cell>
          <cell r="P152" t="str">
            <v>IGNORED</v>
          </cell>
          <cell r="Q152" t="str">
            <v>IGNORED</v>
          </cell>
          <cell r="R152" t="str">
            <v>IGNORED</v>
          </cell>
          <cell r="S152" t="str">
            <v>IGNORED</v>
          </cell>
          <cell r="T152" t="str">
            <v>IGNORED</v>
          </cell>
          <cell r="U152" t="str">
            <v>IGNORED</v>
          </cell>
          <cell r="V152" t="str">
            <v>IGNORED</v>
          </cell>
          <cell r="W152" t="str">
            <v>IGNORED</v>
          </cell>
          <cell r="X152" t="str">
            <v>IGNORED</v>
          </cell>
          <cell r="Y152" t="str">
            <v>IGNORED</v>
          </cell>
          <cell r="Z152" t="str">
            <v>IGNORED</v>
          </cell>
          <cell r="AA152" t="str">
            <v>IGNORED</v>
          </cell>
          <cell r="AB152" t="str">
            <v>IGNORED</v>
          </cell>
          <cell r="AC152" t="str">
            <v>IGNORED</v>
          </cell>
          <cell r="AD152" t="str">
            <v>IGNORED</v>
          </cell>
          <cell r="AE152" t="str">
            <v>IGNORED</v>
          </cell>
          <cell r="AF152" t="str">
            <v>IGNORED</v>
          </cell>
          <cell r="AG152" t="str">
            <v>IGNORED</v>
          </cell>
          <cell r="AH152" t="str">
            <v>IGNORED</v>
          </cell>
          <cell r="AI152" t="str">
            <v>IGNORED</v>
          </cell>
          <cell r="AJ152" t="str">
            <v>IGNORED</v>
          </cell>
          <cell r="AK152" t="str">
            <v>IGNORED</v>
          </cell>
          <cell r="AL152" t="str">
            <v>IGNORED</v>
          </cell>
          <cell r="AM152" t="str">
            <v>IGNORED</v>
          </cell>
          <cell r="AN152" t="str">
            <v>IGNORED</v>
          </cell>
          <cell r="AO152" t="str">
            <v>IGNORED</v>
          </cell>
          <cell r="AP152" t="str">
            <v>IGNORED</v>
          </cell>
          <cell r="AQ152" t="str">
            <v>IGNORED</v>
          </cell>
          <cell r="AR152" t="str">
            <v>IGNORED</v>
          </cell>
        </row>
        <row r="153">
          <cell r="B153" t="str">
            <v>Operating Profit - Total % EMEA</v>
          </cell>
          <cell r="C153" t="str">
            <v>OP_TOT_EMEA</v>
          </cell>
          <cell r="F153" t="str">
            <v>IGNORED</v>
          </cell>
          <cell r="G153" t="str">
            <v>IGNORED</v>
          </cell>
          <cell r="H153" t="str">
            <v>IGNORED</v>
          </cell>
          <cell r="I153" t="str">
            <v>IGNORED</v>
          </cell>
          <cell r="J153" t="str">
            <v>IGNORED</v>
          </cell>
          <cell r="K153" t="str">
            <v>IGNORED</v>
          </cell>
          <cell r="L153" t="str">
            <v>IGNORED</v>
          </cell>
          <cell r="M153" t="str">
            <v>IGNORED</v>
          </cell>
          <cell r="N153" t="str">
            <v>IGNORED</v>
          </cell>
          <cell r="O153" t="str">
            <v>IGNORED</v>
          </cell>
          <cell r="P153" t="str">
            <v>IGNORED</v>
          </cell>
          <cell r="Q153" t="str">
            <v>IGNORED</v>
          </cell>
          <cell r="R153" t="str">
            <v>IGNORED</v>
          </cell>
          <cell r="S153" t="str">
            <v>IGNORED</v>
          </cell>
          <cell r="T153" t="str">
            <v>IGNORED</v>
          </cell>
          <cell r="U153" t="str">
            <v>IGNORED</v>
          </cell>
          <cell r="V153" t="str">
            <v>IGNORED</v>
          </cell>
          <cell r="W153" t="str">
            <v>IGNORED</v>
          </cell>
          <cell r="X153" t="str">
            <v>IGNORED</v>
          </cell>
          <cell r="Y153" t="str">
            <v>IGNORED</v>
          </cell>
          <cell r="Z153" t="str">
            <v>IGNORED</v>
          </cell>
          <cell r="AA153" t="str">
            <v>IGNORED</v>
          </cell>
          <cell r="AB153" t="str">
            <v>IGNORED</v>
          </cell>
          <cell r="AC153" t="str">
            <v>IGNORED</v>
          </cell>
          <cell r="AD153" t="str">
            <v>IGNORED</v>
          </cell>
          <cell r="AE153" t="str">
            <v>IGNORED</v>
          </cell>
          <cell r="AF153" t="str">
            <v>IGNORED</v>
          </cell>
          <cell r="AG153" t="str">
            <v>IGNORED</v>
          </cell>
          <cell r="AH153" t="str">
            <v>IGNORED</v>
          </cell>
          <cell r="AI153" t="str">
            <v>IGNORED</v>
          </cell>
          <cell r="AJ153" t="str">
            <v>IGNORED</v>
          </cell>
          <cell r="AK153" t="str">
            <v>IGNORED</v>
          </cell>
          <cell r="AL153" t="str">
            <v>IGNORED</v>
          </cell>
          <cell r="AM153" t="str">
            <v>IGNORED</v>
          </cell>
          <cell r="AN153" t="str">
            <v>IGNORED</v>
          </cell>
          <cell r="AO153" t="str">
            <v>IGNORED</v>
          </cell>
          <cell r="AP153" t="str">
            <v>IGNORED</v>
          </cell>
          <cell r="AQ153" t="str">
            <v>IGNORED</v>
          </cell>
          <cell r="AR153" t="str">
            <v>IGNORED</v>
          </cell>
        </row>
        <row r="154">
          <cell r="B154" t="str">
            <v>Operating Profit - % UK</v>
          </cell>
          <cell r="C154" t="str">
            <v>OP_UK</v>
          </cell>
          <cell r="F154" t="str">
            <v>IGNORED</v>
          </cell>
          <cell r="G154" t="str">
            <v>IGNORED</v>
          </cell>
          <cell r="H154" t="str">
            <v>IGNORED</v>
          </cell>
          <cell r="I154" t="str">
            <v>IGNORED</v>
          </cell>
          <cell r="J154" t="str">
            <v>IGNORED</v>
          </cell>
          <cell r="K154" t="str">
            <v>IGNORED</v>
          </cell>
          <cell r="L154" t="str">
            <v>IGNORED</v>
          </cell>
          <cell r="M154" t="str">
            <v>IGNORED</v>
          </cell>
          <cell r="N154" t="str">
            <v>IGNORED</v>
          </cell>
          <cell r="O154" t="str">
            <v>IGNORED</v>
          </cell>
          <cell r="P154" t="str">
            <v>IGNORED</v>
          </cell>
          <cell r="Q154" t="str">
            <v>IGNORED</v>
          </cell>
          <cell r="R154" t="str">
            <v>IGNORED</v>
          </cell>
          <cell r="S154" t="str">
            <v>IGNORED</v>
          </cell>
          <cell r="T154" t="str">
            <v>IGNORED</v>
          </cell>
          <cell r="U154" t="str">
            <v>IGNORED</v>
          </cell>
          <cell r="V154" t="str">
            <v>IGNORED</v>
          </cell>
          <cell r="W154" t="str">
            <v>IGNORED</v>
          </cell>
          <cell r="X154" t="str">
            <v>IGNORED</v>
          </cell>
          <cell r="Y154" t="str">
            <v>IGNORED</v>
          </cell>
          <cell r="Z154" t="str">
            <v>IGNORED</v>
          </cell>
          <cell r="AA154" t="str">
            <v>IGNORED</v>
          </cell>
          <cell r="AB154" t="str">
            <v>IGNORED</v>
          </cell>
          <cell r="AC154" t="str">
            <v>IGNORED</v>
          </cell>
          <cell r="AD154" t="str">
            <v>IGNORED</v>
          </cell>
          <cell r="AE154" t="str">
            <v>IGNORED</v>
          </cell>
          <cell r="AF154" t="str">
            <v>IGNORED</v>
          </cell>
          <cell r="AG154" t="str">
            <v>IGNORED</v>
          </cell>
          <cell r="AH154" t="str">
            <v>IGNORED</v>
          </cell>
          <cell r="AI154" t="str">
            <v>IGNORED</v>
          </cell>
          <cell r="AJ154" t="str">
            <v>IGNORED</v>
          </cell>
          <cell r="AK154" t="str">
            <v>IGNORED</v>
          </cell>
          <cell r="AL154" t="str">
            <v>IGNORED</v>
          </cell>
          <cell r="AM154" t="str">
            <v>IGNORED</v>
          </cell>
          <cell r="AN154" t="str">
            <v>IGNORED</v>
          </cell>
          <cell r="AO154" t="str">
            <v>IGNORED</v>
          </cell>
          <cell r="AP154" t="str">
            <v>IGNORED</v>
          </cell>
          <cell r="AQ154" t="str">
            <v>IGNORED</v>
          </cell>
          <cell r="AR154" t="str">
            <v>IGNORED</v>
          </cell>
        </row>
        <row r="155">
          <cell r="B155" t="str">
            <v>Operating Profit - % Europe-Ex UK</v>
          </cell>
          <cell r="C155" t="str">
            <v>OP_EU_EX_UK</v>
          </cell>
          <cell r="F155" t="str">
            <v>IGNORED</v>
          </cell>
          <cell r="G155" t="str">
            <v>IGNORED</v>
          </cell>
          <cell r="H155" t="str">
            <v>IGNORED</v>
          </cell>
          <cell r="I155" t="str">
            <v>IGNORED</v>
          </cell>
          <cell r="J155" t="str">
            <v>IGNORED</v>
          </cell>
          <cell r="K155" t="str">
            <v>IGNORED</v>
          </cell>
          <cell r="L155" t="str">
            <v>IGNORED</v>
          </cell>
          <cell r="M155" t="str">
            <v>IGNORED</v>
          </cell>
          <cell r="N155" t="str">
            <v>IGNORED</v>
          </cell>
          <cell r="O155" t="str">
            <v>IGNORED</v>
          </cell>
          <cell r="P155" t="str">
            <v>IGNORED</v>
          </cell>
          <cell r="Q155" t="str">
            <v>IGNORED</v>
          </cell>
          <cell r="R155" t="str">
            <v>IGNORED</v>
          </cell>
          <cell r="S155" t="str">
            <v>IGNORED</v>
          </cell>
          <cell r="T155" t="str">
            <v>IGNORED</v>
          </cell>
          <cell r="U155" t="str">
            <v>IGNORED</v>
          </cell>
          <cell r="V155" t="str">
            <v>IGNORED</v>
          </cell>
          <cell r="W155" t="str">
            <v>IGNORED</v>
          </cell>
          <cell r="X155" t="str">
            <v>IGNORED</v>
          </cell>
          <cell r="Y155" t="str">
            <v>IGNORED</v>
          </cell>
          <cell r="Z155" t="str">
            <v>IGNORED</v>
          </cell>
          <cell r="AA155" t="str">
            <v>IGNORED</v>
          </cell>
          <cell r="AB155" t="str">
            <v>IGNORED</v>
          </cell>
          <cell r="AC155" t="str">
            <v>IGNORED</v>
          </cell>
          <cell r="AD155" t="str">
            <v>IGNORED</v>
          </cell>
          <cell r="AE155" t="str">
            <v>IGNORED</v>
          </cell>
          <cell r="AF155" t="str">
            <v>IGNORED</v>
          </cell>
          <cell r="AG155" t="str">
            <v>IGNORED</v>
          </cell>
          <cell r="AH155" t="str">
            <v>IGNORED</v>
          </cell>
          <cell r="AI155" t="str">
            <v>IGNORED</v>
          </cell>
          <cell r="AJ155" t="str">
            <v>IGNORED</v>
          </cell>
          <cell r="AK155" t="str">
            <v>IGNORED</v>
          </cell>
          <cell r="AL155" t="str">
            <v>IGNORED</v>
          </cell>
          <cell r="AM155" t="str">
            <v>IGNORED</v>
          </cell>
          <cell r="AN155" t="str">
            <v>IGNORED</v>
          </cell>
          <cell r="AO155" t="str">
            <v>IGNORED</v>
          </cell>
          <cell r="AP155" t="str">
            <v>IGNORED</v>
          </cell>
          <cell r="AQ155" t="str">
            <v>IGNORED</v>
          </cell>
          <cell r="AR155" t="str">
            <v>IGNORED</v>
          </cell>
        </row>
        <row r="156">
          <cell r="B156" t="str">
            <v>Operating Profit - % Austria</v>
          </cell>
          <cell r="C156" t="str">
            <v>OP_AUSTRIA</v>
          </cell>
          <cell r="F156" t="str">
            <v>IGNORED</v>
          </cell>
          <cell r="G156" t="str">
            <v>IGNORED</v>
          </cell>
          <cell r="H156" t="str">
            <v>IGNORED</v>
          </cell>
          <cell r="I156" t="str">
            <v>IGNORED</v>
          </cell>
          <cell r="J156" t="str">
            <v>IGNORED</v>
          </cell>
          <cell r="K156" t="str">
            <v>IGNORED</v>
          </cell>
          <cell r="L156" t="str">
            <v>IGNORED</v>
          </cell>
          <cell r="M156" t="str">
            <v>IGNORED</v>
          </cell>
          <cell r="N156" t="str">
            <v>IGNORED</v>
          </cell>
          <cell r="O156" t="str">
            <v>IGNORED</v>
          </cell>
          <cell r="P156" t="str">
            <v>IGNORED</v>
          </cell>
          <cell r="Q156" t="str">
            <v>IGNORED</v>
          </cell>
          <cell r="R156" t="str">
            <v>IGNORED</v>
          </cell>
          <cell r="S156" t="str">
            <v>IGNORED</v>
          </cell>
          <cell r="T156" t="str">
            <v>IGNORED</v>
          </cell>
          <cell r="U156" t="str">
            <v>IGNORED</v>
          </cell>
          <cell r="V156" t="str">
            <v>IGNORED</v>
          </cell>
          <cell r="W156" t="str">
            <v>IGNORED</v>
          </cell>
          <cell r="X156" t="str">
            <v>IGNORED</v>
          </cell>
          <cell r="Y156" t="str">
            <v>IGNORED</v>
          </cell>
          <cell r="Z156" t="str">
            <v>IGNORED</v>
          </cell>
          <cell r="AA156" t="str">
            <v>IGNORED</v>
          </cell>
          <cell r="AB156" t="str">
            <v>IGNORED</v>
          </cell>
          <cell r="AC156" t="str">
            <v>IGNORED</v>
          </cell>
          <cell r="AD156" t="str">
            <v>IGNORED</v>
          </cell>
          <cell r="AE156" t="str">
            <v>IGNORED</v>
          </cell>
          <cell r="AF156" t="str">
            <v>IGNORED</v>
          </cell>
          <cell r="AG156" t="str">
            <v>IGNORED</v>
          </cell>
          <cell r="AH156" t="str">
            <v>IGNORED</v>
          </cell>
          <cell r="AI156" t="str">
            <v>IGNORED</v>
          </cell>
          <cell r="AJ156" t="str">
            <v>IGNORED</v>
          </cell>
          <cell r="AK156" t="str">
            <v>IGNORED</v>
          </cell>
          <cell r="AL156" t="str">
            <v>IGNORED</v>
          </cell>
          <cell r="AM156" t="str">
            <v>IGNORED</v>
          </cell>
          <cell r="AN156" t="str">
            <v>IGNORED</v>
          </cell>
          <cell r="AO156" t="str">
            <v>IGNORED</v>
          </cell>
          <cell r="AP156" t="str">
            <v>IGNORED</v>
          </cell>
          <cell r="AQ156" t="str">
            <v>IGNORED</v>
          </cell>
          <cell r="AR156" t="str">
            <v>IGNORED</v>
          </cell>
        </row>
        <row r="157">
          <cell r="B157" t="str">
            <v>Operating Profit - % Belgium</v>
          </cell>
          <cell r="C157" t="str">
            <v>OP_BEL</v>
          </cell>
          <cell r="F157" t="str">
            <v>IGNORED</v>
          </cell>
          <cell r="G157" t="str">
            <v>IGNORED</v>
          </cell>
          <cell r="H157" t="str">
            <v>IGNORED</v>
          </cell>
          <cell r="I157" t="str">
            <v>IGNORED</v>
          </cell>
          <cell r="J157" t="str">
            <v>IGNORED</v>
          </cell>
          <cell r="K157" t="str">
            <v>IGNORED</v>
          </cell>
          <cell r="L157" t="str">
            <v>IGNORED</v>
          </cell>
          <cell r="M157" t="str">
            <v>IGNORED</v>
          </cell>
          <cell r="N157" t="str">
            <v>IGNORED</v>
          </cell>
          <cell r="O157" t="str">
            <v>IGNORED</v>
          </cell>
          <cell r="P157" t="str">
            <v>IGNORED</v>
          </cell>
          <cell r="Q157" t="str">
            <v>IGNORED</v>
          </cell>
          <cell r="R157" t="str">
            <v>IGNORED</v>
          </cell>
          <cell r="S157" t="str">
            <v>IGNORED</v>
          </cell>
          <cell r="T157" t="str">
            <v>IGNORED</v>
          </cell>
          <cell r="U157" t="str">
            <v>IGNORED</v>
          </cell>
          <cell r="V157" t="str">
            <v>IGNORED</v>
          </cell>
          <cell r="W157" t="str">
            <v>IGNORED</v>
          </cell>
          <cell r="X157" t="str">
            <v>IGNORED</v>
          </cell>
          <cell r="Y157" t="str">
            <v>IGNORED</v>
          </cell>
          <cell r="Z157" t="str">
            <v>IGNORED</v>
          </cell>
          <cell r="AA157" t="str">
            <v>IGNORED</v>
          </cell>
          <cell r="AB157" t="str">
            <v>IGNORED</v>
          </cell>
          <cell r="AC157" t="str">
            <v>IGNORED</v>
          </cell>
          <cell r="AD157" t="str">
            <v>IGNORED</v>
          </cell>
          <cell r="AE157" t="str">
            <v>IGNORED</v>
          </cell>
          <cell r="AF157" t="str">
            <v>IGNORED</v>
          </cell>
          <cell r="AG157" t="str">
            <v>IGNORED</v>
          </cell>
          <cell r="AH157" t="str">
            <v>IGNORED</v>
          </cell>
          <cell r="AI157" t="str">
            <v>IGNORED</v>
          </cell>
          <cell r="AJ157" t="str">
            <v>IGNORED</v>
          </cell>
          <cell r="AK157" t="str">
            <v>IGNORED</v>
          </cell>
          <cell r="AL157" t="str">
            <v>IGNORED</v>
          </cell>
          <cell r="AM157" t="str">
            <v>IGNORED</v>
          </cell>
          <cell r="AN157" t="str">
            <v>IGNORED</v>
          </cell>
          <cell r="AO157" t="str">
            <v>IGNORED</v>
          </cell>
          <cell r="AP157" t="str">
            <v>IGNORED</v>
          </cell>
          <cell r="AQ157" t="str">
            <v>IGNORED</v>
          </cell>
          <cell r="AR157" t="str">
            <v>IGNORED</v>
          </cell>
        </row>
        <row r="158">
          <cell r="B158" t="str">
            <v>Operating Profit - % Denmark</v>
          </cell>
          <cell r="C158" t="str">
            <v>OP_DEN</v>
          </cell>
          <cell r="F158" t="str">
            <v>IGNORED</v>
          </cell>
          <cell r="G158" t="str">
            <v>IGNORED</v>
          </cell>
          <cell r="H158" t="str">
            <v>IGNORED</v>
          </cell>
          <cell r="I158" t="str">
            <v>IGNORED</v>
          </cell>
          <cell r="J158" t="str">
            <v>IGNORED</v>
          </cell>
          <cell r="K158" t="str">
            <v>IGNORED</v>
          </cell>
          <cell r="L158" t="str">
            <v>IGNORED</v>
          </cell>
          <cell r="M158" t="str">
            <v>IGNORED</v>
          </cell>
          <cell r="N158" t="str">
            <v>IGNORED</v>
          </cell>
          <cell r="O158" t="str">
            <v>IGNORED</v>
          </cell>
          <cell r="P158" t="str">
            <v>IGNORED</v>
          </cell>
          <cell r="Q158" t="str">
            <v>IGNORED</v>
          </cell>
          <cell r="R158" t="str">
            <v>IGNORED</v>
          </cell>
          <cell r="S158" t="str">
            <v>IGNORED</v>
          </cell>
          <cell r="T158" t="str">
            <v>IGNORED</v>
          </cell>
          <cell r="U158" t="str">
            <v>IGNORED</v>
          </cell>
          <cell r="V158" t="str">
            <v>IGNORED</v>
          </cell>
          <cell r="W158" t="str">
            <v>IGNORED</v>
          </cell>
          <cell r="X158" t="str">
            <v>IGNORED</v>
          </cell>
          <cell r="Y158" t="str">
            <v>IGNORED</v>
          </cell>
          <cell r="Z158" t="str">
            <v>IGNORED</v>
          </cell>
          <cell r="AA158" t="str">
            <v>IGNORED</v>
          </cell>
          <cell r="AB158" t="str">
            <v>IGNORED</v>
          </cell>
          <cell r="AC158" t="str">
            <v>IGNORED</v>
          </cell>
          <cell r="AD158" t="str">
            <v>IGNORED</v>
          </cell>
          <cell r="AE158" t="str">
            <v>IGNORED</v>
          </cell>
          <cell r="AF158" t="str">
            <v>IGNORED</v>
          </cell>
          <cell r="AG158" t="str">
            <v>IGNORED</v>
          </cell>
          <cell r="AH158" t="str">
            <v>IGNORED</v>
          </cell>
          <cell r="AI158" t="str">
            <v>IGNORED</v>
          </cell>
          <cell r="AJ158" t="str">
            <v>IGNORED</v>
          </cell>
          <cell r="AK158" t="str">
            <v>IGNORED</v>
          </cell>
          <cell r="AL158" t="str">
            <v>IGNORED</v>
          </cell>
          <cell r="AM158" t="str">
            <v>IGNORED</v>
          </cell>
          <cell r="AN158" t="str">
            <v>IGNORED</v>
          </cell>
          <cell r="AO158" t="str">
            <v>IGNORED</v>
          </cell>
          <cell r="AP158" t="str">
            <v>IGNORED</v>
          </cell>
          <cell r="AQ158" t="str">
            <v>IGNORED</v>
          </cell>
          <cell r="AR158" t="str">
            <v>IGNORED</v>
          </cell>
        </row>
        <row r="159">
          <cell r="B159" t="str">
            <v>Operating Profit - % Finland</v>
          </cell>
          <cell r="C159" t="str">
            <v>OP_FIN</v>
          </cell>
          <cell r="F159" t="str">
            <v>IGNORED</v>
          </cell>
          <cell r="G159" t="str">
            <v>IGNORED</v>
          </cell>
          <cell r="H159" t="str">
            <v>IGNORED</v>
          </cell>
          <cell r="I159" t="str">
            <v>IGNORED</v>
          </cell>
          <cell r="J159" t="str">
            <v>IGNORED</v>
          </cell>
          <cell r="K159" t="str">
            <v>IGNORED</v>
          </cell>
          <cell r="L159" t="str">
            <v>IGNORED</v>
          </cell>
          <cell r="M159" t="str">
            <v>IGNORED</v>
          </cell>
          <cell r="N159" t="str">
            <v>IGNORED</v>
          </cell>
          <cell r="O159" t="str">
            <v>IGNORED</v>
          </cell>
          <cell r="P159" t="str">
            <v>IGNORED</v>
          </cell>
          <cell r="Q159" t="str">
            <v>IGNORED</v>
          </cell>
          <cell r="R159" t="str">
            <v>IGNORED</v>
          </cell>
          <cell r="S159" t="str">
            <v>IGNORED</v>
          </cell>
          <cell r="T159" t="str">
            <v>IGNORED</v>
          </cell>
          <cell r="U159" t="str">
            <v>IGNORED</v>
          </cell>
          <cell r="V159" t="str">
            <v>IGNORED</v>
          </cell>
          <cell r="W159" t="str">
            <v>IGNORED</v>
          </cell>
          <cell r="X159" t="str">
            <v>IGNORED</v>
          </cell>
          <cell r="Y159" t="str">
            <v>IGNORED</v>
          </cell>
          <cell r="Z159" t="str">
            <v>IGNORED</v>
          </cell>
          <cell r="AA159" t="str">
            <v>IGNORED</v>
          </cell>
          <cell r="AB159" t="str">
            <v>IGNORED</v>
          </cell>
          <cell r="AC159" t="str">
            <v>IGNORED</v>
          </cell>
          <cell r="AD159" t="str">
            <v>IGNORED</v>
          </cell>
          <cell r="AE159" t="str">
            <v>IGNORED</v>
          </cell>
          <cell r="AF159" t="str">
            <v>IGNORED</v>
          </cell>
          <cell r="AG159" t="str">
            <v>IGNORED</v>
          </cell>
          <cell r="AH159" t="str">
            <v>IGNORED</v>
          </cell>
          <cell r="AI159" t="str">
            <v>IGNORED</v>
          </cell>
          <cell r="AJ159" t="str">
            <v>IGNORED</v>
          </cell>
          <cell r="AK159" t="str">
            <v>IGNORED</v>
          </cell>
          <cell r="AL159" t="str">
            <v>IGNORED</v>
          </cell>
          <cell r="AM159" t="str">
            <v>IGNORED</v>
          </cell>
          <cell r="AN159" t="str">
            <v>IGNORED</v>
          </cell>
          <cell r="AO159" t="str">
            <v>IGNORED</v>
          </cell>
          <cell r="AP159" t="str">
            <v>IGNORED</v>
          </cell>
          <cell r="AQ159" t="str">
            <v>IGNORED</v>
          </cell>
          <cell r="AR159" t="str">
            <v>IGNORED</v>
          </cell>
        </row>
        <row r="160">
          <cell r="B160" t="str">
            <v>Operating Profit - % France</v>
          </cell>
          <cell r="C160" t="str">
            <v>OP_FRA</v>
          </cell>
          <cell r="F160" t="str">
            <v>IGNORED</v>
          </cell>
          <cell r="G160" t="str">
            <v>IGNORED</v>
          </cell>
          <cell r="H160" t="str">
            <v>IGNORED</v>
          </cell>
          <cell r="I160" t="str">
            <v>IGNORED</v>
          </cell>
          <cell r="J160" t="str">
            <v>IGNORED</v>
          </cell>
          <cell r="K160" t="str">
            <v>IGNORED</v>
          </cell>
          <cell r="L160" t="str">
            <v>IGNORED</v>
          </cell>
          <cell r="M160" t="str">
            <v>IGNORED</v>
          </cell>
          <cell r="N160" t="str">
            <v>IGNORED</v>
          </cell>
          <cell r="O160" t="str">
            <v>IGNORED</v>
          </cell>
          <cell r="P160" t="str">
            <v>IGNORED</v>
          </cell>
          <cell r="Q160" t="str">
            <v>IGNORED</v>
          </cell>
          <cell r="R160" t="str">
            <v>IGNORED</v>
          </cell>
          <cell r="S160" t="str">
            <v>IGNORED</v>
          </cell>
          <cell r="T160" t="str">
            <v>IGNORED</v>
          </cell>
          <cell r="U160" t="str">
            <v>IGNORED</v>
          </cell>
          <cell r="V160" t="str">
            <v>IGNORED</v>
          </cell>
          <cell r="W160" t="str">
            <v>IGNORED</v>
          </cell>
          <cell r="X160" t="str">
            <v>IGNORED</v>
          </cell>
          <cell r="Y160" t="str">
            <v>IGNORED</v>
          </cell>
          <cell r="Z160" t="str">
            <v>IGNORED</v>
          </cell>
          <cell r="AA160" t="str">
            <v>IGNORED</v>
          </cell>
          <cell r="AB160" t="str">
            <v>IGNORED</v>
          </cell>
          <cell r="AC160" t="str">
            <v>IGNORED</v>
          </cell>
          <cell r="AD160" t="str">
            <v>IGNORED</v>
          </cell>
          <cell r="AE160" t="str">
            <v>IGNORED</v>
          </cell>
          <cell r="AF160" t="str">
            <v>IGNORED</v>
          </cell>
          <cell r="AG160" t="str">
            <v>IGNORED</v>
          </cell>
          <cell r="AH160" t="str">
            <v>IGNORED</v>
          </cell>
          <cell r="AI160" t="str">
            <v>IGNORED</v>
          </cell>
          <cell r="AJ160" t="str">
            <v>IGNORED</v>
          </cell>
          <cell r="AK160" t="str">
            <v>IGNORED</v>
          </cell>
          <cell r="AL160" t="str">
            <v>IGNORED</v>
          </cell>
          <cell r="AM160" t="str">
            <v>IGNORED</v>
          </cell>
          <cell r="AN160" t="str">
            <v>IGNORED</v>
          </cell>
          <cell r="AO160" t="str">
            <v>IGNORED</v>
          </cell>
          <cell r="AP160" t="str">
            <v>IGNORED</v>
          </cell>
          <cell r="AQ160" t="str">
            <v>IGNORED</v>
          </cell>
          <cell r="AR160" t="str">
            <v>IGNORED</v>
          </cell>
        </row>
        <row r="161">
          <cell r="B161" t="str">
            <v>Operating Profit - % Germany</v>
          </cell>
          <cell r="C161" t="str">
            <v>OP_GER</v>
          </cell>
          <cell r="F161" t="str">
            <v>IGNORED</v>
          </cell>
          <cell r="G161" t="str">
            <v>IGNORED</v>
          </cell>
          <cell r="H161" t="str">
            <v>IGNORED</v>
          </cell>
          <cell r="I161" t="str">
            <v>IGNORED</v>
          </cell>
          <cell r="J161" t="str">
            <v>IGNORED</v>
          </cell>
          <cell r="K161" t="str">
            <v>IGNORED</v>
          </cell>
          <cell r="L161" t="str">
            <v>IGNORED</v>
          </cell>
          <cell r="M161" t="str">
            <v>IGNORED</v>
          </cell>
          <cell r="N161" t="str">
            <v>IGNORED</v>
          </cell>
          <cell r="O161" t="str">
            <v>IGNORED</v>
          </cell>
          <cell r="P161" t="str">
            <v>IGNORED</v>
          </cell>
          <cell r="Q161" t="str">
            <v>IGNORED</v>
          </cell>
          <cell r="R161" t="str">
            <v>IGNORED</v>
          </cell>
          <cell r="S161" t="str">
            <v>IGNORED</v>
          </cell>
          <cell r="T161" t="str">
            <v>IGNORED</v>
          </cell>
          <cell r="U161" t="str">
            <v>IGNORED</v>
          </cell>
          <cell r="V161" t="str">
            <v>IGNORED</v>
          </cell>
          <cell r="W161" t="str">
            <v>IGNORED</v>
          </cell>
          <cell r="X161" t="str">
            <v>IGNORED</v>
          </cell>
          <cell r="Y161" t="str">
            <v>IGNORED</v>
          </cell>
          <cell r="Z161" t="str">
            <v>IGNORED</v>
          </cell>
          <cell r="AA161" t="str">
            <v>IGNORED</v>
          </cell>
          <cell r="AB161" t="str">
            <v>IGNORED</v>
          </cell>
          <cell r="AC161" t="str">
            <v>IGNORED</v>
          </cell>
          <cell r="AD161" t="str">
            <v>IGNORED</v>
          </cell>
          <cell r="AE161" t="str">
            <v>IGNORED</v>
          </cell>
          <cell r="AF161" t="str">
            <v>IGNORED</v>
          </cell>
          <cell r="AG161" t="str">
            <v>IGNORED</v>
          </cell>
          <cell r="AH161" t="str">
            <v>IGNORED</v>
          </cell>
          <cell r="AI161" t="str">
            <v>IGNORED</v>
          </cell>
          <cell r="AJ161" t="str">
            <v>IGNORED</v>
          </cell>
          <cell r="AK161" t="str">
            <v>IGNORED</v>
          </cell>
          <cell r="AL161" t="str">
            <v>IGNORED</v>
          </cell>
          <cell r="AM161" t="str">
            <v>IGNORED</v>
          </cell>
          <cell r="AN161" t="str">
            <v>IGNORED</v>
          </cell>
          <cell r="AO161" t="str">
            <v>IGNORED</v>
          </cell>
          <cell r="AP161" t="str">
            <v>IGNORED</v>
          </cell>
          <cell r="AQ161" t="str">
            <v>IGNORED</v>
          </cell>
          <cell r="AR161" t="str">
            <v>IGNORED</v>
          </cell>
        </row>
        <row r="162">
          <cell r="B162" t="str">
            <v>Operating Profit - % Greece</v>
          </cell>
          <cell r="C162" t="str">
            <v>OP_GRE</v>
          </cell>
          <cell r="F162" t="str">
            <v>IGNORED</v>
          </cell>
          <cell r="G162" t="str">
            <v>IGNORED</v>
          </cell>
          <cell r="H162" t="str">
            <v>IGNORED</v>
          </cell>
          <cell r="I162" t="str">
            <v>IGNORED</v>
          </cell>
          <cell r="J162" t="str">
            <v>IGNORED</v>
          </cell>
          <cell r="K162" t="str">
            <v>IGNORED</v>
          </cell>
          <cell r="L162" t="str">
            <v>IGNORED</v>
          </cell>
          <cell r="M162" t="str">
            <v>IGNORED</v>
          </cell>
          <cell r="N162" t="str">
            <v>IGNORED</v>
          </cell>
          <cell r="O162" t="str">
            <v>IGNORED</v>
          </cell>
          <cell r="P162" t="str">
            <v>IGNORED</v>
          </cell>
          <cell r="Q162" t="str">
            <v>IGNORED</v>
          </cell>
          <cell r="R162" t="str">
            <v>IGNORED</v>
          </cell>
          <cell r="S162" t="str">
            <v>IGNORED</v>
          </cell>
          <cell r="T162" t="str">
            <v>IGNORED</v>
          </cell>
          <cell r="U162" t="str">
            <v>IGNORED</v>
          </cell>
          <cell r="V162" t="str">
            <v>IGNORED</v>
          </cell>
          <cell r="W162" t="str">
            <v>IGNORED</v>
          </cell>
          <cell r="X162" t="str">
            <v>IGNORED</v>
          </cell>
          <cell r="Y162" t="str">
            <v>IGNORED</v>
          </cell>
          <cell r="Z162" t="str">
            <v>IGNORED</v>
          </cell>
          <cell r="AA162" t="str">
            <v>IGNORED</v>
          </cell>
          <cell r="AB162" t="str">
            <v>IGNORED</v>
          </cell>
          <cell r="AC162" t="str">
            <v>IGNORED</v>
          </cell>
          <cell r="AD162" t="str">
            <v>IGNORED</v>
          </cell>
          <cell r="AE162" t="str">
            <v>IGNORED</v>
          </cell>
          <cell r="AF162" t="str">
            <v>IGNORED</v>
          </cell>
          <cell r="AG162" t="str">
            <v>IGNORED</v>
          </cell>
          <cell r="AH162" t="str">
            <v>IGNORED</v>
          </cell>
          <cell r="AI162" t="str">
            <v>IGNORED</v>
          </cell>
          <cell r="AJ162" t="str">
            <v>IGNORED</v>
          </cell>
          <cell r="AK162" t="str">
            <v>IGNORED</v>
          </cell>
          <cell r="AL162" t="str">
            <v>IGNORED</v>
          </cell>
          <cell r="AM162" t="str">
            <v>IGNORED</v>
          </cell>
          <cell r="AN162" t="str">
            <v>IGNORED</v>
          </cell>
          <cell r="AO162" t="str">
            <v>IGNORED</v>
          </cell>
          <cell r="AP162" t="str">
            <v>IGNORED</v>
          </cell>
          <cell r="AQ162" t="str">
            <v>IGNORED</v>
          </cell>
          <cell r="AR162" t="str">
            <v>IGNORED</v>
          </cell>
        </row>
        <row r="163">
          <cell r="B163" t="str">
            <v>Operating Profit - % Iceland</v>
          </cell>
          <cell r="C163" t="str">
            <v>OP_ICE</v>
          </cell>
          <cell r="F163" t="str">
            <v>IGNORED</v>
          </cell>
          <cell r="G163" t="str">
            <v>IGNORED</v>
          </cell>
          <cell r="H163" t="str">
            <v>IGNORED</v>
          </cell>
          <cell r="I163" t="str">
            <v>IGNORED</v>
          </cell>
          <cell r="J163" t="str">
            <v>IGNORED</v>
          </cell>
          <cell r="K163" t="str">
            <v>IGNORED</v>
          </cell>
          <cell r="L163" t="str">
            <v>IGNORED</v>
          </cell>
          <cell r="M163" t="str">
            <v>IGNORED</v>
          </cell>
          <cell r="N163" t="str">
            <v>IGNORED</v>
          </cell>
          <cell r="O163" t="str">
            <v>IGNORED</v>
          </cell>
          <cell r="P163" t="str">
            <v>IGNORED</v>
          </cell>
          <cell r="Q163" t="str">
            <v>IGNORED</v>
          </cell>
          <cell r="R163" t="str">
            <v>IGNORED</v>
          </cell>
          <cell r="S163" t="str">
            <v>IGNORED</v>
          </cell>
          <cell r="T163" t="str">
            <v>IGNORED</v>
          </cell>
          <cell r="U163" t="str">
            <v>IGNORED</v>
          </cell>
          <cell r="V163" t="str">
            <v>IGNORED</v>
          </cell>
          <cell r="W163" t="str">
            <v>IGNORED</v>
          </cell>
          <cell r="X163" t="str">
            <v>IGNORED</v>
          </cell>
          <cell r="Y163" t="str">
            <v>IGNORED</v>
          </cell>
          <cell r="Z163" t="str">
            <v>IGNORED</v>
          </cell>
          <cell r="AA163" t="str">
            <v>IGNORED</v>
          </cell>
          <cell r="AB163" t="str">
            <v>IGNORED</v>
          </cell>
          <cell r="AC163" t="str">
            <v>IGNORED</v>
          </cell>
          <cell r="AD163" t="str">
            <v>IGNORED</v>
          </cell>
          <cell r="AE163" t="str">
            <v>IGNORED</v>
          </cell>
          <cell r="AF163" t="str">
            <v>IGNORED</v>
          </cell>
          <cell r="AG163" t="str">
            <v>IGNORED</v>
          </cell>
          <cell r="AH163" t="str">
            <v>IGNORED</v>
          </cell>
          <cell r="AI163" t="str">
            <v>IGNORED</v>
          </cell>
          <cell r="AJ163" t="str">
            <v>IGNORED</v>
          </cell>
          <cell r="AK163" t="str">
            <v>IGNORED</v>
          </cell>
          <cell r="AL163" t="str">
            <v>IGNORED</v>
          </cell>
          <cell r="AM163" t="str">
            <v>IGNORED</v>
          </cell>
          <cell r="AN163" t="str">
            <v>IGNORED</v>
          </cell>
          <cell r="AO163" t="str">
            <v>IGNORED</v>
          </cell>
          <cell r="AP163" t="str">
            <v>IGNORED</v>
          </cell>
          <cell r="AQ163" t="str">
            <v>IGNORED</v>
          </cell>
          <cell r="AR163" t="str">
            <v>IGNORED</v>
          </cell>
        </row>
        <row r="164">
          <cell r="B164" t="str">
            <v>Operating Profit - % Ireland</v>
          </cell>
          <cell r="C164" t="str">
            <v>OP_IRE</v>
          </cell>
          <cell r="F164" t="str">
            <v>IGNORED</v>
          </cell>
          <cell r="G164" t="str">
            <v>IGNORED</v>
          </cell>
          <cell r="H164" t="str">
            <v>IGNORED</v>
          </cell>
          <cell r="I164" t="str">
            <v>IGNORED</v>
          </cell>
          <cell r="J164" t="str">
            <v>IGNORED</v>
          </cell>
          <cell r="K164" t="str">
            <v>IGNORED</v>
          </cell>
          <cell r="L164" t="str">
            <v>IGNORED</v>
          </cell>
          <cell r="M164" t="str">
            <v>IGNORED</v>
          </cell>
          <cell r="N164" t="str">
            <v>IGNORED</v>
          </cell>
          <cell r="O164" t="str">
            <v>IGNORED</v>
          </cell>
          <cell r="P164" t="str">
            <v>IGNORED</v>
          </cell>
          <cell r="Q164" t="str">
            <v>IGNORED</v>
          </cell>
          <cell r="R164" t="str">
            <v>IGNORED</v>
          </cell>
          <cell r="S164" t="str">
            <v>IGNORED</v>
          </cell>
          <cell r="T164" t="str">
            <v>IGNORED</v>
          </cell>
          <cell r="U164" t="str">
            <v>IGNORED</v>
          </cell>
          <cell r="V164" t="str">
            <v>IGNORED</v>
          </cell>
          <cell r="W164" t="str">
            <v>IGNORED</v>
          </cell>
          <cell r="X164" t="str">
            <v>IGNORED</v>
          </cell>
          <cell r="Y164" t="str">
            <v>IGNORED</v>
          </cell>
          <cell r="Z164" t="str">
            <v>IGNORED</v>
          </cell>
          <cell r="AA164" t="str">
            <v>IGNORED</v>
          </cell>
          <cell r="AB164" t="str">
            <v>IGNORED</v>
          </cell>
          <cell r="AC164" t="str">
            <v>IGNORED</v>
          </cell>
          <cell r="AD164" t="str">
            <v>IGNORED</v>
          </cell>
          <cell r="AE164" t="str">
            <v>IGNORED</v>
          </cell>
          <cell r="AF164" t="str">
            <v>IGNORED</v>
          </cell>
          <cell r="AG164" t="str">
            <v>IGNORED</v>
          </cell>
          <cell r="AH164" t="str">
            <v>IGNORED</v>
          </cell>
          <cell r="AI164" t="str">
            <v>IGNORED</v>
          </cell>
          <cell r="AJ164" t="str">
            <v>IGNORED</v>
          </cell>
          <cell r="AK164" t="str">
            <v>IGNORED</v>
          </cell>
          <cell r="AL164" t="str">
            <v>IGNORED</v>
          </cell>
          <cell r="AM164" t="str">
            <v>IGNORED</v>
          </cell>
          <cell r="AN164" t="str">
            <v>IGNORED</v>
          </cell>
          <cell r="AO164" t="str">
            <v>IGNORED</v>
          </cell>
          <cell r="AP164" t="str">
            <v>IGNORED</v>
          </cell>
          <cell r="AQ164" t="str">
            <v>IGNORED</v>
          </cell>
          <cell r="AR164" t="str">
            <v>IGNORED</v>
          </cell>
        </row>
        <row r="165">
          <cell r="B165" t="str">
            <v>Operating Profit - % Italy</v>
          </cell>
          <cell r="C165" t="str">
            <v>OP_ITA</v>
          </cell>
          <cell r="F165" t="str">
            <v>IGNORED</v>
          </cell>
          <cell r="G165" t="str">
            <v>IGNORED</v>
          </cell>
          <cell r="H165" t="str">
            <v>IGNORED</v>
          </cell>
          <cell r="I165" t="str">
            <v>IGNORED</v>
          </cell>
          <cell r="J165" t="str">
            <v>IGNORED</v>
          </cell>
          <cell r="K165" t="str">
            <v>IGNORED</v>
          </cell>
          <cell r="L165" t="str">
            <v>IGNORED</v>
          </cell>
          <cell r="M165" t="str">
            <v>IGNORED</v>
          </cell>
          <cell r="N165" t="str">
            <v>IGNORED</v>
          </cell>
          <cell r="O165" t="str">
            <v>IGNORED</v>
          </cell>
          <cell r="P165" t="str">
            <v>IGNORED</v>
          </cell>
          <cell r="Q165" t="str">
            <v>IGNORED</v>
          </cell>
          <cell r="R165" t="str">
            <v>IGNORED</v>
          </cell>
          <cell r="S165" t="str">
            <v>IGNORED</v>
          </cell>
          <cell r="T165" t="str">
            <v>IGNORED</v>
          </cell>
          <cell r="U165" t="str">
            <v>IGNORED</v>
          </cell>
          <cell r="V165" t="str">
            <v>IGNORED</v>
          </cell>
          <cell r="W165" t="str">
            <v>IGNORED</v>
          </cell>
          <cell r="X165" t="str">
            <v>IGNORED</v>
          </cell>
          <cell r="Y165" t="str">
            <v>IGNORED</v>
          </cell>
          <cell r="Z165" t="str">
            <v>IGNORED</v>
          </cell>
          <cell r="AA165" t="str">
            <v>IGNORED</v>
          </cell>
          <cell r="AB165" t="str">
            <v>IGNORED</v>
          </cell>
          <cell r="AC165" t="str">
            <v>IGNORED</v>
          </cell>
          <cell r="AD165" t="str">
            <v>IGNORED</v>
          </cell>
          <cell r="AE165" t="str">
            <v>IGNORED</v>
          </cell>
          <cell r="AF165" t="str">
            <v>IGNORED</v>
          </cell>
          <cell r="AG165" t="str">
            <v>IGNORED</v>
          </cell>
          <cell r="AH165" t="str">
            <v>IGNORED</v>
          </cell>
          <cell r="AI165" t="str">
            <v>IGNORED</v>
          </cell>
          <cell r="AJ165" t="str">
            <v>IGNORED</v>
          </cell>
          <cell r="AK165" t="str">
            <v>IGNORED</v>
          </cell>
          <cell r="AL165" t="str">
            <v>IGNORED</v>
          </cell>
          <cell r="AM165" t="str">
            <v>IGNORED</v>
          </cell>
          <cell r="AN165" t="str">
            <v>IGNORED</v>
          </cell>
          <cell r="AO165" t="str">
            <v>IGNORED</v>
          </cell>
          <cell r="AP165" t="str">
            <v>IGNORED</v>
          </cell>
          <cell r="AQ165" t="str">
            <v>IGNORED</v>
          </cell>
          <cell r="AR165" t="str">
            <v>IGNORED</v>
          </cell>
        </row>
        <row r="166">
          <cell r="B166" t="str">
            <v>Operating Profit - % Netherlands</v>
          </cell>
          <cell r="C166" t="str">
            <v>OP_NETH</v>
          </cell>
          <cell r="F166" t="str">
            <v>IGNORED</v>
          </cell>
          <cell r="G166" t="str">
            <v>IGNORED</v>
          </cell>
          <cell r="H166" t="str">
            <v>IGNORED</v>
          </cell>
          <cell r="I166" t="str">
            <v>IGNORED</v>
          </cell>
          <cell r="J166" t="str">
            <v>IGNORED</v>
          </cell>
          <cell r="K166" t="str">
            <v>IGNORED</v>
          </cell>
          <cell r="L166" t="str">
            <v>IGNORED</v>
          </cell>
          <cell r="M166" t="str">
            <v>IGNORED</v>
          </cell>
          <cell r="N166" t="str">
            <v>IGNORED</v>
          </cell>
          <cell r="O166" t="str">
            <v>IGNORED</v>
          </cell>
          <cell r="P166" t="str">
            <v>IGNORED</v>
          </cell>
          <cell r="Q166" t="str">
            <v>IGNORED</v>
          </cell>
          <cell r="R166" t="str">
            <v>IGNORED</v>
          </cell>
          <cell r="S166" t="str">
            <v>IGNORED</v>
          </cell>
          <cell r="T166" t="str">
            <v>IGNORED</v>
          </cell>
          <cell r="U166" t="str">
            <v>IGNORED</v>
          </cell>
          <cell r="V166" t="str">
            <v>IGNORED</v>
          </cell>
          <cell r="W166" t="str">
            <v>IGNORED</v>
          </cell>
          <cell r="X166" t="str">
            <v>IGNORED</v>
          </cell>
          <cell r="Y166" t="str">
            <v>IGNORED</v>
          </cell>
          <cell r="Z166" t="str">
            <v>IGNORED</v>
          </cell>
          <cell r="AA166" t="str">
            <v>IGNORED</v>
          </cell>
          <cell r="AB166" t="str">
            <v>IGNORED</v>
          </cell>
          <cell r="AC166" t="str">
            <v>IGNORED</v>
          </cell>
          <cell r="AD166" t="str">
            <v>IGNORED</v>
          </cell>
          <cell r="AE166" t="str">
            <v>IGNORED</v>
          </cell>
          <cell r="AF166" t="str">
            <v>IGNORED</v>
          </cell>
          <cell r="AG166" t="str">
            <v>IGNORED</v>
          </cell>
          <cell r="AH166" t="str">
            <v>IGNORED</v>
          </cell>
          <cell r="AI166" t="str">
            <v>IGNORED</v>
          </cell>
          <cell r="AJ166" t="str">
            <v>IGNORED</v>
          </cell>
          <cell r="AK166" t="str">
            <v>IGNORED</v>
          </cell>
          <cell r="AL166" t="str">
            <v>IGNORED</v>
          </cell>
          <cell r="AM166" t="str">
            <v>IGNORED</v>
          </cell>
          <cell r="AN166" t="str">
            <v>IGNORED</v>
          </cell>
          <cell r="AO166" t="str">
            <v>IGNORED</v>
          </cell>
          <cell r="AP166" t="str">
            <v>IGNORED</v>
          </cell>
          <cell r="AQ166" t="str">
            <v>IGNORED</v>
          </cell>
          <cell r="AR166" t="str">
            <v>IGNORED</v>
          </cell>
        </row>
        <row r="167">
          <cell r="B167" t="str">
            <v>Operating Profit - % Norway</v>
          </cell>
          <cell r="C167" t="str">
            <v>OP_NOR</v>
          </cell>
          <cell r="F167" t="str">
            <v>IGNORED</v>
          </cell>
          <cell r="G167" t="str">
            <v>IGNORED</v>
          </cell>
          <cell r="H167" t="str">
            <v>IGNORED</v>
          </cell>
          <cell r="I167" t="str">
            <v>IGNORED</v>
          </cell>
          <cell r="J167" t="str">
            <v>IGNORED</v>
          </cell>
          <cell r="K167" t="str">
            <v>IGNORED</v>
          </cell>
          <cell r="L167" t="str">
            <v>IGNORED</v>
          </cell>
          <cell r="M167" t="str">
            <v>IGNORED</v>
          </cell>
          <cell r="N167" t="str">
            <v>IGNORED</v>
          </cell>
          <cell r="O167" t="str">
            <v>IGNORED</v>
          </cell>
          <cell r="P167" t="str">
            <v>IGNORED</v>
          </cell>
          <cell r="Q167" t="str">
            <v>IGNORED</v>
          </cell>
          <cell r="R167" t="str">
            <v>IGNORED</v>
          </cell>
          <cell r="S167" t="str">
            <v>IGNORED</v>
          </cell>
          <cell r="T167" t="str">
            <v>IGNORED</v>
          </cell>
          <cell r="U167" t="str">
            <v>IGNORED</v>
          </cell>
          <cell r="V167" t="str">
            <v>IGNORED</v>
          </cell>
          <cell r="W167" t="str">
            <v>IGNORED</v>
          </cell>
          <cell r="X167" t="str">
            <v>IGNORED</v>
          </cell>
          <cell r="Y167" t="str">
            <v>IGNORED</v>
          </cell>
          <cell r="Z167" t="str">
            <v>IGNORED</v>
          </cell>
          <cell r="AA167" t="str">
            <v>IGNORED</v>
          </cell>
          <cell r="AB167" t="str">
            <v>IGNORED</v>
          </cell>
          <cell r="AC167" t="str">
            <v>IGNORED</v>
          </cell>
          <cell r="AD167" t="str">
            <v>IGNORED</v>
          </cell>
          <cell r="AE167" t="str">
            <v>IGNORED</v>
          </cell>
          <cell r="AF167" t="str">
            <v>IGNORED</v>
          </cell>
          <cell r="AG167" t="str">
            <v>IGNORED</v>
          </cell>
          <cell r="AH167" t="str">
            <v>IGNORED</v>
          </cell>
          <cell r="AI167" t="str">
            <v>IGNORED</v>
          </cell>
          <cell r="AJ167" t="str">
            <v>IGNORED</v>
          </cell>
          <cell r="AK167" t="str">
            <v>IGNORED</v>
          </cell>
          <cell r="AL167" t="str">
            <v>IGNORED</v>
          </cell>
          <cell r="AM167" t="str">
            <v>IGNORED</v>
          </cell>
          <cell r="AN167" t="str">
            <v>IGNORED</v>
          </cell>
          <cell r="AO167" t="str">
            <v>IGNORED</v>
          </cell>
          <cell r="AP167" t="str">
            <v>IGNORED</v>
          </cell>
          <cell r="AQ167" t="str">
            <v>IGNORED</v>
          </cell>
          <cell r="AR167" t="str">
            <v>IGNORED</v>
          </cell>
        </row>
        <row r="168">
          <cell r="B168" t="str">
            <v>Operating Profit - % Portugal</v>
          </cell>
          <cell r="C168" t="str">
            <v>OP_POR</v>
          </cell>
          <cell r="F168" t="str">
            <v>IGNORED</v>
          </cell>
          <cell r="G168" t="str">
            <v>IGNORED</v>
          </cell>
          <cell r="H168" t="str">
            <v>IGNORED</v>
          </cell>
          <cell r="I168" t="str">
            <v>IGNORED</v>
          </cell>
          <cell r="J168" t="str">
            <v>IGNORED</v>
          </cell>
          <cell r="K168" t="str">
            <v>IGNORED</v>
          </cell>
          <cell r="L168" t="str">
            <v>IGNORED</v>
          </cell>
          <cell r="M168" t="str">
            <v>IGNORED</v>
          </cell>
          <cell r="N168" t="str">
            <v>IGNORED</v>
          </cell>
          <cell r="O168" t="str">
            <v>IGNORED</v>
          </cell>
          <cell r="P168" t="str">
            <v>IGNORED</v>
          </cell>
          <cell r="Q168" t="str">
            <v>IGNORED</v>
          </cell>
          <cell r="R168" t="str">
            <v>IGNORED</v>
          </cell>
          <cell r="S168" t="str">
            <v>IGNORED</v>
          </cell>
          <cell r="T168" t="str">
            <v>IGNORED</v>
          </cell>
          <cell r="U168" t="str">
            <v>IGNORED</v>
          </cell>
          <cell r="V168" t="str">
            <v>IGNORED</v>
          </cell>
          <cell r="W168" t="str">
            <v>IGNORED</v>
          </cell>
          <cell r="X168" t="str">
            <v>IGNORED</v>
          </cell>
          <cell r="Y168" t="str">
            <v>IGNORED</v>
          </cell>
          <cell r="Z168" t="str">
            <v>IGNORED</v>
          </cell>
          <cell r="AA168" t="str">
            <v>IGNORED</v>
          </cell>
          <cell r="AB168" t="str">
            <v>IGNORED</v>
          </cell>
          <cell r="AC168" t="str">
            <v>IGNORED</v>
          </cell>
          <cell r="AD168" t="str">
            <v>IGNORED</v>
          </cell>
          <cell r="AE168" t="str">
            <v>IGNORED</v>
          </cell>
          <cell r="AF168" t="str">
            <v>IGNORED</v>
          </cell>
          <cell r="AG168" t="str">
            <v>IGNORED</v>
          </cell>
          <cell r="AH168" t="str">
            <v>IGNORED</v>
          </cell>
          <cell r="AI168" t="str">
            <v>IGNORED</v>
          </cell>
          <cell r="AJ168" t="str">
            <v>IGNORED</v>
          </cell>
          <cell r="AK168" t="str">
            <v>IGNORED</v>
          </cell>
          <cell r="AL168" t="str">
            <v>IGNORED</v>
          </cell>
          <cell r="AM168" t="str">
            <v>IGNORED</v>
          </cell>
          <cell r="AN168" t="str">
            <v>IGNORED</v>
          </cell>
          <cell r="AO168" t="str">
            <v>IGNORED</v>
          </cell>
          <cell r="AP168" t="str">
            <v>IGNORED</v>
          </cell>
          <cell r="AQ168" t="str">
            <v>IGNORED</v>
          </cell>
          <cell r="AR168" t="str">
            <v>IGNORED</v>
          </cell>
        </row>
        <row r="169">
          <cell r="B169" t="str">
            <v>Operating Profit - % Spain</v>
          </cell>
          <cell r="C169" t="str">
            <v>OP_SPA</v>
          </cell>
          <cell r="F169" t="str">
            <v>IGNORED</v>
          </cell>
          <cell r="G169" t="str">
            <v>IGNORED</v>
          </cell>
          <cell r="H169" t="str">
            <v>IGNORED</v>
          </cell>
          <cell r="I169" t="str">
            <v>IGNORED</v>
          </cell>
          <cell r="J169" t="str">
            <v>IGNORED</v>
          </cell>
          <cell r="K169" t="str">
            <v>IGNORED</v>
          </cell>
          <cell r="L169" t="str">
            <v>IGNORED</v>
          </cell>
          <cell r="M169" t="str">
            <v>IGNORED</v>
          </cell>
          <cell r="N169" t="str">
            <v>IGNORED</v>
          </cell>
          <cell r="O169" t="str">
            <v>IGNORED</v>
          </cell>
          <cell r="P169" t="str">
            <v>IGNORED</v>
          </cell>
          <cell r="Q169" t="str">
            <v>IGNORED</v>
          </cell>
          <cell r="R169" t="str">
            <v>IGNORED</v>
          </cell>
          <cell r="S169" t="str">
            <v>IGNORED</v>
          </cell>
          <cell r="T169" t="str">
            <v>IGNORED</v>
          </cell>
          <cell r="U169" t="str">
            <v>IGNORED</v>
          </cell>
          <cell r="V169" t="str">
            <v>IGNORED</v>
          </cell>
          <cell r="W169" t="str">
            <v>IGNORED</v>
          </cell>
          <cell r="X169" t="str">
            <v>IGNORED</v>
          </cell>
          <cell r="Y169" t="str">
            <v>IGNORED</v>
          </cell>
          <cell r="Z169" t="str">
            <v>IGNORED</v>
          </cell>
          <cell r="AA169" t="str">
            <v>IGNORED</v>
          </cell>
          <cell r="AB169" t="str">
            <v>IGNORED</v>
          </cell>
          <cell r="AC169" t="str">
            <v>IGNORED</v>
          </cell>
          <cell r="AD169" t="str">
            <v>IGNORED</v>
          </cell>
          <cell r="AE169" t="str">
            <v>IGNORED</v>
          </cell>
          <cell r="AF169" t="str">
            <v>IGNORED</v>
          </cell>
          <cell r="AG169" t="str">
            <v>IGNORED</v>
          </cell>
          <cell r="AH169" t="str">
            <v>IGNORED</v>
          </cell>
          <cell r="AI169" t="str">
            <v>IGNORED</v>
          </cell>
          <cell r="AJ169" t="str">
            <v>IGNORED</v>
          </cell>
          <cell r="AK169" t="str">
            <v>IGNORED</v>
          </cell>
          <cell r="AL169" t="str">
            <v>IGNORED</v>
          </cell>
          <cell r="AM169" t="str">
            <v>IGNORED</v>
          </cell>
          <cell r="AN169" t="str">
            <v>IGNORED</v>
          </cell>
          <cell r="AO169" t="str">
            <v>IGNORED</v>
          </cell>
          <cell r="AP169" t="str">
            <v>IGNORED</v>
          </cell>
          <cell r="AQ169" t="str">
            <v>IGNORED</v>
          </cell>
          <cell r="AR169" t="str">
            <v>IGNORED</v>
          </cell>
        </row>
        <row r="170">
          <cell r="B170" t="str">
            <v>Operating Profit - % Sweden</v>
          </cell>
          <cell r="C170" t="str">
            <v>OP_SWE</v>
          </cell>
          <cell r="F170" t="str">
            <v>IGNORED</v>
          </cell>
          <cell r="G170" t="str">
            <v>IGNORED</v>
          </cell>
          <cell r="H170" t="str">
            <v>IGNORED</v>
          </cell>
          <cell r="I170" t="str">
            <v>IGNORED</v>
          </cell>
          <cell r="J170" t="str">
            <v>IGNORED</v>
          </cell>
          <cell r="K170" t="str">
            <v>IGNORED</v>
          </cell>
          <cell r="L170" t="str">
            <v>IGNORED</v>
          </cell>
          <cell r="M170" t="str">
            <v>IGNORED</v>
          </cell>
          <cell r="N170" t="str">
            <v>IGNORED</v>
          </cell>
          <cell r="O170" t="str">
            <v>IGNORED</v>
          </cell>
          <cell r="P170" t="str">
            <v>IGNORED</v>
          </cell>
          <cell r="Q170" t="str">
            <v>IGNORED</v>
          </cell>
          <cell r="R170" t="str">
            <v>IGNORED</v>
          </cell>
          <cell r="S170" t="str">
            <v>IGNORED</v>
          </cell>
          <cell r="T170" t="str">
            <v>IGNORED</v>
          </cell>
          <cell r="U170" t="str">
            <v>IGNORED</v>
          </cell>
          <cell r="V170" t="str">
            <v>IGNORED</v>
          </cell>
          <cell r="W170" t="str">
            <v>IGNORED</v>
          </cell>
          <cell r="X170" t="str">
            <v>IGNORED</v>
          </cell>
          <cell r="Y170" t="str">
            <v>IGNORED</v>
          </cell>
          <cell r="Z170" t="str">
            <v>IGNORED</v>
          </cell>
          <cell r="AA170" t="str">
            <v>IGNORED</v>
          </cell>
          <cell r="AB170" t="str">
            <v>IGNORED</v>
          </cell>
          <cell r="AC170" t="str">
            <v>IGNORED</v>
          </cell>
          <cell r="AD170" t="str">
            <v>IGNORED</v>
          </cell>
          <cell r="AE170" t="str">
            <v>IGNORED</v>
          </cell>
          <cell r="AF170" t="str">
            <v>IGNORED</v>
          </cell>
          <cell r="AG170" t="str">
            <v>IGNORED</v>
          </cell>
          <cell r="AH170" t="str">
            <v>IGNORED</v>
          </cell>
          <cell r="AI170" t="str">
            <v>IGNORED</v>
          </cell>
          <cell r="AJ170" t="str">
            <v>IGNORED</v>
          </cell>
          <cell r="AK170" t="str">
            <v>IGNORED</v>
          </cell>
          <cell r="AL170" t="str">
            <v>IGNORED</v>
          </cell>
          <cell r="AM170" t="str">
            <v>IGNORED</v>
          </cell>
          <cell r="AN170" t="str">
            <v>IGNORED</v>
          </cell>
          <cell r="AO170" t="str">
            <v>IGNORED</v>
          </cell>
          <cell r="AP170" t="str">
            <v>IGNORED</v>
          </cell>
          <cell r="AQ170" t="str">
            <v>IGNORED</v>
          </cell>
          <cell r="AR170" t="str">
            <v>IGNORED</v>
          </cell>
        </row>
        <row r="171">
          <cell r="B171" t="str">
            <v>Operating Profit - % Switzerland</v>
          </cell>
          <cell r="C171" t="str">
            <v>OP_SWIT</v>
          </cell>
          <cell r="F171" t="str">
            <v>IGNORED</v>
          </cell>
          <cell r="G171" t="str">
            <v>IGNORED</v>
          </cell>
          <cell r="H171" t="str">
            <v>IGNORED</v>
          </cell>
          <cell r="I171" t="str">
            <v>IGNORED</v>
          </cell>
          <cell r="J171" t="str">
            <v>IGNORED</v>
          </cell>
          <cell r="K171" t="str">
            <v>IGNORED</v>
          </cell>
          <cell r="L171" t="str">
            <v>IGNORED</v>
          </cell>
          <cell r="M171" t="str">
            <v>IGNORED</v>
          </cell>
          <cell r="N171" t="str">
            <v>IGNORED</v>
          </cell>
          <cell r="O171" t="str">
            <v>IGNORED</v>
          </cell>
          <cell r="P171" t="str">
            <v>IGNORED</v>
          </cell>
          <cell r="Q171" t="str">
            <v>IGNORED</v>
          </cell>
          <cell r="R171" t="str">
            <v>IGNORED</v>
          </cell>
          <cell r="S171" t="str">
            <v>IGNORED</v>
          </cell>
          <cell r="T171" t="str">
            <v>IGNORED</v>
          </cell>
          <cell r="U171" t="str">
            <v>IGNORED</v>
          </cell>
          <cell r="V171" t="str">
            <v>IGNORED</v>
          </cell>
          <cell r="W171" t="str">
            <v>IGNORED</v>
          </cell>
          <cell r="X171" t="str">
            <v>IGNORED</v>
          </cell>
          <cell r="Y171" t="str">
            <v>IGNORED</v>
          </cell>
          <cell r="Z171" t="str">
            <v>IGNORED</v>
          </cell>
          <cell r="AA171" t="str">
            <v>IGNORED</v>
          </cell>
          <cell r="AB171" t="str">
            <v>IGNORED</v>
          </cell>
          <cell r="AC171" t="str">
            <v>IGNORED</v>
          </cell>
          <cell r="AD171" t="str">
            <v>IGNORED</v>
          </cell>
          <cell r="AE171" t="str">
            <v>IGNORED</v>
          </cell>
          <cell r="AF171" t="str">
            <v>IGNORED</v>
          </cell>
          <cell r="AG171" t="str">
            <v>IGNORED</v>
          </cell>
          <cell r="AH171" t="str">
            <v>IGNORED</v>
          </cell>
          <cell r="AI171" t="str">
            <v>IGNORED</v>
          </cell>
          <cell r="AJ171" t="str">
            <v>IGNORED</v>
          </cell>
          <cell r="AK171" t="str">
            <v>IGNORED</v>
          </cell>
          <cell r="AL171" t="str">
            <v>IGNORED</v>
          </cell>
          <cell r="AM171" t="str">
            <v>IGNORED</v>
          </cell>
          <cell r="AN171" t="str">
            <v>IGNORED</v>
          </cell>
          <cell r="AO171" t="str">
            <v>IGNORED</v>
          </cell>
          <cell r="AP171" t="str">
            <v>IGNORED</v>
          </cell>
          <cell r="AQ171" t="str">
            <v>IGNORED</v>
          </cell>
          <cell r="AR171" t="str">
            <v>IGNORED</v>
          </cell>
        </row>
        <row r="172">
          <cell r="B172" t="str">
            <v>Operating Profit - % Central &amp; Eastern Europe</v>
          </cell>
          <cell r="C172" t="str">
            <v>OP_CEE</v>
          </cell>
          <cell r="F172" t="str">
            <v>IGNORED</v>
          </cell>
          <cell r="G172" t="str">
            <v>IGNORED</v>
          </cell>
          <cell r="H172" t="str">
            <v>IGNORED</v>
          </cell>
          <cell r="I172" t="str">
            <v>IGNORED</v>
          </cell>
          <cell r="J172" t="str">
            <v>IGNORED</v>
          </cell>
          <cell r="K172" t="str">
            <v>IGNORED</v>
          </cell>
          <cell r="L172" t="str">
            <v>IGNORED</v>
          </cell>
          <cell r="M172" t="str">
            <v>IGNORED</v>
          </cell>
          <cell r="N172" t="str">
            <v>IGNORED</v>
          </cell>
          <cell r="O172" t="str">
            <v>IGNORED</v>
          </cell>
          <cell r="P172" t="str">
            <v>IGNORED</v>
          </cell>
          <cell r="Q172" t="str">
            <v>IGNORED</v>
          </cell>
          <cell r="R172" t="str">
            <v>IGNORED</v>
          </cell>
          <cell r="S172" t="str">
            <v>IGNORED</v>
          </cell>
          <cell r="T172" t="str">
            <v>IGNORED</v>
          </cell>
          <cell r="U172" t="str">
            <v>IGNORED</v>
          </cell>
          <cell r="V172" t="str">
            <v>IGNORED</v>
          </cell>
          <cell r="W172" t="str">
            <v>IGNORED</v>
          </cell>
          <cell r="X172" t="str">
            <v>IGNORED</v>
          </cell>
          <cell r="Y172" t="str">
            <v>IGNORED</v>
          </cell>
          <cell r="Z172" t="str">
            <v>IGNORED</v>
          </cell>
          <cell r="AA172" t="str">
            <v>IGNORED</v>
          </cell>
          <cell r="AB172" t="str">
            <v>IGNORED</v>
          </cell>
          <cell r="AC172" t="str">
            <v>IGNORED</v>
          </cell>
          <cell r="AD172" t="str">
            <v>IGNORED</v>
          </cell>
          <cell r="AE172" t="str">
            <v>IGNORED</v>
          </cell>
          <cell r="AF172" t="str">
            <v>IGNORED</v>
          </cell>
          <cell r="AG172" t="str">
            <v>IGNORED</v>
          </cell>
          <cell r="AH172" t="str">
            <v>IGNORED</v>
          </cell>
          <cell r="AI172" t="str">
            <v>IGNORED</v>
          </cell>
          <cell r="AJ172" t="str">
            <v>IGNORED</v>
          </cell>
          <cell r="AK172" t="str">
            <v>IGNORED</v>
          </cell>
          <cell r="AL172" t="str">
            <v>IGNORED</v>
          </cell>
          <cell r="AM172" t="str">
            <v>IGNORED</v>
          </cell>
          <cell r="AN172" t="str">
            <v>IGNORED</v>
          </cell>
          <cell r="AO172" t="str">
            <v>IGNORED</v>
          </cell>
          <cell r="AP172" t="str">
            <v>IGNORED</v>
          </cell>
          <cell r="AQ172" t="str">
            <v>IGNORED</v>
          </cell>
          <cell r="AR172" t="str">
            <v>IGNORED</v>
          </cell>
        </row>
        <row r="173">
          <cell r="B173" t="str">
            <v>Operating Profit - % Middle East</v>
          </cell>
          <cell r="C173" t="str">
            <v>OP_ME</v>
          </cell>
          <cell r="F173" t="str">
            <v>IGNORED</v>
          </cell>
          <cell r="G173" t="str">
            <v>IGNORED</v>
          </cell>
          <cell r="H173" t="str">
            <v>IGNORED</v>
          </cell>
          <cell r="I173" t="str">
            <v>IGNORED</v>
          </cell>
          <cell r="J173" t="str">
            <v>IGNORED</v>
          </cell>
          <cell r="K173" t="str">
            <v>IGNORED</v>
          </cell>
          <cell r="L173" t="str">
            <v>IGNORED</v>
          </cell>
          <cell r="M173" t="str">
            <v>IGNORED</v>
          </cell>
          <cell r="N173" t="str">
            <v>IGNORED</v>
          </cell>
          <cell r="O173" t="str">
            <v>IGNORED</v>
          </cell>
          <cell r="P173" t="str">
            <v>IGNORED</v>
          </cell>
          <cell r="Q173" t="str">
            <v>IGNORED</v>
          </cell>
          <cell r="R173" t="str">
            <v>IGNORED</v>
          </cell>
          <cell r="S173" t="str">
            <v>IGNORED</v>
          </cell>
          <cell r="T173" t="str">
            <v>IGNORED</v>
          </cell>
          <cell r="U173" t="str">
            <v>IGNORED</v>
          </cell>
          <cell r="V173" t="str">
            <v>IGNORED</v>
          </cell>
          <cell r="W173" t="str">
            <v>IGNORED</v>
          </cell>
          <cell r="X173" t="str">
            <v>IGNORED</v>
          </cell>
          <cell r="Y173" t="str">
            <v>IGNORED</v>
          </cell>
          <cell r="Z173" t="str">
            <v>IGNORED</v>
          </cell>
          <cell r="AA173" t="str">
            <v>IGNORED</v>
          </cell>
          <cell r="AB173" t="str">
            <v>IGNORED</v>
          </cell>
          <cell r="AC173" t="str">
            <v>IGNORED</v>
          </cell>
          <cell r="AD173" t="str">
            <v>IGNORED</v>
          </cell>
          <cell r="AE173" t="str">
            <v>IGNORED</v>
          </cell>
          <cell r="AF173" t="str">
            <v>IGNORED</v>
          </cell>
          <cell r="AG173" t="str">
            <v>IGNORED</v>
          </cell>
          <cell r="AH173" t="str">
            <v>IGNORED</v>
          </cell>
          <cell r="AI173" t="str">
            <v>IGNORED</v>
          </cell>
          <cell r="AJ173" t="str">
            <v>IGNORED</v>
          </cell>
          <cell r="AK173" t="str">
            <v>IGNORED</v>
          </cell>
          <cell r="AL173" t="str">
            <v>IGNORED</v>
          </cell>
          <cell r="AM173" t="str">
            <v>IGNORED</v>
          </cell>
          <cell r="AN173" t="str">
            <v>IGNORED</v>
          </cell>
          <cell r="AO173" t="str">
            <v>IGNORED</v>
          </cell>
          <cell r="AP173" t="str">
            <v>IGNORED</v>
          </cell>
          <cell r="AQ173" t="str">
            <v>IGNORED</v>
          </cell>
          <cell r="AR173" t="str">
            <v>IGNORED</v>
          </cell>
        </row>
        <row r="174">
          <cell r="B174" t="str">
            <v>Operating Profit - % Russia</v>
          </cell>
          <cell r="C174" t="str">
            <v>OP_RUSSIA</v>
          </cell>
          <cell r="F174" t="str">
            <v>IGNORED</v>
          </cell>
          <cell r="G174" t="str">
            <v>IGNORED</v>
          </cell>
          <cell r="H174" t="str">
            <v>IGNORED</v>
          </cell>
          <cell r="I174" t="str">
            <v>IGNORED</v>
          </cell>
          <cell r="J174" t="str">
            <v>IGNORED</v>
          </cell>
          <cell r="K174" t="str">
            <v>IGNORED</v>
          </cell>
          <cell r="L174" t="str">
            <v>IGNORED</v>
          </cell>
          <cell r="M174" t="str">
            <v>IGNORED</v>
          </cell>
          <cell r="N174" t="str">
            <v>IGNORED</v>
          </cell>
          <cell r="O174" t="str">
            <v>IGNORED</v>
          </cell>
          <cell r="P174" t="str">
            <v>IGNORED</v>
          </cell>
          <cell r="Q174" t="str">
            <v>IGNORED</v>
          </cell>
          <cell r="R174" t="str">
            <v>IGNORED</v>
          </cell>
          <cell r="S174" t="str">
            <v>IGNORED</v>
          </cell>
          <cell r="T174" t="str">
            <v>IGNORED</v>
          </cell>
          <cell r="U174" t="str">
            <v>IGNORED</v>
          </cell>
          <cell r="V174" t="str">
            <v>IGNORED</v>
          </cell>
          <cell r="W174" t="str">
            <v>IGNORED</v>
          </cell>
          <cell r="X174" t="str">
            <v>IGNORED</v>
          </cell>
          <cell r="Y174" t="str">
            <v>IGNORED</v>
          </cell>
          <cell r="Z174" t="str">
            <v>IGNORED</v>
          </cell>
          <cell r="AA174" t="str">
            <v>IGNORED</v>
          </cell>
          <cell r="AB174" t="str">
            <v>IGNORED</v>
          </cell>
          <cell r="AC174" t="str">
            <v>IGNORED</v>
          </cell>
          <cell r="AD174" t="str">
            <v>IGNORED</v>
          </cell>
          <cell r="AE174" t="str">
            <v>IGNORED</v>
          </cell>
          <cell r="AF174" t="str">
            <v>IGNORED</v>
          </cell>
          <cell r="AG174" t="str">
            <v>IGNORED</v>
          </cell>
          <cell r="AH174" t="str">
            <v>IGNORED</v>
          </cell>
          <cell r="AI174" t="str">
            <v>IGNORED</v>
          </cell>
          <cell r="AJ174" t="str">
            <v>IGNORED</v>
          </cell>
          <cell r="AK174" t="str">
            <v>IGNORED</v>
          </cell>
          <cell r="AL174" t="str">
            <v>IGNORED</v>
          </cell>
          <cell r="AM174" t="str">
            <v>IGNORED</v>
          </cell>
          <cell r="AN174" t="str">
            <v>IGNORED</v>
          </cell>
          <cell r="AO174" t="str">
            <v>IGNORED</v>
          </cell>
          <cell r="AP174" t="str">
            <v>IGNORED</v>
          </cell>
          <cell r="AQ174" t="str">
            <v>IGNORED</v>
          </cell>
          <cell r="AR174" t="str">
            <v>IGNORED</v>
          </cell>
        </row>
        <row r="175">
          <cell r="B175" t="str">
            <v>Operating Profit - % Other EMEA</v>
          </cell>
          <cell r="C175" t="str">
            <v>OP_OTH_EMEA</v>
          </cell>
          <cell r="F175" t="str">
            <v>IGNORED</v>
          </cell>
          <cell r="G175" t="str">
            <v>IGNORED</v>
          </cell>
          <cell r="H175" t="str">
            <v>IGNORED</v>
          </cell>
          <cell r="I175" t="str">
            <v>IGNORED</v>
          </cell>
          <cell r="J175" t="str">
            <v>IGNORED</v>
          </cell>
          <cell r="K175" t="str">
            <v>IGNORED</v>
          </cell>
          <cell r="L175" t="str">
            <v>IGNORED</v>
          </cell>
          <cell r="M175" t="str">
            <v>IGNORED</v>
          </cell>
          <cell r="N175" t="str">
            <v>IGNORED</v>
          </cell>
          <cell r="O175" t="str">
            <v>IGNORED</v>
          </cell>
          <cell r="P175" t="str">
            <v>IGNORED</v>
          </cell>
          <cell r="Q175" t="str">
            <v>IGNORED</v>
          </cell>
          <cell r="R175" t="str">
            <v>IGNORED</v>
          </cell>
          <cell r="S175" t="str">
            <v>IGNORED</v>
          </cell>
          <cell r="T175" t="str">
            <v>IGNORED</v>
          </cell>
          <cell r="U175" t="str">
            <v>IGNORED</v>
          </cell>
          <cell r="V175" t="str">
            <v>IGNORED</v>
          </cell>
          <cell r="W175" t="str">
            <v>IGNORED</v>
          </cell>
          <cell r="X175" t="str">
            <v>IGNORED</v>
          </cell>
          <cell r="Y175" t="str">
            <v>IGNORED</v>
          </cell>
          <cell r="Z175" t="str">
            <v>IGNORED</v>
          </cell>
          <cell r="AA175" t="str">
            <v>IGNORED</v>
          </cell>
          <cell r="AB175" t="str">
            <v>IGNORED</v>
          </cell>
          <cell r="AC175" t="str">
            <v>IGNORED</v>
          </cell>
          <cell r="AD175" t="str">
            <v>IGNORED</v>
          </cell>
          <cell r="AE175" t="str">
            <v>IGNORED</v>
          </cell>
          <cell r="AF175" t="str">
            <v>IGNORED</v>
          </cell>
          <cell r="AG175" t="str">
            <v>IGNORED</v>
          </cell>
          <cell r="AH175" t="str">
            <v>IGNORED</v>
          </cell>
          <cell r="AI175" t="str">
            <v>IGNORED</v>
          </cell>
          <cell r="AJ175" t="str">
            <v>IGNORED</v>
          </cell>
          <cell r="AK175" t="str">
            <v>IGNORED</v>
          </cell>
          <cell r="AL175" t="str">
            <v>IGNORED</v>
          </cell>
          <cell r="AM175" t="str">
            <v>IGNORED</v>
          </cell>
          <cell r="AN175" t="str">
            <v>IGNORED</v>
          </cell>
          <cell r="AO175" t="str">
            <v>IGNORED</v>
          </cell>
          <cell r="AP175" t="str">
            <v>IGNORED</v>
          </cell>
          <cell r="AQ175" t="str">
            <v>IGNORED</v>
          </cell>
          <cell r="AR175" t="str">
            <v>IGNORED</v>
          </cell>
        </row>
        <row r="176">
          <cell r="B176" t="str">
            <v>Operating Profit - Total % Asia (incl Australia &amp; New Zealand)</v>
          </cell>
          <cell r="C176" t="str">
            <v>OP_TOT_ASIA</v>
          </cell>
          <cell r="F176" t="str">
            <v>IGNORED</v>
          </cell>
          <cell r="G176" t="str">
            <v>IGNORED</v>
          </cell>
          <cell r="H176" t="str">
            <v>IGNORED</v>
          </cell>
          <cell r="I176" t="str">
            <v>IGNORED</v>
          </cell>
          <cell r="J176" t="str">
            <v>IGNORED</v>
          </cell>
          <cell r="K176" t="str">
            <v>IGNORED</v>
          </cell>
          <cell r="L176" t="str">
            <v>IGNORED</v>
          </cell>
          <cell r="M176" t="str">
            <v>IGNORED</v>
          </cell>
          <cell r="N176" t="str">
            <v>IGNORED</v>
          </cell>
          <cell r="O176" t="str">
            <v>IGNORED</v>
          </cell>
          <cell r="P176" t="str">
            <v>IGNORED</v>
          </cell>
          <cell r="Q176" t="str">
            <v>IGNORED</v>
          </cell>
          <cell r="R176" t="str">
            <v>IGNORED</v>
          </cell>
          <cell r="S176" t="str">
            <v>IGNORED</v>
          </cell>
          <cell r="T176" t="str">
            <v>IGNORED</v>
          </cell>
          <cell r="U176" t="str">
            <v>IGNORED</v>
          </cell>
          <cell r="V176" t="str">
            <v>IGNORED</v>
          </cell>
          <cell r="W176" t="str">
            <v>IGNORED</v>
          </cell>
          <cell r="X176" t="str">
            <v>IGNORED</v>
          </cell>
          <cell r="Y176" t="str">
            <v>IGNORED</v>
          </cell>
          <cell r="Z176" t="str">
            <v>IGNORED</v>
          </cell>
          <cell r="AA176" t="str">
            <v>IGNORED</v>
          </cell>
          <cell r="AB176" t="str">
            <v>IGNORED</v>
          </cell>
          <cell r="AC176" t="str">
            <v>IGNORED</v>
          </cell>
          <cell r="AD176" t="str">
            <v>IGNORED</v>
          </cell>
          <cell r="AE176" t="str">
            <v>IGNORED</v>
          </cell>
          <cell r="AF176" t="str">
            <v>IGNORED</v>
          </cell>
          <cell r="AG176" t="str">
            <v>IGNORED</v>
          </cell>
          <cell r="AH176" t="str">
            <v>IGNORED</v>
          </cell>
          <cell r="AI176" t="str">
            <v>IGNORED</v>
          </cell>
          <cell r="AJ176" t="str">
            <v>IGNORED</v>
          </cell>
          <cell r="AK176" t="str">
            <v>IGNORED</v>
          </cell>
          <cell r="AL176" t="str">
            <v>IGNORED</v>
          </cell>
          <cell r="AM176" t="str">
            <v>IGNORED</v>
          </cell>
          <cell r="AN176" t="str">
            <v>IGNORED</v>
          </cell>
          <cell r="AO176" t="str">
            <v>IGNORED</v>
          </cell>
          <cell r="AP176" t="str">
            <v>IGNORED</v>
          </cell>
          <cell r="AQ176" t="str">
            <v>IGNORED</v>
          </cell>
          <cell r="AR176" t="str">
            <v>IGNORED</v>
          </cell>
        </row>
        <row r="177">
          <cell r="B177" t="str">
            <v>Operating Profit - % Japan</v>
          </cell>
          <cell r="C177" t="str">
            <v>OP_JAPAN</v>
          </cell>
          <cell r="F177" t="str">
            <v>IGNORED</v>
          </cell>
          <cell r="G177" t="str">
            <v>IGNORED</v>
          </cell>
          <cell r="H177" t="str">
            <v>IGNORED</v>
          </cell>
          <cell r="I177" t="str">
            <v>IGNORED</v>
          </cell>
          <cell r="J177" t="str">
            <v>IGNORED</v>
          </cell>
          <cell r="K177" t="str">
            <v>IGNORED</v>
          </cell>
          <cell r="L177" t="str">
            <v>IGNORED</v>
          </cell>
          <cell r="M177" t="str">
            <v>IGNORED</v>
          </cell>
          <cell r="N177" t="str">
            <v>IGNORED</v>
          </cell>
          <cell r="O177" t="str">
            <v>IGNORED</v>
          </cell>
          <cell r="P177" t="str">
            <v>IGNORED</v>
          </cell>
          <cell r="Q177" t="str">
            <v>IGNORED</v>
          </cell>
          <cell r="R177" t="str">
            <v>IGNORED</v>
          </cell>
          <cell r="S177" t="str">
            <v>IGNORED</v>
          </cell>
          <cell r="T177" t="str">
            <v>IGNORED</v>
          </cell>
          <cell r="U177" t="str">
            <v>IGNORED</v>
          </cell>
          <cell r="V177" t="str">
            <v>IGNORED</v>
          </cell>
          <cell r="W177" t="str">
            <v>IGNORED</v>
          </cell>
          <cell r="X177" t="str">
            <v>IGNORED</v>
          </cell>
          <cell r="Y177" t="str">
            <v>IGNORED</v>
          </cell>
          <cell r="Z177" t="str">
            <v>IGNORED</v>
          </cell>
          <cell r="AA177" t="str">
            <v>IGNORED</v>
          </cell>
          <cell r="AB177" t="str">
            <v>IGNORED</v>
          </cell>
          <cell r="AC177" t="str">
            <v>IGNORED</v>
          </cell>
          <cell r="AD177" t="str">
            <v>IGNORED</v>
          </cell>
          <cell r="AE177" t="str">
            <v>IGNORED</v>
          </cell>
          <cell r="AF177" t="str">
            <v>IGNORED</v>
          </cell>
          <cell r="AG177" t="str">
            <v>IGNORED</v>
          </cell>
          <cell r="AH177" t="str">
            <v>IGNORED</v>
          </cell>
          <cell r="AI177" t="str">
            <v>IGNORED</v>
          </cell>
          <cell r="AJ177" t="str">
            <v>IGNORED</v>
          </cell>
          <cell r="AK177" t="str">
            <v>IGNORED</v>
          </cell>
          <cell r="AL177" t="str">
            <v>IGNORED</v>
          </cell>
          <cell r="AM177" t="str">
            <v>IGNORED</v>
          </cell>
          <cell r="AN177" t="str">
            <v>IGNORED</v>
          </cell>
          <cell r="AO177" t="str">
            <v>IGNORED</v>
          </cell>
          <cell r="AP177" t="str">
            <v>IGNORED</v>
          </cell>
          <cell r="AQ177" t="str">
            <v>IGNORED</v>
          </cell>
          <cell r="AR177" t="str">
            <v>IGNORED</v>
          </cell>
        </row>
        <row r="178">
          <cell r="B178" t="str">
            <v>Operating Profit - % Greater China (incl HK)</v>
          </cell>
          <cell r="C178" t="str">
            <v>OP_CHINA</v>
          </cell>
          <cell r="F178" t="str">
            <v>IGNORED</v>
          </cell>
          <cell r="G178" t="str">
            <v>IGNORED</v>
          </cell>
          <cell r="H178" t="str">
            <v>IGNORED</v>
          </cell>
          <cell r="I178" t="str">
            <v>IGNORED</v>
          </cell>
          <cell r="J178" t="str">
            <v>IGNORED</v>
          </cell>
          <cell r="K178" t="str">
            <v>IGNORED</v>
          </cell>
          <cell r="L178" t="str">
            <v>IGNORED</v>
          </cell>
          <cell r="M178" t="str">
            <v>IGNORED</v>
          </cell>
          <cell r="N178" t="str">
            <v>IGNORED</v>
          </cell>
          <cell r="O178" t="str">
            <v>IGNORED</v>
          </cell>
          <cell r="P178" t="str">
            <v>IGNORED</v>
          </cell>
          <cell r="Q178" t="str">
            <v>IGNORED</v>
          </cell>
          <cell r="R178" t="str">
            <v>IGNORED</v>
          </cell>
          <cell r="S178" t="str">
            <v>IGNORED</v>
          </cell>
          <cell r="T178" t="str">
            <v>IGNORED</v>
          </cell>
          <cell r="U178" t="str">
            <v>IGNORED</v>
          </cell>
          <cell r="V178" t="str">
            <v>IGNORED</v>
          </cell>
          <cell r="W178" t="str">
            <v>IGNORED</v>
          </cell>
          <cell r="X178" t="str">
            <v>IGNORED</v>
          </cell>
          <cell r="Y178" t="str">
            <v>IGNORED</v>
          </cell>
          <cell r="Z178" t="str">
            <v>IGNORED</v>
          </cell>
          <cell r="AA178" t="str">
            <v>IGNORED</v>
          </cell>
          <cell r="AB178" t="str">
            <v>IGNORED</v>
          </cell>
          <cell r="AC178" t="str">
            <v>IGNORED</v>
          </cell>
          <cell r="AD178" t="str">
            <v>IGNORED</v>
          </cell>
          <cell r="AE178" t="str">
            <v>IGNORED</v>
          </cell>
          <cell r="AF178" t="str">
            <v>IGNORED</v>
          </cell>
          <cell r="AG178" t="str">
            <v>IGNORED</v>
          </cell>
          <cell r="AH178" t="str">
            <v>IGNORED</v>
          </cell>
          <cell r="AI178" t="str">
            <v>IGNORED</v>
          </cell>
          <cell r="AJ178" t="str">
            <v>IGNORED</v>
          </cell>
          <cell r="AK178" t="str">
            <v>IGNORED</v>
          </cell>
          <cell r="AL178" t="str">
            <v>IGNORED</v>
          </cell>
          <cell r="AM178" t="str">
            <v>IGNORED</v>
          </cell>
          <cell r="AN178" t="str">
            <v>IGNORED</v>
          </cell>
          <cell r="AO178" t="str">
            <v>IGNORED</v>
          </cell>
          <cell r="AP178" t="str">
            <v>IGNORED</v>
          </cell>
          <cell r="AQ178" t="str">
            <v>IGNORED</v>
          </cell>
          <cell r="AR178" t="str">
            <v>IGNORED</v>
          </cell>
        </row>
        <row r="179">
          <cell r="B179" t="str">
            <v>Operating Profit - % India</v>
          </cell>
          <cell r="C179" t="str">
            <v>OP_INDIA</v>
          </cell>
          <cell r="F179" t="str">
            <v>IGNORED</v>
          </cell>
          <cell r="G179" t="str">
            <v>IGNORED</v>
          </cell>
          <cell r="H179" t="str">
            <v>IGNORED</v>
          </cell>
          <cell r="I179" t="str">
            <v>IGNORED</v>
          </cell>
          <cell r="J179" t="str">
            <v>IGNORED</v>
          </cell>
          <cell r="K179" t="str">
            <v>IGNORED</v>
          </cell>
          <cell r="L179" t="str">
            <v>IGNORED</v>
          </cell>
          <cell r="M179" t="str">
            <v>IGNORED</v>
          </cell>
          <cell r="N179" t="str">
            <v>IGNORED</v>
          </cell>
          <cell r="O179" t="str">
            <v>IGNORED</v>
          </cell>
          <cell r="P179" t="str">
            <v>IGNORED</v>
          </cell>
          <cell r="Q179" t="str">
            <v>IGNORED</v>
          </cell>
          <cell r="R179" t="str">
            <v>IGNORED</v>
          </cell>
          <cell r="S179" t="str">
            <v>IGNORED</v>
          </cell>
          <cell r="T179" t="str">
            <v>IGNORED</v>
          </cell>
          <cell r="U179" t="str">
            <v>IGNORED</v>
          </cell>
          <cell r="V179" t="str">
            <v>IGNORED</v>
          </cell>
          <cell r="W179" t="str">
            <v>IGNORED</v>
          </cell>
          <cell r="X179" t="str">
            <v>IGNORED</v>
          </cell>
          <cell r="Y179" t="str">
            <v>IGNORED</v>
          </cell>
          <cell r="Z179" t="str">
            <v>IGNORED</v>
          </cell>
          <cell r="AA179" t="str">
            <v>IGNORED</v>
          </cell>
          <cell r="AB179" t="str">
            <v>IGNORED</v>
          </cell>
          <cell r="AC179" t="str">
            <v>IGNORED</v>
          </cell>
          <cell r="AD179" t="str">
            <v>IGNORED</v>
          </cell>
          <cell r="AE179" t="str">
            <v>IGNORED</v>
          </cell>
          <cell r="AF179" t="str">
            <v>IGNORED</v>
          </cell>
          <cell r="AG179" t="str">
            <v>IGNORED</v>
          </cell>
          <cell r="AH179" t="str">
            <v>IGNORED</v>
          </cell>
          <cell r="AI179" t="str">
            <v>IGNORED</v>
          </cell>
          <cell r="AJ179" t="str">
            <v>IGNORED</v>
          </cell>
          <cell r="AK179" t="str">
            <v>IGNORED</v>
          </cell>
          <cell r="AL179" t="str">
            <v>IGNORED</v>
          </cell>
          <cell r="AM179" t="str">
            <v>IGNORED</v>
          </cell>
          <cell r="AN179" t="str">
            <v>IGNORED</v>
          </cell>
          <cell r="AO179" t="str">
            <v>IGNORED</v>
          </cell>
          <cell r="AP179" t="str">
            <v>IGNORED</v>
          </cell>
          <cell r="AQ179" t="str">
            <v>IGNORED</v>
          </cell>
          <cell r="AR179" t="str">
            <v>IGNORED</v>
          </cell>
        </row>
        <row r="180">
          <cell r="B180" t="str">
            <v>Operating Profit - % South Korea</v>
          </cell>
          <cell r="C180" t="str">
            <v>OP_SK</v>
          </cell>
          <cell r="F180" t="str">
            <v>IGNORED</v>
          </cell>
          <cell r="G180" t="str">
            <v>IGNORED</v>
          </cell>
          <cell r="H180" t="str">
            <v>IGNORED</v>
          </cell>
          <cell r="I180" t="str">
            <v>IGNORED</v>
          </cell>
          <cell r="J180" t="str">
            <v>IGNORED</v>
          </cell>
          <cell r="K180" t="str">
            <v>IGNORED</v>
          </cell>
          <cell r="L180" t="str">
            <v>IGNORED</v>
          </cell>
          <cell r="M180" t="str">
            <v>IGNORED</v>
          </cell>
          <cell r="N180" t="str">
            <v>IGNORED</v>
          </cell>
          <cell r="O180" t="str">
            <v>IGNORED</v>
          </cell>
          <cell r="P180" t="str">
            <v>IGNORED</v>
          </cell>
          <cell r="Q180" t="str">
            <v>IGNORED</v>
          </cell>
          <cell r="R180" t="str">
            <v>IGNORED</v>
          </cell>
          <cell r="S180" t="str">
            <v>IGNORED</v>
          </cell>
          <cell r="T180" t="str">
            <v>IGNORED</v>
          </cell>
          <cell r="U180" t="str">
            <v>IGNORED</v>
          </cell>
          <cell r="V180" t="str">
            <v>IGNORED</v>
          </cell>
          <cell r="W180" t="str">
            <v>IGNORED</v>
          </cell>
          <cell r="X180" t="str">
            <v>IGNORED</v>
          </cell>
          <cell r="Y180" t="str">
            <v>IGNORED</v>
          </cell>
          <cell r="Z180" t="str">
            <v>IGNORED</v>
          </cell>
          <cell r="AA180" t="str">
            <v>IGNORED</v>
          </cell>
          <cell r="AB180" t="str">
            <v>IGNORED</v>
          </cell>
          <cell r="AC180" t="str">
            <v>IGNORED</v>
          </cell>
          <cell r="AD180" t="str">
            <v>IGNORED</v>
          </cell>
          <cell r="AE180" t="str">
            <v>IGNORED</v>
          </cell>
          <cell r="AF180" t="str">
            <v>IGNORED</v>
          </cell>
          <cell r="AG180" t="str">
            <v>IGNORED</v>
          </cell>
          <cell r="AH180" t="str">
            <v>IGNORED</v>
          </cell>
          <cell r="AI180" t="str">
            <v>IGNORED</v>
          </cell>
          <cell r="AJ180" t="str">
            <v>IGNORED</v>
          </cell>
          <cell r="AK180" t="str">
            <v>IGNORED</v>
          </cell>
          <cell r="AL180" t="str">
            <v>IGNORED</v>
          </cell>
          <cell r="AM180" t="str">
            <v>IGNORED</v>
          </cell>
          <cell r="AN180" t="str">
            <v>IGNORED</v>
          </cell>
          <cell r="AO180" t="str">
            <v>IGNORED</v>
          </cell>
          <cell r="AP180" t="str">
            <v>IGNORED</v>
          </cell>
          <cell r="AQ180" t="str">
            <v>IGNORED</v>
          </cell>
          <cell r="AR180" t="str">
            <v>IGNORED</v>
          </cell>
        </row>
        <row r="181">
          <cell r="B181" t="str">
            <v>Operating Profit - % Australia</v>
          </cell>
          <cell r="C181" t="str">
            <v>OP_AUSTRA</v>
          </cell>
          <cell r="F181" t="str">
            <v>IGNORED</v>
          </cell>
          <cell r="G181" t="str">
            <v>IGNORED</v>
          </cell>
          <cell r="H181" t="str">
            <v>IGNORED</v>
          </cell>
          <cell r="I181" t="str">
            <v>IGNORED</v>
          </cell>
          <cell r="J181" t="str">
            <v>IGNORED</v>
          </cell>
          <cell r="K181" t="str">
            <v>IGNORED</v>
          </cell>
          <cell r="L181" t="str">
            <v>IGNORED</v>
          </cell>
          <cell r="M181" t="str">
            <v>IGNORED</v>
          </cell>
          <cell r="N181" t="str">
            <v>IGNORED</v>
          </cell>
          <cell r="O181" t="str">
            <v>IGNORED</v>
          </cell>
          <cell r="P181" t="str">
            <v>IGNORED</v>
          </cell>
          <cell r="Q181" t="str">
            <v>IGNORED</v>
          </cell>
          <cell r="R181" t="str">
            <v>IGNORED</v>
          </cell>
          <cell r="S181" t="str">
            <v>IGNORED</v>
          </cell>
          <cell r="T181" t="str">
            <v>IGNORED</v>
          </cell>
          <cell r="U181" t="str">
            <v>IGNORED</v>
          </cell>
          <cell r="V181" t="str">
            <v>IGNORED</v>
          </cell>
          <cell r="W181" t="str">
            <v>IGNORED</v>
          </cell>
          <cell r="X181" t="str">
            <v>IGNORED</v>
          </cell>
          <cell r="Y181" t="str">
            <v>IGNORED</v>
          </cell>
          <cell r="Z181" t="str">
            <v>IGNORED</v>
          </cell>
          <cell r="AA181" t="str">
            <v>IGNORED</v>
          </cell>
          <cell r="AB181" t="str">
            <v>IGNORED</v>
          </cell>
          <cell r="AC181" t="str">
            <v>IGNORED</v>
          </cell>
          <cell r="AD181" t="str">
            <v>IGNORED</v>
          </cell>
          <cell r="AE181" t="str">
            <v>IGNORED</v>
          </cell>
          <cell r="AF181" t="str">
            <v>IGNORED</v>
          </cell>
          <cell r="AG181" t="str">
            <v>IGNORED</v>
          </cell>
          <cell r="AH181" t="str">
            <v>IGNORED</v>
          </cell>
          <cell r="AI181" t="str">
            <v>IGNORED</v>
          </cell>
          <cell r="AJ181" t="str">
            <v>IGNORED</v>
          </cell>
          <cell r="AK181" t="str">
            <v>IGNORED</v>
          </cell>
          <cell r="AL181" t="str">
            <v>IGNORED</v>
          </cell>
          <cell r="AM181" t="str">
            <v>IGNORED</v>
          </cell>
          <cell r="AN181" t="str">
            <v>IGNORED</v>
          </cell>
          <cell r="AO181" t="str">
            <v>IGNORED</v>
          </cell>
          <cell r="AP181" t="str">
            <v>IGNORED</v>
          </cell>
          <cell r="AQ181" t="str">
            <v>IGNORED</v>
          </cell>
          <cell r="AR181" t="str">
            <v>IGNORED</v>
          </cell>
        </row>
        <row r="182">
          <cell r="B182" t="str">
            <v>Operating Profit - % New Zealand</v>
          </cell>
          <cell r="C182" t="str">
            <v>OP_NZ</v>
          </cell>
          <cell r="F182" t="str">
            <v>IGNORED</v>
          </cell>
          <cell r="G182" t="str">
            <v>IGNORED</v>
          </cell>
          <cell r="H182" t="str">
            <v>IGNORED</v>
          </cell>
          <cell r="I182" t="str">
            <v>IGNORED</v>
          </cell>
          <cell r="J182" t="str">
            <v>IGNORED</v>
          </cell>
          <cell r="K182" t="str">
            <v>IGNORED</v>
          </cell>
          <cell r="L182" t="str">
            <v>IGNORED</v>
          </cell>
          <cell r="M182" t="str">
            <v>IGNORED</v>
          </cell>
          <cell r="N182" t="str">
            <v>IGNORED</v>
          </cell>
          <cell r="O182" t="str">
            <v>IGNORED</v>
          </cell>
          <cell r="P182" t="str">
            <v>IGNORED</v>
          </cell>
          <cell r="Q182" t="str">
            <v>IGNORED</v>
          </cell>
          <cell r="R182" t="str">
            <v>IGNORED</v>
          </cell>
          <cell r="S182" t="str">
            <v>IGNORED</v>
          </cell>
          <cell r="T182" t="str">
            <v>IGNORED</v>
          </cell>
          <cell r="U182" t="str">
            <v>IGNORED</v>
          </cell>
          <cell r="V182" t="str">
            <v>IGNORED</v>
          </cell>
          <cell r="W182" t="str">
            <v>IGNORED</v>
          </cell>
          <cell r="X182" t="str">
            <v>IGNORED</v>
          </cell>
          <cell r="Y182" t="str">
            <v>IGNORED</v>
          </cell>
          <cell r="Z182" t="str">
            <v>IGNORED</v>
          </cell>
          <cell r="AA182" t="str">
            <v>IGNORED</v>
          </cell>
          <cell r="AB182" t="str">
            <v>IGNORED</v>
          </cell>
          <cell r="AC182" t="str">
            <v>IGNORED</v>
          </cell>
          <cell r="AD182" t="str">
            <v>IGNORED</v>
          </cell>
          <cell r="AE182" t="str">
            <v>IGNORED</v>
          </cell>
          <cell r="AF182" t="str">
            <v>IGNORED</v>
          </cell>
          <cell r="AG182" t="str">
            <v>IGNORED</v>
          </cell>
          <cell r="AH182" t="str">
            <v>IGNORED</v>
          </cell>
          <cell r="AI182" t="str">
            <v>IGNORED</v>
          </cell>
          <cell r="AJ182" t="str">
            <v>IGNORED</v>
          </cell>
          <cell r="AK182" t="str">
            <v>IGNORED</v>
          </cell>
          <cell r="AL182" t="str">
            <v>IGNORED</v>
          </cell>
          <cell r="AM182" t="str">
            <v>IGNORED</v>
          </cell>
          <cell r="AN182" t="str">
            <v>IGNORED</v>
          </cell>
          <cell r="AO182" t="str">
            <v>IGNORED</v>
          </cell>
          <cell r="AP182" t="str">
            <v>IGNORED</v>
          </cell>
          <cell r="AQ182" t="str">
            <v>IGNORED</v>
          </cell>
          <cell r="AR182" t="str">
            <v>IGNORED</v>
          </cell>
        </row>
        <row r="183">
          <cell r="B183" t="str">
            <v>Operating Profit - % Other AEJ (incl Taiwan)</v>
          </cell>
          <cell r="C183" t="str">
            <v>OP_OTH_AEJ</v>
          </cell>
          <cell r="F183" t="str">
            <v>IGNORED</v>
          </cell>
          <cell r="G183" t="str">
            <v>IGNORED</v>
          </cell>
          <cell r="H183" t="str">
            <v>IGNORED</v>
          </cell>
          <cell r="I183" t="str">
            <v>IGNORED</v>
          </cell>
          <cell r="J183" t="str">
            <v>IGNORED</v>
          </cell>
          <cell r="K183" t="str">
            <v>IGNORED</v>
          </cell>
          <cell r="L183" t="str">
            <v>IGNORED</v>
          </cell>
          <cell r="M183" t="str">
            <v>IGNORED</v>
          </cell>
          <cell r="N183" t="str">
            <v>IGNORED</v>
          </cell>
          <cell r="O183" t="str">
            <v>IGNORED</v>
          </cell>
          <cell r="P183" t="str">
            <v>IGNORED</v>
          </cell>
          <cell r="Q183" t="str">
            <v>IGNORED</v>
          </cell>
          <cell r="R183" t="str">
            <v>IGNORED</v>
          </cell>
          <cell r="S183" t="str">
            <v>IGNORED</v>
          </cell>
          <cell r="T183" t="str">
            <v>IGNORED</v>
          </cell>
          <cell r="U183" t="str">
            <v>IGNORED</v>
          </cell>
          <cell r="V183" t="str">
            <v>IGNORED</v>
          </cell>
          <cell r="W183" t="str">
            <v>IGNORED</v>
          </cell>
          <cell r="X183" t="str">
            <v>IGNORED</v>
          </cell>
          <cell r="Y183" t="str">
            <v>IGNORED</v>
          </cell>
          <cell r="Z183" t="str">
            <v>IGNORED</v>
          </cell>
          <cell r="AA183" t="str">
            <v>IGNORED</v>
          </cell>
          <cell r="AB183" t="str">
            <v>IGNORED</v>
          </cell>
          <cell r="AC183" t="str">
            <v>IGNORED</v>
          </cell>
          <cell r="AD183" t="str">
            <v>IGNORED</v>
          </cell>
          <cell r="AE183" t="str">
            <v>IGNORED</v>
          </cell>
          <cell r="AF183" t="str">
            <v>IGNORED</v>
          </cell>
          <cell r="AG183" t="str">
            <v>IGNORED</v>
          </cell>
          <cell r="AH183" t="str">
            <v>IGNORED</v>
          </cell>
          <cell r="AI183" t="str">
            <v>IGNORED</v>
          </cell>
          <cell r="AJ183" t="str">
            <v>IGNORED</v>
          </cell>
          <cell r="AK183" t="str">
            <v>IGNORED</v>
          </cell>
          <cell r="AL183" t="str">
            <v>IGNORED</v>
          </cell>
          <cell r="AM183" t="str">
            <v>IGNORED</v>
          </cell>
          <cell r="AN183" t="str">
            <v>IGNORED</v>
          </cell>
          <cell r="AO183" t="str">
            <v>IGNORED</v>
          </cell>
          <cell r="AP183" t="str">
            <v>IGNORED</v>
          </cell>
          <cell r="AQ183" t="str">
            <v>IGNORED</v>
          </cell>
          <cell r="AR183" t="str">
            <v>IGNORED</v>
          </cell>
        </row>
        <row r="184">
          <cell r="B184" t="str">
            <v>Operating Profit - % Others</v>
          </cell>
          <cell r="C184" t="str">
            <v>OP_OTHER</v>
          </cell>
          <cell r="F184" t="str">
            <v>IGNORED</v>
          </cell>
          <cell r="G184" t="str">
            <v>IGNORED</v>
          </cell>
          <cell r="H184" t="str">
            <v>IGNORED</v>
          </cell>
          <cell r="I184" t="str">
            <v>IGNORED</v>
          </cell>
          <cell r="J184" t="str">
            <v>IGNORED</v>
          </cell>
          <cell r="K184" t="str">
            <v>IGNORED</v>
          </cell>
          <cell r="L184" t="str">
            <v>IGNORED</v>
          </cell>
          <cell r="M184" t="str">
            <v>IGNORED</v>
          </cell>
          <cell r="N184" t="str">
            <v>IGNORED</v>
          </cell>
          <cell r="O184" t="str">
            <v>IGNORED</v>
          </cell>
          <cell r="P184" t="str">
            <v>IGNORED</v>
          </cell>
          <cell r="Q184" t="str">
            <v>IGNORED</v>
          </cell>
          <cell r="R184" t="str">
            <v>IGNORED</v>
          </cell>
          <cell r="S184" t="str">
            <v>IGNORED</v>
          </cell>
          <cell r="T184" t="str">
            <v>IGNORED</v>
          </cell>
          <cell r="U184" t="str">
            <v>IGNORED</v>
          </cell>
          <cell r="V184" t="str">
            <v>IGNORED</v>
          </cell>
          <cell r="W184" t="str">
            <v>IGNORED</v>
          </cell>
          <cell r="X184" t="str">
            <v>IGNORED</v>
          </cell>
          <cell r="Y184" t="str">
            <v>IGNORED</v>
          </cell>
          <cell r="Z184" t="str">
            <v>IGNORED</v>
          </cell>
          <cell r="AA184" t="str">
            <v>IGNORED</v>
          </cell>
          <cell r="AB184" t="str">
            <v>IGNORED</v>
          </cell>
          <cell r="AC184" t="str">
            <v>IGNORED</v>
          </cell>
          <cell r="AD184" t="str">
            <v>IGNORED</v>
          </cell>
          <cell r="AE184" t="str">
            <v>IGNORED</v>
          </cell>
          <cell r="AF184" t="str">
            <v>IGNORED</v>
          </cell>
          <cell r="AG184" t="str">
            <v>IGNORED</v>
          </cell>
          <cell r="AH184" t="str">
            <v>IGNORED</v>
          </cell>
          <cell r="AI184" t="str">
            <v>IGNORED</v>
          </cell>
          <cell r="AJ184" t="str">
            <v>IGNORED</v>
          </cell>
          <cell r="AK184" t="str">
            <v>IGNORED</v>
          </cell>
          <cell r="AL184" t="str">
            <v>IGNORED</v>
          </cell>
          <cell r="AM184" t="str">
            <v>IGNORED</v>
          </cell>
          <cell r="AN184" t="str">
            <v>IGNORED</v>
          </cell>
          <cell r="AO184" t="str">
            <v>IGNORED</v>
          </cell>
          <cell r="AP184" t="str">
            <v>IGNORED</v>
          </cell>
          <cell r="AQ184" t="str">
            <v>IGNORED</v>
          </cell>
          <cell r="AR184" t="str">
            <v>IGNORED</v>
          </cell>
        </row>
        <row r="185">
          <cell r="B185" t="str">
            <v>Sales -% Consumer (C)</v>
          </cell>
          <cell r="C185" t="str">
            <v>SALES_CONS</v>
          </cell>
          <cell r="F185" t="str">
            <v>IGNORED</v>
          </cell>
          <cell r="G185" t="str">
            <v>IGNORED</v>
          </cell>
          <cell r="H185" t="str">
            <v>IGNORED</v>
          </cell>
          <cell r="I185" t="str">
            <v>IGNORED</v>
          </cell>
          <cell r="J185" t="str">
            <v>IGNORED</v>
          </cell>
          <cell r="K185" t="str">
            <v>IGNORED</v>
          </cell>
          <cell r="L185" t="str">
            <v>IGNORED</v>
          </cell>
          <cell r="M185" t="str">
            <v>IGNORED</v>
          </cell>
          <cell r="N185" t="str">
            <v>IGNORED</v>
          </cell>
          <cell r="O185" t="str">
            <v>IGNORED</v>
          </cell>
          <cell r="P185" t="str">
            <v>IGNORED</v>
          </cell>
          <cell r="Q185" t="str">
            <v>IGNORED</v>
          </cell>
          <cell r="R185" t="str">
            <v>IGNORED</v>
          </cell>
          <cell r="S185" t="str">
            <v>IGNORED</v>
          </cell>
          <cell r="T185" t="str">
            <v>IGNORED</v>
          </cell>
          <cell r="U185" t="str">
            <v>IGNORED</v>
          </cell>
          <cell r="V185" t="str">
            <v>IGNORED</v>
          </cell>
          <cell r="W185" t="str">
            <v>IGNORED</v>
          </cell>
          <cell r="X185" t="str">
            <v>IGNORED</v>
          </cell>
          <cell r="Y185" t="str">
            <v>IGNORED</v>
          </cell>
          <cell r="Z185" t="str">
            <v>IGNORED</v>
          </cell>
          <cell r="AA185" t="str">
            <v>IGNORED</v>
          </cell>
          <cell r="AB185" t="str">
            <v>IGNORED</v>
          </cell>
          <cell r="AC185" t="str">
            <v>IGNORED</v>
          </cell>
          <cell r="AD185" t="str">
            <v>IGNORED</v>
          </cell>
          <cell r="AE185" t="str">
            <v>IGNORED</v>
          </cell>
          <cell r="AF185" t="str">
            <v>IGNORED</v>
          </cell>
          <cell r="AG185" t="str">
            <v>IGNORED</v>
          </cell>
          <cell r="AH185" t="str">
            <v>IGNORED</v>
          </cell>
          <cell r="AI185" t="str">
            <v>IGNORED</v>
          </cell>
          <cell r="AJ185" t="str">
            <v>IGNORED</v>
          </cell>
          <cell r="AK185" t="str">
            <v>IGNORED</v>
          </cell>
          <cell r="AL185" t="str">
            <v>IGNORED</v>
          </cell>
          <cell r="AM185" t="str">
            <v>IGNORED</v>
          </cell>
          <cell r="AN185" t="str">
            <v>IGNORED</v>
          </cell>
          <cell r="AO185" t="str">
            <v>IGNORED</v>
          </cell>
          <cell r="AP185" t="str">
            <v>IGNORED</v>
          </cell>
          <cell r="AQ185" t="str">
            <v>IGNORED</v>
          </cell>
          <cell r="AR185" t="str">
            <v>IGNORED</v>
          </cell>
        </row>
        <row r="186">
          <cell r="B186" t="str">
            <v>Sales -% Industry (I)</v>
          </cell>
          <cell r="C186" t="str">
            <v>SALES_IND</v>
          </cell>
          <cell r="F186" t="str">
            <v>IGNORED</v>
          </cell>
          <cell r="G186" t="str">
            <v>IGNORED</v>
          </cell>
          <cell r="H186" t="str">
            <v>IGNORED</v>
          </cell>
          <cell r="I186" t="str">
            <v>IGNORED</v>
          </cell>
          <cell r="J186" t="str">
            <v>IGNORED</v>
          </cell>
          <cell r="K186" t="str">
            <v>IGNORED</v>
          </cell>
          <cell r="L186" t="str">
            <v>IGNORED</v>
          </cell>
          <cell r="M186" t="str">
            <v>IGNORED</v>
          </cell>
          <cell r="N186" t="str">
            <v>IGNORED</v>
          </cell>
          <cell r="O186" t="str">
            <v>IGNORED</v>
          </cell>
          <cell r="P186" t="str">
            <v>IGNORED</v>
          </cell>
          <cell r="Q186" t="str">
            <v>IGNORED</v>
          </cell>
          <cell r="R186" t="str">
            <v>IGNORED</v>
          </cell>
          <cell r="S186" t="str">
            <v>IGNORED</v>
          </cell>
          <cell r="T186" t="str">
            <v>IGNORED</v>
          </cell>
          <cell r="U186" t="str">
            <v>IGNORED</v>
          </cell>
          <cell r="V186" t="str">
            <v>IGNORED</v>
          </cell>
          <cell r="W186" t="str">
            <v>IGNORED</v>
          </cell>
          <cell r="X186" t="str">
            <v>IGNORED</v>
          </cell>
          <cell r="Y186" t="str">
            <v>IGNORED</v>
          </cell>
          <cell r="Z186" t="str">
            <v>IGNORED</v>
          </cell>
          <cell r="AA186" t="str">
            <v>IGNORED</v>
          </cell>
          <cell r="AB186" t="str">
            <v>IGNORED</v>
          </cell>
          <cell r="AC186" t="str">
            <v>IGNORED</v>
          </cell>
          <cell r="AD186" t="str">
            <v>IGNORED</v>
          </cell>
          <cell r="AE186" t="str">
            <v>IGNORED</v>
          </cell>
          <cell r="AF186" t="str">
            <v>IGNORED</v>
          </cell>
          <cell r="AG186" t="str">
            <v>IGNORED</v>
          </cell>
          <cell r="AH186" t="str">
            <v>IGNORED</v>
          </cell>
          <cell r="AI186" t="str">
            <v>IGNORED</v>
          </cell>
          <cell r="AJ186" t="str">
            <v>IGNORED</v>
          </cell>
          <cell r="AK186" t="str">
            <v>IGNORED</v>
          </cell>
          <cell r="AL186" t="str">
            <v>IGNORED</v>
          </cell>
          <cell r="AM186" t="str">
            <v>IGNORED</v>
          </cell>
          <cell r="AN186" t="str">
            <v>IGNORED</v>
          </cell>
          <cell r="AO186" t="str">
            <v>IGNORED</v>
          </cell>
          <cell r="AP186" t="str">
            <v>IGNORED</v>
          </cell>
          <cell r="AQ186" t="str">
            <v>IGNORED</v>
          </cell>
          <cell r="AR186" t="str">
            <v>IGNORED</v>
          </cell>
        </row>
        <row r="187">
          <cell r="B187" t="str">
            <v>Sales -% Government (G)</v>
          </cell>
          <cell r="C187" t="str">
            <v>SALES_GOV</v>
          </cell>
          <cell r="F187" t="str">
            <v>IGNORED</v>
          </cell>
          <cell r="G187" t="str">
            <v>IGNORED</v>
          </cell>
          <cell r="H187" t="str">
            <v>IGNORED</v>
          </cell>
          <cell r="I187" t="str">
            <v>IGNORED</v>
          </cell>
          <cell r="J187" t="str">
            <v>IGNORED</v>
          </cell>
          <cell r="K187" t="str">
            <v>IGNORED</v>
          </cell>
          <cell r="L187" t="str">
            <v>IGNORED</v>
          </cell>
          <cell r="M187" t="str">
            <v>IGNORED</v>
          </cell>
          <cell r="N187" t="str">
            <v>IGNORED</v>
          </cell>
          <cell r="O187" t="str">
            <v>IGNORED</v>
          </cell>
          <cell r="P187" t="str">
            <v>IGNORED</v>
          </cell>
          <cell r="Q187" t="str">
            <v>IGNORED</v>
          </cell>
          <cell r="R187" t="str">
            <v>IGNORED</v>
          </cell>
          <cell r="S187" t="str">
            <v>IGNORED</v>
          </cell>
          <cell r="T187" t="str">
            <v>IGNORED</v>
          </cell>
          <cell r="U187" t="str">
            <v>IGNORED</v>
          </cell>
          <cell r="V187" t="str">
            <v>IGNORED</v>
          </cell>
          <cell r="W187" t="str">
            <v>IGNORED</v>
          </cell>
          <cell r="X187" t="str">
            <v>IGNORED</v>
          </cell>
          <cell r="Y187" t="str">
            <v>IGNORED</v>
          </cell>
          <cell r="Z187" t="str">
            <v>IGNORED</v>
          </cell>
          <cell r="AA187" t="str">
            <v>IGNORED</v>
          </cell>
          <cell r="AB187" t="str">
            <v>IGNORED</v>
          </cell>
          <cell r="AC187" t="str">
            <v>IGNORED</v>
          </cell>
          <cell r="AD187" t="str">
            <v>IGNORED</v>
          </cell>
          <cell r="AE187" t="str">
            <v>IGNORED</v>
          </cell>
          <cell r="AF187" t="str">
            <v>IGNORED</v>
          </cell>
          <cell r="AG187" t="str">
            <v>IGNORED</v>
          </cell>
          <cell r="AH187" t="str">
            <v>IGNORED</v>
          </cell>
          <cell r="AI187" t="str">
            <v>IGNORED</v>
          </cell>
          <cell r="AJ187" t="str">
            <v>IGNORED</v>
          </cell>
          <cell r="AK187" t="str">
            <v>IGNORED</v>
          </cell>
          <cell r="AL187" t="str">
            <v>IGNORED</v>
          </cell>
          <cell r="AM187" t="str">
            <v>IGNORED</v>
          </cell>
          <cell r="AN187" t="str">
            <v>IGNORED</v>
          </cell>
          <cell r="AO187" t="str">
            <v>IGNORED</v>
          </cell>
          <cell r="AP187" t="str">
            <v>IGNORED</v>
          </cell>
          <cell r="AQ187" t="str">
            <v>IGNORED</v>
          </cell>
          <cell r="AR187" t="str">
            <v>IGNORED</v>
          </cell>
        </row>
        <row r="188">
          <cell r="B188" t="str">
            <v>Operating Profit - % Consumer (C)</v>
          </cell>
          <cell r="C188" t="str">
            <v>OP_CONS</v>
          </cell>
          <cell r="F188" t="str">
            <v>IGNORED</v>
          </cell>
          <cell r="G188" t="str">
            <v>IGNORED</v>
          </cell>
          <cell r="H188" t="str">
            <v>IGNORED</v>
          </cell>
          <cell r="I188" t="str">
            <v>IGNORED</v>
          </cell>
          <cell r="J188" t="str">
            <v>IGNORED</v>
          </cell>
          <cell r="K188" t="str">
            <v>IGNORED</v>
          </cell>
          <cell r="L188" t="str">
            <v>IGNORED</v>
          </cell>
          <cell r="M188" t="str">
            <v>IGNORED</v>
          </cell>
          <cell r="N188" t="str">
            <v>IGNORED</v>
          </cell>
          <cell r="O188" t="str">
            <v>IGNORED</v>
          </cell>
          <cell r="P188" t="str">
            <v>IGNORED</v>
          </cell>
          <cell r="Q188" t="str">
            <v>IGNORED</v>
          </cell>
          <cell r="R188" t="str">
            <v>IGNORED</v>
          </cell>
          <cell r="S188" t="str">
            <v>IGNORED</v>
          </cell>
          <cell r="T188" t="str">
            <v>IGNORED</v>
          </cell>
          <cell r="U188" t="str">
            <v>IGNORED</v>
          </cell>
          <cell r="V188" t="str">
            <v>IGNORED</v>
          </cell>
          <cell r="W188" t="str">
            <v>IGNORED</v>
          </cell>
          <cell r="X188" t="str">
            <v>IGNORED</v>
          </cell>
          <cell r="Y188" t="str">
            <v>IGNORED</v>
          </cell>
          <cell r="Z188" t="str">
            <v>IGNORED</v>
          </cell>
          <cell r="AA188" t="str">
            <v>IGNORED</v>
          </cell>
          <cell r="AB188" t="str">
            <v>IGNORED</v>
          </cell>
          <cell r="AC188" t="str">
            <v>IGNORED</v>
          </cell>
          <cell r="AD188" t="str">
            <v>IGNORED</v>
          </cell>
          <cell r="AE188" t="str">
            <v>IGNORED</v>
          </cell>
          <cell r="AF188" t="str">
            <v>IGNORED</v>
          </cell>
          <cell r="AG188" t="str">
            <v>IGNORED</v>
          </cell>
          <cell r="AH188" t="str">
            <v>IGNORED</v>
          </cell>
          <cell r="AI188" t="str">
            <v>IGNORED</v>
          </cell>
          <cell r="AJ188" t="str">
            <v>IGNORED</v>
          </cell>
          <cell r="AK188" t="str">
            <v>IGNORED</v>
          </cell>
          <cell r="AL188" t="str">
            <v>IGNORED</v>
          </cell>
          <cell r="AM188" t="str">
            <v>IGNORED</v>
          </cell>
          <cell r="AN188" t="str">
            <v>IGNORED</v>
          </cell>
          <cell r="AO188" t="str">
            <v>IGNORED</v>
          </cell>
          <cell r="AP188" t="str">
            <v>IGNORED</v>
          </cell>
          <cell r="AQ188" t="str">
            <v>IGNORED</v>
          </cell>
          <cell r="AR188" t="str">
            <v>IGNORED</v>
          </cell>
        </row>
        <row r="189">
          <cell r="B189" t="str">
            <v>Operating Profit - % Industry (I)</v>
          </cell>
          <cell r="C189" t="str">
            <v>OP_IND</v>
          </cell>
          <cell r="F189" t="str">
            <v>IGNORED</v>
          </cell>
          <cell r="G189" t="str">
            <v>IGNORED</v>
          </cell>
          <cell r="H189" t="str">
            <v>IGNORED</v>
          </cell>
          <cell r="I189" t="str">
            <v>IGNORED</v>
          </cell>
          <cell r="J189" t="str">
            <v>IGNORED</v>
          </cell>
          <cell r="K189" t="str">
            <v>IGNORED</v>
          </cell>
          <cell r="L189" t="str">
            <v>IGNORED</v>
          </cell>
          <cell r="M189" t="str">
            <v>IGNORED</v>
          </cell>
          <cell r="N189" t="str">
            <v>IGNORED</v>
          </cell>
          <cell r="O189" t="str">
            <v>IGNORED</v>
          </cell>
          <cell r="P189" t="str">
            <v>IGNORED</v>
          </cell>
          <cell r="Q189" t="str">
            <v>IGNORED</v>
          </cell>
          <cell r="R189" t="str">
            <v>IGNORED</v>
          </cell>
          <cell r="S189" t="str">
            <v>IGNORED</v>
          </cell>
          <cell r="T189" t="str">
            <v>IGNORED</v>
          </cell>
          <cell r="U189" t="str">
            <v>IGNORED</v>
          </cell>
          <cell r="V189" t="str">
            <v>IGNORED</v>
          </cell>
          <cell r="W189" t="str">
            <v>IGNORED</v>
          </cell>
          <cell r="X189" t="str">
            <v>IGNORED</v>
          </cell>
          <cell r="Y189" t="str">
            <v>IGNORED</v>
          </cell>
          <cell r="Z189" t="str">
            <v>IGNORED</v>
          </cell>
          <cell r="AA189" t="str">
            <v>IGNORED</v>
          </cell>
          <cell r="AB189" t="str">
            <v>IGNORED</v>
          </cell>
          <cell r="AC189" t="str">
            <v>IGNORED</v>
          </cell>
          <cell r="AD189" t="str">
            <v>IGNORED</v>
          </cell>
          <cell r="AE189" t="str">
            <v>IGNORED</v>
          </cell>
          <cell r="AF189" t="str">
            <v>IGNORED</v>
          </cell>
          <cell r="AG189" t="str">
            <v>IGNORED</v>
          </cell>
          <cell r="AH189" t="str">
            <v>IGNORED</v>
          </cell>
          <cell r="AI189" t="str">
            <v>IGNORED</v>
          </cell>
          <cell r="AJ189" t="str">
            <v>IGNORED</v>
          </cell>
          <cell r="AK189" t="str">
            <v>IGNORED</v>
          </cell>
          <cell r="AL189" t="str">
            <v>IGNORED</v>
          </cell>
          <cell r="AM189" t="str">
            <v>IGNORED</v>
          </cell>
          <cell r="AN189" t="str">
            <v>IGNORED</v>
          </cell>
          <cell r="AO189" t="str">
            <v>IGNORED</v>
          </cell>
          <cell r="AP189" t="str">
            <v>IGNORED</v>
          </cell>
          <cell r="AQ189" t="str">
            <v>IGNORED</v>
          </cell>
          <cell r="AR189" t="str">
            <v>IGNORED</v>
          </cell>
        </row>
        <row r="190">
          <cell r="B190" t="str">
            <v>Operating Profit - % Government (G)</v>
          </cell>
          <cell r="C190" t="str">
            <v>OP_GOV</v>
          </cell>
          <cell r="F190" t="str">
            <v>IGNORED</v>
          </cell>
          <cell r="G190" t="str">
            <v>IGNORED</v>
          </cell>
          <cell r="H190" t="str">
            <v>IGNORED</v>
          </cell>
          <cell r="I190" t="str">
            <v>IGNORED</v>
          </cell>
          <cell r="J190" t="str">
            <v>IGNORED</v>
          </cell>
          <cell r="K190" t="str">
            <v>IGNORED</v>
          </cell>
          <cell r="L190" t="str">
            <v>IGNORED</v>
          </cell>
          <cell r="M190" t="str">
            <v>IGNORED</v>
          </cell>
          <cell r="N190" t="str">
            <v>IGNORED</v>
          </cell>
          <cell r="O190" t="str">
            <v>IGNORED</v>
          </cell>
          <cell r="P190" t="str">
            <v>IGNORED</v>
          </cell>
          <cell r="Q190" t="str">
            <v>IGNORED</v>
          </cell>
          <cell r="R190" t="str">
            <v>IGNORED</v>
          </cell>
          <cell r="S190" t="str">
            <v>IGNORED</v>
          </cell>
          <cell r="T190" t="str">
            <v>IGNORED</v>
          </cell>
          <cell r="U190" t="str">
            <v>IGNORED</v>
          </cell>
          <cell r="V190" t="str">
            <v>IGNORED</v>
          </cell>
          <cell r="W190" t="str">
            <v>IGNORED</v>
          </cell>
          <cell r="X190" t="str">
            <v>IGNORED</v>
          </cell>
          <cell r="Y190" t="str">
            <v>IGNORED</v>
          </cell>
          <cell r="Z190" t="str">
            <v>IGNORED</v>
          </cell>
          <cell r="AA190" t="str">
            <v>IGNORED</v>
          </cell>
          <cell r="AB190" t="str">
            <v>IGNORED</v>
          </cell>
          <cell r="AC190" t="str">
            <v>IGNORED</v>
          </cell>
          <cell r="AD190" t="str">
            <v>IGNORED</v>
          </cell>
          <cell r="AE190" t="str">
            <v>IGNORED</v>
          </cell>
          <cell r="AF190" t="str">
            <v>IGNORED</v>
          </cell>
          <cell r="AG190" t="str">
            <v>IGNORED</v>
          </cell>
          <cell r="AH190" t="str">
            <v>IGNORED</v>
          </cell>
          <cell r="AI190" t="str">
            <v>IGNORED</v>
          </cell>
          <cell r="AJ190" t="str">
            <v>IGNORED</v>
          </cell>
          <cell r="AK190" t="str">
            <v>IGNORED</v>
          </cell>
          <cell r="AL190" t="str">
            <v>IGNORED</v>
          </cell>
          <cell r="AM190" t="str">
            <v>IGNORED</v>
          </cell>
          <cell r="AN190" t="str">
            <v>IGNORED</v>
          </cell>
          <cell r="AO190" t="str">
            <v>IGNORED</v>
          </cell>
          <cell r="AP190" t="str">
            <v>IGNORED</v>
          </cell>
          <cell r="AQ190" t="str">
            <v>IGNORED</v>
          </cell>
          <cell r="AR190" t="str">
            <v>IGNORED</v>
          </cell>
        </row>
        <row r="191">
          <cell r="A191" t="str">
            <v>Security: Hunan Talkweb Information System</v>
          </cell>
        </row>
        <row r="192">
          <cell r="A192" t="str">
            <v>Reference Data</v>
          </cell>
        </row>
        <row r="193">
          <cell r="B193" t="str">
            <v>Ticker</v>
          </cell>
          <cell r="C193" t="str">
            <v>Ticker</v>
          </cell>
          <cell r="E193" t="str">
            <v>002261.SZ</v>
          </cell>
        </row>
        <row r="194">
          <cell r="B194" t="str">
            <v>Security Name</v>
          </cell>
          <cell r="C194" t="str">
            <v>Security Name</v>
          </cell>
          <cell r="E194" t="str">
            <v>Hunan Talkweb Information System</v>
          </cell>
        </row>
        <row r="195">
          <cell r="B195" t="str">
            <v>Interim Type</v>
          </cell>
          <cell r="C195" t="str">
            <v>Interim Type</v>
          </cell>
          <cell r="E195" t="str">
            <v>Q</v>
          </cell>
        </row>
        <row r="196">
          <cell r="B196" t="str">
            <v>Publishing Currency</v>
          </cell>
          <cell r="C196" t="str">
            <v>PUB_CURRENCY_ISO</v>
          </cell>
          <cell r="E196" t="str">
            <v>CNY</v>
          </cell>
        </row>
        <row r="197">
          <cell r="B197" t="str">
            <v>Pricing Currency</v>
          </cell>
          <cell r="C197" t="str">
            <v>PRICE_CURRENCY_ISO</v>
          </cell>
          <cell r="E197" t="str">
            <v>CNY</v>
          </cell>
        </row>
        <row r="198">
          <cell r="B198" t="str">
            <v>Reporting Currency</v>
          </cell>
          <cell r="C198" t="str">
            <v>CURRENCY_ISO</v>
          </cell>
          <cell r="E198" t="str">
            <v>CNY</v>
          </cell>
        </row>
        <row r="199">
          <cell r="A199" t="str">
            <v>General Information</v>
          </cell>
        </row>
        <row r="200">
          <cell r="B200" t="str">
            <v>Asia Pacific Investment List</v>
          </cell>
          <cell r="C200" t="str">
            <v>AEJ_LIST</v>
          </cell>
          <cell r="E200" t="str">
            <v>IGNORED</v>
          </cell>
        </row>
        <row r="201">
          <cell r="B201" t="str">
            <v>Asia Pacific Conviction List</v>
          </cell>
          <cell r="C201" t="str">
            <v>AEJ_CONVICTION</v>
          </cell>
          <cell r="E201" t="str">
            <v>IGNORED</v>
          </cell>
        </row>
        <row r="202">
          <cell r="B202" t="str">
            <v>Legal rating</v>
          </cell>
          <cell r="C202" t="str">
            <v>LEGAL_RATING</v>
          </cell>
          <cell r="E202" t="str">
            <v>IGNORED</v>
          </cell>
        </row>
        <row r="203">
          <cell r="B203" t="str">
            <v>Target price</v>
          </cell>
          <cell r="C203" t="str">
            <v>TARGET_PRICE</v>
          </cell>
          <cell r="D203" t="str">
            <v>CNY</v>
          </cell>
          <cell r="E203" t="str">
            <v>IGNORED</v>
          </cell>
        </row>
        <row r="204">
          <cell r="B204" t="str">
            <v>Target price period</v>
          </cell>
          <cell r="C204" t="str">
            <v>TP_PERIOD</v>
          </cell>
          <cell r="E204" t="str">
            <v>IGNORED</v>
          </cell>
        </row>
        <row r="205">
          <cell r="B205" t="str">
            <v>Current shares outstanding (mn)</v>
          </cell>
          <cell r="C205" t="str">
            <v>NUM_SH</v>
          </cell>
          <cell r="E205" t="str">
            <v>IGNORED</v>
          </cell>
        </row>
        <row r="206">
          <cell r="B206" t="str">
            <v>Free float</v>
          </cell>
          <cell r="C206" t="str">
            <v>FREE_FLOAT</v>
          </cell>
          <cell r="E206" t="str">
            <v>IGNORED</v>
          </cell>
        </row>
        <row r="207">
          <cell r="B207" t="str">
            <v>Foreign ownership</v>
          </cell>
          <cell r="C207" t="str">
            <v>FOREIGN_HOLDNG</v>
          </cell>
          <cell r="E207" t="str">
            <v>IGNORED</v>
          </cell>
        </row>
        <row r="208">
          <cell r="B208" t="str">
            <v>IGNORED</v>
          </cell>
          <cell r="C208" t="str">
            <v>ACT1</v>
          </cell>
          <cell r="E208" t="str">
            <v>IGNORED</v>
          </cell>
        </row>
        <row r="209">
          <cell r="B209" t="str">
            <v>Catalyst 1 date</v>
          </cell>
          <cell r="C209" t="str">
            <v>CATALYST1_DATE</v>
          </cell>
          <cell r="E209" t="str">
            <v>IGNORED</v>
          </cell>
        </row>
        <row r="210">
          <cell r="B210" t="str">
            <v>Catalyst 1 description</v>
          </cell>
          <cell r="C210" t="str">
            <v>CATALYST1_EVENT</v>
          </cell>
          <cell r="E210" t="str">
            <v>IGNORED</v>
          </cell>
        </row>
        <row r="211">
          <cell r="B211" t="str">
            <v>Catalyst 2 date</v>
          </cell>
          <cell r="C211" t="str">
            <v>CATALYST2_DATE</v>
          </cell>
          <cell r="E211" t="str">
            <v>IGNORED</v>
          </cell>
        </row>
        <row r="212">
          <cell r="B212" t="str">
            <v>Catalyst 2 description</v>
          </cell>
          <cell r="C212" t="str">
            <v>CATALYST2_EVENT</v>
          </cell>
          <cell r="E212" t="str">
            <v>IGNORED</v>
          </cell>
        </row>
        <row r="213">
          <cell r="B213" t="str">
            <v>Catalyst 3 date</v>
          </cell>
          <cell r="C213" t="str">
            <v>CATALYST3_DATE</v>
          </cell>
          <cell r="E213" t="str">
            <v>IGNORED</v>
          </cell>
        </row>
        <row r="214">
          <cell r="B214" t="str">
            <v>Catalyst 3 description</v>
          </cell>
          <cell r="C214" t="str">
            <v>CATALYST3_EVENT</v>
          </cell>
          <cell r="E214" t="str">
            <v>IGNORED</v>
          </cell>
        </row>
        <row r="215">
          <cell r="B215" t="str">
            <v>Catalyst 4 date</v>
          </cell>
          <cell r="C215" t="str">
            <v>CATALYST4_DATE</v>
          </cell>
          <cell r="E215" t="str">
            <v>IGNORED</v>
          </cell>
        </row>
        <row r="216">
          <cell r="B216" t="str">
            <v>Catalyst 4 description</v>
          </cell>
          <cell r="C216" t="str">
            <v>CATALYST4_EVENT</v>
          </cell>
          <cell r="E216" t="str">
            <v>IGNORED</v>
          </cell>
        </row>
        <row r="217">
          <cell r="B217" t="str">
            <v>Catalyst 5 date</v>
          </cell>
          <cell r="C217" t="str">
            <v>CATALYST5_DATE</v>
          </cell>
          <cell r="E217" t="str">
            <v>IGNORED</v>
          </cell>
        </row>
        <row r="218">
          <cell r="B218" t="str">
            <v>Catalyst 5 description</v>
          </cell>
          <cell r="C218" t="str">
            <v>CATALYST5_EVENT</v>
          </cell>
          <cell r="E218" t="str">
            <v>IGNORED</v>
          </cell>
        </row>
        <row r="219">
          <cell r="B219" t="str">
            <v>Target price multiple</v>
          </cell>
          <cell r="C219" t="str">
            <v>PRI_TARG_MULT</v>
          </cell>
          <cell r="E219" t="str">
            <v>IGNORED</v>
          </cell>
        </row>
        <row r="220">
          <cell r="B220" t="str">
            <v>Target price methodology</v>
          </cell>
          <cell r="C220" t="str">
            <v>PRI_TARG_METH</v>
          </cell>
          <cell r="E220" t="str">
            <v>IGNORED</v>
          </cell>
        </row>
        <row r="221">
          <cell r="A221" t="str">
            <v>Publishing Items</v>
          </cell>
        </row>
        <row r="222">
          <cell r="B222" t="str">
            <v>Book value per share, BVPS (Pub)</v>
          </cell>
          <cell r="C222" t="str">
            <v>BVPS_PUB</v>
          </cell>
          <cell r="D222" t="str">
            <v>CNY</v>
          </cell>
          <cell r="F222" t="str">
            <v>IGNORED</v>
          </cell>
          <cell r="G222" t="str">
            <v>IGNORED</v>
          </cell>
          <cell r="H222" t="str">
            <v>IGNORED</v>
          </cell>
          <cell r="I222" t="str">
            <v>IGNORED</v>
          </cell>
          <cell r="J222" t="str">
            <v>IGNORED</v>
          </cell>
          <cell r="K222" t="str">
            <v>IGNORED</v>
          </cell>
          <cell r="L222" t="e">
            <v>#DIV/0!</v>
          </cell>
          <cell r="M222" t="e">
            <v>#DIV/0!</v>
          </cell>
          <cell r="N222" t="e">
            <v>#DIV/0!</v>
          </cell>
          <cell r="O222" t="e">
            <v>#DIV/0!</v>
          </cell>
          <cell r="P222" t="e">
            <v>#DIV/0!</v>
          </cell>
          <cell r="Q222" t="str">
            <v>IGNORED</v>
          </cell>
          <cell r="R222" t="str">
            <v>IGNORED</v>
          </cell>
          <cell r="S222" t="str">
            <v>IGNORED</v>
          </cell>
          <cell r="T222" t="str">
            <v>IGNORED</v>
          </cell>
          <cell r="U222" t="str">
            <v>IGNORED</v>
          </cell>
          <cell r="V222" t="str">
            <v>IGNORED</v>
          </cell>
          <cell r="W222" t="str">
            <v>IGNORED</v>
          </cell>
          <cell r="X222" t="str">
            <v>IGNORED</v>
          </cell>
          <cell r="Y222" t="str">
            <v>IGNORED</v>
          </cell>
          <cell r="Z222" t="str">
            <v>IGNORED</v>
          </cell>
          <cell r="AA222" t="str">
            <v>IGNORED</v>
          </cell>
          <cell r="AB222" t="str">
            <v>IGNORED</v>
          </cell>
          <cell r="AC222" t="str">
            <v>IGNORED</v>
          </cell>
          <cell r="AD222" t="str">
            <v>IGNORED</v>
          </cell>
          <cell r="AE222" t="str">
            <v>IGNORED</v>
          </cell>
          <cell r="AF222" t="str">
            <v>IGNORED</v>
          </cell>
          <cell r="AG222" t="str">
            <v>IGNORED</v>
          </cell>
          <cell r="AH222" t="str">
            <v>IGNORED</v>
          </cell>
          <cell r="AI222" t="str">
            <v>IGNORED</v>
          </cell>
          <cell r="AJ222" t="str">
            <v>IGNORED</v>
          </cell>
          <cell r="AK222" t="str">
            <v>IGNORED</v>
          </cell>
          <cell r="AL222" t="str">
            <v>IGNORED</v>
          </cell>
          <cell r="AM222" t="str">
            <v>IGNORED</v>
          </cell>
          <cell r="AN222" t="str">
            <v>IGNORED</v>
          </cell>
          <cell r="AO222" t="str">
            <v>IGNORED</v>
          </cell>
          <cell r="AP222" t="str">
            <v>IGNORED</v>
          </cell>
          <cell r="AQ222" t="str">
            <v>IGNORED</v>
          </cell>
          <cell r="AR222" t="str">
            <v>IGNORED</v>
          </cell>
        </row>
        <row r="223">
          <cell r="B223" t="str">
            <v>DPS, dividend per share (Pub)</v>
          </cell>
          <cell r="C223" t="str">
            <v>DPS_PUB</v>
          </cell>
          <cell r="D223" t="str">
            <v>CNY</v>
          </cell>
          <cell r="F223" t="str">
            <v>IGNORED</v>
          </cell>
          <cell r="G223" t="str">
            <v>IGNORED</v>
          </cell>
          <cell r="H223" t="str">
            <v>IGNORED</v>
          </cell>
          <cell r="I223" t="str">
            <v>IGNORED</v>
          </cell>
          <cell r="J223" t="str">
            <v>IGNORED</v>
          </cell>
          <cell r="K223" t="str">
            <v>IGNORED</v>
          </cell>
          <cell r="L223" t="e">
            <v>#DIV/0!</v>
          </cell>
          <cell r="M223" t="e">
            <v>#DIV/0!</v>
          </cell>
          <cell r="N223" t="e">
            <v>#DIV/0!</v>
          </cell>
          <cell r="O223" t="e">
            <v>#DIV/0!</v>
          </cell>
          <cell r="P223" t="e">
            <v>#DIV/0!</v>
          </cell>
          <cell r="Q223" t="str">
            <v>IGNORED</v>
          </cell>
          <cell r="R223" t="str">
            <v>IGNORED</v>
          </cell>
          <cell r="S223" t="str">
            <v>IGNORED</v>
          </cell>
          <cell r="T223" t="str">
            <v>IGNORED</v>
          </cell>
          <cell r="U223" t="str">
            <v>IGNORED</v>
          </cell>
          <cell r="V223" t="str">
            <v>IGNORED</v>
          </cell>
          <cell r="W223" t="str">
            <v>IGNORED</v>
          </cell>
          <cell r="X223" t="str">
            <v>IGNORED</v>
          </cell>
          <cell r="Y223" t="str">
            <v>IGNORED</v>
          </cell>
          <cell r="Z223" t="str">
            <v>IGNORED</v>
          </cell>
          <cell r="AA223" t="str">
            <v>IGNORED</v>
          </cell>
          <cell r="AB223" t="str">
            <v>IGNORED</v>
          </cell>
          <cell r="AC223" t="str">
            <v>IGNORED</v>
          </cell>
          <cell r="AD223" t="str">
            <v>IGNORED</v>
          </cell>
          <cell r="AE223" t="str">
            <v>IGNORED</v>
          </cell>
          <cell r="AF223" t="str">
            <v>IGNORED</v>
          </cell>
          <cell r="AG223" t="str">
            <v>IGNORED</v>
          </cell>
          <cell r="AH223" t="str">
            <v>IGNORED</v>
          </cell>
          <cell r="AI223" t="str">
            <v>IGNORED</v>
          </cell>
          <cell r="AJ223" t="str">
            <v>IGNORED</v>
          </cell>
          <cell r="AK223" t="str">
            <v>IGNORED</v>
          </cell>
          <cell r="AL223" t="str">
            <v>IGNORED</v>
          </cell>
          <cell r="AM223" t="str">
            <v>IGNORED</v>
          </cell>
          <cell r="AN223" t="str">
            <v>IGNORED</v>
          </cell>
          <cell r="AO223" t="str">
            <v>IGNORED</v>
          </cell>
          <cell r="AP223" t="str">
            <v>IGNORED</v>
          </cell>
          <cell r="AQ223" t="str">
            <v>IGNORED</v>
          </cell>
          <cell r="AR223" t="str">
            <v>IGNORED</v>
          </cell>
        </row>
        <row r="224">
          <cell r="B224" t="str">
            <v>EBITDA (Pub)</v>
          </cell>
          <cell r="C224" t="str">
            <v>EBITDA_PUB</v>
          </cell>
          <cell r="D224" t="str">
            <v>CNY</v>
          </cell>
          <cell r="F224" t="str">
            <v>IGNORED</v>
          </cell>
          <cell r="G224" t="str">
            <v>IGNORED</v>
          </cell>
          <cell r="H224" t="str">
            <v>IGNORED</v>
          </cell>
          <cell r="I224" t="str">
            <v>IGNORED</v>
          </cell>
          <cell r="J224" t="str">
            <v>IGNORED</v>
          </cell>
          <cell r="K224" t="str">
            <v>IGNORED</v>
          </cell>
          <cell r="L224" t="str">
            <v>IGNORED</v>
          </cell>
          <cell r="M224" t="str">
            <v>IGNORED</v>
          </cell>
          <cell r="N224" t="str">
            <v>IGNORED</v>
          </cell>
          <cell r="O224" t="str">
            <v>IGNORED</v>
          </cell>
          <cell r="P224" t="str">
            <v>IGNORED</v>
          </cell>
          <cell r="Q224" t="str">
            <v>IGNORED</v>
          </cell>
          <cell r="R224" t="str">
            <v>IGNORED</v>
          </cell>
          <cell r="S224" t="str">
            <v>IGNORED</v>
          </cell>
          <cell r="T224" t="str">
            <v>IGNORED</v>
          </cell>
          <cell r="U224" t="str">
            <v>IGNORED</v>
          </cell>
          <cell r="V224" t="str">
            <v>IGNORED</v>
          </cell>
          <cell r="W224" t="str">
            <v>IGNORED</v>
          </cell>
          <cell r="X224" t="str">
            <v>IGNORED</v>
          </cell>
          <cell r="Y224" t="str">
            <v>IGNORED</v>
          </cell>
          <cell r="Z224" t="str">
            <v>IGNORED</v>
          </cell>
          <cell r="AA224" t="str">
            <v>IGNORED</v>
          </cell>
          <cell r="AB224" t="str">
            <v>IGNORED</v>
          </cell>
          <cell r="AC224" t="str">
            <v>IGNORED</v>
          </cell>
          <cell r="AD224" t="str">
            <v>IGNORED</v>
          </cell>
          <cell r="AE224" t="str">
            <v>IGNORED</v>
          </cell>
          <cell r="AF224" t="str">
            <v>IGNORED</v>
          </cell>
          <cell r="AG224" t="str">
            <v>IGNORED</v>
          </cell>
          <cell r="AH224" t="str">
            <v>IGNORED</v>
          </cell>
          <cell r="AI224" t="str">
            <v>IGNORED</v>
          </cell>
          <cell r="AJ224" t="str">
            <v>IGNORED</v>
          </cell>
          <cell r="AK224" t="str">
            <v>IGNORED</v>
          </cell>
          <cell r="AL224" t="str">
            <v>IGNORED</v>
          </cell>
          <cell r="AM224" t="str">
            <v>IGNORED</v>
          </cell>
          <cell r="AN224" t="str">
            <v>IGNORED</v>
          </cell>
          <cell r="AO224" t="str">
            <v>IGNORED</v>
          </cell>
          <cell r="AP224" t="str">
            <v>IGNORED</v>
          </cell>
          <cell r="AQ224" t="str">
            <v>IGNORED</v>
          </cell>
          <cell r="AR224" t="str">
            <v>IGNORED</v>
          </cell>
        </row>
        <row r="225">
          <cell r="B225" t="str">
            <v>EPS (Pub)</v>
          </cell>
          <cell r="C225" t="str">
            <v>EPS_PUB</v>
          </cell>
          <cell r="D225" t="str">
            <v>CNY</v>
          </cell>
          <cell r="F225" t="str">
            <v>IGNORED</v>
          </cell>
          <cell r="G225" t="str">
            <v>IGNORED</v>
          </cell>
          <cell r="H225" t="str">
            <v>IGNORED</v>
          </cell>
          <cell r="I225" t="str">
            <v>IGNORED</v>
          </cell>
          <cell r="J225" t="str">
            <v>IGNORED</v>
          </cell>
          <cell r="K225" t="str">
            <v>IGNORED</v>
          </cell>
          <cell r="L225" t="e">
            <v>#DIV/0!</v>
          </cell>
          <cell r="M225" t="e">
            <v>#DIV/0!</v>
          </cell>
          <cell r="N225" t="e">
            <v>#DIV/0!</v>
          </cell>
          <cell r="O225" t="e">
            <v>#DIV/0!</v>
          </cell>
          <cell r="P225" t="e">
            <v>#DIV/0!</v>
          </cell>
          <cell r="Q225" t="str">
            <v>IGNORED</v>
          </cell>
          <cell r="R225" t="str">
            <v>IGNORED</v>
          </cell>
          <cell r="S225" t="str">
            <v>IGNORED</v>
          </cell>
          <cell r="T225" t="str">
            <v>IGNORED</v>
          </cell>
          <cell r="U225" t="str">
            <v>IGNORED</v>
          </cell>
          <cell r="V225" t="str">
            <v>IGNORED</v>
          </cell>
          <cell r="W225" t="str">
            <v>IGNORED</v>
          </cell>
          <cell r="X225" t="str">
            <v>IGNORED</v>
          </cell>
          <cell r="Y225" t="str">
            <v>IGNORED</v>
          </cell>
          <cell r="Z225" t="str">
            <v>IGNORED</v>
          </cell>
          <cell r="AA225" t="str">
            <v>IGNORED</v>
          </cell>
          <cell r="AB225" t="str">
            <v>IGNORED</v>
          </cell>
          <cell r="AC225" t="str">
            <v>IGNORED</v>
          </cell>
          <cell r="AD225" t="str">
            <v>IGNORED</v>
          </cell>
          <cell r="AE225" t="str">
            <v>IGNORED</v>
          </cell>
          <cell r="AF225" t="str">
            <v>IGNORED</v>
          </cell>
          <cell r="AG225" t="str">
            <v>IGNORED</v>
          </cell>
          <cell r="AH225" t="str">
            <v>IGNORED</v>
          </cell>
          <cell r="AI225" t="str">
            <v>IGNORED</v>
          </cell>
          <cell r="AJ225" t="str">
            <v>IGNORED</v>
          </cell>
          <cell r="AK225" t="str">
            <v>IGNORED</v>
          </cell>
          <cell r="AL225" t="str">
            <v>IGNORED</v>
          </cell>
          <cell r="AM225" t="str">
            <v>IGNORED</v>
          </cell>
          <cell r="AN225" t="str">
            <v>IGNORED</v>
          </cell>
          <cell r="AO225" t="str">
            <v>IGNORED</v>
          </cell>
          <cell r="AP225" t="str">
            <v>IGNORED</v>
          </cell>
          <cell r="AQ225" t="str">
            <v>IGNORED</v>
          </cell>
          <cell r="AR225" t="str">
            <v>IGNORED</v>
          </cell>
        </row>
        <row r="226">
          <cell r="B226" t="str">
            <v>EV adjustment (Pub)</v>
          </cell>
          <cell r="C226" t="str">
            <v>EV_ADJ_PUB</v>
          </cell>
          <cell r="D226" t="str">
            <v>CNY</v>
          </cell>
          <cell r="F226" t="str">
            <v>IGNORED</v>
          </cell>
          <cell r="G226" t="str">
            <v>IGNORED</v>
          </cell>
          <cell r="H226" t="str">
            <v>IGNORED</v>
          </cell>
          <cell r="I226" t="str">
            <v>IGNORED</v>
          </cell>
          <cell r="J226" t="str">
            <v>IGNORED</v>
          </cell>
          <cell r="K226" t="str">
            <v>IGNORED</v>
          </cell>
          <cell r="L226" t="str">
            <v>IGNORED</v>
          </cell>
          <cell r="M226" t="str">
            <v>IGNORED</v>
          </cell>
          <cell r="N226" t="str">
            <v>IGNORED</v>
          </cell>
          <cell r="O226" t="str">
            <v>IGNORED</v>
          </cell>
          <cell r="P226" t="str">
            <v>IGNORED</v>
          </cell>
          <cell r="Q226" t="str">
            <v>IGNORED</v>
          </cell>
          <cell r="R226" t="str">
            <v>IGNORED</v>
          </cell>
          <cell r="S226" t="str">
            <v>IGNORED</v>
          </cell>
          <cell r="T226" t="str">
            <v>IGNORED</v>
          </cell>
          <cell r="U226" t="str">
            <v>IGNORED</v>
          </cell>
          <cell r="V226" t="str">
            <v>IGNORED</v>
          </cell>
          <cell r="W226" t="str">
            <v>IGNORED</v>
          </cell>
          <cell r="X226" t="str">
            <v>IGNORED</v>
          </cell>
          <cell r="Y226" t="str">
            <v>IGNORED</v>
          </cell>
          <cell r="Z226" t="str">
            <v>IGNORED</v>
          </cell>
          <cell r="AA226" t="str">
            <v>IGNORED</v>
          </cell>
          <cell r="AB226" t="str">
            <v>IGNORED</v>
          </cell>
          <cell r="AC226" t="str">
            <v>IGNORED</v>
          </cell>
          <cell r="AD226" t="str">
            <v>IGNORED</v>
          </cell>
          <cell r="AE226" t="str">
            <v>IGNORED</v>
          </cell>
          <cell r="AF226" t="str">
            <v>IGNORED</v>
          </cell>
          <cell r="AG226" t="str">
            <v>IGNORED</v>
          </cell>
          <cell r="AH226" t="str">
            <v>IGNORED</v>
          </cell>
          <cell r="AI226" t="str">
            <v>IGNORED</v>
          </cell>
          <cell r="AJ226" t="str">
            <v>IGNORED</v>
          </cell>
          <cell r="AK226" t="str">
            <v>IGNORED</v>
          </cell>
          <cell r="AL226" t="str">
            <v>IGNORED</v>
          </cell>
          <cell r="AM226" t="str">
            <v>IGNORED</v>
          </cell>
          <cell r="AN226" t="str">
            <v>IGNORED</v>
          </cell>
          <cell r="AO226" t="str">
            <v>IGNORED</v>
          </cell>
          <cell r="AP226" t="str">
            <v>IGNORED</v>
          </cell>
          <cell r="AQ226" t="str">
            <v>IGNORED</v>
          </cell>
          <cell r="AR226" t="str">
            <v>IGNORED</v>
          </cell>
        </row>
        <row r="227">
          <cell r="B227" t="str">
            <v>Net debt (Pub)</v>
          </cell>
          <cell r="C227" t="str">
            <v>NET_DEBT_PUB</v>
          </cell>
          <cell r="D227" t="str">
            <v>CNY</v>
          </cell>
          <cell r="F227" t="str">
            <v>IGNORED</v>
          </cell>
          <cell r="G227" t="str">
            <v>IGNORED</v>
          </cell>
          <cell r="H227" t="str">
            <v>IGNORED</v>
          </cell>
          <cell r="I227" t="str">
            <v>IGNORED</v>
          </cell>
          <cell r="J227" t="str">
            <v>IGNORED</v>
          </cell>
          <cell r="K227" t="str">
            <v>IGNORED</v>
          </cell>
          <cell r="L227" t="str">
            <v>IGNORED</v>
          </cell>
          <cell r="M227" t="str">
            <v>IGNORED</v>
          </cell>
          <cell r="N227" t="str">
            <v>IGNORED</v>
          </cell>
          <cell r="O227" t="str">
            <v>IGNORED</v>
          </cell>
          <cell r="P227" t="str">
            <v>IGNORED</v>
          </cell>
          <cell r="Q227" t="str">
            <v>IGNORED</v>
          </cell>
          <cell r="R227" t="str">
            <v>IGNORED</v>
          </cell>
          <cell r="S227" t="str">
            <v>IGNORED</v>
          </cell>
          <cell r="T227" t="str">
            <v>IGNORED</v>
          </cell>
          <cell r="U227" t="str">
            <v>IGNORED</v>
          </cell>
          <cell r="V227" t="str">
            <v>IGNORED</v>
          </cell>
          <cell r="W227" t="str">
            <v>IGNORED</v>
          </cell>
          <cell r="X227" t="str">
            <v>IGNORED</v>
          </cell>
          <cell r="Y227" t="str">
            <v>IGNORED</v>
          </cell>
          <cell r="Z227" t="str">
            <v>IGNORED</v>
          </cell>
          <cell r="AA227" t="str">
            <v>IGNORED</v>
          </cell>
          <cell r="AB227" t="str">
            <v>IGNORED</v>
          </cell>
          <cell r="AC227" t="str">
            <v>IGNORED</v>
          </cell>
          <cell r="AD227" t="str">
            <v>IGNORED</v>
          </cell>
          <cell r="AE227" t="str">
            <v>IGNORED</v>
          </cell>
          <cell r="AF227" t="str">
            <v>IGNORED</v>
          </cell>
          <cell r="AG227" t="str">
            <v>IGNORED</v>
          </cell>
          <cell r="AH227" t="str">
            <v>IGNORED</v>
          </cell>
          <cell r="AI227" t="str">
            <v>IGNORED</v>
          </cell>
          <cell r="AJ227" t="str">
            <v>IGNORED</v>
          </cell>
          <cell r="AK227" t="str">
            <v>IGNORED</v>
          </cell>
          <cell r="AL227" t="str">
            <v>IGNORED</v>
          </cell>
          <cell r="AM227" t="str">
            <v>IGNORED</v>
          </cell>
          <cell r="AN227" t="str">
            <v>IGNORED</v>
          </cell>
          <cell r="AO227" t="str">
            <v>IGNORED</v>
          </cell>
          <cell r="AP227" t="str">
            <v>IGNORED</v>
          </cell>
          <cell r="AQ227" t="str">
            <v>IGNORED</v>
          </cell>
          <cell r="AR227" t="str">
            <v>IGNORED</v>
          </cell>
        </row>
        <row r="228">
          <cell r="B228" t="str">
            <v>Net income (Pub)</v>
          </cell>
          <cell r="C228" t="str">
            <v>NI_PUB</v>
          </cell>
          <cell r="D228" t="str">
            <v>CNY</v>
          </cell>
          <cell r="F228" t="str">
            <v>IGNORED</v>
          </cell>
          <cell r="G228" t="str">
            <v>IGNORED</v>
          </cell>
          <cell r="H228" t="str">
            <v>IGNORED</v>
          </cell>
          <cell r="I228" t="str">
            <v>IGNORED</v>
          </cell>
          <cell r="J228" t="str">
            <v>IGNORED</v>
          </cell>
          <cell r="K228" t="str">
            <v>IGNORED</v>
          </cell>
          <cell r="L228" t="str">
            <v>IGNORED</v>
          </cell>
          <cell r="M228" t="str">
            <v>IGNORED</v>
          </cell>
          <cell r="N228" t="str">
            <v>IGNORED</v>
          </cell>
          <cell r="O228" t="str">
            <v>IGNORED</v>
          </cell>
          <cell r="P228" t="str">
            <v>IGNORED</v>
          </cell>
          <cell r="Q228" t="str">
            <v>IGNORED</v>
          </cell>
          <cell r="R228" t="str">
            <v>IGNORED</v>
          </cell>
          <cell r="S228" t="str">
            <v>IGNORED</v>
          </cell>
          <cell r="T228" t="str">
            <v>IGNORED</v>
          </cell>
          <cell r="U228" t="str">
            <v>IGNORED</v>
          </cell>
          <cell r="V228" t="str">
            <v>IGNORED</v>
          </cell>
          <cell r="W228" t="str">
            <v>IGNORED</v>
          </cell>
          <cell r="X228" t="str">
            <v>IGNORED</v>
          </cell>
          <cell r="Y228" t="str">
            <v>IGNORED</v>
          </cell>
          <cell r="Z228" t="str">
            <v>IGNORED</v>
          </cell>
          <cell r="AA228" t="str">
            <v>IGNORED</v>
          </cell>
          <cell r="AB228" t="str">
            <v>IGNORED</v>
          </cell>
          <cell r="AC228" t="str">
            <v>IGNORED</v>
          </cell>
          <cell r="AD228" t="str">
            <v>IGNORED</v>
          </cell>
          <cell r="AE228" t="str">
            <v>IGNORED</v>
          </cell>
          <cell r="AF228" t="str">
            <v>IGNORED</v>
          </cell>
          <cell r="AG228" t="str">
            <v>IGNORED</v>
          </cell>
          <cell r="AH228" t="str">
            <v>IGNORED</v>
          </cell>
          <cell r="AI228" t="str">
            <v>IGNORED</v>
          </cell>
          <cell r="AJ228" t="str">
            <v>IGNORED</v>
          </cell>
          <cell r="AK228" t="str">
            <v>IGNORED</v>
          </cell>
          <cell r="AL228" t="str">
            <v>IGNORED</v>
          </cell>
          <cell r="AM228" t="str">
            <v>IGNORED</v>
          </cell>
          <cell r="AN228" t="str">
            <v>IGNORED</v>
          </cell>
          <cell r="AO228" t="str">
            <v>IGNORED</v>
          </cell>
          <cell r="AP228" t="str">
            <v>IGNORED</v>
          </cell>
          <cell r="AQ228" t="str">
            <v>IGNORED</v>
          </cell>
          <cell r="AR228" t="str">
            <v>IGNORED</v>
          </cell>
        </row>
        <row r="229">
          <cell r="B229" t="str">
            <v>EBIT, operating profit (Pub)</v>
          </cell>
          <cell r="C229" t="str">
            <v>EBIT_PUB</v>
          </cell>
          <cell r="D229" t="str">
            <v>CNY</v>
          </cell>
          <cell r="F229" t="str">
            <v>IGNORED</v>
          </cell>
          <cell r="G229" t="str">
            <v>IGNORED</v>
          </cell>
          <cell r="H229" t="str">
            <v>IGNORED</v>
          </cell>
          <cell r="I229" t="str">
            <v>IGNORED</v>
          </cell>
          <cell r="J229" t="str">
            <v>IGNORED</v>
          </cell>
          <cell r="K229" t="str">
            <v>IGNORED</v>
          </cell>
          <cell r="L229" t="str">
            <v>IGNORED</v>
          </cell>
          <cell r="M229" t="str">
            <v>IGNORED</v>
          </cell>
          <cell r="N229" t="str">
            <v>IGNORED</v>
          </cell>
          <cell r="O229" t="str">
            <v>IGNORED</v>
          </cell>
          <cell r="P229" t="str">
            <v>IGNORED</v>
          </cell>
          <cell r="Q229" t="str">
            <v>IGNORED</v>
          </cell>
          <cell r="R229" t="str">
            <v>IGNORED</v>
          </cell>
          <cell r="S229" t="str">
            <v>IGNORED</v>
          </cell>
          <cell r="T229" t="str">
            <v>IGNORED</v>
          </cell>
          <cell r="U229" t="str">
            <v>IGNORED</v>
          </cell>
          <cell r="V229" t="str">
            <v>IGNORED</v>
          </cell>
          <cell r="W229" t="str">
            <v>IGNORED</v>
          </cell>
          <cell r="X229" t="str">
            <v>IGNORED</v>
          </cell>
          <cell r="Y229" t="str">
            <v>IGNORED</v>
          </cell>
          <cell r="Z229" t="str">
            <v>IGNORED</v>
          </cell>
          <cell r="AA229" t="str">
            <v>IGNORED</v>
          </cell>
          <cell r="AB229" t="str">
            <v>IGNORED</v>
          </cell>
          <cell r="AC229" t="str">
            <v>IGNORED</v>
          </cell>
          <cell r="AD229" t="str">
            <v>IGNORED</v>
          </cell>
          <cell r="AE229" t="str">
            <v>IGNORED</v>
          </cell>
          <cell r="AF229" t="str">
            <v>IGNORED</v>
          </cell>
          <cell r="AG229" t="str">
            <v>IGNORED</v>
          </cell>
          <cell r="AH229" t="str">
            <v>IGNORED</v>
          </cell>
          <cell r="AI229" t="str">
            <v>IGNORED</v>
          </cell>
          <cell r="AJ229" t="str">
            <v>IGNORED</v>
          </cell>
          <cell r="AK229" t="str">
            <v>IGNORED</v>
          </cell>
          <cell r="AL229" t="str">
            <v>IGNORED</v>
          </cell>
          <cell r="AM229" t="str">
            <v>IGNORED</v>
          </cell>
          <cell r="AN229" t="str">
            <v>IGNORED</v>
          </cell>
          <cell r="AO229" t="str">
            <v>IGNORED</v>
          </cell>
          <cell r="AP229" t="str">
            <v>IGNORED</v>
          </cell>
          <cell r="AQ229" t="str">
            <v>IGNORED</v>
          </cell>
          <cell r="AR229" t="str">
            <v>IGNORED</v>
          </cell>
        </row>
        <row r="230">
          <cell r="B230" t="str">
            <v>Pre-tax profit (Pub)</v>
          </cell>
          <cell r="C230" t="str">
            <v>PTP_PUB</v>
          </cell>
          <cell r="D230" t="str">
            <v>CNY</v>
          </cell>
          <cell r="F230" t="str">
            <v>IGNORED</v>
          </cell>
          <cell r="G230" t="str">
            <v>IGNORED</v>
          </cell>
          <cell r="H230" t="str">
            <v>IGNORED</v>
          </cell>
          <cell r="I230" t="str">
            <v>IGNORED</v>
          </cell>
          <cell r="J230" t="str">
            <v>IGNORED</v>
          </cell>
          <cell r="K230" t="str">
            <v>IGNORED</v>
          </cell>
          <cell r="L230" t="str">
            <v>IGNORED</v>
          </cell>
          <cell r="M230" t="str">
            <v>IGNORED</v>
          </cell>
          <cell r="N230" t="str">
            <v>IGNORED</v>
          </cell>
          <cell r="O230" t="str">
            <v>IGNORED</v>
          </cell>
          <cell r="P230" t="str">
            <v>IGNORED</v>
          </cell>
          <cell r="Q230" t="str">
            <v>IGNORED</v>
          </cell>
          <cell r="R230" t="str">
            <v>IGNORED</v>
          </cell>
          <cell r="S230" t="str">
            <v>IGNORED</v>
          </cell>
          <cell r="T230" t="str">
            <v>IGNORED</v>
          </cell>
          <cell r="U230" t="str">
            <v>IGNORED</v>
          </cell>
          <cell r="V230" t="str">
            <v>IGNORED</v>
          </cell>
          <cell r="W230" t="str">
            <v>IGNORED</v>
          </cell>
          <cell r="X230" t="str">
            <v>IGNORED</v>
          </cell>
          <cell r="Y230" t="str">
            <v>IGNORED</v>
          </cell>
          <cell r="Z230" t="str">
            <v>IGNORED</v>
          </cell>
          <cell r="AA230" t="str">
            <v>IGNORED</v>
          </cell>
          <cell r="AB230" t="str">
            <v>IGNORED</v>
          </cell>
          <cell r="AC230" t="str">
            <v>IGNORED</v>
          </cell>
          <cell r="AD230" t="str">
            <v>IGNORED</v>
          </cell>
          <cell r="AE230" t="str">
            <v>IGNORED</v>
          </cell>
          <cell r="AF230" t="str">
            <v>IGNORED</v>
          </cell>
          <cell r="AG230" t="str">
            <v>IGNORED</v>
          </cell>
          <cell r="AH230" t="str">
            <v>IGNORED</v>
          </cell>
          <cell r="AI230" t="str">
            <v>IGNORED</v>
          </cell>
          <cell r="AJ230" t="str">
            <v>IGNORED</v>
          </cell>
          <cell r="AK230" t="str">
            <v>IGNORED</v>
          </cell>
          <cell r="AL230" t="str">
            <v>IGNORED</v>
          </cell>
          <cell r="AM230" t="str">
            <v>IGNORED</v>
          </cell>
          <cell r="AN230" t="str">
            <v>IGNORED</v>
          </cell>
          <cell r="AO230" t="str">
            <v>IGNORED</v>
          </cell>
          <cell r="AP230" t="str">
            <v>IGNORED</v>
          </cell>
          <cell r="AQ230" t="str">
            <v>IGNORED</v>
          </cell>
          <cell r="AR230" t="str">
            <v>IGNORED</v>
          </cell>
        </row>
        <row r="231">
          <cell r="B231" t="str">
            <v>Sales, revenue (Pub)</v>
          </cell>
          <cell r="C231" t="str">
            <v>REVS_PUB</v>
          </cell>
          <cell r="D231" t="str">
            <v>CNY</v>
          </cell>
          <cell r="F231" t="str">
            <v>IGNORED</v>
          </cell>
          <cell r="G231" t="str">
            <v>IGNORED</v>
          </cell>
          <cell r="H231" t="str">
            <v>IGNORED</v>
          </cell>
          <cell r="I231" t="str">
            <v>IGNORED</v>
          </cell>
          <cell r="J231" t="str">
            <v>IGNORED</v>
          </cell>
          <cell r="K231" t="str">
            <v>IGNORED</v>
          </cell>
          <cell r="L231" t="str">
            <v>IGNORED</v>
          </cell>
          <cell r="M231" t="str">
            <v>IGNORED</v>
          </cell>
          <cell r="N231" t="str">
            <v>IGNORED</v>
          </cell>
          <cell r="O231" t="str">
            <v>IGNORED</v>
          </cell>
          <cell r="P231" t="str">
            <v>IGNORED</v>
          </cell>
          <cell r="Q231" t="str">
            <v>IGNORED</v>
          </cell>
          <cell r="R231" t="str">
            <v>IGNORED</v>
          </cell>
          <cell r="S231" t="str">
            <v>IGNORED</v>
          </cell>
          <cell r="T231" t="str">
            <v>IGNORED</v>
          </cell>
          <cell r="U231" t="str">
            <v>IGNORED</v>
          </cell>
          <cell r="V231" t="str">
            <v>IGNORED</v>
          </cell>
          <cell r="W231" t="str">
            <v>IGNORED</v>
          </cell>
          <cell r="X231" t="str">
            <v>IGNORED</v>
          </cell>
          <cell r="Y231" t="str">
            <v>IGNORED</v>
          </cell>
          <cell r="Z231" t="str">
            <v>IGNORED</v>
          </cell>
          <cell r="AA231" t="str">
            <v>IGNORED</v>
          </cell>
          <cell r="AB231" t="str">
            <v>IGNORED</v>
          </cell>
          <cell r="AC231" t="str">
            <v>IGNORED</v>
          </cell>
          <cell r="AD231" t="str">
            <v>IGNORED</v>
          </cell>
          <cell r="AE231" t="str">
            <v>IGNORED</v>
          </cell>
          <cell r="AF231" t="str">
            <v>IGNORED</v>
          </cell>
          <cell r="AG231" t="str">
            <v>IGNORED</v>
          </cell>
          <cell r="AH231" t="str">
            <v>IGNORED</v>
          </cell>
          <cell r="AI231" t="str">
            <v>IGNORED</v>
          </cell>
          <cell r="AJ231" t="str">
            <v>IGNORED</v>
          </cell>
          <cell r="AK231" t="str">
            <v>IGNORED</v>
          </cell>
          <cell r="AL231" t="str">
            <v>IGNORED</v>
          </cell>
          <cell r="AM231" t="str">
            <v>IGNORED</v>
          </cell>
          <cell r="AN231" t="str">
            <v>IGNORED</v>
          </cell>
          <cell r="AO231" t="str">
            <v>IGNORED</v>
          </cell>
          <cell r="AP231" t="str">
            <v>IGNORED</v>
          </cell>
          <cell r="AQ231" t="str">
            <v>IGNORED</v>
          </cell>
          <cell r="AR231" t="str">
            <v>IGNORED</v>
          </cell>
        </row>
        <row r="232">
          <cell r="B232" t="str">
            <v>Total shareholders' equity (Pub)</v>
          </cell>
          <cell r="C232" t="str">
            <v>EQ_PUB</v>
          </cell>
          <cell r="D232" t="str">
            <v>CNY</v>
          </cell>
          <cell r="F232" t="str">
            <v>IGNORED</v>
          </cell>
          <cell r="G232" t="str">
            <v>IGNORED</v>
          </cell>
          <cell r="H232" t="str">
            <v>IGNORED</v>
          </cell>
          <cell r="I232" t="str">
            <v>IGNORED</v>
          </cell>
          <cell r="J232" t="str">
            <v>IGNORED</v>
          </cell>
          <cell r="K232" t="str">
            <v>IGNORED</v>
          </cell>
          <cell r="L232" t="str">
            <v>IGNORED</v>
          </cell>
          <cell r="M232" t="str">
            <v>IGNORED</v>
          </cell>
          <cell r="N232" t="str">
            <v>IGNORED</v>
          </cell>
          <cell r="O232" t="str">
            <v>IGNORED</v>
          </cell>
          <cell r="P232" t="str">
            <v>IGNORED</v>
          </cell>
          <cell r="Q232" t="str">
            <v>IGNORED</v>
          </cell>
          <cell r="R232" t="str">
            <v>IGNORED</v>
          </cell>
          <cell r="S232" t="str">
            <v>IGNORED</v>
          </cell>
          <cell r="T232" t="str">
            <v>IGNORED</v>
          </cell>
          <cell r="U232" t="str">
            <v>IGNORED</v>
          </cell>
          <cell r="V232" t="str">
            <v>IGNORED</v>
          </cell>
          <cell r="W232" t="str">
            <v>IGNORED</v>
          </cell>
          <cell r="X232" t="str">
            <v>IGNORED</v>
          </cell>
          <cell r="Y232" t="str">
            <v>IGNORED</v>
          </cell>
          <cell r="Z232" t="str">
            <v>IGNORED</v>
          </cell>
          <cell r="AA232" t="str">
            <v>IGNORED</v>
          </cell>
          <cell r="AB232" t="str">
            <v>IGNORED</v>
          </cell>
          <cell r="AC232" t="str">
            <v>IGNORED</v>
          </cell>
          <cell r="AD232" t="str">
            <v>IGNORED</v>
          </cell>
          <cell r="AE232" t="str">
            <v>IGNORED</v>
          </cell>
          <cell r="AF232" t="str">
            <v>IGNORED</v>
          </cell>
          <cell r="AG232" t="str">
            <v>IGNORED</v>
          </cell>
          <cell r="AH232" t="str">
            <v>IGNORED</v>
          </cell>
          <cell r="AI232" t="str">
            <v>IGNORED</v>
          </cell>
          <cell r="AJ232" t="str">
            <v>IGNORED</v>
          </cell>
          <cell r="AK232" t="str">
            <v>IGNORED</v>
          </cell>
          <cell r="AL232" t="str">
            <v>IGNORED</v>
          </cell>
          <cell r="AM232" t="str">
            <v>IGNORED</v>
          </cell>
          <cell r="AN232" t="str">
            <v>IGNORED</v>
          </cell>
          <cell r="AO232" t="str">
            <v>IGNORED</v>
          </cell>
          <cell r="AP232" t="str">
            <v>IGNORED</v>
          </cell>
          <cell r="AQ232" t="str">
            <v>IGNORED</v>
          </cell>
          <cell r="AR232" t="str">
            <v>IGNORED</v>
          </cell>
        </row>
        <row r="233">
          <cell r="B233" t="str">
            <v>EPS (consensus)</v>
          </cell>
          <cell r="C233" t="str">
            <v>EPS_CONS_PUB</v>
          </cell>
          <cell r="D233" t="str">
            <v>CNY</v>
          </cell>
          <cell r="F233" t="str">
            <v>IGNORED</v>
          </cell>
          <cell r="G233" t="str">
            <v>IGNORED</v>
          </cell>
          <cell r="H233" t="str">
            <v>IGNORED</v>
          </cell>
          <cell r="I233" t="str">
            <v>IGNORED</v>
          </cell>
          <cell r="J233" t="str">
            <v>IGNORED</v>
          </cell>
          <cell r="K233" t="str">
            <v>IGNORED</v>
          </cell>
          <cell r="L233" t="str">
            <v>IGNORED</v>
          </cell>
          <cell r="M233" t="str">
            <v>IGNORED</v>
          </cell>
          <cell r="N233" t="str">
            <v>IGNORED</v>
          </cell>
          <cell r="O233" t="str">
            <v>IGNORED</v>
          </cell>
          <cell r="P233" t="str">
            <v>IGNORED</v>
          </cell>
          <cell r="Q233" t="str">
            <v>IGNORED</v>
          </cell>
          <cell r="R233" t="str">
            <v>IGNORED</v>
          </cell>
          <cell r="S233" t="str">
            <v>IGNORED</v>
          </cell>
          <cell r="T233" t="str">
            <v>IGNORED</v>
          </cell>
          <cell r="U233" t="str">
            <v>IGNORED</v>
          </cell>
          <cell r="V233" t="str">
            <v>IGNORED</v>
          </cell>
          <cell r="W233" t="str">
            <v>IGNORED</v>
          </cell>
          <cell r="X233" t="str">
            <v>IGNORED</v>
          </cell>
          <cell r="Y233" t="str">
            <v>IGNORED</v>
          </cell>
          <cell r="Z233" t="str">
            <v>IGNORED</v>
          </cell>
          <cell r="AA233" t="str">
            <v>IGNORED</v>
          </cell>
          <cell r="AB233" t="str">
            <v>IGNORED</v>
          </cell>
          <cell r="AC233" t="str">
            <v>IGNORED</v>
          </cell>
          <cell r="AD233" t="str">
            <v>IGNORED</v>
          </cell>
          <cell r="AE233" t="str">
            <v>IGNORED</v>
          </cell>
          <cell r="AF233" t="str">
            <v>IGNORED</v>
          </cell>
          <cell r="AG233" t="str">
            <v>IGNORED</v>
          </cell>
          <cell r="AH233" t="str">
            <v>IGNORED</v>
          </cell>
          <cell r="AI233" t="str">
            <v>IGNORED</v>
          </cell>
          <cell r="AJ233" t="str">
            <v>IGNORED</v>
          </cell>
          <cell r="AK233" t="str">
            <v>IGNORED</v>
          </cell>
          <cell r="AL233" t="str">
            <v>IGNORED</v>
          </cell>
          <cell r="AM233" t="str">
            <v>IGNORED</v>
          </cell>
          <cell r="AN233" t="str">
            <v>IGNORED</v>
          </cell>
          <cell r="AO233" t="str">
            <v>IGNORED</v>
          </cell>
          <cell r="AP233" t="str">
            <v>IGNORED</v>
          </cell>
          <cell r="AQ233" t="str">
            <v>IGNORED</v>
          </cell>
          <cell r="AR233" t="str">
            <v>IGNORED</v>
          </cell>
        </row>
        <row r="234">
          <cell r="A234" t="str">
            <v>Income Statement</v>
          </cell>
        </row>
        <row r="235">
          <cell r="B235" t="str">
            <v>Provision for income tax</v>
          </cell>
          <cell r="C235" t="str">
            <v>PROV_INC_TAX</v>
          </cell>
          <cell r="D235" t="str">
            <v>CNY</v>
          </cell>
          <cell r="F235" t="str">
            <v>IGNORED</v>
          </cell>
          <cell r="G235" t="str">
            <v>IGNORED</v>
          </cell>
          <cell r="H235" t="str">
            <v>IGNORED</v>
          </cell>
          <cell r="I235" t="str">
            <v>IGNORED</v>
          </cell>
          <cell r="J235" t="str">
            <v>IGNORED</v>
          </cell>
          <cell r="K235" t="str">
            <v>IGNORED</v>
          </cell>
          <cell r="L235" t="str">
            <v>IGNORED</v>
          </cell>
          <cell r="M235" t="str">
            <v>IGNORED</v>
          </cell>
          <cell r="N235" t="str">
            <v>IGNORED</v>
          </cell>
          <cell r="O235" t="str">
            <v>IGNORED</v>
          </cell>
          <cell r="P235" t="str">
            <v>IGNORED</v>
          </cell>
          <cell r="Q235" t="str">
            <v>IGNORED</v>
          </cell>
          <cell r="R235" t="str">
            <v>IGNORED</v>
          </cell>
          <cell r="S235" t="str">
            <v>IGNORED</v>
          </cell>
          <cell r="T235" t="str">
            <v>IGNORED</v>
          </cell>
          <cell r="U235" t="str">
            <v>IGNORED</v>
          </cell>
          <cell r="V235" t="str">
            <v>IGNORED</v>
          </cell>
          <cell r="W235" t="str">
            <v>IGNORED</v>
          </cell>
          <cell r="X235" t="str">
            <v>IGNORED</v>
          </cell>
          <cell r="Y235" t="str">
            <v>IGNORED</v>
          </cell>
          <cell r="Z235" t="str">
            <v>IGNORED</v>
          </cell>
          <cell r="AA235" t="str">
            <v>IGNORED</v>
          </cell>
          <cell r="AB235" t="str">
            <v>IGNORED</v>
          </cell>
          <cell r="AC235" t="str">
            <v>IGNORED</v>
          </cell>
          <cell r="AD235" t="str">
            <v>IGNORED</v>
          </cell>
          <cell r="AE235" t="str">
            <v>IGNORED</v>
          </cell>
          <cell r="AF235" t="str">
            <v>IGNORED</v>
          </cell>
          <cell r="AG235" t="str">
            <v>IGNORED</v>
          </cell>
          <cell r="AH235" t="str">
            <v>IGNORED</v>
          </cell>
          <cell r="AI235" t="str">
            <v>IGNORED</v>
          </cell>
          <cell r="AJ235" t="str">
            <v>IGNORED</v>
          </cell>
          <cell r="AK235" t="str">
            <v>IGNORED</v>
          </cell>
          <cell r="AL235" t="str">
            <v>IGNORED</v>
          </cell>
          <cell r="AM235" t="str">
            <v>IGNORED</v>
          </cell>
          <cell r="AN235" t="str">
            <v>IGNORED</v>
          </cell>
          <cell r="AO235" t="str">
            <v>IGNORED</v>
          </cell>
          <cell r="AP235" t="str">
            <v>IGNORED</v>
          </cell>
          <cell r="AQ235" t="str">
            <v>IGNORED</v>
          </cell>
          <cell r="AR235" t="str">
            <v>IGNORED</v>
          </cell>
        </row>
        <row r="236">
          <cell r="B236" t="str">
            <v>Minority interest</v>
          </cell>
          <cell r="C236" t="str">
            <v>INC_MINORITY</v>
          </cell>
          <cell r="D236" t="str">
            <v>CNY</v>
          </cell>
          <cell r="F236" t="str">
            <v>IGNORED</v>
          </cell>
          <cell r="G236" t="str">
            <v>IGNORED</v>
          </cell>
          <cell r="H236" t="str">
            <v>IGNORED</v>
          </cell>
          <cell r="I236" t="str">
            <v>IGNORED</v>
          </cell>
          <cell r="J236" t="str">
            <v>IGNORED</v>
          </cell>
          <cell r="K236" t="str">
            <v>IGNORED</v>
          </cell>
          <cell r="L236" t="str">
            <v>IGNORED</v>
          </cell>
          <cell r="M236" t="str">
            <v>IGNORED</v>
          </cell>
          <cell r="N236" t="str">
            <v>IGNORED</v>
          </cell>
          <cell r="O236" t="str">
            <v>IGNORED</v>
          </cell>
          <cell r="P236" t="str">
            <v>IGNORED</v>
          </cell>
          <cell r="Q236" t="str">
            <v>IGNORED</v>
          </cell>
          <cell r="R236" t="str">
            <v>IGNORED</v>
          </cell>
          <cell r="S236" t="str">
            <v>IGNORED</v>
          </cell>
          <cell r="T236" t="str">
            <v>IGNORED</v>
          </cell>
          <cell r="U236" t="str">
            <v>IGNORED</v>
          </cell>
          <cell r="V236" t="str">
            <v>IGNORED</v>
          </cell>
          <cell r="W236" t="str">
            <v>IGNORED</v>
          </cell>
          <cell r="X236" t="str">
            <v>IGNORED</v>
          </cell>
          <cell r="Y236" t="str">
            <v>IGNORED</v>
          </cell>
          <cell r="Z236" t="str">
            <v>IGNORED</v>
          </cell>
          <cell r="AA236" t="str">
            <v>IGNORED</v>
          </cell>
          <cell r="AB236" t="str">
            <v>IGNORED</v>
          </cell>
          <cell r="AC236" t="str">
            <v>IGNORED</v>
          </cell>
          <cell r="AD236" t="str">
            <v>IGNORED</v>
          </cell>
          <cell r="AE236" t="str">
            <v>IGNORED</v>
          </cell>
          <cell r="AF236" t="str">
            <v>IGNORED</v>
          </cell>
          <cell r="AG236" t="str">
            <v>IGNORED</v>
          </cell>
          <cell r="AH236" t="str">
            <v>IGNORED</v>
          </cell>
          <cell r="AI236" t="str">
            <v>IGNORED</v>
          </cell>
          <cell r="AJ236" t="str">
            <v>IGNORED</v>
          </cell>
          <cell r="AK236" t="str">
            <v>IGNORED</v>
          </cell>
          <cell r="AL236" t="str">
            <v>IGNORED</v>
          </cell>
          <cell r="AM236" t="str">
            <v>IGNORED</v>
          </cell>
          <cell r="AN236" t="str">
            <v>IGNORED</v>
          </cell>
          <cell r="AO236" t="str">
            <v>IGNORED</v>
          </cell>
          <cell r="AP236" t="str">
            <v>IGNORED</v>
          </cell>
          <cell r="AQ236" t="str">
            <v>IGNORED</v>
          </cell>
          <cell r="AR236" t="str">
            <v>IGNORED</v>
          </cell>
        </row>
        <row r="237">
          <cell r="B237" t="str">
            <v>Net income (pre-preferred dividends)</v>
          </cell>
          <cell r="C237" t="str">
            <v>NI_PRE_PREF</v>
          </cell>
          <cell r="D237" t="str">
            <v>CNY</v>
          </cell>
          <cell r="F237" t="str">
            <v>IGNORED</v>
          </cell>
          <cell r="G237" t="str">
            <v>IGNORED</v>
          </cell>
          <cell r="H237" t="str">
            <v>IGNORED</v>
          </cell>
          <cell r="I237" t="str">
            <v>IGNORED</v>
          </cell>
          <cell r="J237" t="str">
            <v>IGNORED</v>
          </cell>
          <cell r="K237" t="str">
            <v>IGNORED</v>
          </cell>
          <cell r="L237" t="str">
            <v>IGNORED</v>
          </cell>
          <cell r="M237" t="str">
            <v>IGNORED</v>
          </cell>
          <cell r="N237" t="str">
            <v>IGNORED</v>
          </cell>
          <cell r="O237" t="str">
            <v>IGNORED</v>
          </cell>
          <cell r="P237" t="str">
            <v>IGNORED</v>
          </cell>
          <cell r="Q237" t="str">
            <v>IGNORED</v>
          </cell>
          <cell r="R237" t="str">
            <v>IGNORED</v>
          </cell>
          <cell r="S237" t="str">
            <v>IGNORED</v>
          </cell>
          <cell r="T237" t="str">
            <v>IGNORED</v>
          </cell>
          <cell r="U237" t="str">
            <v>IGNORED</v>
          </cell>
          <cell r="V237" t="str">
            <v>IGNORED</v>
          </cell>
          <cell r="W237" t="str">
            <v>IGNORED</v>
          </cell>
          <cell r="X237" t="str">
            <v>IGNORED</v>
          </cell>
          <cell r="Y237" t="str">
            <v>IGNORED</v>
          </cell>
          <cell r="Z237" t="str">
            <v>IGNORED</v>
          </cell>
          <cell r="AA237" t="str">
            <v>IGNORED</v>
          </cell>
          <cell r="AB237" t="str">
            <v>IGNORED</v>
          </cell>
          <cell r="AC237" t="str">
            <v>IGNORED</v>
          </cell>
          <cell r="AD237" t="str">
            <v>IGNORED</v>
          </cell>
          <cell r="AE237" t="str">
            <v>IGNORED</v>
          </cell>
          <cell r="AF237" t="str">
            <v>IGNORED</v>
          </cell>
          <cell r="AG237" t="str">
            <v>IGNORED</v>
          </cell>
          <cell r="AH237" t="str">
            <v>IGNORED</v>
          </cell>
          <cell r="AI237" t="str">
            <v>IGNORED</v>
          </cell>
          <cell r="AJ237" t="str">
            <v>IGNORED</v>
          </cell>
          <cell r="AK237" t="str">
            <v>IGNORED</v>
          </cell>
          <cell r="AL237" t="str">
            <v>IGNORED</v>
          </cell>
          <cell r="AM237" t="str">
            <v>IGNORED</v>
          </cell>
          <cell r="AN237" t="str">
            <v>IGNORED</v>
          </cell>
          <cell r="AO237" t="str">
            <v>IGNORED</v>
          </cell>
          <cell r="AP237" t="str">
            <v>IGNORED</v>
          </cell>
          <cell r="AQ237" t="str">
            <v>IGNORED</v>
          </cell>
          <cell r="AR237" t="str">
            <v>IGNORED</v>
          </cell>
        </row>
        <row r="238">
          <cell r="B238" t="str">
            <v>Preferred dividends</v>
          </cell>
          <cell r="C238" t="str">
            <v>PREF_DIV</v>
          </cell>
          <cell r="D238" t="str">
            <v>CNY</v>
          </cell>
          <cell r="F238" t="str">
            <v>IGNORED</v>
          </cell>
          <cell r="G238" t="str">
            <v>IGNORED</v>
          </cell>
          <cell r="H238" t="str">
            <v>IGNORED</v>
          </cell>
          <cell r="I238" t="str">
            <v>IGNORED</v>
          </cell>
          <cell r="J238" t="str">
            <v>IGNORED</v>
          </cell>
          <cell r="K238" t="str">
            <v>IGNORED</v>
          </cell>
          <cell r="L238" t="str">
            <v>IGNORED</v>
          </cell>
          <cell r="M238" t="str">
            <v>IGNORED</v>
          </cell>
          <cell r="N238" t="str">
            <v>IGNORED</v>
          </cell>
          <cell r="O238" t="str">
            <v>IGNORED</v>
          </cell>
          <cell r="P238" t="str">
            <v>IGNORED</v>
          </cell>
          <cell r="Q238" t="str">
            <v>IGNORED</v>
          </cell>
          <cell r="R238" t="str">
            <v>IGNORED</v>
          </cell>
          <cell r="S238" t="str">
            <v>IGNORED</v>
          </cell>
          <cell r="T238" t="str">
            <v>IGNORED</v>
          </cell>
          <cell r="U238" t="str">
            <v>IGNORED</v>
          </cell>
          <cell r="V238" t="str">
            <v>IGNORED</v>
          </cell>
          <cell r="W238" t="str">
            <v>IGNORED</v>
          </cell>
          <cell r="X238" t="str">
            <v>IGNORED</v>
          </cell>
          <cell r="Y238" t="str">
            <v>IGNORED</v>
          </cell>
          <cell r="Z238" t="str">
            <v>IGNORED</v>
          </cell>
          <cell r="AA238" t="str">
            <v>IGNORED</v>
          </cell>
          <cell r="AB238" t="str">
            <v>IGNORED</v>
          </cell>
          <cell r="AC238" t="str">
            <v>IGNORED</v>
          </cell>
          <cell r="AD238" t="str">
            <v>IGNORED</v>
          </cell>
          <cell r="AE238" t="str">
            <v>IGNORED</v>
          </cell>
          <cell r="AF238" t="str">
            <v>IGNORED</v>
          </cell>
          <cell r="AG238" t="str">
            <v>IGNORED</v>
          </cell>
          <cell r="AH238" t="str">
            <v>IGNORED</v>
          </cell>
          <cell r="AI238" t="str">
            <v>IGNORED</v>
          </cell>
          <cell r="AJ238" t="str">
            <v>IGNORED</v>
          </cell>
          <cell r="AK238" t="str">
            <v>IGNORED</v>
          </cell>
          <cell r="AL238" t="str">
            <v>IGNORED</v>
          </cell>
          <cell r="AM238" t="str">
            <v>IGNORED</v>
          </cell>
          <cell r="AN238" t="str">
            <v>IGNORED</v>
          </cell>
          <cell r="AO238" t="str">
            <v>IGNORED</v>
          </cell>
          <cell r="AP238" t="str">
            <v>IGNORED</v>
          </cell>
          <cell r="AQ238" t="str">
            <v>IGNORED</v>
          </cell>
          <cell r="AR238" t="str">
            <v>IGNORED</v>
          </cell>
        </row>
        <row r="239">
          <cell r="B239" t="str">
            <v>Net income (pre-exceptionals)</v>
          </cell>
          <cell r="C239" t="str">
            <v>NET_EARNING</v>
          </cell>
          <cell r="D239" t="str">
            <v>CNY</v>
          </cell>
          <cell r="F239" t="str">
            <v>IGNORED</v>
          </cell>
          <cell r="G239" t="str">
            <v>IGNORED</v>
          </cell>
          <cell r="H239" t="str">
            <v>IGNORED</v>
          </cell>
          <cell r="I239" t="str">
            <v>IGNORED</v>
          </cell>
          <cell r="J239" t="str">
            <v>IGNORED</v>
          </cell>
          <cell r="K239" t="str">
            <v>IGNORED</v>
          </cell>
          <cell r="L239" t="str">
            <v>IGNORED</v>
          </cell>
          <cell r="M239" t="str">
            <v>IGNORED</v>
          </cell>
          <cell r="N239" t="str">
            <v>IGNORED</v>
          </cell>
          <cell r="O239" t="str">
            <v>IGNORED</v>
          </cell>
          <cell r="P239" t="str">
            <v>IGNORED</v>
          </cell>
          <cell r="Q239" t="str">
            <v>IGNORED</v>
          </cell>
          <cell r="R239" t="str">
            <v>IGNORED</v>
          </cell>
          <cell r="S239" t="str">
            <v>IGNORED</v>
          </cell>
          <cell r="T239" t="str">
            <v>IGNORED</v>
          </cell>
          <cell r="U239" t="str">
            <v>IGNORED</v>
          </cell>
          <cell r="V239" t="str">
            <v>IGNORED</v>
          </cell>
          <cell r="W239" t="str">
            <v>IGNORED</v>
          </cell>
          <cell r="X239" t="str">
            <v>IGNORED</v>
          </cell>
          <cell r="Y239" t="str">
            <v>IGNORED</v>
          </cell>
          <cell r="Z239" t="str">
            <v>IGNORED</v>
          </cell>
          <cell r="AA239" t="str">
            <v>IGNORED</v>
          </cell>
          <cell r="AB239" t="str">
            <v>IGNORED</v>
          </cell>
          <cell r="AC239" t="str">
            <v>IGNORED</v>
          </cell>
          <cell r="AD239" t="str">
            <v>IGNORED</v>
          </cell>
          <cell r="AE239" t="str">
            <v>IGNORED</v>
          </cell>
          <cell r="AF239" t="str">
            <v>IGNORED</v>
          </cell>
          <cell r="AG239" t="str">
            <v>IGNORED</v>
          </cell>
          <cell r="AH239" t="str">
            <v>IGNORED</v>
          </cell>
          <cell r="AI239" t="str">
            <v>IGNORED</v>
          </cell>
          <cell r="AJ239" t="str">
            <v>IGNORED</v>
          </cell>
          <cell r="AK239" t="str">
            <v>IGNORED</v>
          </cell>
          <cell r="AL239" t="str">
            <v>IGNORED</v>
          </cell>
          <cell r="AM239" t="str">
            <v>IGNORED</v>
          </cell>
          <cell r="AN239" t="str">
            <v>IGNORED</v>
          </cell>
          <cell r="AO239" t="str">
            <v>IGNORED</v>
          </cell>
          <cell r="AP239" t="str">
            <v>IGNORED</v>
          </cell>
          <cell r="AQ239" t="str">
            <v>IGNORED</v>
          </cell>
          <cell r="AR239" t="str">
            <v>IGNORED</v>
          </cell>
        </row>
        <row r="240">
          <cell r="B240" t="str">
            <v>Post-tax exceptionals</v>
          </cell>
          <cell r="C240" t="str">
            <v>TAX_EXC</v>
          </cell>
          <cell r="D240" t="str">
            <v>CNY</v>
          </cell>
          <cell r="F240" t="str">
            <v>IGNORED</v>
          </cell>
          <cell r="G240" t="str">
            <v>IGNORED</v>
          </cell>
          <cell r="H240" t="str">
            <v>IGNORED</v>
          </cell>
          <cell r="I240" t="str">
            <v>IGNORED</v>
          </cell>
          <cell r="J240" t="str">
            <v>IGNORED</v>
          </cell>
          <cell r="K240" t="str">
            <v>IGNORED</v>
          </cell>
          <cell r="L240" t="str">
            <v>IGNORED</v>
          </cell>
          <cell r="M240" t="str">
            <v>IGNORED</v>
          </cell>
          <cell r="N240" t="str">
            <v>IGNORED</v>
          </cell>
          <cell r="O240" t="str">
            <v>IGNORED</v>
          </cell>
          <cell r="P240" t="str">
            <v>IGNORED</v>
          </cell>
          <cell r="Q240" t="str">
            <v>IGNORED</v>
          </cell>
          <cell r="R240" t="str">
            <v>IGNORED</v>
          </cell>
          <cell r="S240" t="str">
            <v>IGNORED</v>
          </cell>
          <cell r="T240" t="str">
            <v>IGNORED</v>
          </cell>
          <cell r="U240" t="str">
            <v>IGNORED</v>
          </cell>
          <cell r="V240" t="str">
            <v>IGNORED</v>
          </cell>
          <cell r="W240" t="str">
            <v>IGNORED</v>
          </cell>
          <cell r="X240" t="str">
            <v>IGNORED</v>
          </cell>
          <cell r="Y240" t="str">
            <v>IGNORED</v>
          </cell>
          <cell r="Z240" t="str">
            <v>IGNORED</v>
          </cell>
          <cell r="AA240" t="str">
            <v>IGNORED</v>
          </cell>
          <cell r="AB240" t="str">
            <v>IGNORED</v>
          </cell>
          <cell r="AC240" t="str">
            <v>IGNORED</v>
          </cell>
          <cell r="AD240" t="str">
            <v>IGNORED</v>
          </cell>
          <cell r="AE240" t="str">
            <v>IGNORED</v>
          </cell>
          <cell r="AF240" t="str">
            <v>IGNORED</v>
          </cell>
          <cell r="AG240" t="str">
            <v>IGNORED</v>
          </cell>
          <cell r="AH240" t="str">
            <v>IGNORED</v>
          </cell>
          <cell r="AI240" t="str">
            <v>IGNORED</v>
          </cell>
          <cell r="AJ240" t="str">
            <v>IGNORED</v>
          </cell>
          <cell r="AK240" t="str">
            <v>IGNORED</v>
          </cell>
          <cell r="AL240" t="str">
            <v>IGNORED</v>
          </cell>
          <cell r="AM240" t="str">
            <v>IGNORED</v>
          </cell>
          <cell r="AN240" t="str">
            <v>IGNORED</v>
          </cell>
          <cell r="AO240" t="str">
            <v>IGNORED</v>
          </cell>
          <cell r="AP240" t="str">
            <v>IGNORED</v>
          </cell>
          <cell r="AQ240" t="str">
            <v>IGNORED</v>
          </cell>
          <cell r="AR240" t="str">
            <v>IGNORED</v>
          </cell>
        </row>
        <row r="241">
          <cell r="B241" t="str">
            <v>Net income (post-exceptionals)</v>
          </cell>
          <cell r="C241" t="str">
            <v>NET_INC</v>
          </cell>
          <cell r="D241" t="str">
            <v>CNY</v>
          </cell>
          <cell r="F241" t="str">
            <v>IGNORED</v>
          </cell>
          <cell r="G241" t="str">
            <v>IGNORED</v>
          </cell>
          <cell r="H241" t="str">
            <v>IGNORED</v>
          </cell>
          <cell r="I241" t="str">
            <v>IGNORED</v>
          </cell>
          <cell r="J241" t="str">
            <v>IGNORED</v>
          </cell>
          <cell r="K241" t="str">
            <v>IGNORED</v>
          </cell>
          <cell r="L241" t="str">
            <v>IGNORED</v>
          </cell>
          <cell r="M241" t="str">
            <v>IGNORED</v>
          </cell>
          <cell r="N241" t="str">
            <v>IGNORED</v>
          </cell>
          <cell r="O241" t="str">
            <v>IGNORED</v>
          </cell>
          <cell r="P241" t="str">
            <v>IGNORED</v>
          </cell>
          <cell r="Q241" t="str">
            <v>IGNORED</v>
          </cell>
          <cell r="R241" t="str">
            <v>IGNORED</v>
          </cell>
          <cell r="S241" t="str">
            <v>IGNORED</v>
          </cell>
          <cell r="T241" t="str">
            <v>IGNORED</v>
          </cell>
          <cell r="U241" t="str">
            <v>IGNORED</v>
          </cell>
          <cell r="V241" t="str">
            <v>IGNORED</v>
          </cell>
          <cell r="W241" t="str">
            <v>IGNORED</v>
          </cell>
          <cell r="X241" t="str">
            <v>IGNORED</v>
          </cell>
          <cell r="Y241" t="str">
            <v>IGNORED</v>
          </cell>
          <cell r="Z241" t="str">
            <v>IGNORED</v>
          </cell>
          <cell r="AA241" t="str">
            <v>IGNORED</v>
          </cell>
          <cell r="AB241" t="str">
            <v>IGNORED</v>
          </cell>
          <cell r="AC241" t="str">
            <v>IGNORED</v>
          </cell>
          <cell r="AD241" t="str">
            <v>IGNORED</v>
          </cell>
          <cell r="AE241" t="str">
            <v>IGNORED</v>
          </cell>
          <cell r="AF241" t="str">
            <v>IGNORED</v>
          </cell>
          <cell r="AG241" t="str">
            <v>IGNORED</v>
          </cell>
          <cell r="AH241" t="str">
            <v>IGNORED</v>
          </cell>
          <cell r="AI241" t="str">
            <v>IGNORED</v>
          </cell>
          <cell r="AJ241" t="str">
            <v>IGNORED</v>
          </cell>
          <cell r="AK241" t="str">
            <v>IGNORED</v>
          </cell>
          <cell r="AL241" t="str">
            <v>IGNORED</v>
          </cell>
          <cell r="AM241" t="str">
            <v>IGNORED</v>
          </cell>
          <cell r="AN241" t="str">
            <v>IGNORED</v>
          </cell>
          <cell r="AO241" t="str">
            <v>IGNORED</v>
          </cell>
          <cell r="AP241" t="str">
            <v>IGNORED</v>
          </cell>
          <cell r="AQ241" t="str">
            <v>IGNORED</v>
          </cell>
          <cell r="AR241" t="str">
            <v>IGNORED</v>
          </cell>
        </row>
        <row r="242">
          <cell r="B242" t="str">
            <v>EPS (pre-exceptionals, basic)</v>
          </cell>
          <cell r="C242" t="str">
            <v>EPS</v>
          </cell>
          <cell r="D242" t="str">
            <v>CNY</v>
          </cell>
          <cell r="F242" t="str">
            <v>IGNORED</v>
          </cell>
          <cell r="G242" t="str">
            <v>IGNORED</v>
          </cell>
          <cell r="H242" t="str">
            <v>IGNORED</v>
          </cell>
          <cell r="I242" t="str">
            <v>IGNORED</v>
          </cell>
          <cell r="J242" t="str">
            <v>IGNORED</v>
          </cell>
          <cell r="K242" t="str">
            <v>IGNORED</v>
          </cell>
          <cell r="L242" t="e">
            <v>#DIV/0!</v>
          </cell>
          <cell r="M242" t="e">
            <v>#DIV/0!</v>
          </cell>
          <cell r="N242" t="e">
            <v>#DIV/0!</v>
          </cell>
          <cell r="O242" t="e">
            <v>#DIV/0!</v>
          </cell>
          <cell r="P242" t="e">
            <v>#DIV/0!</v>
          </cell>
          <cell r="Q242" t="str">
            <v>IGNORED</v>
          </cell>
          <cell r="R242" t="str">
            <v>IGNORED</v>
          </cell>
          <cell r="S242" t="str">
            <v>IGNORED</v>
          </cell>
          <cell r="T242" t="str">
            <v>IGNORED</v>
          </cell>
          <cell r="U242" t="str">
            <v>IGNORED</v>
          </cell>
          <cell r="V242" t="str">
            <v>IGNORED</v>
          </cell>
          <cell r="W242" t="str">
            <v>IGNORED</v>
          </cell>
          <cell r="X242" t="str">
            <v>IGNORED</v>
          </cell>
          <cell r="Y242" t="str">
            <v>IGNORED</v>
          </cell>
          <cell r="Z242" t="str">
            <v>IGNORED</v>
          </cell>
          <cell r="AA242" t="str">
            <v>IGNORED</v>
          </cell>
          <cell r="AB242" t="str">
            <v>IGNORED</v>
          </cell>
          <cell r="AC242" t="str">
            <v>IGNORED</v>
          </cell>
          <cell r="AD242" t="str">
            <v>IGNORED</v>
          </cell>
          <cell r="AE242" t="str">
            <v>IGNORED</v>
          </cell>
          <cell r="AF242" t="str">
            <v>IGNORED</v>
          </cell>
          <cell r="AG242" t="str">
            <v>IGNORED</v>
          </cell>
          <cell r="AH242" t="str">
            <v>IGNORED</v>
          </cell>
          <cell r="AI242" t="str">
            <v>IGNORED</v>
          </cell>
          <cell r="AJ242" t="str">
            <v>IGNORED</v>
          </cell>
          <cell r="AK242" t="str">
            <v>IGNORED</v>
          </cell>
          <cell r="AL242" t="str">
            <v>IGNORED</v>
          </cell>
          <cell r="AM242" t="str">
            <v>IGNORED</v>
          </cell>
          <cell r="AN242" t="str">
            <v>IGNORED</v>
          </cell>
          <cell r="AO242" t="str">
            <v>IGNORED</v>
          </cell>
          <cell r="AP242" t="str">
            <v>IGNORED</v>
          </cell>
          <cell r="AQ242" t="str">
            <v>IGNORED</v>
          </cell>
          <cell r="AR242" t="str">
            <v>IGNORED</v>
          </cell>
        </row>
        <row r="243">
          <cell r="B243" t="str">
            <v>EPS (pre-exceptionals, diluted)</v>
          </cell>
          <cell r="C243" t="str">
            <v>EPS_FUL_DIL</v>
          </cell>
          <cell r="D243" t="str">
            <v>CNY</v>
          </cell>
          <cell r="F243" t="str">
            <v>IGNORED</v>
          </cell>
          <cell r="G243" t="str">
            <v>IGNORED</v>
          </cell>
          <cell r="H243" t="str">
            <v>IGNORED</v>
          </cell>
          <cell r="I243" t="str">
            <v>IGNORED</v>
          </cell>
          <cell r="J243" t="str">
            <v>IGNORED</v>
          </cell>
          <cell r="K243" t="str">
            <v>IGNORED</v>
          </cell>
          <cell r="L243" t="e">
            <v>#DIV/0!</v>
          </cell>
          <cell r="M243" t="e">
            <v>#DIV/0!</v>
          </cell>
          <cell r="N243" t="e">
            <v>#DIV/0!</v>
          </cell>
          <cell r="O243" t="e">
            <v>#DIV/0!</v>
          </cell>
          <cell r="P243" t="e">
            <v>#DIV/0!</v>
          </cell>
          <cell r="Q243" t="str">
            <v>IGNORED</v>
          </cell>
          <cell r="R243" t="str">
            <v>IGNORED</v>
          </cell>
          <cell r="S243" t="str">
            <v>IGNORED</v>
          </cell>
          <cell r="T243" t="str">
            <v>IGNORED</v>
          </cell>
          <cell r="U243" t="str">
            <v>IGNORED</v>
          </cell>
          <cell r="V243" t="str">
            <v>IGNORED</v>
          </cell>
          <cell r="W243" t="str">
            <v>IGNORED</v>
          </cell>
          <cell r="X243" t="str">
            <v>IGNORED</v>
          </cell>
          <cell r="Y243" t="str">
            <v>IGNORED</v>
          </cell>
          <cell r="Z243" t="str">
            <v>IGNORED</v>
          </cell>
          <cell r="AA243" t="str">
            <v>IGNORED</v>
          </cell>
          <cell r="AB243" t="str">
            <v>IGNORED</v>
          </cell>
          <cell r="AC243" t="str">
            <v>IGNORED</v>
          </cell>
          <cell r="AD243" t="str">
            <v>IGNORED</v>
          </cell>
          <cell r="AE243" t="str">
            <v>IGNORED</v>
          </cell>
          <cell r="AF243" t="str">
            <v>IGNORED</v>
          </cell>
          <cell r="AG243" t="str">
            <v>IGNORED</v>
          </cell>
          <cell r="AH243" t="str">
            <v>IGNORED</v>
          </cell>
          <cell r="AI243" t="str">
            <v>IGNORED</v>
          </cell>
          <cell r="AJ243" t="str">
            <v>IGNORED</v>
          </cell>
          <cell r="AK243" t="str">
            <v>IGNORED</v>
          </cell>
          <cell r="AL243" t="str">
            <v>IGNORED</v>
          </cell>
          <cell r="AM243" t="str">
            <v>IGNORED</v>
          </cell>
          <cell r="AN243" t="str">
            <v>IGNORED</v>
          </cell>
          <cell r="AO243" t="str">
            <v>IGNORED</v>
          </cell>
          <cell r="AP243" t="str">
            <v>IGNORED</v>
          </cell>
          <cell r="AQ243" t="str">
            <v>IGNORED</v>
          </cell>
          <cell r="AR243" t="str">
            <v>IGNORED</v>
          </cell>
        </row>
        <row r="244">
          <cell r="B244" t="str">
            <v>EPS (post-exceptionals, basic)</v>
          </cell>
          <cell r="C244" t="str">
            <v>EPS_POST_BASIC</v>
          </cell>
          <cell r="D244" t="str">
            <v>CNY</v>
          </cell>
          <cell r="F244" t="str">
            <v>IGNORED</v>
          </cell>
          <cell r="G244" t="str">
            <v>IGNORED</v>
          </cell>
          <cell r="H244" t="str">
            <v>IGNORED</v>
          </cell>
          <cell r="I244" t="str">
            <v>IGNORED</v>
          </cell>
          <cell r="J244" t="str">
            <v>IGNORED</v>
          </cell>
          <cell r="K244" t="str">
            <v>IGNORED</v>
          </cell>
          <cell r="L244" t="e">
            <v>#DIV/0!</v>
          </cell>
          <cell r="M244" t="e">
            <v>#DIV/0!</v>
          </cell>
          <cell r="N244" t="e">
            <v>#DIV/0!</v>
          </cell>
          <cell r="O244" t="e">
            <v>#DIV/0!</v>
          </cell>
          <cell r="P244" t="e">
            <v>#DIV/0!</v>
          </cell>
          <cell r="Q244" t="str">
            <v>IGNORED</v>
          </cell>
          <cell r="R244" t="str">
            <v>IGNORED</v>
          </cell>
          <cell r="S244" t="str">
            <v>IGNORED</v>
          </cell>
          <cell r="T244" t="str">
            <v>IGNORED</v>
          </cell>
          <cell r="U244" t="str">
            <v>IGNORED</v>
          </cell>
          <cell r="V244" t="str">
            <v>IGNORED</v>
          </cell>
          <cell r="W244" t="str">
            <v>IGNORED</v>
          </cell>
          <cell r="X244" t="str">
            <v>IGNORED</v>
          </cell>
          <cell r="Y244" t="str">
            <v>IGNORED</v>
          </cell>
          <cell r="Z244" t="str">
            <v>IGNORED</v>
          </cell>
          <cell r="AA244" t="str">
            <v>IGNORED</v>
          </cell>
          <cell r="AB244" t="str">
            <v>IGNORED</v>
          </cell>
          <cell r="AC244" t="str">
            <v>IGNORED</v>
          </cell>
          <cell r="AD244" t="str">
            <v>IGNORED</v>
          </cell>
          <cell r="AE244" t="str">
            <v>IGNORED</v>
          </cell>
          <cell r="AF244" t="str">
            <v>IGNORED</v>
          </cell>
          <cell r="AG244" t="str">
            <v>IGNORED</v>
          </cell>
          <cell r="AH244" t="str">
            <v>IGNORED</v>
          </cell>
          <cell r="AI244" t="str">
            <v>IGNORED</v>
          </cell>
          <cell r="AJ244" t="str">
            <v>IGNORED</v>
          </cell>
          <cell r="AK244" t="str">
            <v>IGNORED</v>
          </cell>
          <cell r="AL244" t="str">
            <v>IGNORED</v>
          </cell>
          <cell r="AM244" t="str">
            <v>IGNORED</v>
          </cell>
          <cell r="AN244" t="str">
            <v>IGNORED</v>
          </cell>
          <cell r="AO244" t="str">
            <v>IGNORED</v>
          </cell>
          <cell r="AP244" t="str">
            <v>IGNORED</v>
          </cell>
          <cell r="AQ244" t="str">
            <v>IGNORED</v>
          </cell>
          <cell r="AR244" t="str">
            <v>IGNORED</v>
          </cell>
        </row>
        <row r="245">
          <cell r="B245" t="str">
            <v>EPS (post-exceptionals, diluted)</v>
          </cell>
          <cell r="C245" t="str">
            <v>FULLY_DIL_EPS</v>
          </cell>
          <cell r="D245" t="str">
            <v>CNY</v>
          </cell>
          <cell r="F245" t="str">
            <v>IGNORED</v>
          </cell>
          <cell r="G245" t="str">
            <v>IGNORED</v>
          </cell>
          <cell r="H245" t="str">
            <v>IGNORED</v>
          </cell>
          <cell r="I245" t="str">
            <v>IGNORED</v>
          </cell>
          <cell r="J245" t="str">
            <v>IGNORED</v>
          </cell>
          <cell r="K245" t="str">
            <v>IGNORED</v>
          </cell>
          <cell r="L245" t="e">
            <v>#DIV/0!</v>
          </cell>
          <cell r="M245" t="e">
            <v>#DIV/0!</v>
          </cell>
          <cell r="N245" t="e">
            <v>#DIV/0!</v>
          </cell>
          <cell r="O245" t="e">
            <v>#DIV/0!</v>
          </cell>
          <cell r="P245" t="e">
            <v>#DIV/0!</v>
          </cell>
          <cell r="Q245" t="str">
            <v>IGNORED</v>
          </cell>
          <cell r="R245" t="str">
            <v>IGNORED</v>
          </cell>
          <cell r="S245" t="str">
            <v>IGNORED</v>
          </cell>
          <cell r="T245" t="str">
            <v>IGNORED</v>
          </cell>
          <cell r="U245" t="str">
            <v>IGNORED</v>
          </cell>
          <cell r="V245" t="str">
            <v>IGNORED</v>
          </cell>
          <cell r="W245" t="str">
            <v>IGNORED</v>
          </cell>
          <cell r="X245" t="str">
            <v>IGNORED</v>
          </cell>
          <cell r="Y245" t="str">
            <v>IGNORED</v>
          </cell>
          <cell r="Z245" t="str">
            <v>IGNORED</v>
          </cell>
          <cell r="AA245" t="str">
            <v>IGNORED</v>
          </cell>
          <cell r="AB245" t="str">
            <v>IGNORED</v>
          </cell>
          <cell r="AC245" t="str">
            <v>IGNORED</v>
          </cell>
          <cell r="AD245" t="str">
            <v>IGNORED</v>
          </cell>
          <cell r="AE245" t="str">
            <v>IGNORED</v>
          </cell>
          <cell r="AF245" t="str">
            <v>IGNORED</v>
          </cell>
          <cell r="AG245" t="str">
            <v>IGNORED</v>
          </cell>
          <cell r="AH245" t="str">
            <v>IGNORED</v>
          </cell>
          <cell r="AI245" t="str">
            <v>IGNORED</v>
          </cell>
          <cell r="AJ245" t="str">
            <v>IGNORED</v>
          </cell>
          <cell r="AK245" t="str">
            <v>IGNORED</v>
          </cell>
          <cell r="AL245" t="str">
            <v>IGNORED</v>
          </cell>
          <cell r="AM245" t="str">
            <v>IGNORED</v>
          </cell>
          <cell r="AN245" t="str">
            <v>IGNORED</v>
          </cell>
          <cell r="AO245" t="str">
            <v>IGNORED</v>
          </cell>
          <cell r="AP245" t="str">
            <v>IGNORED</v>
          </cell>
          <cell r="AQ245" t="str">
            <v>IGNORED</v>
          </cell>
          <cell r="AR245" t="str">
            <v>IGNORED</v>
          </cell>
        </row>
        <row r="246">
          <cell r="B246" t="str">
            <v>Common dividends paid</v>
          </cell>
          <cell r="C246" t="str">
            <v>COMMON_DIV_PAID</v>
          </cell>
          <cell r="D246" t="str">
            <v>CNY</v>
          </cell>
          <cell r="F246" t="str">
            <v>IGNORED</v>
          </cell>
          <cell r="G246" t="str">
            <v>IGNORED</v>
          </cell>
          <cell r="H246" t="str">
            <v>IGNORED</v>
          </cell>
          <cell r="I246" t="str">
            <v>IGNORED</v>
          </cell>
          <cell r="J246" t="str">
            <v>IGNORED</v>
          </cell>
          <cell r="K246" t="str">
            <v>IGNORED</v>
          </cell>
          <cell r="L246" t="str">
            <v>IGNORED</v>
          </cell>
          <cell r="M246" t="str">
            <v>IGNORED</v>
          </cell>
          <cell r="N246" t="str">
            <v>IGNORED</v>
          </cell>
          <cell r="O246" t="str">
            <v>IGNORED</v>
          </cell>
          <cell r="P246" t="str">
            <v>IGNORED</v>
          </cell>
          <cell r="Q246" t="str">
            <v>IGNORED</v>
          </cell>
          <cell r="R246" t="str">
            <v>IGNORED</v>
          </cell>
          <cell r="S246" t="str">
            <v>IGNORED</v>
          </cell>
          <cell r="T246" t="str">
            <v>IGNORED</v>
          </cell>
          <cell r="U246" t="str">
            <v>IGNORED</v>
          </cell>
          <cell r="V246" t="str">
            <v>IGNORED</v>
          </cell>
          <cell r="W246" t="str">
            <v>IGNORED</v>
          </cell>
          <cell r="X246" t="str">
            <v>IGNORED</v>
          </cell>
          <cell r="Y246" t="str">
            <v>IGNORED</v>
          </cell>
          <cell r="Z246" t="str">
            <v>IGNORED</v>
          </cell>
          <cell r="AA246" t="str">
            <v>IGNORED</v>
          </cell>
          <cell r="AB246" t="str">
            <v>IGNORED</v>
          </cell>
          <cell r="AC246" t="str">
            <v>IGNORED</v>
          </cell>
          <cell r="AD246" t="str">
            <v>IGNORED</v>
          </cell>
          <cell r="AE246" t="str">
            <v>IGNORED</v>
          </cell>
          <cell r="AF246" t="str">
            <v>IGNORED</v>
          </cell>
          <cell r="AG246" t="str">
            <v>IGNORED</v>
          </cell>
          <cell r="AH246" t="str">
            <v>IGNORED</v>
          </cell>
          <cell r="AI246" t="str">
            <v>IGNORED</v>
          </cell>
          <cell r="AJ246" t="str">
            <v>IGNORED</v>
          </cell>
          <cell r="AK246" t="str">
            <v>IGNORED</v>
          </cell>
          <cell r="AL246" t="str">
            <v>IGNORED</v>
          </cell>
          <cell r="AM246" t="str">
            <v>IGNORED</v>
          </cell>
          <cell r="AN246" t="str">
            <v>IGNORED</v>
          </cell>
          <cell r="AO246" t="str">
            <v>IGNORED</v>
          </cell>
          <cell r="AP246" t="str">
            <v>IGNORED</v>
          </cell>
          <cell r="AQ246" t="str">
            <v>IGNORED</v>
          </cell>
          <cell r="AR246" t="str">
            <v>IGNORED</v>
          </cell>
        </row>
        <row r="247">
          <cell r="B247" t="str">
            <v>DPS, dividend per share</v>
          </cell>
          <cell r="C247" t="str">
            <v>DPS</v>
          </cell>
          <cell r="D247" t="str">
            <v>CNY</v>
          </cell>
          <cell r="F247" t="str">
            <v>IGNORED</v>
          </cell>
          <cell r="G247" t="str">
            <v>IGNORED</v>
          </cell>
          <cell r="H247" t="str">
            <v>IGNORED</v>
          </cell>
          <cell r="I247" t="str">
            <v>IGNORED</v>
          </cell>
          <cell r="J247" t="str">
            <v>IGNORED</v>
          </cell>
          <cell r="K247" t="str">
            <v>IGNORED</v>
          </cell>
          <cell r="L247" t="e">
            <v>#DIV/0!</v>
          </cell>
          <cell r="M247" t="e">
            <v>#DIV/0!</v>
          </cell>
          <cell r="N247" t="e">
            <v>#DIV/0!</v>
          </cell>
          <cell r="O247" t="e">
            <v>#DIV/0!</v>
          </cell>
          <cell r="P247" t="e">
            <v>#DIV/0!</v>
          </cell>
          <cell r="Q247" t="str">
            <v>IGNORED</v>
          </cell>
          <cell r="R247" t="str">
            <v>IGNORED</v>
          </cell>
          <cell r="S247" t="str">
            <v>IGNORED</v>
          </cell>
          <cell r="T247" t="str">
            <v>IGNORED</v>
          </cell>
          <cell r="U247" t="str">
            <v>IGNORED</v>
          </cell>
          <cell r="V247" t="str">
            <v>IGNORED</v>
          </cell>
          <cell r="W247" t="str">
            <v>IGNORED</v>
          </cell>
          <cell r="X247" t="str">
            <v>IGNORED</v>
          </cell>
          <cell r="Y247" t="str">
            <v>IGNORED</v>
          </cell>
          <cell r="Z247" t="str">
            <v>IGNORED</v>
          </cell>
          <cell r="AA247" t="str">
            <v>IGNORED</v>
          </cell>
          <cell r="AB247" t="str">
            <v>IGNORED</v>
          </cell>
          <cell r="AC247" t="str">
            <v>IGNORED</v>
          </cell>
          <cell r="AD247" t="str">
            <v>IGNORED</v>
          </cell>
          <cell r="AE247" t="str">
            <v>IGNORED</v>
          </cell>
          <cell r="AF247" t="str">
            <v>IGNORED</v>
          </cell>
          <cell r="AG247" t="str">
            <v>IGNORED</v>
          </cell>
          <cell r="AH247" t="str">
            <v>IGNORED</v>
          </cell>
          <cell r="AI247" t="str">
            <v>IGNORED</v>
          </cell>
          <cell r="AJ247" t="str">
            <v>IGNORED</v>
          </cell>
          <cell r="AK247" t="str">
            <v>IGNORED</v>
          </cell>
          <cell r="AL247" t="str">
            <v>IGNORED</v>
          </cell>
          <cell r="AM247" t="str">
            <v>IGNORED</v>
          </cell>
          <cell r="AN247" t="str">
            <v>IGNORED</v>
          </cell>
          <cell r="AO247" t="str">
            <v>IGNORED</v>
          </cell>
          <cell r="AP247" t="str">
            <v>IGNORED</v>
          </cell>
          <cell r="AQ247" t="str">
            <v>IGNORED</v>
          </cell>
          <cell r="AR247" t="str">
            <v>IGNORED</v>
          </cell>
        </row>
        <row r="248">
          <cell r="B248" t="str">
            <v>Weighted average shares outstanding, basic</v>
          </cell>
          <cell r="C248" t="str">
            <v>SH</v>
          </cell>
          <cell r="F248" t="str">
            <v>IGNORED</v>
          </cell>
          <cell r="G248" t="str">
            <v>IGNORED</v>
          </cell>
          <cell r="H248" t="str">
            <v>IGNORED</v>
          </cell>
          <cell r="I248" t="str">
            <v>IGNORED</v>
          </cell>
          <cell r="J248" t="str">
            <v>IGNORED</v>
          </cell>
          <cell r="K248" t="str">
            <v>IGNORED</v>
          </cell>
          <cell r="L248" t="str">
            <v>IGNORED</v>
          </cell>
          <cell r="M248" t="str">
            <v>IGNORED</v>
          </cell>
          <cell r="N248" t="str">
            <v>IGNORED</v>
          </cell>
          <cell r="O248" t="str">
            <v>IGNORED</v>
          </cell>
          <cell r="P248" t="str">
            <v>IGNORED</v>
          </cell>
          <cell r="Q248" t="str">
            <v>IGNORED</v>
          </cell>
          <cell r="R248" t="str">
            <v>IGNORED</v>
          </cell>
          <cell r="S248" t="str">
            <v>IGNORED</v>
          </cell>
          <cell r="T248" t="str">
            <v>IGNORED</v>
          </cell>
          <cell r="U248" t="str">
            <v>IGNORED</v>
          </cell>
          <cell r="V248" t="str">
            <v>IGNORED</v>
          </cell>
          <cell r="W248" t="str">
            <v>IGNORED</v>
          </cell>
          <cell r="X248" t="str">
            <v>IGNORED</v>
          </cell>
          <cell r="Y248" t="str">
            <v>IGNORED</v>
          </cell>
          <cell r="Z248" t="str">
            <v>IGNORED</v>
          </cell>
          <cell r="AA248" t="str">
            <v>IGNORED</v>
          </cell>
          <cell r="AB248" t="str">
            <v>IGNORED</v>
          </cell>
          <cell r="AC248" t="str">
            <v>IGNORED</v>
          </cell>
          <cell r="AD248" t="str">
            <v>IGNORED</v>
          </cell>
          <cell r="AE248" t="str">
            <v>IGNORED</v>
          </cell>
          <cell r="AF248" t="str">
            <v>IGNORED</v>
          </cell>
          <cell r="AG248" t="str">
            <v>IGNORED</v>
          </cell>
          <cell r="AH248" t="str">
            <v>IGNORED</v>
          </cell>
          <cell r="AI248" t="str">
            <v>IGNORED</v>
          </cell>
          <cell r="AJ248" t="str">
            <v>IGNORED</v>
          </cell>
          <cell r="AK248" t="str">
            <v>IGNORED</v>
          </cell>
          <cell r="AL248" t="str">
            <v>IGNORED</v>
          </cell>
          <cell r="AM248" t="str">
            <v>IGNORED</v>
          </cell>
          <cell r="AN248" t="str">
            <v>IGNORED</v>
          </cell>
          <cell r="AO248" t="str">
            <v>IGNORED</v>
          </cell>
          <cell r="AP248" t="str">
            <v>IGNORED</v>
          </cell>
          <cell r="AQ248" t="str">
            <v>IGNORED</v>
          </cell>
          <cell r="AR248" t="str">
            <v>IGNORED</v>
          </cell>
        </row>
        <row r="249">
          <cell r="B249" t="str">
            <v>Diluted average shares outstanding (mn)</v>
          </cell>
          <cell r="C249" t="str">
            <v>DILUTE_SHARES</v>
          </cell>
          <cell r="F249" t="str">
            <v>IGNORED</v>
          </cell>
          <cell r="G249" t="str">
            <v>IGNORED</v>
          </cell>
          <cell r="H249" t="str">
            <v>IGNORED</v>
          </cell>
          <cell r="I249" t="str">
            <v>IGNORED</v>
          </cell>
          <cell r="J249" t="str">
            <v>IGNORED</v>
          </cell>
          <cell r="K249" t="str">
            <v>IGNORED</v>
          </cell>
          <cell r="L249" t="str">
            <v>IGNORED</v>
          </cell>
          <cell r="M249" t="str">
            <v>IGNORED</v>
          </cell>
          <cell r="N249" t="str">
            <v>IGNORED</v>
          </cell>
          <cell r="O249" t="str">
            <v>IGNORED</v>
          </cell>
          <cell r="P249" t="str">
            <v>IGNORED</v>
          </cell>
          <cell r="Q249" t="str">
            <v>IGNORED</v>
          </cell>
          <cell r="R249" t="str">
            <v>IGNORED</v>
          </cell>
          <cell r="S249" t="str">
            <v>IGNORED</v>
          </cell>
          <cell r="T249" t="str">
            <v>IGNORED</v>
          </cell>
          <cell r="U249" t="str">
            <v>IGNORED</v>
          </cell>
          <cell r="V249" t="str">
            <v>IGNORED</v>
          </cell>
          <cell r="W249" t="str">
            <v>IGNORED</v>
          </cell>
          <cell r="X249" t="str">
            <v>IGNORED</v>
          </cell>
          <cell r="Y249" t="str">
            <v>IGNORED</v>
          </cell>
          <cell r="Z249" t="str">
            <v>IGNORED</v>
          </cell>
          <cell r="AA249" t="str">
            <v>IGNORED</v>
          </cell>
          <cell r="AB249" t="str">
            <v>IGNORED</v>
          </cell>
          <cell r="AC249" t="str">
            <v>IGNORED</v>
          </cell>
          <cell r="AD249" t="str">
            <v>IGNORED</v>
          </cell>
          <cell r="AE249" t="str">
            <v>IGNORED</v>
          </cell>
          <cell r="AF249" t="str">
            <v>IGNORED</v>
          </cell>
          <cell r="AG249" t="str">
            <v>IGNORED</v>
          </cell>
          <cell r="AH249" t="str">
            <v>IGNORED</v>
          </cell>
          <cell r="AI249" t="str">
            <v>IGNORED</v>
          </cell>
          <cell r="AJ249" t="str">
            <v>IGNORED</v>
          </cell>
          <cell r="AK249" t="str">
            <v>IGNORED</v>
          </cell>
          <cell r="AL249" t="str">
            <v>IGNORED</v>
          </cell>
          <cell r="AM249" t="str">
            <v>IGNORED</v>
          </cell>
          <cell r="AN249" t="str">
            <v>IGNORED</v>
          </cell>
          <cell r="AO249" t="str">
            <v>IGNORED</v>
          </cell>
          <cell r="AP249" t="str">
            <v>IGNORED</v>
          </cell>
          <cell r="AQ249" t="str">
            <v>IGNORED</v>
          </cell>
          <cell r="AR249" t="str">
            <v>IGNORED</v>
          </cell>
        </row>
        <row r="250">
          <cell r="B250" t="str">
            <v>Period-end shares outstanding</v>
          </cell>
          <cell r="C250" t="str">
            <v>NON_OP_ADD</v>
          </cell>
          <cell r="F250" t="str">
            <v>IGNORED</v>
          </cell>
          <cell r="G250" t="str">
            <v>IGNORED</v>
          </cell>
          <cell r="H250" t="str">
            <v>IGNORED</v>
          </cell>
          <cell r="I250" t="str">
            <v>IGNORED</v>
          </cell>
          <cell r="J250" t="str">
            <v>IGNORED</v>
          </cell>
          <cell r="K250" t="str">
            <v>IGNORED</v>
          </cell>
          <cell r="L250" t="str">
            <v>IGNORED</v>
          </cell>
          <cell r="M250" t="str">
            <v>IGNORED</v>
          </cell>
          <cell r="N250" t="str">
            <v>IGNORED</v>
          </cell>
          <cell r="O250" t="str">
            <v>IGNORED</v>
          </cell>
          <cell r="P250" t="str">
            <v>IGNORED</v>
          </cell>
          <cell r="Q250" t="str">
            <v>IGNORED</v>
          </cell>
          <cell r="R250" t="str">
            <v>IGNORED</v>
          </cell>
          <cell r="S250" t="str">
            <v>IGNORED</v>
          </cell>
          <cell r="T250" t="str">
            <v>IGNORED</v>
          </cell>
          <cell r="U250" t="str">
            <v>IGNORED</v>
          </cell>
          <cell r="V250" t="str">
            <v>IGNORED</v>
          </cell>
          <cell r="W250" t="str">
            <v>IGNORED</v>
          </cell>
          <cell r="X250" t="str">
            <v>IGNORED</v>
          </cell>
          <cell r="Y250" t="str">
            <v>IGNORED</v>
          </cell>
          <cell r="Z250" t="str">
            <v>IGNORED</v>
          </cell>
          <cell r="AA250" t="str">
            <v>IGNORED</v>
          </cell>
          <cell r="AB250" t="str">
            <v>IGNORED</v>
          </cell>
          <cell r="AC250" t="str">
            <v>IGNORED</v>
          </cell>
          <cell r="AD250" t="str">
            <v>IGNORED</v>
          </cell>
          <cell r="AE250" t="str">
            <v>IGNORED</v>
          </cell>
          <cell r="AF250" t="str">
            <v>IGNORED</v>
          </cell>
          <cell r="AG250" t="str">
            <v>IGNORED</v>
          </cell>
          <cell r="AH250" t="str">
            <v>IGNORED</v>
          </cell>
          <cell r="AI250" t="str">
            <v>IGNORED</v>
          </cell>
          <cell r="AJ250" t="str">
            <v>IGNORED</v>
          </cell>
          <cell r="AK250" t="str">
            <v>IGNORED</v>
          </cell>
          <cell r="AL250" t="str">
            <v>IGNORED</v>
          </cell>
          <cell r="AM250" t="str">
            <v>IGNORED</v>
          </cell>
          <cell r="AN250" t="str">
            <v>IGNORED</v>
          </cell>
          <cell r="AO250" t="str">
            <v>IGNORED</v>
          </cell>
          <cell r="AP250" t="str">
            <v>IGNORED</v>
          </cell>
          <cell r="AQ250" t="str">
            <v>IGNORED</v>
          </cell>
          <cell r="AR250" t="str">
            <v>IGNORED</v>
          </cell>
        </row>
        <row r="251">
          <cell r="A251" t="str">
            <v>Additional Income Statement Items</v>
          </cell>
        </row>
        <row r="252">
          <cell r="B252" t="str">
            <v>Marginal tax rate</v>
          </cell>
          <cell r="C252" t="str">
            <v>MARGIN_TAX_RATE</v>
          </cell>
          <cell r="F252" t="str">
            <v>IGNORED</v>
          </cell>
          <cell r="G252" t="str">
            <v>IGNORED</v>
          </cell>
          <cell r="H252" t="str">
            <v>IGNORED</v>
          </cell>
          <cell r="I252" t="str">
            <v>IGNORED</v>
          </cell>
          <cell r="J252" t="str">
            <v>IGNORED</v>
          </cell>
          <cell r="K252" t="str">
            <v>IGNORED</v>
          </cell>
          <cell r="L252" t="str">
            <v>IGNORED</v>
          </cell>
          <cell r="M252" t="e">
            <v>#DIV/0!</v>
          </cell>
          <cell r="N252" t="e">
            <v>#DIV/0!</v>
          </cell>
          <cell r="O252" t="e">
            <v>#DIV/0!</v>
          </cell>
          <cell r="P252" t="e">
            <v>#DIV/0!</v>
          </cell>
          <cell r="Q252" t="str">
            <v>IGNORED</v>
          </cell>
          <cell r="R252" t="str">
            <v>IGNORED</v>
          </cell>
          <cell r="S252" t="str">
            <v>IGNORED</v>
          </cell>
          <cell r="T252" t="str">
            <v>IGNORED</v>
          </cell>
          <cell r="U252" t="str">
            <v>IGNORED</v>
          </cell>
          <cell r="V252" t="str">
            <v>IGNORED</v>
          </cell>
          <cell r="W252" t="str">
            <v>IGNORED</v>
          </cell>
          <cell r="X252" t="str">
            <v>IGNORED</v>
          </cell>
          <cell r="Y252" t="str">
            <v>IGNORED</v>
          </cell>
          <cell r="Z252" t="str">
            <v>IGNORED</v>
          </cell>
          <cell r="AA252" t="str">
            <v>IGNORED</v>
          </cell>
          <cell r="AB252" t="str">
            <v>IGNORED</v>
          </cell>
          <cell r="AC252" t="str">
            <v>IGNORED</v>
          </cell>
          <cell r="AD252" t="str">
            <v>IGNORED</v>
          </cell>
          <cell r="AE252" t="str">
            <v>IGNORED</v>
          </cell>
          <cell r="AF252" t="str">
            <v>IGNORED</v>
          </cell>
          <cell r="AG252" t="str">
            <v>IGNORED</v>
          </cell>
          <cell r="AH252" t="str">
            <v>IGNORED</v>
          </cell>
          <cell r="AI252" t="str">
            <v>IGNORED</v>
          </cell>
          <cell r="AJ252" t="str">
            <v>IGNORED</v>
          </cell>
          <cell r="AK252" t="str">
            <v>IGNORED</v>
          </cell>
          <cell r="AL252" t="str">
            <v>IGNORED</v>
          </cell>
          <cell r="AM252" t="str">
            <v>IGNORED</v>
          </cell>
          <cell r="AN252" t="str">
            <v>IGNORED</v>
          </cell>
          <cell r="AO252" t="str">
            <v>IGNORED</v>
          </cell>
          <cell r="AP252" t="str">
            <v>IGNORED</v>
          </cell>
          <cell r="AQ252" t="str">
            <v>IGNORED</v>
          </cell>
          <cell r="AR252" t="str">
            <v>IGNORED</v>
          </cell>
        </row>
        <row r="253">
          <cell r="B253" t="str">
            <v>Net income (consensus) (Pub)</v>
          </cell>
          <cell r="C253" t="str">
            <v>NI_CONS</v>
          </cell>
          <cell r="D253" t="str">
            <v>CNY</v>
          </cell>
          <cell r="F253" t="str">
            <v>IGNORED</v>
          </cell>
          <cell r="G253" t="str">
            <v>IGNORED</v>
          </cell>
          <cell r="H253" t="str">
            <v>IGNORED</v>
          </cell>
          <cell r="I253" t="str">
            <v>IGNORED</v>
          </cell>
          <cell r="J253" t="str">
            <v>IGNORED</v>
          </cell>
          <cell r="K253" t="str">
            <v>IGNORED</v>
          </cell>
          <cell r="L253" t="str">
            <v>IGNORED</v>
          </cell>
          <cell r="M253" t="str">
            <v>IGNORED</v>
          </cell>
          <cell r="N253" t="str">
            <v>IGNORED</v>
          </cell>
          <cell r="O253" t="str">
            <v>IGNORED</v>
          </cell>
          <cell r="P253" t="str">
            <v>IGNORED</v>
          </cell>
          <cell r="Q253" t="str">
            <v>IGNORED</v>
          </cell>
          <cell r="R253" t="str">
            <v>IGNORED</v>
          </cell>
          <cell r="S253" t="str">
            <v>IGNORED</v>
          </cell>
          <cell r="T253" t="str">
            <v>IGNORED</v>
          </cell>
          <cell r="U253" t="str">
            <v>IGNORED</v>
          </cell>
          <cell r="V253" t="str">
            <v>IGNORED</v>
          </cell>
          <cell r="W253" t="str">
            <v>IGNORED</v>
          </cell>
          <cell r="X253" t="str">
            <v>IGNORED</v>
          </cell>
          <cell r="Y253" t="str">
            <v>IGNORED</v>
          </cell>
          <cell r="Z253" t="str">
            <v>IGNORED</v>
          </cell>
          <cell r="AA253" t="str">
            <v>IGNORED</v>
          </cell>
          <cell r="AB253" t="str">
            <v>IGNORED</v>
          </cell>
          <cell r="AC253" t="str">
            <v>IGNORED</v>
          </cell>
          <cell r="AD253" t="str">
            <v>IGNORED</v>
          </cell>
          <cell r="AE253" t="str">
            <v>IGNORED</v>
          </cell>
          <cell r="AF253" t="str">
            <v>IGNORED</v>
          </cell>
          <cell r="AG253" t="str">
            <v>IGNORED</v>
          </cell>
          <cell r="AH253" t="str">
            <v>IGNORED</v>
          </cell>
          <cell r="AI253" t="str">
            <v>IGNORED</v>
          </cell>
          <cell r="AJ253" t="str">
            <v>IGNORED</v>
          </cell>
          <cell r="AK253" t="str">
            <v>IGNORED</v>
          </cell>
          <cell r="AL253" t="str">
            <v>IGNORED</v>
          </cell>
          <cell r="AM253" t="str">
            <v>IGNORED</v>
          </cell>
          <cell r="AN253" t="str">
            <v>IGNORED</v>
          </cell>
          <cell r="AO253" t="str">
            <v>IGNORED</v>
          </cell>
          <cell r="AP253" t="str">
            <v>IGNORED</v>
          </cell>
          <cell r="AQ253" t="str">
            <v>IGNORED</v>
          </cell>
          <cell r="AR253" t="str">
            <v>IGNORED</v>
          </cell>
        </row>
        <row r="254">
          <cell r="A254" t="str">
            <v>Balance Sheet</v>
          </cell>
        </row>
        <row r="255">
          <cell r="B255" t="str">
            <v>BVPS, book value per share</v>
          </cell>
          <cell r="C255" t="str">
            <v>BVPS</v>
          </cell>
          <cell r="D255" t="str">
            <v>CNY</v>
          </cell>
          <cell r="F255" t="str">
            <v>IGNORED</v>
          </cell>
          <cell r="G255" t="str">
            <v>IGNORED</v>
          </cell>
          <cell r="H255" t="str">
            <v>IGNORED</v>
          </cell>
          <cell r="I255" t="str">
            <v>IGNORED</v>
          </cell>
          <cell r="J255" t="str">
            <v>IGNORED</v>
          </cell>
          <cell r="K255" t="str">
            <v>IGNORED</v>
          </cell>
          <cell r="L255" t="e">
            <v>#DIV/0!</v>
          </cell>
          <cell r="M255" t="e">
            <v>#DIV/0!</v>
          </cell>
          <cell r="N255" t="e">
            <v>#DIV/0!</v>
          </cell>
          <cell r="O255" t="e">
            <v>#DIV/0!</v>
          </cell>
          <cell r="P255" t="e">
            <v>#DIV/0!</v>
          </cell>
          <cell r="Q255" t="str">
            <v>IGNORED</v>
          </cell>
          <cell r="R255" t="str">
            <v>IGNORED</v>
          </cell>
          <cell r="S255" t="str">
            <v>IGNORED</v>
          </cell>
          <cell r="T255" t="str">
            <v>IGNORED</v>
          </cell>
          <cell r="U255" t="str">
            <v>IGNORED</v>
          </cell>
          <cell r="V255" t="str">
            <v>IGNORED</v>
          </cell>
          <cell r="W255" t="str">
            <v>IGNORED</v>
          </cell>
          <cell r="X255" t="str">
            <v>IGNORED</v>
          </cell>
          <cell r="Y255" t="str">
            <v>IGNORED</v>
          </cell>
          <cell r="Z255" t="str">
            <v>IGNORED</v>
          </cell>
          <cell r="AA255" t="str">
            <v>IGNORED</v>
          </cell>
          <cell r="AB255" t="str">
            <v>IGNORED</v>
          </cell>
          <cell r="AC255" t="str">
            <v>IGNORED</v>
          </cell>
          <cell r="AD255" t="str">
            <v>IGNORED</v>
          </cell>
          <cell r="AE255" t="str">
            <v>IGNORED</v>
          </cell>
          <cell r="AF255" t="str">
            <v>IGNORED</v>
          </cell>
          <cell r="AG255" t="str">
            <v>IGNORED</v>
          </cell>
          <cell r="AH255" t="str">
            <v>IGNORED</v>
          </cell>
          <cell r="AI255" t="str">
            <v>IGNORED</v>
          </cell>
          <cell r="AJ255" t="str">
            <v>IGNORED</v>
          </cell>
          <cell r="AK255" t="str">
            <v>IGNORED</v>
          </cell>
          <cell r="AL255" t="str">
            <v>IGNORED</v>
          </cell>
          <cell r="AM255" t="str">
            <v>IGNORED</v>
          </cell>
          <cell r="AN255" t="str">
            <v>IGNORED</v>
          </cell>
          <cell r="AO255" t="str">
            <v>IGNORED</v>
          </cell>
          <cell r="AP255" t="str">
            <v>IGNORED</v>
          </cell>
          <cell r="AQ255" t="str">
            <v>IGNORED</v>
          </cell>
          <cell r="AR255" t="str">
            <v>IGNORED</v>
          </cell>
        </row>
        <row r="256">
          <cell r="A256" t="str">
            <v>Cash Flow Statement</v>
          </cell>
        </row>
        <row r="257">
          <cell r="B257" t="str">
            <v>Net income (pre-preferred dividends)</v>
          </cell>
          <cell r="C257" t="str">
            <v>CF_NI_PRE_PREF</v>
          </cell>
          <cell r="D257" t="str">
            <v>CNY</v>
          </cell>
          <cell r="F257" t="str">
            <v>IGNORED</v>
          </cell>
          <cell r="G257" t="str">
            <v>IGNORED</v>
          </cell>
          <cell r="H257" t="str">
            <v>IGNORED</v>
          </cell>
          <cell r="I257" t="str">
            <v>IGNORED</v>
          </cell>
          <cell r="J257" t="str">
            <v>IGNORED</v>
          </cell>
          <cell r="K257" t="str">
            <v>IGNORED</v>
          </cell>
          <cell r="L257" t="str">
            <v>IGNORED</v>
          </cell>
          <cell r="M257" t="str">
            <v>IGNORED</v>
          </cell>
          <cell r="N257" t="str">
            <v>IGNORED</v>
          </cell>
          <cell r="O257" t="str">
            <v>IGNORED</v>
          </cell>
          <cell r="P257" t="str">
            <v>IGNORED</v>
          </cell>
          <cell r="Q257" t="str">
            <v>IGNORED</v>
          </cell>
          <cell r="R257" t="str">
            <v>IGNORED</v>
          </cell>
          <cell r="S257" t="str">
            <v>IGNORED</v>
          </cell>
          <cell r="T257" t="str">
            <v>IGNORED</v>
          </cell>
          <cell r="U257" t="str">
            <v>IGNORED</v>
          </cell>
          <cell r="V257" t="str">
            <v>IGNORED</v>
          </cell>
          <cell r="W257" t="str">
            <v>IGNORED</v>
          </cell>
          <cell r="X257" t="str">
            <v>IGNORED</v>
          </cell>
          <cell r="Y257" t="str">
            <v>IGNORED</v>
          </cell>
          <cell r="Z257" t="str">
            <v>IGNORED</v>
          </cell>
          <cell r="AA257" t="str">
            <v>IGNORED</v>
          </cell>
          <cell r="AB257" t="str">
            <v>IGNORED</v>
          </cell>
          <cell r="AC257" t="str">
            <v>IGNORED</v>
          </cell>
          <cell r="AD257" t="str">
            <v>IGNORED</v>
          </cell>
          <cell r="AE257" t="str">
            <v>IGNORED</v>
          </cell>
          <cell r="AF257" t="str">
            <v>IGNORED</v>
          </cell>
          <cell r="AG257" t="str">
            <v>IGNORED</v>
          </cell>
          <cell r="AH257" t="str">
            <v>IGNORED</v>
          </cell>
          <cell r="AI257" t="str">
            <v>IGNORED</v>
          </cell>
          <cell r="AJ257" t="str">
            <v>IGNORED</v>
          </cell>
          <cell r="AK257" t="str">
            <v>IGNORED</v>
          </cell>
          <cell r="AL257" t="str">
            <v>IGNORED</v>
          </cell>
          <cell r="AM257" t="str">
            <v>IGNORED</v>
          </cell>
          <cell r="AN257" t="str">
            <v>IGNORED</v>
          </cell>
          <cell r="AO257" t="str">
            <v>IGNORED</v>
          </cell>
          <cell r="AP257" t="str">
            <v>IGNORED</v>
          </cell>
          <cell r="AQ257" t="str">
            <v>IGNORED</v>
          </cell>
          <cell r="AR257" t="str">
            <v>IGNORED</v>
          </cell>
        </row>
        <row r="258">
          <cell r="A258" t="str">
            <v>Other Items</v>
          </cell>
        </row>
        <row r="259">
          <cell r="B259" t="str">
            <v>Beta</v>
          </cell>
          <cell r="C259" t="str">
            <v>BETA_ANALYST</v>
          </cell>
          <cell r="E259" t="str">
            <v>IGNORED</v>
          </cell>
        </row>
        <row r="260">
          <cell r="B260" t="str">
            <v>Market equity risk premium</v>
          </cell>
          <cell r="C260" t="str">
            <v>MKT_EQ_RISK_PREM</v>
          </cell>
          <cell r="E260" t="str">
            <v>IGNORED</v>
          </cell>
        </row>
        <row r="261">
          <cell r="B261" t="str">
            <v>Risk-free rate</v>
          </cell>
          <cell r="C261" t="str">
            <v>RISK_FR_RATE</v>
          </cell>
          <cell r="E261" t="str">
            <v>IGNORED</v>
          </cell>
        </row>
      </sheetData>
      <sheetData sheetId="17" refreshError="1"/>
      <sheetData sheetId="18" refreshError="1">
        <row r="1">
          <cell r="A1" t="str">
            <v>Issuer: Hunan Talkweb Information System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 t="str">
            <v>2010 Q1</v>
          </cell>
          <cell r="W1" t="str">
            <v>2010 Q2</v>
          </cell>
          <cell r="X1" t="str">
            <v>2010 Q3</v>
          </cell>
          <cell r="Y1" t="str">
            <v>2010 Q4</v>
          </cell>
          <cell r="Z1">
            <v>2010</v>
          </cell>
          <cell r="AA1" t="str">
            <v>2011 Q1</v>
          </cell>
          <cell r="AB1" t="str">
            <v>2011 Q2</v>
          </cell>
          <cell r="AC1" t="str">
            <v>2011 Q3</v>
          </cell>
          <cell r="AD1" t="str">
            <v>2011 Q4</v>
          </cell>
          <cell r="AE1">
            <v>2011</v>
          </cell>
          <cell r="AF1" t="str">
            <v>2012 Q1</v>
          </cell>
          <cell r="AG1" t="str">
            <v>2012 Q2</v>
          </cell>
          <cell r="AH1" t="str">
            <v>2012 Q3</v>
          </cell>
          <cell r="AI1" t="str">
            <v>2012 Q4</v>
          </cell>
          <cell r="AJ1">
            <v>2012</v>
          </cell>
          <cell r="AK1" t="str">
            <v>2013 Q1</v>
          </cell>
          <cell r="AL1" t="str">
            <v>2013 Q2</v>
          </cell>
          <cell r="AM1" t="str">
            <v>2013 Q3</v>
          </cell>
          <cell r="AN1" t="str">
            <v>2013 Q4</v>
          </cell>
          <cell r="AO1">
            <v>2013</v>
          </cell>
          <cell r="AP1">
            <v>2014</v>
          </cell>
          <cell r="AQ1">
            <v>2015</v>
          </cell>
          <cell r="AR1">
            <v>2016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Estimate</v>
          </cell>
          <cell r="AM2" t="str">
            <v>Estimate</v>
          </cell>
          <cell r="AN2" t="str">
            <v>Estimate</v>
          </cell>
          <cell r="AO2" t="str">
            <v>Estimate</v>
          </cell>
          <cell r="AP2" t="str">
            <v>Estimate</v>
          </cell>
          <cell r="AQ2" t="str">
            <v>Estimate</v>
          </cell>
          <cell r="AR2" t="str">
            <v>Estimate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42004</v>
          </cell>
          <cell r="AQ3">
            <v>42369</v>
          </cell>
          <cell r="AR3">
            <v>42735</v>
          </cell>
        </row>
        <row r="4">
          <cell r="A4" t="str">
            <v>Issuer: Hunan Talkweb Information System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6">
          <cell r="B6" t="str">
            <v>Issuer Name</v>
          </cell>
          <cell r="C6" t="str">
            <v>Issuer Name</v>
          </cell>
          <cell r="E6" t="str">
            <v>Hunan Talkweb Information System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136.89141137000001</v>
          </cell>
          <cell r="R9">
            <v>163.43650438999998</v>
          </cell>
          <cell r="S9">
            <v>233.46612116999998</v>
          </cell>
          <cell r="T9">
            <v>262.57942185000002</v>
          </cell>
          <cell r="U9">
            <v>308.68794537000002</v>
          </cell>
          <cell r="V9">
            <v>65.452351749999991</v>
          </cell>
          <cell r="W9">
            <v>80.172664510000004</v>
          </cell>
          <cell r="X9">
            <v>107.36273226000003</v>
          </cell>
          <cell r="Y9">
            <v>104.33093312</v>
          </cell>
          <cell r="Z9">
            <v>357.31868164000002</v>
          </cell>
          <cell r="AA9">
            <v>96.896129290000005</v>
          </cell>
          <cell r="AB9">
            <v>94.896739020000012</v>
          </cell>
          <cell r="AC9">
            <v>84.807257799999945</v>
          </cell>
          <cell r="AD9">
            <v>95.063452100000006</v>
          </cell>
          <cell r="AE9">
            <v>371.66357820999997</v>
          </cell>
          <cell r="AF9">
            <v>87.344064729999985</v>
          </cell>
          <cell r="AG9">
            <v>99.206435220000031</v>
          </cell>
          <cell r="AH9">
            <v>104.79711143999998</v>
          </cell>
          <cell r="AI9">
            <v>141.44885124999996</v>
          </cell>
          <cell r="AJ9">
            <v>432.79646263999996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531.77179000000012</v>
          </cell>
          <cell r="AP9">
            <v>646.67007620000004</v>
          </cell>
          <cell r="AQ9">
            <v>796.50181878599994</v>
          </cell>
          <cell r="AR9">
            <v>960.11186444418001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-75.809665510000002</v>
          </cell>
          <cell r="R11">
            <v>-65.489205909999995</v>
          </cell>
          <cell r="S11">
            <v>-98.801964569999996</v>
          </cell>
          <cell r="T11">
            <v>-114.43792789</v>
          </cell>
          <cell r="U11">
            <v>-134.93531833</v>
          </cell>
          <cell r="V11">
            <v>-25.052095140000002</v>
          </cell>
          <cell r="W11">
            <v>-32.956760450000004</v>
          </cell>
          <cell r="X11">
            <v>-39.314329759999985</v>
          </cell>
          <cell r="Y11">
            <v>-39.682411460000026</v>
          </cell>
          <cell r="Z11">
            <v>-137.00559681000001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-165.68192952000001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-212.10655856999998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-247.4426810374635</v>
          </cell>
          <cell r="AP11">
            <v>-296.91070720996294</v>
          </cell>
          <cell r="AQ11">
            <v>-369.30090216893927</v>
          </cell>
          <cell r="AR11">
            <v>-450.8572536188592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-25.773265190000004</v>
          </cell>
          <cell r="R12">
            <v>-36.360742189999996</v>
          </cell>
          <cell r="S12">
            <v>-54.462535869999996</v>
          </cell>
          <cell r="T12">
            <v>-73.405453859999994</v>
          </cell>
          <cell r="U12">
            <v>-97.05765301000001</v>
          </cell>
          <cell r="V12">
            <v>-21.621563039999998</v>
          </cell>
          <cell r="W12">
            <v>-23.048358350000004</v>
          </cell>
          <cell r="X12">
            <v>-26.680999760000006</v>
          </cell>
          <cell r="Y12">
            <v>-37.103120729999986</v>
          </cell>
          <cell r="Z12">
            <v>-108.45404188000001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-136.76762808999999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-199.76000204999997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-217.34101822685508</v>
          </cell>
          <cell r="AP12">
            <v>-247.92597820458133</v>
          </cell>
          <cell r="AQ12">
            <v>-295.64337363791202</v>
          </cell>
          <cell r="AR12">
            <v>-346.90205950660891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-101.58293070000001</v>
          </cell>
          <cell r="R13">
            <v>-101.84994809999999</v>
          </cell>
          <cell r="S13">
            <v>-153.26450044000001</v>
          </cell>
          <cell r="T13">
            <v>-187.84338174999999</v>
          </cell>
          <cell r="U13">
            <v>-231.99297134</v>
          </cell>
          <cell r="V13">
            <v>-46.673658180000004</v>
          </cell>
          <cell r="W13">
            <v>-56.005118800000005</v>
          </cell>
          <cell r="X13">
            <v>-65.995329519999984</v>
          </cell>
          <cell r="Y13">
            <v>-76.785532190000012</v>
          </cell>
          <cell r="Z13">
            <v>-245.45963869000002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-302.44955761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-411.86656061999997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-464.78369926431856</v>
          </cell>
          <cell r="AP13">
            <v>-544.83668541454426</v>
          </cell>
          <cell r="AQ13">
            <v>-664.94427580685124</v>
          </cell>
          <cell r="AR13">
            <v>-797.75931312546811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-101.58293070000001</v>
          </cell>
          <cell r="R16">
            <v>-101.84994809999999</v>
          </cell>
          <cell r="S16">
            <v>-153.26450044000001</v>
          </cell>
          <cell r="T16">
            <v>-187.84338174999999</v>
          </cell>
          <cell r="U16">
            <v>-231.99297134000003</v>
          </cell>
          <cell r="V16">
            <v>-46.673658180000004</v>
          </cell>
          <cell r="W16">
            <v>-65.365077750000012</v>
          </cell>
          <cell r="X16">
            <v>-65.995329519999984</v>
          </cell>
          <cell r="Y16">
            <v>-95.24998715000001</v>
          </cell>
          <cell r="Z16">
            <v>-245.45963868999999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-302.44955761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-411.86656062000003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-464.78369926431856</v>
          </cell>
          <cell r="AP16">
            <v>-544.83668541454438</v>
          </cell>
          <cell r="AQ16">
            <v>-664.94427580685112</v>
          </cell>
          <cell r="AR16">
            <v>-797.75931312546811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-99.787257750000009</v>
          </cell>
          <cell r="R17">
            <v>-98.551896969999987</v>
          </cell>
          <cell r="S17">
            <v>-143.69287696000001</v>
          </cell>
          <cell r="T17">
            <v>-172.97189720999998</v>
          </cell>
          <cell r="U17">
            <v>-213.73111441</v>
          </cell>
          <cell r="V17">
            <v>-46.673658180000004</v>
          </cell>
          <cell r="W17">
            <v>-56.005118800000005</v>
          </cell>
          <cell r="X17">
            <v>-65.995329519999984</v>
          </cell>
          <cell r="Y17">
            <v>-76.785532190000012</v>
          </cell>
          <cell r="Z17">
            <v>-226.99518373000001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-280.51361548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-387.89812859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-436.98243331987413</v>
          </cell>
          <cell r="AP17">
            <v>-514.37830111702772</v>
          </cell>
          <cell r="AQ17">
            <v>-632.59482981965027</v>
          </cell>
          <cell r="AR17">
            <v>-764.44211803582266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37.104153620000005</v>
          </cell>
          <cell r="R18">
            <v>64.884607419999995</v>
          </cell>
          <cell r="S18">
            <v>89.773244209999973</v>
          </cell>
          <cell r="T18">
            <v>89.607524640000037</v>
          </cell>
          <cell r="U18">
            <v>94.956830960000019</v>
          </cell>
          <cell r="V18">
            <v>18.778693569999987</v>
          </cell>
          <cell r="W18">
            <v>24.167545709999999</v>
          </cell>
          <cell r="X18">
            <v>41.367402740000045</v>
          </cell>
          <cell r="Y18">
            <v>27.545400929999985</v>
          </cell>
          <cell r="Z18">
            <v>130.32349791000001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91.14996272999997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44.89833404999996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94.789356680125991</v>
          </cell>
          <cell r="AP18">
            <v>132.29177508297232</v>
          </cell>
          <cell r="AQ18">
            <v>163.90698896634967</v>
          </cell>
          <cell r="AR18">
            <v>195.66974640835735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-1.7956729499999999</v>
          </cell>
          <cell r="R19">
            <v>-3.2920491800000002</v>
          </cell>
          <cell r="S19">
            <v>-8.5702110099999995</v>
          </cell>
          <cell r="T19">
            <v>-13.510112019999999</v>
          </cell>
          <cell r="U19">
            <v>-15.734854680000002</v>
          </cell>
          <cell r="V19">
            <v>0</v>
          </cell>
          <cell r="W19">
            <v>-7.5123539200000007</v>
          </cell>
          <cell r="X19">
            <v>0</v>
          </cell>
          <cell r="Y19">
            <v>-14.52878115</v>
          </cell>
          <cell r="Z19">
            <v>-14.52878115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-16.07929657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-16.344925119999999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-20.177759034444446</v>
          </cell>
          <cell r="AP19">
            <v>-23.255578065755557</v>
          </cell>
          <cell r="AQ19">
            <v>-25.544124207503639</v>
          </cell>
          <cell r="AR19">
            <v>-26.887422715510748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-6.0019500000000007E-3</v>
          </cell>
          <cell r="S20">
            <v>-1.00141247</v>
          </cell>
          <cell r="T20">
            <v>-1.36137252</v>
          </cell>
          <cell r="U20">
            <v>-2.5270022499999998</v>
          </cell>
          <cell r="V20">
            <v>0</v>
          </cell>
          <cell r="W20">
            <v>-1.84760503</v>
          </cell>
          <cell r="X20">
            <v>0</v>
          </cell>
          <cell r="Y20">
            <v>-3.9356738099999999</v>
          </cell>
          <cell r="Z20">
            <v>-3.9356738099999999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-5.8566455599999996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-7.6235069099999997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-7.6235069099999997</v>
          </cell>
          <cell r="AP20">
            <v>-7.2028062317610413</v>
          </cell>
          <cell r="AQ20">
            <v>-6.8053217796972776</v>
          </cell>
          <cell r="AR20">
            <v>-6.4297723741346609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35.308480670000009</v>
          </cell>
          <cell r="R21">
            <v>61.58655628999999</v>
          </cell>
          <cell r="S21">
            <v>80.201620729999973</v>
          </cell>
          <cell r="T21">
            <v>74.736040100000025</v>
          </cell>
          <cell r="U21">
            <v>76.694974029999997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111.85904295000003</v>
          </cell>
          <cell r="AA21">
            <v>22.143361800000008</v>
          </cell>
          <cell r="AB21">
            <v>20.947807430000019</v>
          </cell>
          <cell r="AC21">
            <v>6.5742891699999433</v>
          </cell>
          <cell r="AD21">
            <v>19.548562199999996</v>
          </cell>
          <cell r="AE21">
            <v>69.214020599999969</v>
          </cell>
          <cell r="AF21">
            <v>13.469085689999986</v>
          </cell>
          <cell r="AG21">
            <v>5.9427365000000361</v>
          </cell>
          <cell r="AH21">
            <v>7.0102553799999896</v>
          </cell>
          <cell r="AI21">
            <v>-5.4921755500000131</v>
          </cell>
          <cell r="AJ21">
            <v>20.929902019999929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66.988090735681567</v>
          </cell>
          <cell r="AP21">
            <v>101.83339078545566</v>
          </cell>
          <cell r="AQ21">
            <v>131.55754297914882</v>
          </cell>
          <cell r="AR21">
            <v>162.3525513187119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0.31483253</v>
          </cell>
          <cell r="S22">
            <v>0.93828381999999988</v>
          </cell>
          <cell r="T22">
            <v>3.8491731699999998</v>
          </cell>
          <cell r="U22">
            <v>12.14317859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8.3377899899999992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8.6696034500000003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9.0101729000000006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7.6278452000000003</v>
          </cell>
          <cell r="AP22">
            <v>8.7572808608079864</v>
          </cell>
          <cell r="AQ22">
            <v>8.1744991280256034</v>
          </cell>
          <cell r="AR22">
            <v>7.6897045257629832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-0.93613415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-0.93613415</v>
          </cell>
          <cell r="R24">
            <v>0.31483253</v>
          </cell>
          <cell r="S24">
            <v>0.93828381999999988</v>
          </cell>
          <cell r="T24">
            <v>3.8491731699999998</v>
          </cell>
          <cell r="U24">
            <v>12.14317859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8.3377899899999992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8.6696034500000003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9.0101729000000006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7.6278452000000003</v>
          </cell>
          <cell r="AP24">
            <v>8.7572808608079864</v>
          </cell>
          <cell r="AQ24">
            <v>8.1744991280256034</v>
          </cell>
          <cell r="AR24">
            <v>7.6897045257629832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4.4232536100000024</v>
          </cell>
          <cell r="R27">
            <v>3.1392203200000108</v>
          </cell>
          <cell r="S27">
            <v>4.5552769800000119</v>
          </cell>
          <cell r="T27">
            <v>13.642627949999991</v>
          </cell>
          <cell r="U27">
            <v>13.725765750000027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7.501802539999991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11.381142780000001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16.653729790000085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12.363387432799978</v>
          </cell>
          <cell r="AP27">
            <v>15.318130382080108</v>
          </cell>
          <cell r="AQ27">
            <v>12.452223862975826</v>
          </cell>
          <cell r="AR27">
            <v>11.652223862975966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38.795600130000011</v>
          </cell>
          <cell r="R28">
            <v>65.040609140000001</v>
          </cell>
          <cell r="S28">
            <v>85.695181529999985</v>
          </cell>
          <cell r="T28">
            <v>92.227841220000016</v>
          </cell>
          <cell r="U28">
            <v>102.56391837000002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127.69863548000002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89.264766829999971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46.593804710000015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86.979323368481545</v>
          </cell>
          <cell r="AP28">
            <v>125.90880202834376</v>
          </cell>
          <cell r="AQ28">
            <v>152.18426597015025</v>
          </cell>
          <cell r="AR28">
            <v>181.69447970745085</v>
          </cell>
        </row>
        <row r="29">
          <cell r="A29" t="str">
            <v>Additional Income Statement Items</v>
          </cell>
          <cell r="B29">
            <v>0</v>
          </cell>
          <cell r="C29">
            <v>0</v>
          </cell>
          <cell r="D29">
            <v>0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-0.93613415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Balance Sheet</v>
          </cell>
          <cell r="B36">
            <v>0</v>
          </cell>
          <cell r="C36">
            <v>0</v>
          </cell>
          <cell r="D36">
            <v>0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12.902518840000001</v>
          </cell>
          <cell r="Q37">
            <v>28.886974070000001</v>
          </cell>
          <cell r="R37">
            <v>81.812119879999997</v>
          </cell>
          <cell r="S37">
            <v>98.691551610000005</v>
          </cell>
          <cell r="T37">
            <v>473.44726092999997</v>
          </cell>
          <cell r="U37">
            <v>535.79245041000001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608.87984164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531.59161563999999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459.40795606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450.97722696794011</v>
          </cell>
          <cell r="AP37">
            <v>467.73942317939196</v>
          </cell>
          <cell r="AQ37">
            <v>488.88866365851737</v>
          </cell>
          <cell r="AR37">
            <v>530.30628405465563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78.854163040000003</v>
          </cell>
          <cell r="R38">
            <v>54.752779400000001</v>
          </cell>
          <cell r="S38">
            <v>55.679115029999991</v>
          </cell>
          <cell r="T38">
            <v>50.120543690000005</v>
          </cell>
          <cell r="U38">
            <v>40.139187849999999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86.033930279999993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135.19687123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139.33149797999999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171.19492990365814</v>
          </cell>
          <cell r="AP38">
            <v>208.1844890001635</v>
          </cell>
          <cell r="AQ38">
            <v>256.42028328581597</v>
          </cell>
          <cell r="AR38">
            <v>309.09176910868456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20.373734969999997</v>
          </cell>
          <cell r="R39">
            <v>8.401292269999999</v>
          </cell>
          <cell r="S39">
            <v>7.2842031799999996</v>
          </cell>
          <cell r="T39">
            <v>3.8110501600000002</v>
          </cell>
          <cell r="U39">
            <v>17.031747239999998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32.879952170000003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80.144348210000004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77.240371709999991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90.108315316167221</v>
          </cell>
          <cell r="AP39">
            <v>108.12250947915851</v>
          </cell>
          <cell r="AQ39">
            <v>134.48400251590209</v>
          </cell>
          <cell r="AR39">
            <v>164.18342786028273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12.05434525999998</v>
          </cell>
          <cell r="R40">
            <v>1.5347176999999803</v>
          </cell>
          <cell r="S40">
            <v>0.62761925000000129</v>
          </cell>
          <cell r="T40">
            <v>7.6831843800000641</v>
          </cell>
          <cell r="U40">
            <v>4.6408891399999597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2.159240500000088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18.781867600000083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16.682122650000039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16.682122649999968</v>
          </cell>
          <cell r="AP40">
            <v>16.682122650000082</v>
          </cell>
          <cell r="AQ40">
            <v>16.68212264999994</v>
          </cell>
          <cell r="AR40">
            <v>16.682122649999997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12.902518840000001</v>
          </cell>
          <cell r="Q41">
            <v>140.16921733999999</v>
          </cell>
          <cell r="R41">
            <v>146.50090924999998</v>
          </cell>
          <cell r="S41">
            <v>162.28248907</v>
          </cell>
          <cell r="T41">
            <v>535.06203916000004</v>
          </cell>
          <cell r="U41">
            <v>597.60427463999997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729.95296459000008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765.71470268000007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692.66194840000003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728.96259483776544</v>
          </cell>
          <cell r="AP41">
            <v>800.72854430871405</v>
          </cell>
          <cell r="AQ41">
            <v>896.47507211023537</v>
          </cell>
          <cell r="AR41">
            <v>1020.2636036736229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8.6716760799999992</v>
          </cell>
          <cell r="R42">
            <v>28.342472650000005</v>
          </cell>
          <cell r="S42">
            <v>57.855039579999996</v>
          </cell>
          <cell r="T42">
            <v>58.269459640000008</v>
          </cell>
          <cell r="U42">
            <v>58.964985740000003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60.092795070000001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60.083930419999994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112.46949860999999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181.59983131000001</v>
          </cell>
          <cell r="AP42">
            <v>252.73353969200002</v>
          </cell>
          <cell r="AQ42">
            <v>324.41870338274003</v>
          </cell>
          <cell r="AR42">
            <v>391.62653389383263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-20.177759034444446</v>
          </cell>
          <cell r="AP43">
            <v>-43.433337100200006</v>
          </cell>
          <cell r="AQ43">
            <v>-68.977461307703649</v>
          </cell>
          <cell r="AR43">
            <v>-95.864884023214401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8.6716760799999992</v>
          </cell>
          <cell r="R44">
            <v>28.342472650000005</v>
          </cell>
          <cell r="S44">
            <v>57.855039579999996</v>
          </cell>
          <cell r="T44">
            <v>58.269459640000008</v>
          </cell>
          <cell r="U44">
            <v>58.964985740000003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60.092795070000001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60.083930419999994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112.46949860999999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161.42207227555556</v>
          </cell>
          <cell r="AP44">
            <v>209.30020259180003</v>
          </cell>
          <cell r="AQ44">
            <v>255.44124207503637</v>
          </cell>
          <cell r="AR44">
            <v>295.76164987061821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7.6167445200000001</v>
          </cell>
          <cell r="S45">
            <v>12.566385309999999</v>
          </cell>
          <cell r="T45">
            <v>11.99282784</v>
          </cell>
          <cell r="U45">
            <v>20.347438590000003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32.409457880000005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78.836925269999995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138.14538604999998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138.14538604999998</v>
          </cell>
          <cell r="AP45">
            <v>138.14538604999998</v>
          </cell>
          <cell r="AQ45">
            <v>138.14538604999998</v>
          </cell>
          <cell r="AR45">
            <v>138.14538604999998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-7.6235069099999997</v>
          </cell>
          <cell r="AP46">
            <v>-14.826313141761041</v>
          </cell>
          <cell r="AQ46">
            <v>-21.631634921458318</v>
          </cell>
          <cell r="AR46">
            <v>-28.061407295592979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7.6167445200000001</v>
          </cell>
          <cell r="S47">
            <v>12.566385309999999</v>
          </cell>
          <cell r="T47">
            <v>11.99282784</v>
          </cell>
          <cell r="U47">
            <v>20.347438590000003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32.409457880000005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78.836925269999995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138.14538604999998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130.52187913999998</v>
          </cell>
          <cell r="AP47">
            <v>123.31907290823895</v>
          </cell>
          <cell r="AQ47">
            <v>116.51375112854167</v>
          </cell>
          <cell r="AR47">
            <v>110.08397875440701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6.7623337699999988</v>
          </cell>
          <cell r="R49">
            <v>4.652987190000001</v>
          </cell>
          <cell r="S49">
            <v>5.7454759800000001</v>
          </cell>
          <cell r="T49">
            <v>7.5073368800000004</v>
          </cell>
          <cell r="U49">
            <v>12.40693182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14.841611629999999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24.186815879999997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24.206836789999997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24.206836789999997</v>
          </cell>
          <cell r="AP49">
            <v>24.206836789999997</v>
          </cell>
          <cell r="AQ49">
            <v>24.206836789999997</v>
          </cell>
          <cell r="AR49">
            <v>24.206836789999997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0.85577732999999245</v>
          </cell>
          <cell r="R50">
            <v>0.58948627000002407</v>
          </cell>
          <cell r="S50">
            <v>0.78722586999996835</v>
          </cell>
          <cell r="T50">
            <v>1.3238672700001217</v>
          </cell>
          <cell r="U50">
            <v>0.53602289999998121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2.2678560699999331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5.4078282300000495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3.4811797699999971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3.4811797699998834</v>
          </cell>
          <cell r="AP50">
            <v>3.4811797699997982</v>
          </cell>
          <cell r="AQ50">
            <v>3.4811797699998408</v>
          </cell>
          <cell r="AR50">
            <v>3.4811797699999687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12.902518840000001</v>
          </cell>
          <cell r="Q51">
            <v>156.45900451999998</v>
          </cell>
          <cell r="R51">
            <v>187.70259988000001</v>
          </cell>
          <cell r="S51">
            <v>239.23661580999996</v>
          </cell>
          <cell r="T51">
            <v>614.15553079000017</v>
          </cell>
          <cell r="U51">
            <v>689.85965368999996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839.56468524000002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934.23020248000012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970.96484962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1048.5945628133209</v>
          </cell>
          <cell r="AP51">
            <v>1161.0358363687528</v>
          </cell>
          <cell r="AQ51">
            <v>1296.1180818738133</v>
          </cell>
          <cell r="AR51">
            <v>1453.7972488586481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27.890735320000005</v>
          </cell>
          <cell r="R52">
            <v>19.50198498</v>
          </cell>
          <cell r="S52">
            <v>28.066731389999998</v>
          </cell>
          <cell r="T52">
            <v>38.554920869999997</v>
          </cell>
          <cell r="U52">
            <v>57.025255220000005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27.363592549999996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57.421993410000006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66.555701010000007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77.643620297611719</v>
          </cell>
          <cell r="AP52">
            <v>93.165908630837251</v>
          </cell>
          <cell r="AQ52">
            <v>115.88081289512567</v>
          </cell>
          <cell r="AR52">
            <v>141.47191285527131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15</v>
          </cell>
          <cell r="R53">
            <v>15</v>
          </cell>
          <cell r="S53">
            <v>12</v>
          </cell>
          <cell r="T53">
            <v>23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30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5.4101656899999995</v>
          </cell>
          <cell r="R54">
            <v>6.2416005200000022</v>
          </cell>
          <cell r="S54">
            <v>3.268156660000006</v>
          </cell>
          <cell r="T54">
            <v>6.5822028400000008</v>
          </cell>
          <cell r="U54">
            <v>8.4712623700000051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24.523631699999996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39.232366669999998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36.687376579999992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41.12199625788584</v>
          </cell>
          <cell r="AP54">
            <v>46.485941930154056</v>
          </cell>
          <cell r="AQ54">
            <v>49.736850888495212</v>
          </cell>
          <cell r="AR54">
            <v>53.325050515845277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48.300901010000004</v>
          </cell>
          <cell r="R55">
            <v>40.743585500000002</v>
          </cell>
          <cell r="S55">
            <v>43.334888050000004</v>
          </cell>
          <cell r="T55">
            <v>68.137123709999997</v>
          </cell>
          <cell r="U55">
            <v>65.496517590000011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81.887224249999989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96.654360080000004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103.24307759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118.76561655549756</v>
          </cell>
          <cell r="AP55">
            <v>139.65185056099131</v>
          </cell>
          <cell r="AQ55">
            <v>165.61766378362088</v>
          </cell>
          <cell r="AR55">
            <v>194.79696337111659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9.9086679999999983E-2</v>
          </cell>
          <cell r="R57">
            <v>9.8427100000000003E-2</v>
          </cell>
          <cell r="S57">
            <v>1.6560741600000002</v>
          </cell>
          <cell r="T57">
            <v>4.8052941200000001</v>
          </cell>
          <cell r="U57">
            <v>1.6683333300000001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10.268299950000001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1.6717073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1.0503625300000001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1.0503625300000001</v>
          </cell>
          <cell r="AP57">
            <v>1.0503625300000001</v>
          </cell>
          <cell r="AQ57">
            <v>1.0503625300000001</v>
          </cell>
          <cell r="AR57">
            <v>1.0503625300000001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9.9086679999999983E-2</v>
          </cell>
          <cell r="R58">
            <v>9.8427100000000003E-2</v>
          </cell>
          <cell r="S58">
            <v>1.6560741600000002</v>
          </cell>
          <cell r="T58">
            <v>4.8052941200000001</v>
          </cell>
          <cell r="U58">
            <v>1.6683333300000001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10.268299950000001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1.6717073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1.0503625300000001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1.0503625300000001</v>
          </cell>
          <cell r="AP58">
            <v>1.0503625300000001</v>
          </cell>
          <cell r="AQ58">
            <v>1.0503625300000001</v>
          </cell>
          <cell r="AR58">
            <v>1.0503625300000001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48.399987690000003</v>
          </cell>
          <cell r="R59">
            <v>40.842012600000004</v>
          </cell>
          <cell r="S59">
            <v>44.990962210000006</v>
          </cell>
          <cell r="T59">
            <v>72.942417829999997</v>
          </cell>
          <cell r="U59">
            <v>67.164850920000006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92.155524199999988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98.326067379999998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104.29344012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119.81597908549756</v>
          </cell>
          <cell r="AP59">
            <v>140.70221309099131</v>
          </cell>
          <cell r="AQ59">
            <v>166.66802631362089</v>
          </cell>
          <cell r="AR59">
            <v>195.84732590111659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96.124600510000008</v>
          </cell>
          <cell r="R61">
            <v>124.86489472</v>
          </cell>
          <cell r="S61">
            <v>164.75591832000001</v>
          </cell>
          <cell r="T61">
            <v>533.98657623999998</v>
          </cell>
          <cell r="U61">
            <v>613.03920392000009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722.71357776000002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786.33572914999991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816.08683640999993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870.66587024782348</v>
          </cell>
          <cell r="AP61">
            <v>954.22090979776169</v>
          </cell>
          <cell r="AQ61">
            <v>1055.3373420801927</v>
          </cell>
          <cell r="AR61">
            <v>1175.8372094775316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11.93441632</v>
          </cell>
          <cell r="R62">
            <v>21.995692559999998</v>
          </cell>
          <cell r="S62">
            <v>29.489735280000001</v>
          </cell>
          <cell r="T62">
            <v>7.2265367200000004</v>
          </cell>
          <cell r="U62">
            <v>9.6555988500000005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24.695583280000001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49.568405949999999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50.584573090000006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58.112713480000004</v>
          </cell>
          <cell r="AP62">
            <v>66.112713479999996</v>
          </cell>
          <cell r="AQ62">
            <v>74.112713479999996</v>
          </cell>
          <cell r="AR62">
            <v>82.112713479999996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108.05901683</v>
          </cell>
          <cell r="R63">
            <v>146.86058728</v>
          </cell>
          <cell r="S63">
            <v>194.2456536</v>
          </cell>
          <cell r="T63">
            <v>541.21311295999999</v>
          </cell>
          <cell r="U63">
            <v>622.69480277000014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747.40916104000007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835.90413509999985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866.67140949999998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928.7785837278235</v>
          </cell>
          <cell r="AP63">
            <v>1020.3336232777617</v>
          </cell>
          <cell r="AQ63">
            <v>1129.4500555601926</v>
          </cell>
          <cell r="AR63">
            <v>1257.9499229575315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156.45900452000001</v>
          </cell>
          <cell r="R64">
            <v>187.70259988000001</v>
          </cell>
          <cell r="S64">
            <v>239.23661580999999</v>
          </cell>
          <cell r="T64">
            <v>614.15553078999994</v>
          </cell>
          <cell r="U64">
            <v>689.85965369000019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839.56468524000002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934.23020247999989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970.96484962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1048.5945628133211</v>
          </cell>
          <cell r="AP64">
            <v>1161.0358363687531</v>
          </cell>
          <cell r="AQ64">
            <v>1296.1180818738135</v>
          </cell>
          <cell r="AR64">
            <v>1453.7972488586481</v>
          </cell>
        </row>
        <row r="65">
          <cell r="A65" t="str">
            <v>Additional Balance Sheet Items</v>
          </cell>
          <cell r="B65">
            <v>0</v>
          </cell>
          <cell r="C65">
            <v>0</v>
          </cell>
          <cell r="D65">
            <v>0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-12.902518840000001</v>
          </cell>
          <cell r="Q66">
            <v>-13.886974070000001</v>
          </cell>
          <cell r="R66">
            <v>-66.812119879999997</v>
          </cell>
          <cell r="S66">
            <v>-86.691551610000005</v>
          </cell>
          <cell r="T66">
            <v>-450.44726092999997</v>
          </cell>
          <cell r="U66">
            <v>-535.79245041000001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-578.87984164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-531.59161563999999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-459.40795606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-450.97722696794011</v>
          </cell>
          <cell r="AP66">
            <v>-467.73942317939196</v>
          </cell>
          <cell r="AQ66">
            <v>-488.88866365851737</v>
          </cell>
          <cell r="AR66">
            <v>-530.30628405465563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</row>
        <row r="71">
          <cell r="B71" t="str">
            <v>Company borrowing margin</v>
          </cell>
          <cell r="C71" t="str">
            <v>CO_BOR_MARGIN</v>
          </cell>
          <cell r="F71" t="e">
            <v>#VALUE!</v>
          </cell>
          <cell r="G71" t="e">
            <v>#VALUE!</v>
          </cell>
          <cell r="H71" t="e">
            <v>#VALUE!</v>
          </cell>
          <cell r="I71" t="e">
            <v>#VALUE!</v>
          </cell>
          <cell r="J71" t="e">
            <v>#VALUE!</v>
          </cell>
          <cell r="K71" t="e">
            <v>#VALUE!</v>
          </cell>
          <cell r="L71" t="e">
            <v>#VALUE!</v>
          </cell>
          <cell r="M71" t="e">
            <v>#VALUE!</v>
          </cell>
          <cell r="N71" t="e">
            <v>#VALUE!</v>
          </cell>
          <cell r="O71" t="e">
            <v>#VALUE!</v>
          </cell>
          <cell r="P71" t="e">
            <v>#VALUE!</v>
          </cell>
          <cell r="Q71">
            <v>6.2408943333333335E-2</v>
          </cell>
          <cell r="R71">
            <v>0</v>
          </cell>
          <cell r="S71">
            <v>0</v>
          </cell>
          <cell r="T71">
            <v>0</v>
          </cell>
          <cell r="U71" t="e">
            <v>#VALUE!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 t="e">
            <v>#VALUE!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 t="e">
            <v>#VALUE!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 t="e">
            <v>#VALUE!</v>
          </cell>
          <cell r="AP71" t="e">
            <v>#VALUE!</v>
          </cell>
          <cell r="AQ71" t="e">
            <v>#VALUE!</v>
          </cell>
          <cell r="AR71" t="e">
            <v>#VALUE!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-7.6167445200000001</v>
          </cell>
          <cell r="S75">
            <v>-12.566385309999999</v>
          </cell>
          <cell r="T75">
            <v>-11.99282784</v>
          </cell>
          <cell r="U75">
            <v>-20.347438590000003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-32.409457880000005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-78.836925269999995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-138.14538604999998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-130.52187913999998</v>
          </cell>
          <cell r="AP75">
            <v>-123.31907290823895</v>
          </cell>
          <cell r="AQ75">
            <v>-116.51375112854167</v>
          </cell>
          <cell r="AR75">
            <v>-110.08397875440701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1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1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1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</v>
          </cell>
          <cell r="AP77">
            <v>1</v>
          </cell>
          <cell r="AQ77">
            <v>1</v>
          </cell>
          <cell r="AR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11.93441632</v>
          </cell>
          <cell r="R78">
            <v>21.995692559999998</v>
          </cell>
          <cell r="S78">
            <v>29.489735280000001</v>
          </cell>
          <cell r="T78">
            <v>7.2265367200000004</v>
          </cell>
          <cell r="U78">
            <v>9.6555988500000005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24.695583280000001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49.568405949999999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50.584573090000006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58.112713480000004</v>
          </cell>
          <cell r="AP78">
            <v>66.112713479999996</v>
          </cell>
          <cell r="AQ78">
            <v>74.112713479999996</v>
          </cell>
          <cell r="AR78">
            <v>82.112713479999996</v>
          </cell>
        </row>
        <row r="79">
          <cell r="A79" t="str">
            <v>Cash Flow Statement</v>
          </cell>
          <cell r="B79">
            <v>0</v>
          </cell>
          <cell r="C79">
            <v>0</v>
          </cell>
          <cell r="D79">
            <v>0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4.4021032099999999</v>
          </cell>
          <cell r="R80">
            <v>10.452298210000002</v>
          </cell>
          <cell r="S80">
            <v>14.29627554</v>
          </cell>
          <cell r="T80">
            <v>5.8552772400000004</v>
          </cell>
          <cell r="U80">
            <v>2.4935703399999998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3.0183087799999999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10.715064760000001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3.0826094500000001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7.5281403899999999</v>
          </cell>
          <cell r="AP80">
            <v>8</v>
          </cell>
          <cell r="AQ80">
            <v>8</v>
          </cell>
          <cell r="AR80">
            <v>8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1.7956729499999999</v>
          </cell>
          <cell r="R81">
            <v>3.2980511300000002</v>
          </cell>
          <cell r="S81">
            <v>9.5716234799999995</v>
          </cell>
          <cell r="T81">
            <v>14.871484539999999</v>
          </cell>
          <cell r="U81">
            <v>18.26185693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18.464454960000001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21.935942130000001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23.968432029999999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27.801265944444445</v>
          </cell>
          <cell r="AP81">
            <v>30.458384297516599</v>
          </cell>
          <cell r="AQ81">
            <v>32.349445987200916</v>
          </cell>
          <cell r="AR81">
            <v>33.317195089645409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-7.827688509999998</v>
          </cell>
          <cell r="R82">
            <v>27.002684900000002</v>
          </cell>
          <cell r="S82">
            <v>8.7554998700000084</v>
          </cell>
          <cell r="T82">
            <v>19.519913839999987</v>
          </cell>
          <cell r="U82">
            <v>15.230993110000018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-91.404610030000015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-66.368936130000009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7.9030573500000187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-33.643456242213659</v>
          </cell>
          <cell r="AP82">
            <v>-39.481464926271116</v>
          </cell>
          <cell r="AQ82">
            <v>-51.882383058107635</v>
          </cell>
          <cell r="AR82">
            <v>-56.779811207103592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-2.8406606600000153</v>
          </cell>
          <cell r="R83">
            <v>-1.8159631700000105</v>
          </cell>
          <cell r="S83">
            <v>-2.9669753699999895</v>
          </cell>
          <cell r="T83">
            <v>-5.3440806899999931</v>
          </cell>
          <cell r="U83">
            <v>-33.797378270000024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37.868904639999997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-7.244709029999953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-13.629025280000025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28.442134769999999</v>
          </cell>
          <cell r="R84">
            <v>89.043111069999995</v>
          </cell>
          <cell r="S84">
            <v>92.970794980000008</v>
          </cell>
          <cell r="T84">
            <v>113.26532249</v>
          </cell>
          <cell r="U84">
            <v>89.378772240000004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78.677687079999998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25.246914719999999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57.617192530000004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66.368480431940128</v>
          </cell>
          <cell r="AP84">
            <v>97.999401095337703</v>
          </cell>
          <cell r="AQ84">
            <v>108.30184634401949</v>
          </cell>
          <cell r="AR84">
            <v>127.34380203972603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-8.4091513500000001</v>
          </cell>
          <cell r="R85">
            <v>-21.569455699999999</v>
          </cell>
          <cell r="S85">
            <v>-37.264990149999996</v>
          </cell>
          <cell r="T85">
            <v>-20.19555562</v>
          </cell>
          <cell r="U85">
            <v>-26.23550753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-17.87359172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-50.569998670000004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-78.80282158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-69.130332700000025</v>
          </cell>
          <cell r="AP85">
            <v>-71.133708382000009</v>
          </cell>
          <cell r="AQ85">
            <v>-71.685163690739998</v>
          </cell>
          <cell r="AR85">
            <v>-67.207830511092595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 t="str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 t="str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 t="str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 t="str">
            <v>0</v>
          </cell>
          <cell r="AP86" t="str">
            <v>0</v>
          </cell>
          <cell r="AQ86" t="str">
            <v>0</v>
          </cell>
          <cell r="AR86" t="str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5.3574999999999998E-2</v>
          </cell>
          <cell r="R87">
            <v>6.4700000000000001E-3</v>
          </cell>
          <cell r="S87">
            <v>0</v>
          </cell>
          <cell r="T87">
            <v>6.0299999999999999E-2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0.35888100000000001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0.14851285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0.20427499999999998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-5.9468777900000003</v>
          </cell>
          <cell r="R88">
            <v>-31.060000000000002</v>
          </cell>
          <cell r="S88">
            <v>12.036494579999999</v>
          </cell>
          <cell r="T88">
            <v>-345.83203588999999</v>
          </cell>
          <cell r="U88">
            <v>105.36957131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-9.0017794899999757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-19.272269470000008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81.011403560000019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-14.30245414</v>
          </cell>
          <cell r="R89">
            <v>-52.622985700000001</v>
          </cell>
          <cell r="S89">
            <v>-25.228495569999996</v>
          </cell>
          <cell r="T89">
            <v>-365.96729151</v>
          </cell>
          <cell r="U89">
            <v>79.134063779999991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-26.516490209999976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-69.693755290000013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2.412856980000015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-69.130332700000025</v>
          </cell>
          <cell r="AP89">
            <v>-71.133708382000009</v>
          </cell>
          <cell r="AQ89">
            <v>-71.685163690739998</v>
          </cell>
          <cell r="AR89">
            <v>-67.207830511092595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-18.082979559999998</v>
          </cell>
          <cell r="S90">
            <v>-36.852867680000003</v>
          </cell>
          <cell r="T90">
            <v>-1.673165</v>
          </cell>
          <cell r="U90">
            <v>-8.0683483000000003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-11.181216600000001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-15.355459100000001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-6.5410117200000002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-5.6688768239999998</v>
          </cell>
          <cell r="AP90">
            <v>-10.103496501885846</v>
          </cell>
          <cell r="AQ90">
            <v>-15.467442174154082</v>
          </cell>
          <cell r="AR90">
            <v>-18.718351132495229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3.72</v>
          </cell>
          <cell r="R91">
            <v>0.58799999999999997</v>
          </cell>
          <cell r="S91">
            <v>0</v>
          </cell>
          <cell r="T91">
            <v>290.20499999999998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0.98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12.59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0.61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-3</v>
          </cell>
          <cell r="T92">
            <v>11</v>
          </cell>
          <cell r="U92">
            <v>-23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30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-30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-1.8752253999999999</v>
          </cell>
          <cell r="R93">
            <v>9.9920072216264089E-16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-0.19598999999999833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0.63493986000000291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-1.46538499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1.8447746000000003</v>
          </cell>
          <cell r="R94">
            <v>-17.494979559999997</v>
          </cell>
          <cell r="S94">
            <v>-39.852867680000003</v>
          </cell>
          <cell r="T94">
            <v>299.531835</v>
          </cell>
          <cell r="U94">
            <v>-31.0683483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19.602793400000003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-32.130519239999998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-7.3963967100000003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-5.6688768239999998</v>
          </cell>
          <cell r="AP94">
            <v>-10.103496501885846</v>
          </cell>
          <cell r="AQ94">
            <v>-15.467442174154082</v>
          </cell>
          <cell r="AR94">
            <v>-18.718351132495229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15.98445523</v>
          </cell>
          <cell r="R95">
            <v>18.925145809999997</v>
          </cell>
          <cell r="S95">
            <v>27.889431730000013</v>
          </cell>
          <cell r="T95">
            <v>46.829865980000022</v>
          </cell>
          <cell r="U95">
            <v>137.44448772000001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71.763990270000022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-76.577359810000019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52.633652800000021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-8.430729092059897</v>
          </cell>
          <cell r="AP95">
            <v>16.762196211451847</v>
          </cell>
          <cell r="AQ95">
            <v>21.149240479125417</v>
          </cell>
          <cell r="AR95">
            <v>41.417620396138204</v>
          </cell>
        </row>
        <row r="96">
          <cell r="A96" t="str">
            <v>Additional Cash Flow Items</v>
          </cell>
          <cell r="B96">
            <v>0</v>
          </cell>
          <cell r="C96">
            <v>0</v>
          </cell>
          <cell r="D96">
            <v>0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Other Items</v>
          </cell>
          <cell r="B108">
            <v>0</v>
          </cell>
          <cell r="C108">
            <v>0</v>
          </cell>
          <cell r="D108">
            <v>0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8.3000000000000004E-2</v>
          </cell>
          <cell r="U109">
            <v>0.104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0.16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0.245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0.33100000000000002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0.33100000000000002</v>
          </cell>
          <cell r="AP109">
            <v>0.33100000000000002</v>
          </cell>
          <cell r="AQ109">
            <v>0.34093000000000001</v>
          </cell>
          <cell r="AR109">
            <v>0.35115790000000002</v>
          </cell>
        </row>
        <row r="110">
          <cell r="A110" t="str">
            <v>Geographical Breakdown</v>
          </cell>
          <cell r="B110">
            <v>0</v>
          </cell>
          <cell r="C110">
            <v>0</v>
          </cell>
          <cell r="D110">
            <v>0</v>
          </cell>
        </row>
        <row r="111">
          <cell r="B111" t="str">
            <v>Sales - % Total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B113" t="str">
            <v>Sales - % Canada</v>
          </cell>
          <cell r="C113" t="str">
            <v>SALES_CANADA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B114" t="str">
            <v>Sales - % Brazil</v>
          </cell>
          <cell r="C114" t="str">
            <v>SALES_BRAZIL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B116" t="str">
            <v>Sales - Total % EMEA</v>
          </cell>
          <cell r="C116" t="str">
            <v>SALES_TOT_EMEA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B117" t="str">
            <v>Sales - % UK</v>
          </cell>
          <cell r="C117" t="str">
            <v>SALES_UK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B118" t="str">
            <v>Sales - % Europe-Ex UK</v>
          </cell>
          <cell r="C118" t="str">
            <v>SALES_EU_EX_UK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B119" t="str">
            <v>Sales - % Austria</v>
          </cell>
          <cell r="C119" t="str">
            <v>SALES_AUSTRIA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0">
          <cell r="B120" t="str">
            <v>Sales - % Belgium</v>
          </cell>
          <cell r="C120" t="str">
            <v>SALES_BEL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1">
          <cell r="B121" t="str">
            <v>Sales - % Denmark</v>
          </cell>
          <cell r="C121" t="str">
            <v>SALES_DEN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</row>
        <row r="122">
          <cell r="B122" t="str">
            <v>Sales - % Finland</v>
          </cell>
          <cell r="C122" t="str">
            <v>SALES_FIN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B123" t="str">
            <v>Sales - % France</v>
          </cell>
          <cell r="C123" t="str">
            <v>SALES_FRA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</row>
        <row r="124">
          <cell r="B124" t="str">
            <v>Sales - % Germany</v>
          </cell>
          <cell r="C124" t="str">
            <v>SALES_GER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B125" t="str">
            <v>Sales - % Greece</v>
          </cell>
          <cell r="C125" t="str">
            <v>SALES_GRE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B126" t="str">
            <v>Sales - % Iceland</v>
          </cell>
          <cell r="C126" t="str">
            <v>SALES_ICE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B127" t="str">
            <v>Sales - % Ireland</v>
          </cell>
          <cell r="C127" t="str">
            <v>SALES_IRE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B128" t="str">
            <v>Sales - % Italy</v>
          </cell>
          <cell r="C128" t="str">
            <v>SALES_ITA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B129" t="str">
            <v>Sales - % Netherlands</v>
          </cell>
          <cell r="C129" t="str">
            <v>SALES_NETH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</row>
        <row r="130">
          <cell r="B130" t="str">
            <v>Sales - % Norway</v>
          </cell>
          <cell r="C130" t="str">
            <v>SALES_NOR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1">
          <cell r="B131" t="str">
            <v>Sales - % Portugal</v>
          </cell>
          <cell r="C131" t="str">
            <v>SALES_POR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B132" t="str">
            <v>Sales - % Spain</v>
          </cell>
          <cell r="C132" t="str">
            <v>SALES_SPA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</row>
        <row r="133">
          <cell r="B133" t="str">
            <v>Sales - % Sweden</v>
          </cell>
          <cell r="C133" t="str">
            <v>SALES_SWE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</row>
        <row r="134">
          <cell r="B134" t="str">
            <v>Sales - % Switzerland</v>
          </cell>
          <cell r="C134" t="str">
            <v>SALES_SWIT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</row>
        <row r="136">
          <cell r="B136" t="str">
            <v>Sales - % Middle East</v>
          </cell>
          <cell r="C136" t="str">
            <v>SALES_ME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</row>
        <row r="137">
          <cell r="B137" t="str">
            <v>Sales - % Russia</v>
          </cell>
          <cell r="C137" t="str">
            <v>SALES_RUSSIA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B138" t="str">
            <v>Sales - % Other EMEA</v>
          </cell>
          <cell r="C138" t="str">
            <v>SALES_OTH_EMEA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</row>
        <row r="139">
          <cell r="B139" t="str">
            <v>Sales - Total % Asia (incl Australia &amp; New Zealand)</v>
          </cell>
          <cell r="C139" t="str">
            <v>SALES_TOT_ASIA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</row>
        <row r="140">
          <cell r="B140" t="str">
            <v>Sales - % Japan</v>
          </cell>
          <cell r="C140" t="str">
            <v>SALES_JAPAN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B141" t="str">
            <v>Sales - % Greater China (incl HK)</v>
          </cell>
          <cell r="C141" t="str">
            <v>SALES_CHINA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</row>
        <row r="142">
          <cell r="B142" t="str">
            <v>Sales - % India</v>
          </cell>
          <cell r="C142" t="str">
            <v>SALES_INDIA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3">
          <cell r="B143" t="str">
            <v>Sales - % South Korea</v>
          </cell>
          <cell r="C143" t="str">
            <v>SALES_SK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</row>
        <row r="144">
          <cell r="B144" t="str">
            <v>Sales - % Australia</v>
          </cell>
          <cell r="C144" t="str">
            <v>SALES_AUSTRA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</row>
        <row r="145">
          <cell r="B145" t="str">
            <v>Sales - % New Zealand</v>
          </cell>
          <cell r="C145" t="str">
            <v>SALES_NZ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</row>
        <row r="146">
          <cell r="B146" t="str">
            <v>Sales - % Other AEJ (incl Taiwan)</v>
          </cell>
          <cell r="C146" t="str">
            <v>SALES_OTH_AEJ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</row>
        <row r="147">
          <cell r="B147" t="str">
            <v>Sales - % Others</v>
          </cell>
          <cell r="C147" t="str">
            <v>SALES_OTHER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</row>
        <row r="148">
          <cell r="B148" t="str">
            <v>Operating Profit - % Total Americas</v>
          </cell>
          <cell r="C148" t="str">
            <v>OP_TOT_AM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</row>
        <row r="149">
          <cell r="B149" t="str">
            <v>Operating Profit - % United States</v>
          </cell>
          <cell r="C149" t="str">
            <v>OP_US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</row>
        <row r="150">
          <cell r="B150" t="str">
            <v>Operating Profit - % Canada</v>
          </cell>
          <cell r="C150" t="str">
            <v>OP_CANADA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</row>
        <row r="151">
          <cell r="B151" t="str">
            <v>Operating Profit - % Brazil</v>
          </cell>
          <cell r="C151" t="str">
            <v>OP_BRAZIL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</row>
        <row r="152">
          <cell r="B152" t="str">
            <v>Operating Profit - % Other Americas</v>
          </cell>
          <cell r="C152" t="str">
            <v>OP_OTH_AM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</row>
        <row r="153">
          <cell r="B153" t="str">
            <v>Operating Profit - Total % EMEA</v>
          </cell>
          <cell r="C153" t="str">
            <v>OP_TOT_EMEA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</row>
        <row r="154">
          <cell r="B154" t="str">
            <v>Operating Profit - % UK</v>
          </cell>
          <cell r="C154" t="str">
            <v>OP_UK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</row>
        <row r="155">
          <cell r="B155" t="str">
            <v>Operating Profit - % Europe-Ex UK</v>
          </cell>
          <cell r="C155" t="str">
            <v>OP_EU_EX_UK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</row>
        <row r="156">
          <cell r="B156" t="str">
            <v>Operating Profit - % Austria</v>
          </cell>
          <cell r="C156" t="str">
            <v>OP_AUSTRIA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</row>
        <row r="157">
          <cell r="B157" t="str">
            <v>Operating Profit - % Belgium</v>
          </cell>
          <cell r="C157" t="str">
            <v>OP_BEL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B158" t="str">
            <v>Operating Profit - % Denmark</v>
          </cell>
          <cell r="C158" t="str">
            <v>OP_DEN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</row>
        <row r="159">
          <cell r="B159" t="str">
            <v>Operating Profit - % Finland</v>
          </cell>
          <cell r="C159" t="str">
            <v>OP_FIN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</row>
        <row r="160">
          <cell r="B160" t="str">
            <v>Operating Profit - % France</v>
          </cell>
          <cell r="C160" t="str">
            <v>OP_FRA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</row>
        <row r="161">
          <cell r="B161" t="str">
            <v>Operating Profit - % Germany</v>
          </cell>
          <cell r="C161" t="str">
            <v>OP_GER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B162" t="str">
            <v>Operating Profit - % Greece</v>
          </cell>
          <cell r="C162" t="str">
            <v>OP_GRE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</row>
        <row r="163">
          <cell r="B163" t="str">
            <v>Operating Profit - % Iceland</v>
          </cell>
          <cell r="C163" t="str">
            <v>OP_ICE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B164" t="str">
            <v>Operating Profit - % Ireland</v>
          </cell>
          <cell r="C164" t="str">
            <v>OP_IRE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B165" t="str">
            <v>Operating Profit - % Italy</v>
          </cell>
          <cell r="C165" t="str">
            <v>OP_ITA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Operating Profit - % Netherlands</v>
          </cell>
          <cell r="C166" t="str">
            <v>OP_NETH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Operating Profit - % Norway</v>
          </cell>
          <cell r="C167" t="str">
            <v>OP_NOR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Operating Profit - % Portugal</v>
          </cell>
          <cell r="C168" t="str">
            <v>OP_POR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Operating Profit - % Spain</v>
          </cell>
          <cell r="C169" t="str">
            <v>OP_SPA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Operating Profit - % Sweden</v>
          </cell>
          <cell r="C170" t="str">
            <v>OP_SWE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Operating Profit - % Switzerland</v>
          </cell>
          <cell r="C171" t="str">
            <v>OP_SWIT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Operating Profit - % Central &amp; Eastern Europe</v>
          </cell>
          <cell r="C172" t="str">
            <v>OP_CEE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B173" t="str">
            <v>Operating Profit - % Middle East</v>
          </cell>
          <cell r="C173" t="str">
            <v>OP_ME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B174" t="str">
            <v>Operating Profit - % Russia</v>
          </cell>
          <cell r="C174" t="str">
            <v>OP_RUSSIA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B175" t="str">
            <v>Operating Profit - % Other EMEA</v>
          </cell>
          <cell r="C175" t="str">
            <v>OP_OTH_EMEA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</row>
        <row r="176">
          <cell r="B176" t="str">
            <v>Operating Profit - Total % Asia (incl Australia &amp; New Zealand)</v>
          </cell>
          <cell r="C176" t="str">
            <v>OP_TOT_ASIA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B177" t="str">
            <v>Operating Profit - % Japan</v>
          </cell>
          <cell r="C177" t="str">
            <v>OP_JAPAN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8">
          <cell r="B178" t="str">
            <v>Operating Profit - % Greater China (incl HK)</v>
          </cell>
          <cell r="C178" t="str">
            <v>OP_CHINA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1</v>
          </cell>
          <cell r="AA178">
            <v>1</v>
          </cell>
          <cell r="AB178">
            <v>1</v>
          </cell>
          <cell r="AC178">
            <v>1</v>
          </cell>
          <cell r="AD178">
            <v>1</v>
          </cell>
          <cell r="AE178">
            <v>1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1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</row>
        <row r="179">
          <cell r="B179" t="str">
            <v>Operating Profit - % India</v>
          </cell>
          <cell r="C179" t="str">
            <v>OP_INDIA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</row>
        <row r="180">
          <cell r="B180" t="str">
            <v>Operating Profit - % South Korea</v>
          </cell>
          <cell r="C180" t="str">
            <v>OP_SK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</row>
        <row r="181">
          <cell r="B181" t="str">
            <v>Operating Profit - % Australia</v>
          </cell>
          <cell r="C181" t="str">
            <v>OP_AUSTRA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</row>
        <row r="182">
          <cell r="B182" t="str">
            <v>Operating Profit - % New Zealand</v>
          </cell>
          <cell r="C182" t="str">
            <v>OP_NZ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</row>
        <row r="183">
          <cell r="B183" t="str">
            <v>Operating Profit - % Other AEJ (incl Taiwan)</v>
          </cell>
          <cell r="C183" t="str">
            <v>OP_OTH_AEJ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</row>
        <row r="184">
          <cell r="B184" t="str">
            <v>Operating Profit - % Others</v>
          </cell>
          <cell r="C184" t="str">
            <v>OP_OTHER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</row>
        <row r="185">
          <cell r="B185" t="str">
            <v>Sales -% Consumer (C)</v>
          </cell>
          <cell r="C185" t="str">
            <v>SALES_CONS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</row>
        <row r="186">
          <cell r="B186" t="str">
            <v>Sales -% Industry (I)</v>
          </cell>
          <cell r="C186" t="str">
            <v>SALES_IND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</row>
        <row r="187">
          <cell r="B187" t="str">
            <v>Sales -% Government (G)</v>
          </cell>
          <cell r="C187" t="str">
            <v>SALES_GOV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B188" t="str">
            <v>Operating Profit - % Consumer (C)</v>
          </cell>
          <cell r="C188" t="str">
            <v>OP_CONS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89">
          <cell r="B189" t="str">
            <v>Operating Profit - % Industry (I)</v>
          </cell>
          <cell r="C189" t="str">
            <v>OP_IND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</row>
        <row r="190">
          <cell r="B190" t="str">
            <v>Operating Profit - % Government (G)</v>
          </cell>
          <cell r="C190" t="str">
            <v>OP_GOV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</row>
        <row r="191">
          <cell r="A191" t="str">
            <v>Security: Hunan Talkweb Information System</v>
          </cell>
          <cell r="B191">
            <v>0</v>
          </cell>
          <cell r="C191">
            <v>0</v>
          </cell>
          <cell r="D191">
            <v>0</v>
          </cell>
        </row>
        <row r="192">
          <cell r="A192" t="str">
            <v>Reference Data</v>
          </cell>
          <cell r="B192">
            <v>0</v>
          </cell>
          <cell r="C192">
            <v>0</v>
          </cell>
          <cell r="D192">
            <v>0</v>
          </cell>
        </row>
        <row r="193">
          <cell r="B193" t="str">
            <v>Ticker</v>
          </cell>
          <cell r="C193" t="str">
            <v>Ticker</v>
          </cell>
          <cell r="E193" t="str">
            <v>002261.SZ</v>
          </cell>
        </row>
        <row r="194">
          <cell r="B194" t="str">
            <v>Security Name</v>
          </cell>
          <cell r="C194" t="str">
            <v>Security Name</v>
          </cell>
          <cell r="E194" t="str">
            <v>Hunan Talkweb Information System</v>
          </cell>
        </row>
        <row r="195">
          <cell r="B195" t="str">
            <v>Interim Type</v>
          </cell>
          <cell r="C195" t="str">
            <v>Interim Type</v>
          </cell>
          <cell r="E195" t="str">
            <v>Q</v>
          </cell>
        </row>
        <row r="196">
          <cell r="B196" t="str">
            <v>Publishing Currency</v>
          </cell>
          <cell r="C196" t="str">
            <v>PUB_CURRENCY_ISO</v>
          </cell>
          <cell r="E196" t="str">
            <v>CNY</v>
          </cell>
        </row>
        <row r="197">
          <cell r="B197" t="str">
            <v>Pricing Currency</v>
          </cell>
          <cell r="C197" t="str">
            <v>PRICE_CURRENCY_ISO</v>
          </cell>
          <cell r="E197" t="str">
            <v>CNY</v>
          </cell>
        </row>
        <row r="198">
          <cell r="B198" t="str">
            <v>Reporting Currency</v>
          </cell>
          <cell r="C198" t="str">
            <v>CURRENCY_ISO</v>
          </cell>
          <cell r="E198" t="str">
            <v>CNY</v>
          </cell>
        </row>
        <row r="199">
          <cell r="A199" t="str">
            <v>General Information</v>
          </cell>
          <cell r="B199">
            <v>0</v>
          </cell>
          <cell r="C199">
            <v>0</v>
          </cell>
          <cell r="D199">
            <v>0</v>
          </cell>
        </row>
        <row r="200">
          <cell r="B200" t="str">
            <v>Asia Pacific Investment List</v>
          </cell>
          <cell r="C200" t="str">
            <v>AEJ_LIST</v>
          </cell>
          <cell r="E200" t="str">
            <v>Sell</v>
          </cell>
          <cell r="F200" t="str">
            <v>Acceptable values include BUY or SELL</v>
          </cell>
        </row>
        <row r="201">
          <cell r="B201" t="str">
            <v>Asia Pacific Conviction List</v>
          </cell>
          <cell r="C201" t="str">
            <v>AEJ_CONVICTION</v>
          </cell>
          <cell r="E201">
            <v>0</v>
          </cell>
          <cell r="F201" t="str">
            <v>Acceptable values include BUY or SELL</v>
          </cell>
        </row>
        <row r="202">
          <cell r="B202" t="str">
            <v>Legal rating</v>
          </cell>
          <cell r="C202" t="str">
            <v>LEGAL_RATING</v>
          </cell>
          <cell r="E202">
            <v>0</v>
          </cell>
          <cell r="F202" t="str">
            <v>Acceptable values include RS, CS or NR</v>
          </cell>
        </row>
        <row r="203">
          <cell r="B203" t="str">
            <v>Target price</v>
          </cell>
          <cell r="C203" t="str">
            <v>TARGET_PRICE</v>
          </cell>
          <cell r="D203" t="str">
            <v>CNY</v>
          </cell>
          <cell r="E203">
            <v>9.4</v>
          </cell>
        </row>
        <row r="204">
          <cell r="B204" t="str">
            <v>Target price period</v>
          </cell>
          <cell r="C204" t="str">
            <v>TP_PERIOD</v>
          </cell>
          <cell r="E204" t="str">
            <v>12 months</v>
          </cell>
        </row>
        <row r="205">
          <cell r="B205" t="str">
            <v>Current shares outstanding (mn)</v>
          </cell>
          <cell r="C205" t="str">
            <v>NUM_SH</v>
          </cell>
          <cell r="E205">
            <v>283.44384100000002</v>
          </cell>
        </row>
        <row r="206">
          <cell r="B206" t="str">
            <v>Free float</v>
          </cell>
          <cell r="C206" t="str">
            <v>FREE_FLOAT</v>
          </cell>
          <cell r="E206">
            <v>0</v>
          </cell>
        </row>
        <row r="207">
          <cell r="B207" t="str">
            <v>Foreign ownership</v>
          </cell>
          <cell r="C207" t="str">
            <v>FOREIGN_HOLDNG</v>
          </cell>
          <cell r="E207">
            <v>0</v>
          </cell>
        </row>
        <row r="208">
          <cell r="B208" t="str">
            <v>Exceptionals (pre-tax)</v>
          </cell>
          <cell r="C208" t="str">
            <v>ACT1</v>
          </cell>
          <cell r="E208">
            <v>8.9200000000000002E-2</v>
          </cell>
        </row>
        <row r="209">
          <cell r="B209" t="str">
            <v>Catalyst 1 date</v>
          </cell>
          <cell r="C209" t="str">
            <v>CATALYST1_DATE</v>
          </cell>
          <cell r="E209">
            <v>0</v>
          </cell>
        </row>
        <row r="210">
          <cell r="B210" t="str">
            <v>Catalyst 1 description</v>
          </cell>
          <cell r="C210" t="str">
            <v>CATALYST1_EVENT</v>
          </cell>
          <cell r="E210">
            <v>0</v>
          </cell>
        </row>
        <row r="211">
          <cell r="B211" t="str">
            <v>Catalyst 2 date</v>
          </cell>
          <cell r="C211" t="str">
            <v>CATALYST2_DATE</v>
          </cell>
          <cell r="E211">
            <v>0</v>
          </cell>
        </row>
        <row r="212">
          <cell r="B212" t="str">
            <v>Catalyst 2 description</v>
          </cell>
          <cell r="C212" t="str">
            <v>CATALYST2_EVENT</v>
          </cell>
          <cell r="E212">
            <v>0</v>
          </cell>
        </row>
        <row r="213">
          <cell r="B213" t="str">
            <v>Catalyst 3 date</v>
          </cell>
          <cell r="C213" t="str">
            <v>CATALYST3_DATE</v>
          </cell>
          <cell r="E213">
            <v>0</v>
          </cell>
        </row>
        <row r="214">
          <cell r="B214" t="str">
            <v>Catalyst 3 description</v>
          </cell>
          <cell r="C214" t="str">
            <v>CATALYST3_EVENT</v>
          </cell>
          <cell r="E214">
            <v>0</v>
          </cell>
        </row>
        <row r="215">
          <cell r="B215" t="str">
            <v>Catalyst 4 date</v>
          </cell>
          <cell r="C215" t="str">
            <v>CATALYST4_DATE</v>
          </cell>
          <cell r="E215">
            <v>0</v>
          </cell>
        </row>
        <row r="216">
          <cell r="B216" t="str">
            <v>Catalyst 4 description</v>
          </cell>
          <cell r="C216" t="str">
            <v>CATALYST4_EVENT</v>
          </cell>
          <cell r="E216">
            <v>0</v>
          </cell>
        </row>
        <row r="217">
          <cell r="B217" t="str">
            <v>Catalyst 5 date</v>
          </cell>
          <cell r="C217" t="str">
            <v>CATALYST5_DATE</v>
          </cell>
          <cell r="E217">
            <v>0</v>
          </cell>
        </row>
        <row r="218">
          <cell r="B218" t="str">
            <v>Catalyst 5 description</v>
          </cell>
          <cell r="C218" t="str">
            <v>CATALYST5_EVENT</v>
          </cell>
          <cell r="E218">
            <v>0</v>
          </cell>
        </row>
        <row r="219">
          <cell r="B219" t="str">
            <v>Target price multiple</v>
          </cell>
          <cell r="C219" t="str">
            <v>PRI_TARG_MULT</v>
          </cell>
          <cell r="E219">
            <v>41.191525616064411</v>
          </cell>
        </row>
        <row r="220">
          <cell r="B220" t="str">
            <v>Target price methodology</v>
          </cell>
          <cell r="C220" t="str">
            <v>PRI_TARG_METH</v>
          </cell>
          <cell r="E220" t="str">
            <v>13E PE</v>
          </cell>
        </row>
        <row r="221">
          <cell r="A221" t="str">
            <v>Publishing Items</v>
          </cell>
          <cell r="B221">
            <v>0</v>
          </cell>
          <cell r="C221">
            <v>0</v>
          </cell>
          <cell r="D221">
            <v>0</v>
          </cell>
        </row>
        <row r="222">
          <cell r="B222" t="str">
            <v>Book value per share, BVPS (Pub)</v>
          </cell>
          <cell r="C222" t="str">
            <v>BVPS_PUB</v>
          </cell>
          <cell r="D222" t="str">
            <v>CNY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#DIV/0!</v>
          </cell>
          <cell r="M222" t="e">
            <v>#DIV/0!</v>
          </cell>
          <cell r="N222" t="e">
            <v>#DIV/0!</v>
          </cell>
          <cell r="O222" t="e">
            <v>#DIV/0!</v>
          </cell>
          <cell r="P222" t="e">
            <v>#DIV/0!</v>
          </cell>
          <cell r="Q222">
            <v>0.33913102564116043</v>
          </cell>
          <cell r="R222">
            <v>0.44052781065720875</v>
          </cell>
          <cell r="S222">
            <v>0.58126476743588862</v>
          </cell>
          <cell r="T222">
            <v>1.8839237231476833</v>
          </cell>
          <cell r="U222">
            <v>2.1628242185724544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2.5497593287271321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2.7742205523880119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2.8791835219661728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3.0717403037444142</v>
          </cell>
          <cell r="AP222">
            <v>3.3665254691413868</v>
          </cell>
          <cell r="AQ222">
            <v>3.7232678556603127</v>
          </cell>
          <cell r="AR222">
            <v>4.1483956939375917</v>
          </cell>
        </row>
        <row r="223">
          <cell r="A223" t="str">
            <v>Publishing Items</v>
          </cell>
          <cell r="B223" t="str">
            <v>DPS, dividend per share (Pub)</v>
          </cell>
          <cell r="C223" t="str">
            <v>DPS_PUB</v>
          </cell>
          <cell r="D223" t="str">
            <v>CNY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#DIV/0!</v>
          </cell>
          <cell r="M223" t="e">
            <v>#DIV/0!</v>
          </cell>
          <cell r="N223" t="e">
            <v>#DIV/0!</v>
          </cell>
          <cell r="O223" t="e">
            <v>#DIV/0!</v>
          </cell>
          <cell r="P223" t="e">
            <v>#DIV/0!</v>
          </cell>
          <cell r="Q223">
            <v>0.41986121461763215</v>
          </cell>
          <cell r="R223">
            <v>0.61559099461624467</v>
          </cell>
          <cell r="S223">
            <v>2.7948579618026863E-2</v>
          </cell>
          <cell r="T223">
            <v>0.10102377946774811</v>
          </cell>
          <cell r="U223">
            <v>0.10000000000000002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0.10564048637723585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0.03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2.0000000014112142E-2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3.5645496710178456E-2</v>
          </cell>
          <cell r="AP223">
            <v>5.4569688724173337E-2</v>
          </cell>
          <cell r="AQ223">
            <v>6.6039011701422817E-2</v>
          </cell>
          <cell r="AR223">
            <v>7.8698308212120496E-2</v>
          </cell>
        </row>
        <row r="224">
          <cell r="B224" t="str">
            <v>Book value per share, BVPS (Pub)</v>
          </cell>
          <cell r="C224" t="str">
            <v>BVPS_PUB</v>
          </cell>
          <cell r="D224" t="str">
            <v>CNY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#DIV/0!</v>
          </cell>
          <cell r="M224" t="e">
            <v>#DIV/0!</v>
          </cell>
          <cell r="N224" t="e">
            <v>#DIV/0!</v>
          </cell>
          <cell r="O224" t="e">
            <v>#DIV/0!</v>
          </cell>
          <cell r="P224" t="e">
            <v>#DIV/0!</v>
          </cell>
          <cell r="Q224">
            <v>0.33913102564116043</v>
          </cell>
          <cell r="R224">
            <v>0.44052781065720875</v>
          </cell>
          <cell r="S224">
            <v>0.58126476743588862</v>
          </cell>
          <cell r="T224">
            <v>1.8839237231476833</v>
          </cell>
          <cell r="U224">
            <v>2.1628242185724544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2.5497593287271321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2.7742205523880119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2.8791835219661728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3.0717403037444142</v>
          </cell>
          <cell r="AP224">
            <v>3.3665254691413868</v>
          </cell>
          <cell r="AQ224">
            <v>3.7232678556603127</v>
          </cell>
          <cell r="AR224">
            <v>4.1483956939375917</v>
          </cell>
        </row>
        <row r="225">
          <cell r="B225" t="str">
            <v>DPS, dividend per share (Pub)</v>
          </cell>
          <cell r="C225" t="str">
            <v>DPS_PUB</v>
          </cell>
          <cell r="D225" t="str">
            <v>CNY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#DIV/0!</v>
          </cell>
          <cell r="M225" t="e">
            <v>#DIV/0!</v>
          </cell>
          <cell r="N225" t="e">
            <v>#DIV/0!</v>
          </cell>
          <cell r="O225" t="e">
            <v>#DIV/0!</v>
          </cell>
          <cell r="P225" t="e">
            <v>#DIV/0!</v>
          </cell>
          <cell r="Q225">
            <v>0.41986121461763215</v>
          </cell>
          <cell r="R225">
            <v>0.61559099461624467</v>
          </cell>
          <cell r="S225">
            <v>2.7948579618026863E-2</v>
          </cell>
          <cell r="T225">
            <v>0.10102377946774811</v>
          </cell>
          <cell r="U225">
            <v>0.10000000000000002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0.10564048637723585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0.03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2.0000000014112142E-2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3.5645496710178456E-2</v>
          </cell>
          <cell r="AP225">
            <v>5.4569688724173337E-2</v>
          </cell>
          <cell r="AQ225">
            <v>6.6039011701422817E-2</v>
          </cell>
          <cell r="AR225">
            <v>7.8698308212120496E-2</v>
          </cell>
        </row>
        <row r="226">
          <cell r="B226" t="str">
            <v>EBITDA (Pub)</v>
          </cell>
          <cell r="C226" t="str">
            <v>EBITDA_PUB</v>
          </cell>
          <cell r="D226" t="str">
            <v>CNY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37.104153620000005</v>
          </cell>
          <cell r="R226">
            <v>64.884607419999995</v>
          </cell>
          <cell r="S226">
            <v>89.773244209999973</v>
          </cell>
          <cell r="T226">
            <v>89.607524640000037</v>
          </cell>
          <cell r="U226">
            <v>94.956830960000019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130.32349791000001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91.14996272999997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44.89833404999996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94.789356680125991</v>
          </cell>
          <cell r="AP226">
            <v>132.29177508297232</v>
          </cell>
          <cell r="AQ226">
            <v>163.90698896634967</v>
          </cell>
          <cell r="AR226">
            <v>195.66974640835735</v>
          </cell>
        </row>
        <row r="227">
          <cell r="B227" t="str">
            <v>EPS (Pub)</v>
          </cell>
          <cell r="C227" t="str">
            <v>EPS_PUB</v>
          </cell>
          <cell r="D227" t="str">
            <v>CNY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 t="e">
            <v>#DIV/0!</v>
          </cell>
          <cell r="M227" t="e">
            <v>#DIV/0!</v>
          </cell>
          <cell r="N227" t="e">
            <v>#DIV/0!</v>
          </cell>
          <cell r="O227" t="e">
            <v>#DIV/0!</v>
          </cell>
          <cell r="P227" t="e">
            <v>#DIV/0!</v>
          </cell>
          <cell r="Q227">
            <v>0.76418653347557053</v>
          </cell>
          <cell r="R227">
            <v>0.83697223422916367</v>
          </cell>
          <cell r="S227">
            <v>1.0576044512735667</v>
          </cell>
          <cell r="T227">
            <v>0.9811796185735645</v>
          </cell>
          <cell r="U227">
            <v>0.77978750657598406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0.76179014900924236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0.30366656944317461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0.12803989267136698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0.22820227848841959</v>
          </cell>
          <cell r="AP227">
            <v>0.3493548541211457</v>
          </cell>
          <cell r="AQ227">
            <v>0.42278139822034871</v>
          </cell>
          <cell r="AR227">
            <v>0.50382614648939994</v>
          </cell>
        </row>
        <row r="228">
          <cell r="B228" t="str">
            <v>EV adjustment (Pub)</v>
          </cell>
          <cell r="C228" t="str">
            <v>EV_ADJ_PUB</v>
          </cell>
          <cell r="D228" t="str">
            <v>CNY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32.912707780000012</v>
          </cell>
          <cell r="R228">
            <v>50.10604</v>
          </cell>
          <cell r="S228">
            <v>63.31437145999999</v>
          </cell>
          <cell r="T228">
            <v>78.36272756000001</v>
          </cell>
          <cell r="U228">
            <v>87.189730130000015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110.73062873000002</v>
          </cell>
          <cell r="AA228">
            <v>21.839505340000006</v>
          </cell>
          <cell r="AB228">
            <v>21.196585730000024</v>
          </cell>
          <cell r="AC228">
            <v>2.0437849799999421</v>
          </cell>
          <cell r="AD228">
            <v>21.129676939999996</v>
          </cell>
          <cell r="AE228">
            <v>66.209552989999963</v>
          </cell>
          <cell r="AF228">
            <v>16.513738299999986</v>
          </cell>
          <cell r="AG228">
            <v>6.7378016100000346</v>
          </cell>
          <cell r="AH228">
            <v>10.041916009999991</v>
          </cell>
          <cell r="AI228">
            <v>2.9986630599999851</v>
          </cell>
          <cell r="AJ228">
            <v>36.292118980000012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64.682530339709331</v>
          </cell>
          <cell r="AP228">
            <v>99.022481724092216</v>
          </cell>
          <cell r="AQ228">
            <v>119.83478341492621</v>
          </cell>
          <cell r="AR228">
            <v>142.8064181571842</v>
          </cell>
        </row>
        <row r="229">
          <cell r="B229" t="str">
            <v>Net debt (Pub)</v>
          </cell>
          <cell r="C229" t="str">
            <v>NET_DEBT_PUB</v>
          </cell>
          <cell r="D229" t="str">
            <v>CNY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-12.902518840000001</v>
          </cell>
          <cell r="Q229">
            <v>-13.886974070000001</v>
          </cell>
          <cell r="R229">
            <v>-66.812119879999997</v>
          </cell>
          <cell r="S229">
            <v>-86.691551610000005</v>
          </cell>
          <cell r="T229">
            <v>-450.44726092999997</v>
          </cell>
          <cell r="U229">
            <v>-535.79245041000001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-578.87984164</v>
          </cell>
          <cell r="AA229">
            <v>22.143361800000008</v>
          </cell>
          <cell r="AB229">
            <v>20.947807430000019</v>
          </cell>
          <cell r="AC229">
            <v>6.5742891699999433</v>
          </cell>
          <cell r="AD229">
            <v>19.548562199999996</v>
          </cell>
          <cell r="AE229">
            <v>-531.59161563999999</v>
          </cell>
          <cell r="AF229">
            <v>13.469085689999986</v>
          </cell>
          <cell r="AG229">
            <v>5.9427365000000361</v>
          </cell>
          <cell r="AH229">
            <v>7.0102553799999896</v>
          </cell>
          <cell r="AI229">
            <v>-5.4921755500000131</v>
          </cell>
          <cell r="AJ229">
            <v>-459.40795606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-450.97722696794011</v>
          </cell>
          <cell r="AP229">
            <v>-467.73942317939196</v>
          </cell>
          <cell r="AQ229">
            <v>-488.88866365851737</v>
          </cell>
          <cell r="AR229">
            <v>-530.30628405465563</v>
          </cell>
        </row>
        <row r="230">
          <cell r="B230" t="str">
            <v>Net income (Pub)</v>
          </cell>
          <cell r="C230" t="str">
            <v>NI_PUB</v>
          </cell>
          <cell r="D230" t="str">
            <v>CNY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32.912707780000012</v>
          </cell>
          <cell r="R230">
            <v>50.10604</v>
          </cell>
          <cell r="S230">
            <v>63.31437145999999</v>
          </cell>
          <cell r="T230">
            <v>78.36272756000001</v>
          </cell>
          <cell r="U230">
            <v>87.189730130000015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110.73062873000002</v>
          </cell>
          <cell r="AA230">
            <v>21.839505340000006</v>
          </cell>
          <cell r="AB230">
            <v>21.196585730000024</v>
          </cell>
          <cell r="AC230">
            <v>2.0437849799999421</v>
          </cell>
          <cell r="AD230">
            <v>21.129676939999996</v>
          </cell>
          <cell r="AE230">
            <v>66.209552989999963</v>
          </cell>
          <cell r="AF230">
            <v>16.513738299999986</v>
          </cell>
          <cell r="AG230">
            <v>6.7378016100000346</v>
          </cell>
          <cell r="AH230">
            <v>10.041916009999991</v>
          </cell>
          <cell r="AI230">
            <v>2.9986630599999851</v>
          </cell>
          <cell r="AJ230">
            <v>36.292118980000012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64.682530339709331</v>
          </cell>
          <cell r="AP230">
            <v>99.022481724092216</v>
          </cell>
          <cell r="AQ230">
            <v>119.83478341492621</v>
          </cell>
          <cell r="AR230">
            <v>142.8064181571842</v>
          </cell>
        </row>
        <row r="231">
          <cell r="B231" t="str">
            <v>EBIT, operating profit (Pub)</v>
          </cell>
          <cell r="C231" t="str">
            <v>EBIT_PUB</v>
          </cell>
          <cell r="D231" t="str">
            <v>CNY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35.308480670000009</v>
          </cell>
          <cell r="R231">
            <v>61.58655628999999</v>
          </cell>
          <cell r="S231">
            <v>80.201620729999973</v>
          </cell>
          <cell r="T231">
            <v>74.736040100000025</v>
          </cell>
          <cell r="U231">
            <v>76.694974029999997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111.85904295000003</v>
          </cell>
          <cell r="AA231">
            <v>22.143361800000008</v>
          </cell>
          <cell r="AB231">
            <v>20.947807430000019</v>
          </cell>
          <cell r="AC231">
            <v>6.5742891699999433</v>
          </cell>
          <cell r="AD231">
            <v>19.548562199999996</v>
          </cell>
          <cell r="AE231">
            <v>69.214020599999969</v>
          </cell>
          <cell r="AF231">
            <v>13.469085689999986</v>
          </cell>
          <cell r="AG231">
            <v>5.9427365000000361</v>
          </cell>
          <cell r="AH231">
            <v>7.0102553799999896</v>
          </cell>
          <cell r="AI231">
            <v>-5.4921755500000131</v>
          </cell>
          <cell r="AJ231">
            <v>20.929902019999929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66.988090735681567</v>
          </cell>
          <cell r="AP231">
            <v>101.83339078545566</v>
          </cell>
          <cell r="AQ231">
            <v>131.55754297914882</v>
          </cell>
          <cell r="AR231">
            <v>162.3525513187119</v>
          </cell>
        </row>
        <row r="232">
          <cell r="B232" t="str">
            <v>Pre-tax profit (Pub)</v>
          </cell>
          <cell r="C232" t="str">
            <v>PTP_PUB</v>
          </cell>
          <cell r="D232" t="str">
            <v>CNY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38.795600130000011</v>
          </cell>
          <cell r="R232">
            <v>65.040609140000001</v>
          </cell>
          <cell r="S232">
            <v>85.695181529999985</v>
          </cell>
          <cell r="T232">
            <v>92.227841220000016</v>
          </cell>
          <cell r="U232">
            <v>102.56391837000002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127.69863548000002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89.264766829999971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46.593804710000015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86.979323368481545</v>
          </cell>
          <cell r="AP232">
            <v>125.90880202834376</v>
          </cell>
          <cell r="AQ232">
            <v>152.18426597015025</v>
          </cell>
          <cell r="AR232">
            <v>181.69447970745085</v>
          </cell>
        </row>
        <row r="233">
          <cell r="B233" t="str">
            <v>Sales, revenue (Pub)</v>
          </cell>
          <cell r="C233" t="str">
            <v>REVS_PUB</v>
          </cell>
          <cell r="D233" t="str">
            <v>CNY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136.89141137000001</v>
          </cell>
          <cell r="R233">
            <v>163.43650438999998</v>
          </cell>
          <cell r="S233">
            <v>233.46612116999998</v>
          </cell>
          <cell r="T233">
            <v>262.57942185000002</v>
          </cell>
          <cell r="U233">
            <v>308.68794537000002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357.31868164000002</v>
          </cell>
          <cell r="AA233">
            <v>96.896129290000005</v>
          </cell>
          <cell r="AB233">
            <v>94.896739020000012</v>
          </cell>
          <cell r="AC233">
            <v>84.807257799999945</v>
          </cell>
          <cell r="AD233">
            <v>95.063452100000006</v>
          </cell>
          <cell r="AE233">
            <v>371.66357820999997</v>
          </cell>
          <cell r="AF233">
            <v>87.344064729999985</v>
          </cell>
          <cell r="AG233">
            <v>99.206435220000031</v>
          </cell>
          <cell r="AH233">
            <v>104.79711143999998</v>
          </cell>
          <cell r="AI233">
            <v>141.44885124999996</v>
          </cell>
          <cell r="AJ233">
            <v>432.79646263999996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531.77179000000012</v>
          </cell>
          <cell r="AP233">
            <v>646.67007620000004</v>
          </cell>
          <cell r="AQ233">
            <v>796.50181878599994</v>
          </cell>
          <cell r="AR233">
            <v>960.11186444418001</v>
          </cell>
        </row>
        <row r="234">
          <cell r="A234" t="str">
            <v>Income Statement</v>
          </cell>
          <cell r="B234" t="str">
            <v>Total shareholders' equity (Pub)</v>
          </cell>
          <cell r="C234" t="str">
            <v>EQ_PUB</v>
          </cell>
          <cell r="D234" t="str">
            <v>CNY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108.05901683</v>
          </cell>
          <cell r="R234">
            <v>146.86058728</v>
          </cell>
          <cell r="S234">
            <v>194.2456536</v>
          </cell>
          <cell r="T234">
            <v>541.21311295999999</v>
          </cell>
          <cell r="U234">
            <v>622.69480277000014</v>
          </cell>
          <cell r="Z234">
            <v>747.40916104000007</v>
          </cell>
          <cell r="AE234">
            <v>835.90413509999985</v>
          </cell>
          <cell r="AJ234">
            <v>866.67140949999998</v>
          </cell>
          <cell r="AO234">
            <v>928.7785837278235</v>
          </cell>
          <cell r="AP234">
            <v>1020.3336232777617</v>
          </cell>
          <cell r="AQ234">
            <v>1129.4500555601926</v>
          </cell>
          <cell r="AR234">
            <v>1257.9499229575315</v>
          </cell>
        </row>
        <row r="235">
          <cell r="B235" t="str">
            <v>EPS (consensus)</v>
          </cell>
          <cell r="C235" t="str">
            <v>EPS_CONS_PUB</v>
          </cell>
          <cell r="D235" t="str">
            <v>CNY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-1.4807891399999999</v>
          </cell>
          <cell r="R235">
            <v>-4.4822709299999994</v>
          </cell>
          <cell r="S235">
            <v>-8.0845345300000009</v>
          </cell>
          <cell r="T235">
            <v>-8.009836420000001</v>
          </cell>
          <cell r="U235">
            <v>-12.880617899999999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-13.949697969999999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-12.340149080000002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-7.2190762800000003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-14.768652638772213</v>
          </cell>
          <cell r="AP235">
            <v>-18.886320304251548</v>
          </cell>
          <cell r="AQ235">
            <v>-24.349482555224039</v>
          </cell>
          <cell r="AR235">
            <v>-30.888061550266649</v>
          </cell>
        </row>
        <row r="236">
          <cell r="A236" t="str">
            <v>Income Statement</v>
          </cell>
          <cell r="B236" t="str">
            <v>Minority interest</v>
          </cell>
          <cell r="C236" t="str">
            <v>INC_MINORITY</v>
          </cell>
          <cell r="D236" t="str">
            <v>CNY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-4.4021032099999999</v>
          </cell>
          <cell r="R236">
            <v>-10.452298210000002</v>
          </cell>
          <cell r="S236">
            <v>-14.29627554</v>
          </cell>
          <cell r="T236">
            <v>-5.8552772400000004</v>
          </cell>
          <cell r="U236">
            <v>-2.4935703399999998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-3.0183087799999999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-10.715064760000001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-3.0826094500000001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-7.5281403899999999</v>
          </cell>
          <cell r="AP236">
            <v>-8</v>
          </cell>
          <cell r="AQ236">
            <v>-8</v>
          </cell>
          <cell r="AR236">
            <v>-8</v>
          </cell>
        </row>
        <row r="237">
          <cell r="B237" t="str">
            <v>Provision for income tax</v>
          </cell>
          <cell r="C237" t="str">
            <v>PROV_INC_TAX</v>
          </cell>
          <cell r="D237" t="str">
            <v>CNY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-1.4807891399999999</v>
          </cell>
          <cell r="R237">
            <v>-4.4822709299999994</v>
          </cell>
          <cell r="S237">
            <v>-8.0845345300000009</v>
          </cell>
          <cell r="T237">
            <v>-8.009836420000001</v>
          </cell>
          <cell r="U237">
            <v>-12.880617899999999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-13.949697969999999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-12.340149080000002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-7.2190762800000003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-14.768652638772213</v>
          </cell>
          <cell r="AP237">
            <v>-18.886320304251548</v>
          </cell>
          <cell r="AQ237">
            <v>-24.349482555224039</v>
          </cell>
          <cell r="AR237">
            <v>-30.888061550266649</v>
          </cell>
        </row>
        <row r="238">
          <cell r="B238" t="str">
            <v>Minority interest</v>
          </cell>
          <cell r="C238" t="str">
            <v>INC_MINORITY</v>
          </cell>
          <cell r="D238" t="str">
            <v>CNY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-4.4021032099999999</v>
          </cell>
          <cell r="R238">
            <v>-10.452298210000002</v>
          </cell>
          <cell r="S238">
            <v>-14.29627554</v>
          </cell>
          <cell r="T238">
            <v>-5.8552772400000004</v>
          </cell>
          <cell r="U238">
            <v>-2.4935703399999998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-3.0183087799999999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-10.715064760000001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-3.0826094500000001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-7.5281403899999999</v>
          </cell>
          <cell r="AP238">
            <v>-8</v>
          </cell>
          <cell r="AQ238">
            <v>-8</v>
          </cell>
          <cell r="AR238">
            <v>-8</v>
          </cell>
        </row>
        <row r="239">
          <cell r="B239" t="str">
            <v>Net income (pre-preferred dividends)</v>
          </cell>
          <cell r="C239" t="str">
            <v>NI_PRE_PREF</v>
          </cell>
          <cell r="D239" t="str">
            <v>CNY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32.912707780000012</v>
          </cell>
          <cell r="R239">
            <v>50.10604</v>
          </cell>
          <cell r="S239">
            <v>63.31437145999999</v>
          </cell>
          <cell r="T239">
            <v>78.36272756000001</v>
          </cell>
          <cell r="U239">
            <v>87.189730130000015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110.73062873000002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66.209552989999963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36.292118980000012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64.682530339709331</v>
          </cell>
          <cell r="AP239">
            <v>99.022481724092216</v>
          </cell>
          <cell r="AQ239">
            <v>119.83478341492621</v>
          </cell>
          <cell r="AR239">
            <v>142.8064181571842</v>
          </cell>
        </row>
        <row r="240">
          <cell r="B240" t="str">
            <v>Preferred dividends</v>
          </cell>
          <cell r="C240" t="str">
            <v>PREF_DIV</v>
          </cell>
          <cell r="D240" t="str">
            <v>CNY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B241" t="str">
            <v>Net income (pre-exceptionals)</v>
          </cell>
          <cell r="C241" t="str">
            <v>NET_EARNING</v>
          </cell>
          <cell r="D241" t="str">
            <v>CNY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32.912707780000012</v>
          </cell>
          <cell r="R241">
            <v>50.10604</v>
          </cell>
          <cell r="S241">
            <v>63.31437145999999</v>
          </cell>
          <cell r="T241">
            <v>78.36272756000001</v>
          </cell>
          <cell r="U241">
            <v>87.189730130000015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110.73062873000002</v>
          </cell>
          <cell r="AA241">
            <v>21.839505340000006</v>
          </cell>
          <cell r="AB241">
            <v>21.196585730000024</v>
          </cell>
          <cell r="AC241">
            <v>2.0437849799999421</v>
          </cell>
          <cell r="AD241">
            <v>21.129676939999996</v>
          </cell>
          <cell r="AE241">
            <v>66.209552989999963</v>
          </cell>
          <cell r="AF241">
            <v>16.513738299999986</v>
          </cell>
          <cell r="AG241">
            <v>6.7378016100000346</v>
          </cell>
          <cell r="AH241">
            <v>10.041916009999991</v>
          </cell>
          <cell r="AI241">
            <v>2.9986630599999851</v>
          </cell>
          <cell r="AJ241">
            <v>36.292118980000012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64.682530339709331</v>
          </cell>
          <cell r="AP241">
            <v>99.022481724092216</v>
          </cell>
          <cell r="AQ241">
            <v>119.83478341492621</v>
          </cell>
          <cell r="AR241">
            <v>142.8064181571842</v>
          </cell>
        </row>
        <row r="242">
          <cell r="B242" t="str">
            <v>Post-tax exceptionals</v>
          </cell>
          <cell r="C242" t="str">
            <v>TAX_EXC</v>
          </cell>
          <cell r="D242" t="str">
            <v>CNY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</row>
        <row r="243">
          <cell r="B243" t="str">
            <v>Net income (post-exceptionals)</v>
          </cell>
          <cell r="C243" t="str">
            <v>NET_INC</v>
          </cell>
          <cell r="D243" t="str">
            <v>CNY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32.912707780000012</v>
          </cell>
          <cell r="R243">
            <v>50.10604</v>
          </cell>
          <cell r="S243">
            <v>63.31437145999999</v>
          </cell>
          <cell r="T243">
            <v>78.36272756000001</v>
          </cell>
          <cell r="U243">
            <v>87.189730130000015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110.73062873000002</v>
          </cell>
          <cell r="AA243">
            <v>21.839505340000006</v>
          </cell>
          <cell r="AB243">
            <v>21.196585730000024</v>
          </cell>
          <cell r="AC243">
            <v>2.0437849799999421</v>
          </cell>
          <cell r="AD243">
            <v>21.129676939999996</v>
          </cell>
          <cell r="AE243">
            <v>66.209552989999963</v>
          </cell>
          <cell r="AF243">
            <v>16.513738299999986</v>
          </cell>
          <cell r="AG243">
            <v>6.7378016100000346</v>
          </cell>
          <cell r="AH243">
            <v>10.041916009999991</v>
          </cell>
          <cell r="AI243">
            <v>2.9986630599999851</v>
          </cell>
          <cell r="AJ243">
            <v>36.292118980000012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64.682530339709331</v>
          </cell>
          <cell r="AP243">
            <v>99.022481724092216</v>
          </cell>
          <cell r="AQ243">
            <v>119.83478341492621</v>
          </cell>
          <cell r="AR243">
            <v>142.8064181571842</v>
          </cell>
        </row>
        <row r="244">
          <cell r="B244" t="str">
            <v>EPS (pre-exceptionals, basic)</v>
          </cell>
          <cell r="C244" t="str">
            <v>EPS</v>
          </cell>
          <cell r="D244" t="str">
            <v>CNY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 t="e">
            <v>#DIV/0!</v>
          </cell>
          <cell r="M244" t="e">
            <v>#DIV/0!</v>
          </cell>
          <cell r="N244" t="e">
            <v>#DIV/0!</v>
          </cell>
          <cell r="O244" t="e">
            <v>#DIV/0!</v>
          </cell>
          <cell r="P244" t="e">
            <v>#DIV/0!</v>
          </cell>
          <cell r="Q244">
            <v>0.76418653347557053</v>
          </cell>
          <cell r="R244">
            <v>0.83697223422916367</v>
          </cell>
          <cell r="S244">
            <v>1.0576044512735667</v>
          </cell>
          <cell r="T244">
            <v>0.9811796185735645</v>
          </cell>
          <cell r="U244">
            <v>0.77978750657598406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0.76179014900924236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0.30366656944317461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0.12803989267136698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0.22820227848841959</v>
          </cell>
          <cell r="AP244">
            <v>0.3493548541211457</v>
          </cell>
          <cell r="AQ244">
            <v>0.42278139822034871</v>
          </cell>
          <cell r="AR244">
            <v>0.50382614648939994</v>
          </cell>
        </row>
        <row r="245">
          <cell r="B245" t="str">
            <v>EPS (pre-exceptionals, diluted)</v>
          </cell>
          <cell r="C245" t="str">
            <v>EPS_FUL_DIL</v>
          </cell>
          <cell r="D245" t="str">
            <v>CNY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 t="e">
            <v>#DIV/0!</v>
          </cell>
          <cell r="M245" t="e">
            <v>#DIV/0!</v>
          </cell>
          <cell r="N245" t="e">
            <v>#DIV/0!</v>
          </cell>
          <cell r="O245" t="e">
            <v>#DIV/0!</v>
          </cell>
          <cell r="P245" t="e">
            <v>#DIV/0!</v>
          </cell>
          <cell r="Q245">
            <v>0.76418653347557053</v>
          </cell>
          <cell r="R245">
            <v>0.83697223422916367</v>
          </cell>
          <cell r="S245">
            <v>1.0576044512735667</v>
          </cell>
          <cell r="T245">
            <v>0.9811796185735645</v>
          </cell>
          <cell r="U245">
            <v>0.77978750657598406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0.76179014900924236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0.30366656944317461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0.12803989267136698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0.22820227848841959</v>
          </cell>
          <cell r="AP245">
            <v>0.3493548541211457</v>
          </cell>
          <cell r="AQ245">
            <v>0.42278139822034871</v>
          </cell>
          <cell r="AR245">
            <v>0.50382614648939994</v>
          </cell>
        </row>
        <row r="246">
          <cell r="B246" t="str">
            <v>EPS (post-exceptionals, basic)</v>
          </cell>
          <cell r="C246" t="str">
            <v>EPS_POST_BASIC</v>
          </cell>
          <cell r="D246" t="str">
            <v>CNY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 t="e">
            <v>#DIV/0!</v>
          </cell>
          <cell r="M246" t="e">
            <v>#DIV/0!</v>
          </cell>
          <cell r="N246" t="e">
            <v>#DIV/0!</v>
          </cell>
          <cell r="O246" t="e">
            <v>#DIV/0!</v>
          </cell>
          <cell r="P246" t="e">
            <v>#DIV/0!</v>
          </cell>
          <cell r="Q246">
            <v>0.76418653347557053</v>
          </cell>
          <cell r="R246">
            <v>0.83697223422916367</v>
          </cell>
          <cell r="S246">
            <v>1.0576044512735667</v>
          </cell>
          <cell r="T246">
            <v>0.9811796185735645</v>
          </cell>
          <cell r="U246">
            <v>0.77978750657598406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0.76179014900924236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0.30366656944317461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0.12803989267136698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0.22820227848841959</v>
          </cell>
          <cell r="AP246">
            <v>0.3493548541211457</v>
          </cell>
          <cell r="AQ246">
            <v>0.42278139822034871</v>
          </cell>
          <cell r="AR246">
            <v>0.50382614648939994</v>
          </cell>
        </row>
        <row r="247">
          <cell r="B247" t="str">
            <v>EPS (post-exceptionals, diluted)</v>
          </cell>
          <cell r="C247" t="str">
            <v>FULLY_DIL_EPS</v>
          </cell>
          <cell r="D247" t="str">
            <v>CNY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 t="e">
            <v>#DIV/0!</v>
          </cell>
          <cell r="M247" t="e">
            <v>#DIV/0!</v>
          </cell>
          <cell r="N247" t="e">
            <v>#DIV/0!</v>
          </cell>
          <cell r="O247" t="e">
            <v>#DIV/0!</v>
          </cell>
          <cell r="P247" t="e">
            <v>#DIV/0!</v>
          </cell>
          <cell r="Q247">
            <v>0.76418653347557053</v>
          </cell>
          <cell r="R247">
            <v>0.83697223422916367</v>
          </cell>
          <cell r="S247">
            <v>1.0576044512735667</v>
          </cell>
          <cell r="T247">
            <v>0.9811796185735645</v>
          </cell>
          <cell r="U247">
            <v>0.77978750657598406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0.76179014900924236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0.30366656944317461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0.12803989267136698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0.22820227848841959</v>
          </cell>
          <cell r="AP247">
            <v>0.3493548541211457</v>
          </cell>
          <cell r="AQ247">
            <v>0.42278139822034871</v>
          </cell>
          <cell r="AR247">
            <v>0.50382614648939994</v>
          </cell>
        </row>
        <row r="248">
          <cell r="B248" t="str">
            <v>Common dividends paid</v>
          </cell>
          <cell r="C248" t="str">
            <v>COMMON_DIV_PAID</v>
          </cell>
          <cell r="D248" t="str">
            <v>CNY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-18.082979559999998</v>
          </cell>
          <cell r="R248">
            <v>-36.852867680000003</v>
          </cell>
          <cell r="S248">
            <v>-1.673165</v>
          </cell>
          <cell r="T248">
            <v>-8.0683483000000003</v>
          </cell>
          <cell r="U248">
            <v>-11.181216600000001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-15.355459100000001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-6.5410117200000002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-5.6688768239999998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-10.103496501885846</v>
          </cell>
          <cell r="AP248">
            <v>-15.467442174154082</v>
          </cell>
          <cell r="AQ248">
            <v>-18.718351132495229</v>
          </cell>
          <cell r="AR248">
            <v>-22.306550759845276</v>
          </cell>
        </row>
        <row r="249">
          <cell r="B249" t="str">
            <v>DPS, dividend per share</v>
          </cell>
          <cell r="C249" t="str">
            <v>DPS</v>
          </cell>
          <cell r="D249" t="str">
            <v>CNY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 t="e">
            <v>#DIV/0!</v>
          </cell>
          <cell r="M249" t="e">
            <v>#DIV/0!</v>
          </cell>
          <cell r="N249" t="e">
            <v>#DIV/0!</v>
          </cell>
          <cell r="O249" t="e">
            <v>#DIV/0!</v>
          </cell>
          <cell r="P249" t="e">
            <v>#DIV/0!</v>
          </cell>
          <cell r="Q249">
            <v>0.41986121461763215</v>
          </cell>
          <cell r="R249">
            <v>0.61559099461624467</v>
          </cell>
          <cell r="S249">
            <v>2.7948579618026863E-2</v>
          </cell>
          <cell r="T249">
            <v>0.10102377946774811</v>
          </cell>
          <cell r="U249">
            <v>0.10000000000000002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0.10564048637723585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0.03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2.0000000014112142E-2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3.5645496710178456E-2</v>
          </cell>
          <cell r="AP249">
            <v>5.4569688724173337E-2</v>
          </cell>
          <cell r="AQ249">
            <v>6.6039011701422817E-2</v>
          </cell>
          <cell r="AR249">
            <v>7.8698308212120496E-2</v>
          </cell>
        </row>
        <row r="250">
          <cell r="B250" t="str">
            <v>Weighted average shares outstanding, basic</v>
          </cell>
          <cell r="C250" t="str">
            <v>SH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43.068945000000006</v>
          </cell>
          <cell r="R250">
            <v>59.865833000000002</v>
          </cell>
          <cell r="S250">
            <v>59.865833000000002</v>
          </cell>
          <cell r="T250">
            <v>79.865833000000009</v>
          </cell>
          <cell r="U250">
            <v>111.81216599999999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145.355816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218.03372400000001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283.44384100000002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283.44384100000002</v>
          </cell>
          <cell r="AP250">
            <v>283.44384100000002</v>
          </cell>
          <cell r="AQ250">
            <v>283.44384100000002</v>
          </cell>
          <cell r="AR250">
            <v>283.44384100000002</v>
          </cell>
        </row>
        <row r="251">
          <cell r="A251" t="str">
            <v>Additional Income Statement Items</v>
          </cell>
          <cell r="B251" t="str">
            <v>Diluted average shares outstanding (mn)</v>
          </cell>
          <cell r="C251" t="str">
            <v>DILUTE_SHARES</v>
          </cell>
          <cell r="D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43.068945000000006</v>
          </cell>
          <cell r="R251">
            <v>59.865833000000002</v>
          </cell>
          <cell r="S251">
            <v>59.865833000000002</v>
          </cell>
          <cell r="T251">
            <v>79.865833000000009</v>
          </cell>
          <cell r="U251">
            <v>111.81216599999999</v>
          </cell>
          <cell r="Z251">
            <v>145.355816</v>
          </cell>
          <cell r="AE251">
            <v>218.03372400000001</v>
          </cell>
          <cell r="AJ251">
            <v>283.44384100000002</v>
          </cell>
          <cell r="AO251">
            <v>283.44384100000002</v>
          </cell>
          <cell r="AP251">
            <v>283.44384100000002</v>
          </cell>
          <cell r="AQ251">
            <v>283.44384100000002</v>
          </cell>
          <cell r="AR251">
            <v>283.44384100000002</v>
          </cell>
        </row>
        <row r="252">
          <cell r="B252" t="str">
            <v>Period-end shares outstanding</v>
          </cell>
          <cell r="C252" t="str">
            <v>NON_OP_ADD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43.068945000000006</v>
          </cell>
          <cell r="R252">
            <v>59.865833000000002</v>
          </cell>
          <cell r="S252">
            <v>59.865833000000002</v>
          </cell>
          <cell r="T252">
            <v>79.865833000000009</v>
          </cell>
          <cell r="U252">
            <v>111.81216599999999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145.355816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218.03372400000001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283.44384100000002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283.44384100000002</v>
          </cell>
          <cell r="AP252">
            <v>283.44384100000002</v>
          </cell>
          <cell r="AQ252">
            <v>283.44384100000002</v>
          </cell>
          <cell r="AR252">
            <v>283.44384100000002</v>
          </cell>
        </row>
        <row r="253">
          <cell r="A253" t="str">
            <v>Additional Income Statement Items</v>
          </cell>
          <cell r="B253" t="str">
            <v>Net income (consensus) (Pub)</v>
          </cell>
          <cell r="C253" t="str">
            <v>NI_CONS</v>
          </cell>
          <cell r="D253" t="str">
            <v>CNY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</row>
        <row r="254">
          <cell r="A254" t="str">
            <v>Balance Sheet</v>
          </cell>
          <cell r="B254" t="str">
            <v>Marginal tax rate</v>
          </cell>
          <cell r="C254" t="str">
            <v>MARGIN_TAX_RATE</v>
          </cell>
          <cell r="D254">
            <v>0</v>
          </cell>
          <cell r="M254" t="e">
            <v>#DIV/0!</v>
          </cell>
          <cell r="N254" t="e">
            <v>#DIV/0!</v>
          </cell>
          <cell r="O254" t="e">
            <v>#DIV/0!</v>
          </cell>
          <cell r="P254" t="e">
            <v>#DIV/0!</v>
          </cell>
          <cell r="Q254">
            <v>3.8168996871759425E-2</v>
          </cell>
          <cell r="R254">
            <v>6.8914959273396484E-2</v>
          </cell>
          <cell r="S254">
            <v>9.434059635161382E-2</v>
          </cell>
          <cell r="T254">
            <v>8.6848356353623854E-2</v>
          </cell>
          <cell r="U254">
            <v>0.12558625006440455</v>
          </cell>
          <cell r="Z254">
            <v>0.10923920931155745</v>
          </cell>
          <cell r="AE254">
            <v>0.13824210288367372</v>
          </cell>
          <cell r="AJ254">
            <v>0.15493639819567329</v>
          </cell>
          <cell r="AO254">
            <v>0.16979498192008113</v>
          </cell>
          <cell r="AP254">
            <v>0.14999999999999988</v>
          </cell>
          <cell r="AQ254">
            <v>0.16</v>
          </cell>
          <cell r="AR254">
            <v>0.17</v>
          </cell>
        </row>
        <row r="255">
          <cell r="B255" t="str">
            <v>Net income (consensus) (Pub)</v>
          </cell>
          <cell r="C255" t="str">
            <v>NI_CONS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 t="e">
            <v>#DIV/0!</v>
          </cell>
          <cell r="M255" t="e">
            <v>#DIV/0!</v>
          </cell>
          <cell r="N255" t="e">
            <v>#DIV/0!</v>
          </cell>
          <cell r="O255" t="e">
            <v>#DIV/0!</v>
          </cell>
          <cell r="P255" t="e">
            <v>#DIV/0!</v>
          </cell>
          <cell r="Q255">
            <v>2.2318772960424269</v>
          </cell>
          <cell r="R255">
            <v>2.0857455490513259</v>
          </cell>
          <cell r="S255">
            <v>2.752085957277167</v>
          </cell>
          <cell r="T255">
            <v>6.6860452859735391</v>
          </cell>
          <cell r="U255">
            <v>5.4827593977564133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4.9720306875096076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3.6064867155596532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2.8791835219661728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3.0717403037444142</v>
          </cell>
          <cell r="AP255">
            <v>3.3665254691413868</v>
          </cell>
          <cell r="AQ255">
            <v>3.7232678556603127</v>
          </cell>
          <cell r="AR255">
            <v>4.1483956939375917</v>
          </cell>
        </row>
        <row r="256">
          <cell r="A256" t="str">
            <v>Balance Sheet</v>
          </cell>
          <cell r="B256">
            <v>0</v>
          </cell>
          <cell r="C256">
            <v>0</v>
          </cell>
          <cell r="D256">
            <v>0</v>
          </cell>
        </row>
        <row r="257">
          <cell r="B257" t="str">
            <v>BVPS, book value per share</v>
          </cell>
          <cell r="C257" t="str">
            <v>BVPS</v>
          </cell>
          <cell r="D257" t="str">
            <v>CNY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 t="e">
            <v>#DIV/0!</v>
          </cell>
          <cell r="M257" t="e">
            <v>#DIV/0!</v>
          </cell>
          <cell r="N257" t="e">
            <v>#DIV/0!</v>
          </cell>
          <cell r="O257" t="e">
            <v>#DIV/0!</v>
          </cell>
          <cell r="P257" t="e">
            <v>#DIV/0!</v>
          </cell>
          <cell r="Q257">
            <v>2.2318772960424269</v>
          </cell>
          <cell r="R257">
            <v>2.0857455490513259</v>
          </cell>
          <cell r="S257">
            <v>2.752085957277167</v>
          </cell>
          <cell r="T257">
            <v>6.6860452859735391</v>
          </cell>
          <cell r="U257">
            <v>5.4827593977564133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4.9720306875096076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3.6064867155596532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2.8791835219661728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3.0717403037444142</v>
          </cell>
          <cell r="AP257">
            <v>3.3665254691413868</v>
          </cell>
          <cell r="AQ257">
            <v>3.7232678556603127</v>
          </cell>
          <cell r="AR257">
            <v>4.1483956939375917</v>
          </cell>
        </row>
        <row r="258">
          <cell r="A258" t="str">
            <v>Cash Flow Statement</v>
          </cell>
          <cell r="B258">
            <v>0</v>
          </cell>
          <cell r="C258">
            <v>0</v>
          </cell>
          <cell r="D258">
            <v>0</v>
          </cell>
        </row>
        <row r="259">
          <cell r="B259" t="str">
            <v>Net income (pre-preferred dividends)</v>
          </cell>
          <cell r="C259" t="str">
            <v>CF_NI_PRE_PREF</v>
          </cell>
          <cell r="D259" t="str">
            <v>CNY</v>
          </cell>
          <cell r="E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32.912707780000012</v>
          </cell>
          <cell r="R259">
            <v>50.10604</v>
          </cell>
          <cell r="S259">
            <v>63.31437145999999</v>
          </cell>
          <cell r="T259">
            <v>78.36272756000001</v>
          </cell>
          <cell r="U259">
            <v>87.189730130000015</v>
          </cell>
          <cell r="Z259">
            <v>110.73062873000002</v>
          </cell>
          <cell r="AE259">
            <v>66.209552989999963</v>
          </cell>
          <cell r="AJ259">
            <v>36.292118980000012</v>
          </cell>
          <cell r="AO259">
            <v>64.682530339709331</v>
          </cell>
          <cell r="AP259">
            <v>99.022481724092216</v>
          </cell>
          <cell r="AQ259">
            <v>119.83478341492621</v>
          </cell>
          <cell r="AR259">
            <v>142.8064181571842</v>
          </cell>
        </row>
        <row r="260">
          <cell r="A260" t="str">
            <v>Other Items</v>
          </cell>
          <cell r="B260" t="str">
            <v>Market equity risk premium</v>
          </cell>
          <cell r="C260" t="str">
            <v>MKT_EQ_RISK_PREM</v>
          </cell>
          <cell r="E260">
            <v>0</v>
          </cell>
        </row>
        <row r="261">
          <cell r="B261" t="str">
            <v>Beta</v>
          </cell>
          <cell r="C261" t="str">
            <v>BETA_ANALYST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Z261">
            <v>0</v>
          </cell>
          <cell r="AE261">
            <v>0</v>
          </cell>
          <cell r="AJ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</row>
        <row r="262">
          <cell r="B262" t="str">
            <v>Market equity risk premium</v>
          </cell>
          <cell r="C262" t="str">
            <v>MKT_EQ_RISK_PREM</v>
          </cell>
        </row>
        <row r="263">
          <cell r="B263" t="str">
            <v>Risk-free rate</v>
          </cell>
          <cell r="C263" t="str">
            <v>RISK_FR_RATE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Z263">
            <v>0</v>
          </cell>
          <cell r="AE263">
            <v>0</v>
          </cell>
          <cell r="AJ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TP"/>
      <sheetName val="PL"/>
      <sheetName val="BS"/>
      <sheetName val="CF"/>
      <sheetName val="Assumption"/>
      <sheetName val="Segment"/>
      <sheetName val="Annual"/>
      <sheetName val="EEO"/>
      <sheetName val="Quarter"/>
      <sheetName val="002439.SZ_Live_Sheet"/>
      <sheetName val="002439.SZ_Validation_Sheet"/>
      <sheetName val="002439.SZ_Annotation_Sheet"/>
      <sheetName val="002439.SZ_Exchange_Sheet"/>
      <sheetName val="AFOSHEET"/>
      <sheetName val="charts"/>
      <sheetName val="300782.SZ_Live_Sheet"/>
      <sheetName val="300782.SZ_Validation_Sheet"/>
      <sheetName val="300782.SZ_Annotation_Sheet"/>
      <sheetName val="Peers"/>
      <sheetName val="300782.SZ_Exchange_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Issuer: Venustech Group</v>
          </cell>
          <cell r="C1">
            <v>854991654</v>
          </cell>
          <cell r="F1">
            <v>2009</v>
          </cell>
          <cell r="G1">
            <v>2010</v>
          </cell>
          <cell r="H1">
            <v>2011</v>
          </cell>
          <cell r="I1">
            <v>2012</v>
          </cell>
          <cell r="J1">
            <v>2013</v>
          </cell>
          <cell r="K1">
            <v>2014</v>
          </cell>
          <cell r="L1">
            <v>2015</v>
          </cell>
          <cell r="M1">
            <v>2016</v>
          </cell>
          <cell r="N1">
            <v>2017</v>
          </cell>
          <cell r="O1">
            <v>2018</v>
          </cell>
          <cell r="P1">
            <v>2019</v>
          </cell>
          <cell r="Q1">
            <v>2020</v>
          </cell>
          <cell r="R1">
            <v>2021</v>
          </cell>
          <cell r="S1">
            <v>2022</v>
          </cell>
          <cell r="T1">
            <v>2023</v>
          </cell>
          <cell r="V1" t="str">
            <v>2011 Q1</v>
          </cell>
          <cell r="W1" t="str">
            <v>2011 Q2</v>
          </cell>
          <cell r="X1" t="str">
            <v>2011 Q3</v>
          </cell>
          <cell r="Y1" t="str">
            <v>2011 Q4</v>
          </cell>
          <cell r="Z1" t="str">
            <v>2012 Q1</v>
          </cell>
          <cell r="AA1" t="str">
            <v>2012 Q2</v>
          </cell>
          <cell r="AB1" t="str">
            <v>2012 Q3</v>
          </cell>
          <cell r="AC1" t="str">
            <v>2012 Q4</v>
          </cell>
          <cell r="AD1" t="str">
            <v>2013 Q1</v>
          </cell>
          <cell r="AE1" t="str">
            <v>2013 Q2</v>
          </cell>
          <cell r="AF1" t="str">
            <v>2013 Q3</v>
          </cell>
          <cell r="AG1" t="str">
            <v>2013 Q4</v>
          </cell>
          <cell r="AH1" t="str">
            <v>2014 Q1</v>
          </cell>
          <cell r="AI1" t="str">
            <v>2014 Q2</v>
          </cell>
          <cell r="AJ1" t="str">
            <v>2014 Q3</v>
          </cell>
          <cell r="AK1" t="str">
            <v>2014 Q4</v>
          </cell>
          <cell r="AL1" t="str">
            <v>2015 Q1</v>
          </cell>
          <cell r="AM1" t="str">
            <v>2015 Q2</v>
          </cell>
          <cell r="AN1" t="str">
            <v>2015 Q3</v>
          </cell>
        </row>
        <row r="4">
          <cell r="A4" t="str">
            <v>Issuer: Venustech Group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Venustech Group</v>
          </cell>
        </row>
        <row r="7">
          <cell r="B7" t="str">
            <v>Reporting Currency</v>
          </cell>
          <cell r="C7" t="str">
            <v>CURRENCY_ISO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>
            <v>0</v>
          </cell>
        </row>
        <row r="12">
          <cell r="B12" t="str">
            <v>Compensation &amp; benfits expense</v>
          </cell>
          <cell r="C12" t="str">
            <v>PERSONNEL</v>
          </cell>
          <cell r="D12">
            <v>0</v>
          </cell>
        </row>
        <row r="13">
          <cell r="B13" t="str">
            <v>Cost of goods sold, COGS</v>
          </cell>
          <cell r="C13" t="str">
            <v>COST_GD_SD</v>
          </cell>
          <cell r="D13">
            <v>0</v>
          </cell>
        </row>
        <row r="14">
          <cell r="B14" t="str">
            <v>SG&amp;A, selling, general and admin. expense</v>
          </cell>
          <cell r="C14" t="str">
            <v>SEL_GL_AD</v>
          </cell>
          <cell r="D14">
            <v>0</v>
          </cell>
        </row>
        <row r="15">
          <cell r="B15" t="str">
            <v>Total operating expense</v>
          </cell>
          <cell r="C15" t="str">
            <v>OP_COST</v>
          </cell>
          <cell r="D15">
            <v>0</v>
          </cell>
        </row>
        <row r="16">
          <cell r="B16" t="str">
            <v>R&amp;D expense</v>
          </cell>
          <cell r="C16" t="str">
            <v>RD_EXP</v>
          </cell>
          <cell r="D16">
            <v>0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>
            <v>0</v>
          </cell>
        </row>
        <row r="19">
          <cell r="B19" t="str">
            <v>Total operating expense (excl. D&amp;A)</v>
          </cell>
          <cell r="C19" t="str">
            <v>TOT_OPS_EXP</v>
          </cell>
          <cell r="D19">
            <v>0</v>
          </cell>
        </row>
        <row r="20">
          <cell r="B20" t="str">
            <v>EBITDA</v>
          </cell>
          <cell r="C20" t="str">
            <v>EBITDA_CALC</v>
          </cell>
          <cell r="D20">
            <v>0</v>
          </cell>
        </row>
        <row r="21">
          <cell r="B21" t="str">
            <v>Depreciation</v>
          </cell>
          <cell r="C21" t="str">
            <v>DEPREC</v>
          </cell>
          <cell r="D21">
            <v>0</v>
          </cell>
        </row>
        <row r="22">
          <cell r="B22" t="str">
            <v>Amortization</v>
          </cell>
          <cell r="C22" t="str">
            <v>GOODWILL_AMORT</v>
          </cell>
          <cell r="D22">
            <v>0</v>
          </cell>
        </row>
        <row r="23">
          <cell r="B23" t="str">
            <v>EBIT, operating profit</v>
          </cell>
          <cell r="C23" t="str">
            <v>EBIT</v>
          </cell>
          <cell r="D23">
            <v>0</v>
          </cell>
        </row>
        <row r="24">
          <cell r="B24" t="str">
            <v>Interest income</v>
          </cell>
          <cell r="C24" t="str">
            <v>INT_INC_IND</v>
          </cell>
          <cell r="D24">
            <v>0</v>
          </cell>
        </row>
        <row r="25">
          <cell r="B25" t="str">
            <v>Interest expense</v>
          </cell>
          <cell r="C25" t="str">
            <v>INT_EXP_IND</v>
          </cell>
          <cell r="D25">
            <v>0</v>
          </cell>
        </row>
        <row r="26">
          <cell r="B26" t="str">
            <v>Net interest income/(expense)</v>
          </cell>
          <cell r="C26" t="str">
            <v>NET_INT_EXP</v>
          </cell>
          <cell r="D26">
            <v>0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>
            <v>0</v>
          </cell>
        </row>
        <row r="30">
          <cell r="B30" t="str">
            <v>Pre-tax profit</v>
          </cell>
          <cell r="C30" t="str">
            <v>PT_PROF</v>
          </cell>
          <cell r="D30">
            <v>0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>
            <v>0</v>
          </cell>
        </row>
        <row r="33">
          <cell r="B33" t="str">
            <v>Operating lease cost</v>
          </cell>
          <cell r="C33" t="str">
            <v>LEASE_PAY</v>
          </cell>
          <cell r="D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>
            <v>0</v>
          </cell>
        </row>
        <row r="36">
          <cell r="B36" t="str">
            <v>Gross interest charge</v>
          </cell>
          <cell r="C36" t="str">
            <v>NET_INT_CH</v>
          </cell>
          <cell r="D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>
            <v>0</v>
          </cell>
        </row>
        <row r="38">
          <cell r="B38" t="str">
            <v>Depreciation ROU assets   (applicable to IFRS cos.)</v>
          </cell>
          <cell r="C38" t="str">
            <v>DEPR_ROU_ASSETS</v>
          </cell>
          <cell r="D38">
            <v>0</v>
          </cell>
        </row>
        <row r="39">
          <cell r="B39" t="str">
            <v>Lease interest charge  (applicable to IFRS cos.)</v>
          </cell>
          <cell r="C39" t="str">
            <v>LEASE_INT_CHG</v>
          </cell>
          <cell r="D39">
            <v>0</v>
          </cell>
        </row>
        <row r="40">
          <cell r="B40" t="str">
            <v>Lease standard adopted (US GAAP ASC 842/ IFRS 16)</v>
          </cell>
          <cell r="C40" t="str">
            <v>LEASE_ADOPT</v>
          </cell>
        </row>
        <row r="41">
          <cell r="A41" t="str">
            <v>Balance Sheet</v>
          </cell>
        </row>
        <row r="42">
          <cell r="B42" t="str">
            <v>Cash &amp; cash equivalents</v>
          </cell>
          <cell r="C42" t="str">
            <v>CASH_EQ</v>
          </cell>
          <cell r="D42">
            <v>0</v>
          </cell>
        </row>
        <row r="43">
          <cell r="B43" t="str">
            <v>Accounts receivable</v>
          </cell>
          <cell r="C43" t="str">
            <v>DEBTORS</v>
          </cell>
          <cell r="D43">
            <v>0</v>
          </cell>
        </row>
        <row r="44">
          <cell r="B44" t="str">
            <v>Inventory</v>
          </cell>
          <cell r="C44" t="str">
            <v>STOCKS</v>
          </cell>
          <cell r="D44">
            <v>0</v>
          </cell>
        </row>
        <row r="45">
          <cell r="B45" t="str">
            <v>Other current assets</v>
          </cell>
          <cell r="C45" t="str">
            <v>OTH_CUR_ASS</v>
          </cell>
          <cell r="D45">
            <v>0</v>
          </cell>
        </row>
        <row r="46">
          <cell r="B46" t="str">
            <v>Total current assets</v>
          </cell>
          <cell r="C46" t="str">
            <v>CUR_ASS</v>
          </cell>
          <cell r="D46">
            <v>0</v>
          </cell>
        </row>
        <row r="47">
          <cell r="B47" t="str">
            <v>Gross fixed assets, PP&amp;E</v>
          </cell>
          <cell r="C47" t="str">
            <v>GR_FIX_ASS</v>
          </cell>
          <cell r="D47">
            <v>0</v>
          </cell>
        </row>
        <row r="48">
          <cell r="B48" t="str">
            <v>Accumulated depreciation</v>
          </cell>
          <cell r="C48" t="str">
            <v>ACC_DDA</v>
          </cell>
          <cell r="D48">
            <v>0</v>
          </cell>
        </row>
        <row r="49">
          <cell r="B49" t="str">
            <v>Net PP&amp;E</v>
          </cell>
          <cell r="C49" t="str">
            <v>NET_FIX_ASS</v>
          </cell>
          <cell r="D49">
            <v>0</v>
          </cell>
        </row>
        <row r="50">
          <cell r="B50" t="str">
            <v>Gross intangibles</v>
          </cell>
          <cell r="C50" t="str">
            <v>GR_INTANG</v>
          </cell>
          <cell r="D50">
            <v>0</v>
          </cell>
        </row>
        <row r="51">
          <cell r="B51" t="str">
            <v>Accumulated amortization</v>
          </cell>
          <cell r="C51" t="str">
            <v>ACC_AMORT</v>
          </cell>
          <cell r="D51">
            <v>0</v>
          </cell>
        </row>
        <row r="52">
          <cell r="B52" t="str">
            <v>Net intangible assets</v>
          </cell>
          <cell r="C52" t="str">
            <v>NET_INTANG</v>
          </cell>
          <cell r="D52">
            <v>0</v>
          </cell>
        </row>
        <row r="53">
          <cell r="B53" t="str">
            <v>Equity method investments</v>
          </cell>
          <cell r="C53" t="str">
            <v>FIX_ASS_INV</v>
          </cell>
          <cell r="D53">
            <v>0</v>
          </cell>
        </row>
        <row r="54">
          <cell r="B54" t="str">
            <v>Investments in securities</v>
          </cell>
          <cell r="C54" t="str">
            <v>INV_SECUR</v>
          </cell>
          <cell r="D54">
            <v>0</v>
          </cell>
        </row>
        <row r="55">
          <cell r="B55" t="str">
            <v>Other long-term assets</v>
          </cell>
          <cell r="C55" t="str">
            <v>OTH_LT_ASS</v>
          </cell>
          <cell r="D55">
            <v>0</v>
          </cell>
        </row>
        <row r="56">
          <cell r="B56" t="str">
            <v>Total assets</v>
          </cell>
          <cell r="C56" t="str">
            <v>TOT_ASSET</v>
          </cell>
          <cell r="D56">
            <v>0</v>
          </cell>
        </row>
        <row r="57">
          <cell r="B57" t="str">
            <v>Accounts payable</v>
          </cell>
          <cell r="C57" t="str">
            <v>ACC_PAY_GQ</v>
          </cell>
          <cell r="D57">
            <v>0</v>
          </cell>
        </row>
        <row r="58">
          <cell r="B58" t="str">
            <v>Short-term debt</v>
          </cell>
          <cell r="C58" t="str">
            <v>SHORT_T_DEBT</v>
          </cell>
          <cell r="D58">
            <v>0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>
            <v>0</v>
          </cell>
        </row>
        <row r="60">
          <cell r="B60" t="str">
            <v>Other current liabilities</v>
          </cell>
          <cell r="C60" t="str">
            <v>OTH_CUR_LIABS</v>
          </cell>
          <cell r="D60">
            <v>0</v>
          </cell>
        </row>
        <row r="61">
          <cell r="B61" t="str">
            <v>Total current liabilities</v>
          </cell>
          <cell r="C61" t="str">
            <v>SHORT_TERM_LIABS</v>
          </cell>
          <cell r="D61">
            <v>0</v>
          </cell>
        </row>
        <row r="62">
          <cell r="B62" t="str">
            <v>Long-term  debt</v>
          </cell>
          <cell r="C62" t="str">
            <v>LT_DEBT</v>
          </cell>
          <cell r="D62">
            <v>0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>
            <v>0</v>
          </cell>
        </row>
        <row r="64">
          <cell r="B64" t="str">
            <v>Other long-term liabilities</v>
          </cell>
          <cell r="C64" t="str">
            <v>OTH_LT_CRED_GQ</v>
          </cell>
          <cell r="D64">
            <v>0</v>
          </cell>
        </row>
        <row r="65">
          <cell r="B65" t="str">
            <v>Total long-term liabilities</v>
          </cell>
          <cell r="C65" t="str">
            <v>TOT_LT_LIAB</v>
          </cell>
          <cell r="D65">
            <v>0</v>
          </cell>
        </row>
        <row r="66">
          <cell r="B66" t="str">
            <v>Total liabilities</v>
          </cell>
          <cell r="C66" t="str">
            <v>TOT_LIAB</v>
          </cell>
          <cell r="D66">
            <v>0</v>
          </cell>
        </row>
        <row r="67">
          <cell r="B67" t="str">
            <v>Preferred shares</v>
          </cell>
          <cell r="C67" t="str">
            <v>PREF_SH</v>
          </cell>
          <cell r="D67">
            <v>0</v>
          </cell>
        </row>
        <row r="68">
          <cell r="B68" t="str">
            <v>Total common equity</v>
          </cell>
          <cell r="C68" t="str">
            <v>ORD_SH_FUND</v>
          </cell>
          <cell r="D68">
            <v>0</v>
          </cell>
        </row>
        <row r="69">
          <cell r="B69" t="str">
            <v>Minority interest</v>
          </cell>
          <cell r="C69" t="str">
            <v>MINORITIES</v>
          </cell>
          <cell r="D69">
            <v>0</v>
          </cell>
        </row>
        <row r="70">
          <cell r="B70" t="str">
            <v>Total shareholders' equity</v>
          </cell>
          <cell r="C70" t="str">
            <v>EQ</v>
          </cell>
          <cell r="D70">
            <v>0</v>
          </cell>
        </row>
        <row r="71">
          <cell r="B71" t="str">
            <v>Total liabilities and equity</v>
          </cell>
          <cell r="C71" t="str">
            <v>TOT_LIAB_EQ</v>
          </cell>
          <cell r="D71">
            <v>0</v>
          </cell>
        </row>
        <row r="72">
          <cell r="A72" t="str">
            <v>Additional Balance Sheet Items</v>
          </cell>
        </row>
        <row r="73">
          <cell r="B73" t="str">
            <v>Total US$ debt (in US$)</v>
          </cell>
          <cell r="C73" t="str">
            <v>TOT_USD_DEBT</v>
          </cell>
        </row>
        <row r="74">
          <cell r="B74" t="str">
            <v>% US$ debt hedged (principal)</v>
          </cell>
          <cell r="C74" t="str">
            <v>TOT_PCT_USD_DEBT_HEDGED</v>
          </cell>
        </row>
        <row r="75">
          <cell r="B75" t="str">
            <v>% Floating debt (local currency debt)</v>
          </cell>
          <cell r="C75" t="str">
            <v>FLOATING_PCT_LOCAL_DEBT</v>
          </cell>
        </row>
        <row r="76">
          <cell r="B76" t="str">
            <v>% floating debt hedged (rates)</v>
          </cell>
          <cell r="C76" t="str">
            <v>FLOATING_PCT_LOCAL_DEBT_HEDGED</v>
          </cell>
        </row>
        <row r="77">
          <cell r="B77" t="str">
            <v>Net debt</v>
          </cell>
          <cell r="C77" t="str">
            <v>NET_DEBT</v>
          </cell>
          <cell r="D77">
            <v>0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>
            <v>0</v>
          </cell>
        </row>
        <row r="79">
          <cell r="B79" t="str">
            <v>Deferred income taxes</v>
          </cell>
          <cell r="C79" t="str">
            <v>DEF_INC_TAX</v>
          </cell>
          <cell r="D79">
            <v>0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>
            <v>0</v>
          </cell>
        </row>
        <row r="81">
          <cell r="B81" t="str">
            <v>Net debt adjustment</v>
          </cell>
          <cell r="C81" t="str">
            <v>NET_DEBT_ADJ</v>
          </cell>
          <cell r="D81">
            <v>0</v>
          </cell>
        </row>
        <row r="82">
          <cell r="B82" t="str">
            <v>Company borrowing margin</v>
          </cell>
          <cell r="C82" t="str">
            <v>CO_BOR_MARGIN</v>
          </cell>
        </row>
        <row r="83">
          <cell r="B83" t="str">
            <v>Unfunded pensions &amp; other provisions</v>
          </cell>
          <cell r="C83" t="str">
            <v>UNF_PENS</v>
          </cell>
          <cell r="D83">
            <v>0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>
            <v>0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>
            <v>0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>
            <v>0</v>
          </cell>
        </row>
        <row r="87">
          <cell r="B87" t="str">
            <v>Other GCI adjustments</v>
          </cell>
          <cell r="C87" t="str">
            <v>OTH_GCI_ADJ</v>
          </cell>
          <cell r="D87">
            <v>0</v>
          </cell>
        </row>
        <row r="88">
          <cell r="B88" t="str">
            <v>GCI inflator</v>
          </cell>
          <cell r="C88" t="str">
            <v>GCI_INFL</v>
          </cell>
        </row>
        <row r="89">
          <cell r="B89" t="str">
            <v>Minority interest</v>
          </cell>
          <cell r="C89" t="str">
            <v>BAL_MINO_INT</v>
          </cell>
          <cell r="D89">
            <v>0</v>
          </cell>
        </row>
        <row r="90">
          <cell r="B90" t="str">
            <v>Right-of-use assets (op lease assets under US GAAP)</v>
          </cell>
          <cell r="C90" t="str">
            <v>ROU_ASSET</v>
          </cell>
          <cell r="D90">
            <v>0</v>
          </cell>
        </row>
        <row r="91">
          <cell r="A91" t="str">
            <v>Cash Flow Statement</v>
          </cell>
        </row>
        <row r="92">
          <cell r="B92" t="str">
            <v>Minority interest add-back</v>
          </cell>
          <cell r="C92" t="str">
            <v>CF_INC_MINORITY</v>
          </cell>
          <cell r="D92">
            <v>0</v>
          </cell>
        </row>
        <row r="93">
          <cell r="B93" t="str">
            <v>Depreciation &amp; amortization add-back</v>
          </cell>
          <cell r="C93" t="str">
            <v>DEPR_AMORT</v>
          </cell>
          <cell r="D93">
            <v>0</v>
          </cell>
        </row>
        <row r="94">
          <cell r="B94" t="str">
            <v>(Increase)/decrease in working capital</v>
          </cell>
          <cell r="C94" t="str">
            <v>WORK_CAP</v>
          </cell>
          <cell r="D94">
            <v>0</v>
          </cell>
        </row>
        <row r="95">
          <cell r="B95" t="str">
            <v>Other operating cash flow items</v>
          </cell>
          <cell r="C95" t="str">
            <v>OTH_OP_CF</v>
          </cell>
          <cell r="D95">
            <v>0</v>
          </cell>
        </row>
        <row r="96">
          <cell r="B96" t="str">
            <v>Cash flow from operating activities</v>
          </cell>
          <cell r="C96" t="str">
            <v>CF_OPS</v>
          </cell>
          <cell r="D96">
            <v>0</v>
          </cell>
        </row>
        <row r="97">
          <cell r="B97" t="str">
            <v>Capital expenditures, Capex</v>
          </cell>
          <cell r="C97" t="str">
            <v>CAPEX</v>
          </cell>
          <cell r="D97">
            <v>0</v>
          </cell>
        </row>
        <row r="98">
          <cell r="B98" t="str">
            <v>Acquisitions</v>
          </cell>
          <cell r="C98" t="str">
            <v>ACQ</v>
          </cell>
          <cell r="D98">
            <v>0</v>
          </cell>
        </row>
        <row r="99">
          <cell r="B99" t="str">
            <v>Divestitures</v>
          </cell>
          <cell r="C99" t="str">
            <v>DIVEST</v>
          </cell>
          <cell r="D99">
            <v>0</v>
          </cell>
        </row>
        <row r="100">
          <cell r="B100" t="str">
            <v>Other investing cash flow items</v>
          </cell>
          <cell r="C100" t="str">
            <v>OTH_INV_CF</v>
          </cell>
          <cell r="D100">
            <v>0</v>
          </cell>
        </row>
        <row r="101">
          <cell r="B101" t="str">
            <v>Cash flow from investing</v>
          </cell>
          <cell r="C101" t="str">
            <v>CF_INV</v>
          </cell>
          <cell r="D101">
            <v>0</v>
          </cell>
        </row>
        <row r="102">
          <cell r="B102" t="str">
            <v>Dividends paid</v>
          </cell>
          <cell r="C102" t="str">
            <v>DIV_PAID</v>
          </cell>
          <cell r="D102">
            <v>0</v>
          </cell>
        </row>
        <row r="103">
          <cell r="B103" t="str">
            <v>Common stock issuance/(repurchase)</v>
          </cell>
          <cell r="C103" t="str">
            <v>SH_REPUR</v>
          </cell>
          <cell r="D103">
            <v>0</v>
          </cell>
        </row>
        <row r="104">
          <cell r="B104" t="str">
            <v>Increase/(decrease) in total debt</v>
          </cell>
          <cell r="C104" t="str">
            <v>CHG_LT_DEBT</v>
          </cell>
          <cell r="D104">
            <v>0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>
            <v>0</v>
          </cell>
        </row>
        <row r="106">
          <cell r="B106" t="str">
            <v>Other financing cash flow items</v>
          </cell>
          <cell r="C106" t="str">
            <v>OTH_FIN_CF</v>
          </cell>
          <cell r="D106">
            <v>0</v>
          </cell>
        </row>
        <row r="107">
          <cell r="B107" t="str">
            <v>Cash flow from financing</v>
          </cell>
          <cell r="C107" t="str">
            <v>CF_FIN</v>
          </cell>
          <cell r="D107">
            <v>0</v>
          </cell>
        </row>
        <row r="108">
          <cell r="B108" t="str">
            <v>Total cash flow</v>
          </cell>
          <cell r="C108" t="str">
            <v>TOT_CF</v>
          </cell>
          <cell r="D108">
            <v>0</v>
          </cell>
        </row>
        <row r="109">
          <cell r="A109" t="str">
            <v>Additional Cash Flow Items</v>
          </cell>
        </row>
        <row r="110">
          <cell r="B110" t="str">
            <v>Associate and JV add-back</v>
          </cell>
          <cell r="C110" t="str">
            <v>ASSOC_JV_ADDBK</v>
          </cell>
          <cell r="D110">
            <v>0</v>
          </cell>
        </row>
        <row r="111">
          <cell r="B111" t="str">
            <v>Profit/(loss) on sale of assets</v>
          </cell>
          <cell r="C111" t="str">
            <v>PL_SALE_ASSETS</v>
          </cell>
          <cell r="D111">
            <v>0</v>
          </cell>
        </row>
        <row r="112">
          <cell r="B112" t="str">
            <v>Other non-cash adjustments</v>
          </cell>
          <cell r="C112" t="str">
            <v>OTH_NONCASH_ADJ</v>
          </cell>
          <cell r="D112">
            <v>0</v>
          </cell>
        </row>
        <row r="113">
          <cell r="B113" t="str">
            <v>Other DACF adjustments</v>
          </cell>
          <cell r="C113" t="str">
            <v>OTH_DACF_ADJ</v>
          </cell>
          <cell r="D113">
            <v>0</v>
          </cell>
        </row>
        <row r="114">
          <cell r="B114" t="str">
            <v>Cash interest expense</v>
          </cell>
          <cell r="C114" t="str">
            <v>CASH_INT_EXP</v>
          </cell>
          <cell r="D114">
            <v>0</v>
          </cell>
        </row>
        <row r="115">
          <cell r="B115" t="str">
            <v>Cash tax expense</v>
          </cell>
          <cell r="C115" t="str">
            <v>CASH_TAX_EXP</v>
          </cell>
          <cell r="D115">
            <v>0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>
            <v>0</v>
          </cell>
        </row>
        <row r="117">
          <cell r="B117" t="str">
            <v>Capex maintenance</v>
          </cell>
          <cell r="C117" t="str">
            <v>CAPEX_MAINTENANCE</v>
          </cell>
          <cell r="D117">
            <v>0</v>
          </cell>
        </row>
        <row r="118">
          <cell r="B118" t="str">
            <v>Capex expansion</v>
          </cell>
          <cell r="C118" t="str">
            <v>CAPEX_EXPANSION</v>
          </cell>
          <cell r="D118">
            <v>0</v>
          </cell>
        </row>
        <row r="119">
          <cell r="B119" t="str">
            <v>Non-PP&amp;E capex</v>
          </cell>
          <cell r="C119" t="str">
            <v>NONPPE_CAPEX</v>
          </cell>
          <cell r="D119">
            <v>0</v>
          </cell>
        </row>
        <row r="120">
          <cell r="B120" t="str">
            <v>Dividends paid to minorities</v>
          </cell>
          <cell r="C120" t="str">
            <v>DIVDS_PD_MINORITIES</v>
          </cell>
          <cell r="D120">
            <v>0</v>
          </cell>
        </row>
        <row r="121">
          <cell r="A121" t="str">
            <v>Other Items</v>
          </cell>
        </row>
        <row r="122">
          <cell r="B122" t="str">
            <v>Number of employees</v>
          </cell>
          <cell r="C122" t="str">
            <v>EMPLOYEES</v>
          </cell>
        </row>
        <row r="123">
          <cell r="A123" t="str">
            <v>Geographical Breakdown</v>
          </cell>
        </row>
        <row r="124">
          <cell r="B124" t="str">
            <v>Sales - % Canada</v>
          </cell>
          <cell r="C124" t="str">
            <v>SALES_CANADA</v>
          </cell>
        </row>
        <row r="125">
          <cell r="B125" t="str">
            <v>Sales - % United States</v>
          </cell>
          <cell r="C125" t="str">
            <v>SALES_US</v>
          </cell>
        </row>
        <row r="126">
          <cell r="B126" t="str">
            <v>Sales - % Other North Americas</v>
          </cell>
          <cell r="C126" t="str">
            <v>SALES_OTH_NO_AMER</v>
          </cell>
        </row>
        <row r="127">
          <cell r="B127" t="str">
            <v>Sales - % Argentina</v>
          </cell>
          <cell r="C127" t="str">
            <v>SALES_ARGENTINA</v>
          </cell>
        </row>
        <row r="128">
          <cell r="B128" t="str">
            <v>Sales - % Brazil</v>
          </cell>
          <cell r="C128" t="str">
            <v>SALES_BRAZIL</v>
          </cell>
        </row>
        <row r="129">
          <cell r="B129" t="str">
            <v>Sales - % Chile</v>
          </cell>
          <cell r="C129" t="str">
            <v>SALES_CHILE</v>
          </cell>
        </row>
        <row r="130">
          <cell r="B130" t="str">
            <v>Sales - % Colombia</v>
          </cell>
          <cell r="C130" t="str">
            <v>SALES_COLOMBIA</v>
          </cell>
        </row>
        <row r="131">
          <cell r="B131" t="str">
            <v>Sales - % Mexico</v>
          </cell>
          <cell r="C131" t="str">
            <v>SALES_MEXICO</v>
          </cell>
        </row>
        <row r="132">
          <cell r="B132" t="str">
            <v>Sales - % Venezuela</v>
          </cell>
          <cell r="C132" t="str">
            <v>SALES_VENEZUELA</v>
          </cell>
        </row>
        <row r="133">
          <cell r="B133" t="str">
            <v>Sales - % Other Latin Americas</v>
          </cell>
          <cell r="C133" t="str">
            <v>SALES_OTH_LATAM</v>
          </cell>
        </row>
        <row r="134">
          <cell r="B134" t="str">
            <v>Sales - % Austria</v>
          </cell>
          <cell r="C134" t="str">
            <v>SALES_AUSTRIA</v>
          </cell>
        </row>
        <row r="135">
          <cell r="B135" t="str">
            <v>Sales - % Belgium</v>
          </cell>
          <cell r="C135" t="str">
            <v>SALES_BEL</v>
          </cell>
        </row>
        <row r="136">
          <cell r="B136" t="str">
            <v>Sales - % France</v>
          </cell>
          <cell r="C136" t="str">
            <v>SALES_FRA</v>
          </cell>
        </row>
        <row r="137">
          <cell r="B137" t="str">
            <v>Sales - % Germany</v>
          </cell>
          <cell r="C137" t="str">
            <v>SALES_GER</v>
          </cell>
        </row>
        <row r="138">
          <cell r="B138" t="str">
            <v>Sales - % Greece</v>
          </cell>
          <cell r="C138" t="str">
            <v>SALES_GRE</v>
          </cell>
        </row>
        <row r="139">
          <cell r="B139" t="str">
            <v>Sales - % Ireland</v>
          </cell>
          <cell r="C139" t="str">
            <v>SALES_IRE</v>
          </cell>
        </row>
        <row r="140">
          <cell r="B140" t="str">
            <v>Sales - % Italy</v>
          </cell>
          <cell r="C140" t="str">
            <v>SALES_ITA</v>
          </cell>
        </row>
        <row r="141">
          <cell r="B141" t="str">
            <v>Sales - % Netherlands</v>
          </cell>
          <cell r="C141" t="str">
            <v>SALES_NETH</v>
          </cell>
        </row>
        <row r="142">
          <cell r="B142" t="str">
            <v>Sales - % Norway</v>
          </cell>
          <cell r="C142" t="str">
            <v>SALES_NOR</v>
          </cell>
        </row>
        <row r="143">
          <cell r="B143" t="str">
            <v>Sales - % Portugal</v>
          </cell>
          <cell r="C143" t="str">
            <v>SALES_POR</v>
          </cell>
        </row>
        <row r="144">
          <cell r="B144" t="str">
            <v>Sales - % Spain</v>
          </cell>
          <cell r="C144" t="str">
            <v>SALES_SPA</v>
          </cell>
        </row>
        <row r="145">
          <cell r="B145" t="str">
            <v>Sales - % Sweden</v>
          </cell>
          <cell r="C145" t="str">
            <v>SALES_SWE</v>
          </cell>
        </row>
        <row r="146">
          <cell r="B146" t="str">
            <v>Sales - % Switzerland</v>
          </cell>
          <cell r="C146" t="str">
            <v>SALES_SWIT</v>
          </cell>
        </row>
        <row r="147">
          <cell r="B147" t="str">
            <v>Sales - % UK</v>
          </cell>
          <cell r="C147" t="str">
            <v>SALES_UK</v>
          </cell>
        </row>
        <row r="148">
          <cell r="B148" t="str">
            <v>Sales - % Other Western Europe</v>
          </cell>
          <cell r="C148" t="str">
            <v>SALES_OTH_WEST_EURO</v>
          </cell>
        </row>
        <row r="149">
          <cell r="B149" t="str">
            <v>Sales - % Poland</v>
          </cell>
          <cell r="C149" t="str">
            <v>SALES_POLAND</v>
          </cell>
        </row>
        <row r="150">
          <cell r="B150" t="str">
            <v>Sales - % Russia</v>
          </cell>
          <cell r="C150" t="str">
            <v>SALES_RUSSIA</v>
          </cell>
        </row>
        <row r="151">
          <cell r="B151" t="str">
            <v>Sales - % Turkey</v>
          </cell>
          <cell r="C151" t="str">
            <v>SALES_TURKEY</v>
          </cell>
        </row>
        <row r="152">
          <cell r="B152" t="str">
            <v>Sales - % Other CEE</v>
          </cell>
          <cell r="C152" t="str">
            <v>SALES_OTH_CEE</v>
          </cell>
        </row>
        <row r="153">
          <cell r="B153" t="str">
            <v>Sales - % Saudi Arabia</v>
          </cell>
          <cell r="C153" t="str">
            <v>SALES_SAUDI_ARABIA</v>
          </cell>
        </row>
        <row r="154">
          <cell r="B154" t="str">
            <v>Sales - % United Arab Emirates</v>
          </cell>
          <cell r="C154" t="str">
            <v>SALES_UAE</v>
          </cell>
        </row>
        <row r="155">
          <cell r="B155" t="str">
            <v>Sales - % Other Middle East</v>
          </cell>
          <cell r="C155" t="str">
            <v>SALES_OTH_ME</v>
          </cell>
        </row>
        <row r="156">
          <cell r="B156" t="str">
            <v>Sales - % Nigeria</v>
          </cell>
          <cell r="C156" t="str">
            <v>SALES_NIGERIA</v>
          </cell>
        </row>
        <row r="157">
          <cell r="B157" t="str">
            <v>Sales - % South Africa</v>
          </cell>
          <cell r="C157" t="str">
            <v>SALES_SO_AFRICA</v>
          </cell>
        </row>
        <row r="158">
          <cell r="B158" t="str">
            <v>Sales - % Other Africa</v>
          </cell>
          <cell r="C158" t="str">
            <v>SALES_OTH_AFRICA</v>
          </cell>
        </row>
        <row r="159">
          <cell r="B159" t="str">
            <v>Sales - % Hong Kong</v>
          </cell>
          <cell r="C159" t="str">
            <v>SALES_HONG_KONG</v>
          </cell>
        </row>
        <row r="160">
          <cell r="B160" t="str">
            <v>Sales - % Japan</v>
          </cell>
          <cell r="C160" t="str">
            <v>SALES_JAPAN</v>
          </cell>
        </row>
        <row r="161">
          <cell r="B161" t="str">
            <v>Sales - % Singapore</v>
          </cell>
          <cell r="C161" t="str">
            <v>SALES_SINGAPORE</v>
          </cell>
        </row>
        <row r="162">
          <cell r="B162" t="str">
            <v>Sales - % South Korea</v>
          </cell>
          <cell r="C162" t="str">
            <v>SALES_SK</v>
          </cell>
        </row>
        <row r="163">
          <cell r="B163" t="str">
            <v>Sales - % Taiwan</v>
          </cell>
          <cell r="C163" t="str">
            <v>SALES_TAIWAN</v>
          </cell>
        </row>
        <row r="164">
          <cell r="B164" t="str">
            <v>Sales - % Other Developed Asia</v>
          </cell>
          <cell r="C164" t="str">
            <v>SALES_OTH_DEV_ASIA</v>
          </cell>
        </row>
        <row r="165">
          <cell r="B165" t="str">
            <v>Sales - % China</v>
          </cell>
          <cell r="C165" t="str">
            <v>SALES_CHINA</v>
          </cell>
        </row>
        <row r="166">
          <cell r="B166" t="str">
            <v>Sales - % India</v>
          </cell>
          <cell r="C166" t="str">
            <v>SALES_INDIA</v>
          </cell>
        </row>
        <row r="167">
          <cell r="B167" t="str">
            <v>Sales - % Indonesia</v>
          </cell>
          <cell r="C167" t="str">
            <v>SALES_INDONESIA</v>
          </cell>
        </row>
        <row r="168">
          <cell r="B168" t="str">
            <v>Sales - % Thailand</v>
          </cell>
          <cell r="C168" t="str">
            <v>SALES_THAILAND</v>
          </cell>
        </row>
        <row r="169">
          <cell r="B169" t="str">
            <v>Sales - % Other Emerging Asia</v>
          </cell>
          <cell r="C169" t="str">
            <v>SALES_OTH_EMERG_ASIA</v>
          </cell>
        </row>
        <row r="170">
          <cell r="B170" t="str">
            <v>Sales - % Australia</v>
          </cell>
          <cell r="C170" t="str">
            <v>SALES_AUSTRA</v>
          </cell>
        </row>
        <row r="171">
          <cell r="B171" t="str">
            <v>Sales - % New Zealand</v>
          </cell>
          <cell r="C171" t="str">
            <v>SALES_NZ</v>
          </cell>
        </row>
        <row r="172">
          <cell r="B172" t="str">
            <v>Sales - % Others</v>
          </cell>
          <cell r="C172" t="str">
            <v>SALES_OTHER</v>
          </cell>
        </row>
        <row r="173">
          <cell r="B173" t="str">
            <v>% of CoGS from U.S. (GS estimate)</v>
          </cell>
          <cell r="C173" t="str">
            <v>COGS_PCT_US</v>
          </cell>
        </row>
        <row r="174">
          <cell r="B174" t="str">
            <v>% of CoGS from non-U.S. (GS estimate)</v>
          </cell>
          <cell r="C174" t="str">
            <v>COGS_PCT_ROW</v>
          </cell>
        </row>
        <row r="175">
          <cell r="B175" t="str">
            <v>% of SG&amp;A from U.S. (GS estimate)</v>
          </cell>
          <cell r="C175" t="str">
            <v>SGA_PCT_US</v>
          </cell>
        </row>
        <row r="176">
          <cell r="B176" t="str">
            <v>% of SG&amp;A from non-U.S. (GS estimate)</v>
          </cell>
          <cell r="C176" t="str">
            <v>SGA_PCT_ROW</v>
          </cell>
        </row>
        <row r="177">
          <cell r="B177" t="str">
            <v>Sales -% Consumer (C)</v>
          </cell>
          <cell r="C177" t="str">
            <v>SALES_CONS</v>
          </cell>
        </row>
        <row r="178">
          <cell r="B178" t="str">
            <v>Sales -% Industry (I)</v>
          </cell>
          <cell r="C178" t="str">
            <v>SALES_IND</v>
          </cell>
        </row>
        <row r="179">
          <cell r="B179" t="str">
            <v>Sales -% Government (G)</v>
          </cell>
          <cell r="C179" t="str">
            <v>SALES_GOV</v>
          </cell>
        </row>
        <row r="180">
          <cell r="B180" t="str">
            <v>Sales - % Industry Sub-Segment: Financial Services</v>
          </cell>
          <cell r="C180" t="str">
            <v>SALES_FINAN</v>
          </cell>
        </row>
        <row r="181">
          <cell r="B181" t="str">
            <v>Sales - % Industry Sub-Segment: Oil &amp; Gas</v>
          </cell>
          <cell r="C181" t="str">
            <v>SALES_OIL_GAS</v>
          </cell>
        </row>
        <row r="182">
          <cell r="A182" t="str">
            <v>Commodities Exposure - Expense</v>
          </cell>
        </row>
        <row r="183">
          <cell r="B183" t="str">
            <v>Expense - % Oil/Petrol/Fuel</v>
          </cell>
          <cell r="C183" t="str">
            <v>EXP_OIL_PETRO_FUEL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</row>
        <row r="186"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</row>
        <row r="188"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</row>
        <row r="190">
          <cell r="A190" t="str">
            <v>FX Exposure - Sales</v>
          </cell>
        </row>
        <row r="191">
          <cell r="B191" t="str">
            <v>Sales - % FX: British Pounds/Pence</v>
          </cell>
          <cell r="C191" t="str">
            <v>SALES_FX_GPB</v>
          </cell>
        </row>
        <row r="192">
          <cell r="B192" t="str">
            <v>Sales - % FX: Euro</v>
          </cell>
          <cell r="C192" t="str">
            <v>SALES_FX_EUR</v>
          </cell>
        </row>
        <row r="193">
          <cell r="B193" t="str">
            <v>Sales - % FX: New Russian Ruble</v>
          </cell>
          <cell r="C193" t="str">
            <v>SALES_FX_RUB</v>
          </cell>
        </row>
        <row r="194">
          <cell r="B194" t="str">
            <v>Sales - % FX: U.S. Dollar</v>
          </cell>
          <cell r="C194" t="str">
            <v>SALES_FX_USD</v>
          </cell>
        </row>
        <row r="195">
          <cell r="B195" t="str">
            <v>Sales - % FX: Brazilian Real</v>
          </cell>
          <cell r="C195" t="str">
            <v>SALES_FX_BRL</v>
          </cell>
        </row>
        <row r="196">
          <cell r="B196" t="str">
            <v>Sales - % FX: Japanese Yen</v>
          </cell>
          <cell r="C196" t="str">
            <v>SALES_FX_YEN</v>
          </cell>
        </row>
        <row r="197">
          <cell r="B197" t="str">
            <v>Sales - % FX: Chinese Renminbi</v>
          </cell>
          <cell r="C197" t="str">
            <v>SALES_FX_CNY</v>
          </cell>
        </row>
        <row r="198">
          <cell r="B198" t="str">
            <v>Sales - % FX: Indian Rupee</v>
          </cell>
          <cell r="C198" t="str">
            <v>SALES_FX_INR</v>
          </cell>
        </row>
        <row r="199">
          <cell r="B199" t="str">
            <v>Sales - % FX: South Korean Won</v>
          </cell>
          <cell r="C199" t="str">
            <v>SALES_FX_KRW</v>
          </cell>
        </row>
        <row r="200">
          <cell r="B200" t="str">
            <v>Sales - % FX: Taiwan Dollar</v>
          </cell>
          <cell r="C200" t="str">
            <v>SALES_FX_TWD</v>
          </cell>
        </row>
        <row r="201">
          <cell r="B201" t="str">
            <v>Sales - % FX: Other Currency</v>
          </cell>
          <cell r="C201" t="str">
            <v>SALES_FX_OTH</v>
          </cell>
        </row>
        <row r="202">
          <cell r="A202" t="str">
            <v>Items to be removed</v>
          </cell>
        </row>
        <row r="203">
          <cell r="B203" t="str">
            <v>Sales - Total % Americas</v>
          </cell>
          <cell r="C203" t="str">
            <v>SALES_TOT_AM</v>
          </cell>
        </row>
        <row r="204">
          <cell r="B204" t="str">
            <v>Sales - % Other Americas</v>
          </cell>
          <cell r="C204" t="str">
            <v>SALES_OTH_AM</v>
          </cell>
        </row>
        <row r="205">
          <cell r="B205" t="str">
            <v>Sales - Total % EMEA</v>
          </cell>
          <cell r="C205" t="str">
            <v>SALES_TOT_EMEA</v>
          </cell>
        </row>
        <row r="206">
          <cell r="B206" t="str">
            <v>Sales - % Western Europe-Ex UK</v>
          </cell>
          <cell r="C206" t="str">
            <v>SALES_EU_EX_UK</v>
          </cell>
        </row>
        <row r="207">
          <cell r="B207" t="str">
            <v>Sales - % Central &amp; Eastern Europe</v>
          </cell>
          <cell r="C207" t="str">
            <v>SALES_CEE</v>
          </cell>
        </row>
        <row r="208">
          <cell r="B208" t="str">
            <v>Sales - % Middle East</v>
          </cell>
          <cell r="C208" t="str">
            <v>SALES_ME</v>
          </cell>
        </row>
        <row r="209">
          <cell r="B209" t="str">
            <v>Sales - % Total Africa</v>
          </cell>
          <cell r="C209" t="str">
            <v>SALES_TOT_AFRICA</v>
          </cell>
        </row>
        <row r="210">
          <cell r="B210" t="str">
            <v>Sales - % Other EMEA</v>
          </cell>
          <cell r="C210" t="str">
            <v>SALES_OTH_EMEA</v>
          </cell>
        </row>
        <row r="211">
          <cell r="B211" t="str">
            <v>Sales - Total % Asia (incl Australia &amp; New Zealand)</v>
          </cell>
          <cell r="C211" t="str">
            <v>SALES_TOT_ASIA</v>
          </cell>
        </row>
        <row r="212">
          <cell r="B212" t="str">
            <v>Sales - % Other Asia</v>
          </cell>
          <cell r="C212" t="str">
            <v>SALES_OTH_AEJ</v>
          </cell>
        </row>
        <row r="213">
          <cell r="A213" t="str">
            <v>Security: Venustech Group</v>
          </cell>
        </row>
        <row r="214">
          <cell r="A214" t="str">
            <v>Reference Data</v>
          </cell>
        </row>
        <row r="215">
          <cell r="B215" t="str">
            <v>Ticker</v>
          </cell>
          <cell r="C215" t="str">
            <v>Ticker</v>
          </cell>
          <cell r="E215" t="str">
            <v>002439.SZ</v>
          </cell>
        </row>
        <row r="216">
          <cell r="B216" t="str">
            <v>Security Name</v>
          </cell>
          <cell r="C216" t="str">
            <v>Security Name</v>
          </cell>
          <cell r="E216" t="str">
            <v>Venustech Group</v>
          </cell>
        </row>
        <row r="217">
          <cell r="B217" t="str">
            <v>Interim Type</v>
          </cell>
          <cell r="C217" t="str">
            <v>Interim Type</v>
          </cell>
          <cell r="E217" t="str">
            <v>Q</v>
          </cell>
        </row>
        <row r="218">
          <cell r="B218" t="str">
            <v>Publishing Currency</v>
          </cell>
          <cell r="C218" t="str">
            <v>PUB_CURRENCY_ISO</v>
          </cell>
        </row>
        <row r="219">
          <cell r="B219" t="str">
            <v>Pricing Currency</v>
          </cell>
          <cell r="C219" t="str">
            <v>PRICE_CURRENCY_ISO</v>
          </cell>
        </row>
        <row r="220">
          <cell r="B220" t="str">
            <v>Reporting Currency</v>
          </cell>
          <cell r="C220" t="str">
            <v>CURRENCY_ISO</v>
          </cell>
        </row>
        <row r="221">
          <cell r="A221" t="str">
            <v>General Information</v>
          </cell>
        </row>
        <row r="222">
          <cell r="B222" t="str">
            <v>Asia ex. Japan Investment List</v>
          </cell>
          <cell r="C222" t="str">
            <v>AEJ_LIST</v>
          </cell>
        </row>
        <row r="223">
          <cell r="B223" t="str">
            <v>Asia ex. Japan Conviction List</v>
          </cell>
          <cell r="C223" t="str">
            <v>AEJ_CONVICTION</v>
          </cell>
        </row>
        <row r="224">
          <cell r="B224" t="str">
            <v>Legal rating</v>
          </cell>
          <cell r="C224" t="str">
            <v>LEGAL_RATING</v>
          </cell>
        </row>
        <row r="225">
          <cell r="B225" t="str">
            <v>Target price</v>
          </cell>
          <cell r="C225" t="str">
            <v>TARGET_PRICE</v>
          </cell>
          <cell r="D225">
            <v>0</v>
          </cell>
        </row>
        <row r="226">
          <cell r="B226" t="str">
            <v>Target price period</v>
          </cell>
          <cell r="C226" t="str">
            <v>TP_PERIOD</v>
          </cell>
        </row>
        <row r="227">
          <cell r="B227" t="str">
            <v>Fundamental value</v>
          </cell>
          <cell r="C227" t="str">
            <v>TARGET_PRICE_FUNDAMENTAL</v>
          </cell>
          <cell r="D227">
            <v>0</v>
          </cell>
        </row>
        <row r="228">
          <cell r="B228" t="str">
            <v>M&amp;A value</v>
          </cell>
          <cell r="C228" t="str">
            <v>TARGET_PRICE_MA</v>
          </cell>
          <cell r="D228">
            <v>0</v>
          </cell>
        </row>
        <row r="229">
          <cell r="B229" t="str">
            <v>Current shares outstanding (mn)</v>
          </cell>
          <cell r="C229" t="str">
            <v>NUM_SH</v>
          </cell>
        </row>
        <row r="230">
          <cell r="B230" t="str">
            <v>Free float</v>
          </cell>
          <cell r="C230" t="str">
            <v>FREE_FLOAT</v>
          </cell>
        </row>
        <row r="231">
          <cell r="B231" t="str">
            <v>Foreign ownership</v>
          </cell>
          <cell r="C231" t="str">
            <v>FOREIGN_HOLDNG</v>
          </cell>
        </row>
        <row r="232">
          <cell r="B232" t="str">
            <v>Catalyst 1 date</v>
          </cell>
          <cell r="C232" t="str">
            <v>CATALYST1_DATE</v>
          </cell>
        </row>
        <row r="233">
          <cell r="B233" t="str">
            <v>Catalyst 1 description</v>
          </cell>
          <cell r="C233" t="str">
            <v>CATALYST1_EVENT</v>
          </cell>
        </row>
        <row r="234">
          <cell r="B234" t="str">
            <v>Catalyst 2 date</v>
          </cell>
          <cell r="C234" t="str">
            <v>CATALYST2_DATE</v>
          </cell>
        </row>
        <row r="235">
          <cell r="B235" t="str">
            <v>Catalyst 2 description</v>
          </cell>
          <cell r="C235" t="str">
            <v>CATALYST2_EVENT</v>
          </cell>
        </row>
        <row r="236">
          <cell r="B236" t="str">
            <v>Catalyst 3 date</v>
          </cell>
          <cell r="C236" t="str">
            <v>CATALYST3_DATE</v>
          </cell>
        </row>
        <row r="237">
          <cell r="B237" t="str">
            <v>Catalyst 3 description</v>
          </cell>
          <cell r="C237" t="str">
            <v>CATALYST3_EVENT</v>
          </cell>
        </row>
        <row r="238">
          <cell r="B238" t="str">
            <v>Catalyst 4 date</v>
          </cell>
          <cell r="C238" t="str">
            <v>CATALYST4_DATE</v>
          </cell>
        </row>
        <row r="239">
          <cell r="B239" t="str">
            <v>Catalyst 4 description</v>
          </cell>
          <cell r="C239" t="str">
            <v>CATALYST4_EVENT</v>
          </cell>
        </row>
        <row r="240">
          <cell r="B240" t="str">
            <v>Catalyst 5 date</v>
          </cell>
          <cell r="C240" t="str">
            <v>CATALYST5_DATE</v>
          </cell>
        </row>
        <row r="241">
          <cell r="B241" t="str">
            <v>Catalyst 5 description</v>
          </cell>
          <cell r="C241" t="str">
            <v>CATALYST5_EVENT</v>
          </cell>
        </row>
        <row r="242">
          <cell r="B242" t="str">
            <v>Target price multiple</v>
          </cell>
          <cell r="C242" t="str">
            <v>PRI_TARG_MULT</v>
          </cell>
        </row>
        <row r="243">
          <cell r="B243" t="str">
            <v>Target price methodology</v>
          </cell>
          <cell r="C243" t="str">
            <v>PRI_TARG_METH</v>
          </cell>
        </row>
        <row r="244">
          <cell r="A244" t="str">
            <v>Publishing Items</v>
          </cell>
        </row>
        <row r="245">
          <cell r="B245" t="str">
            <v>Book value per share, BVPS (Pub)</v>
          </cell>
          <cell r="C245" t="str">
            <v>BVPS_PUB</v>
          </cell>
          <cell r="D245">
            <v>0</v>
          </cell>
        </row>
        <row r="246">
          <cell r="B246" t="str">
            <v>DPS, dividend per share (Pub)</v>
          </cell>
          <cell r="C246" t="str">
            <v>DPS_PUB</v>
          </cell>
          <cell r="D246">
            <v>0</v>
          </cell>
        </row>
        <row r="247">
          <cell r="B247" t="str">
            <v>Special dividend per share</v>
          </cell>
          <cell r="C247" t="str">
            <v>DPS_SPECIAL_PUB</v>
          </cell>
          <cell r="D247">
            <v>0</v>
          </cell>
        </row>
        <row r="248">
          <cell r="B248" t="str">
            <v>EBITDA (Pub)</v>
          </cell>
          <cell r="C248" t="str">
            <v>EBITDA_PUB</v>
          </cell>
          <cell r="D248">
            <v>0</v>
          </cell>
        </row>
        <row r="249">
          <cell r="B249" t="str">
            <v>EPS (Pub)</v>
          </cell>
          <cell r="C249" t="str">
            <v>EPS_PUB</v>
          </cell>
          <cell r="D249">
            <v>0</v>
          </cell>
        </row>
        <row r="250">
          <cell r="B250" t="str">
            <v>EV adjustment (Pub)</v>
          </cell>
          <cell r="C250" t="str">
            <v>EV_ADJ_PUB</v>
          </cell>
          <cell r="D250">
            <v>0</v>
          </cell>
        </row>
        <row r="251">
          <cell r="B251" t="str">
            <v>Net debt (Pub)</v>
          </cell>
          <cell r="C251" t="str">
            <v>NET_DEBT_PUB</v>
          </cell>
          <cell r="D251">
            <v>0</v>
          </cell>
        </row>
        <row r="252">
          <cell r="B252" t="str">
            <v>Net Debt (ex leases) (Pub)</v>
          </cell>
          <cell r="C252" t="str">
            <v>NET_DEBT_EX_LEASES_PUB</v>
          </cell>
          <cell r="D252">
            <v>0</v>
          </cell>
        </row>
        <row r="253">
          <cell r="B253" t="str">
            <v>Consensus equivalent net debt</v>
          </cell>
          <cell r="C253" t="str">
            <v>CEEE_NDEBT</v>
          </cell>
          <cell r="D253">
            <v>0</v>
          </cell>
        </row>
        <row r="254">
          <cell r="B254" t="str">
            <v>Net income (Pub)</v>
          </cell>
          <cell r="C254" t="str">
            <v>NI_PUB</v>
          </cell>
          <cell r="D254">
            <v>0</v>
          </cell>
        </row>
        <row r="255">
          <cell r="B255" t="str">
            <v>EBIT, operating profit (Pub)</v>
          </cell>
          <cell r="C255" t="str">
            <v>EBIT_PUB</v>
          </cell>
          <cell r="D255">
            <v>0</v>
          </cell>
        </row>
        <row r="256">
          <cell r="B256" t="str">
            <v>Pre-tax profit (Pub)</v>
          </cell>
          <cell r="C256" t="str">
            <v>PTP_PUB</v>
          </cell>
          <cell r="D256">
            <v>0</v>
          </cell>
        </row>
        <row r="257">
          <cell r="B257" t="str">
            <v>Sales, revenue (Pub)</v>
          </cell>
          <cell r="C257" t="str">
            <v>REVS_PUB</v>
          </cell>
          <cell r="D257">
            <v>0</v>
          </cell>
        </row>
        <row r="258">
          <cell r="B258" t="str">
            <v>Total shareholders' equity (Pub)</v>
          </cell>
          <cell r="C258" t="str">
            <v>EQ_PUB</v>
          </cell>
          <cell r="D258">
            <v>0</v>
          </cell>
        </row>
        <row r="259">
          <cell r="B259" t="str">
            <v>EPS (consensus)</v>
          </cell>
          <cell r="C259" t="str">
            <v>EPS_CONS_PUB</v>
          </cell>
          <cell r="D259">
            <v>0</v>
          </cell>
        </row>
        <row r="260">
          <cell r="A260" t="str">
            <v>Income Statement</v>
          </cell>
        </row>
        <row r="261">
          <cell r="B261" t="str">
            <v>Provision for income tax</v>
          </cell>
          <cell r="C261" t="str">
            <v>PROV_INC_TAX</v>
          </cell>
          <cell r="D261">
            <v>0</v>
          </cell>
        </row>
        <row r="262">
          <cell r="B262" t="str">
            <v>Minority interest</v>
          </cell>
          <cell r="C262" t="str">
            <v>INC_MINORITY</v>
          </cell>
          <cell r="D262">
            <v>0</v>
          </cell>
        </row>
        <row r="263">
          <cell r="B263" t="str">
            <v>Net income (pre-preferred dividends)</v>
          </cell>
          <cell r="C263" t="str">
            <v>NI_PRE_PREF</v>
          </cell>
          <cell r="D263">
            <v>0</v>
          </cell>
        </row>
        <row r="264">
          <cell r="B264" t="str">
            <v>Preferred dividends</v>
          </cell>
          <cell r="C264" t="str">
            <v>PREF_DIV</v>
          </cell>
          <cell r="D264">
            <v>0</v>
          </cell>
        </row>
        <row r="265">
          <cell r="B265" t="str">
            <v>Net income (pre-exceptionals)</v>
          </cell>
          <cell r="C265" t="str">
            <v>NET_EARNING</v>
          </cell>
          <cell r="D265">
            <v>0</v>
          </cell>
        </row>
        <row r="266">
          <cell r="B266" t="str">
            <v>Post-tax exceptionals</v>
          </cell>
          <cell r="C266" t="str">
            <v>TAX_EXC</v>
          </cell>
          <cell r="D266">
            <v>0</v>
          </cell>
        </row>
        <row r="267">
          <cell r="B267" t="str">
            <v>Net income (post-exceptionals)</v>
          </cell>
          <cell r="C267" t="str">
            <v>NET_INC</v>
          </cell>
          <cell r="D267">
            <v>0</v>
          </cell>
        </row>
        <row r="268">
          <cell r="B268" t="str">
            <v>EPS (pre-exceptionals, basic)</v>
          </cell>
          <cell r="C268" t="str">
            <v>EPS</v>
          </cell>
          <cell r="D268">
            <v>0</v>
          </cell>
        </row>
        <row r="269">
          <cell r="B269" t="str">
            <v>EPS (pre-exceptionals, diluted)</v>
          </cell>
          <cell r="C269" t="str">
            <v>EPS_FUL_DIL</v>
          </cell>
          <cell r="D269">
            <v>0</v>
          </cell>
        </row>
        <row r="270">
          <cell r="B270" t="str">
            <v>EPS (post-exceptionals, basic)</v>
          </cell>
          <cell r="C270" t="str">
            <v>EPS_POST_BASIC</v>
          </cell>
          <cell r="D270">
            <v>0</v>
          </cell>
        </row>
        <row r="271">
          <cell r="B271" t="str">
            <v>EPS (post-exceptionals, diluted)</v>
          </cell>
          <cell r="C271" t="str">
            <v>FULLY_DIL_EPS</v>
          </cell>
          <cell r="D271">
            <v>0</v>
          </cell>
        </row>
        <row r="272">
          <cell r="B272" t="str">
            <v>Common dividends paid</v>
          </cell>
          <cell r="C272" t="str">
            <v>COMMON_DIV_PAID</v>
          </cell>
          <cell r="D272">
            <v>0</v>
          </cell>
        </row>
        <row r="273">
          <cell r="B273" t="str">
            <v>DPS, dividend per share</v>
          </cell>
          <cell r="C273" t="str">
            <v>DPS</v>
          </cell>
          <cell r="D273">
            <v>0</v>
          </cell>
        </row>
        <row r="274">
          <cell r="B274" t="str">
            <v>Weighted average shares outstanding, basic</v>
          </cell>
          <cell r="C274" t="str">
            <v>SH</v>
          </cell>
        </row>
        <row r="275">
          <cell r="B275" t="str">
            <v>Diluted average shares outstanding (mn)</v>
          </cell>
          <cell r="C275" t="str">
            <v>DILUTE_SHARES</v>
          </cell>
        </row>
        <row r="276">
          <cell r="B276" t="str">
            <v>Period-end shares outstanding</v>
          </cell>
          <cell r="C276" t="str">
            <v>NON_OP_ADD</v>
          </cell>
        </row>
        <row r="277">
          <cell r="A277" t="str">
            <v>Additional Income Statement Items</v>
          </cell>
        </row>
        <row r="278">
          <cell r="B278" t="str">
            <v>Marginal tax rate</v>
          </cell>
          <cell r="C278" t="str">
            <v>MARGIN_TAX_RATE</v>
          </cell>
        </row>
        <row r="279">
          <cell r="B279" t="str">
            <v>Net income (consensus) (Pub)</v>
          </cell>
          <cell r="C279" t="str">
            <v>NI_CONS</v>
          </cell>
          <cell r="D279">
            <v>0</v>
          </cell>
        </row>
        <row r="280">
          <cell r="A280" t="str">
            <v>Balance Sheet</v>
          </cell>
        </row>
        <row r="281">
          <cell r="B281" t="str">
            <v>BVPS, book value per share</v>
          </cell>
          <cell r="C281" t="str">
            <v>BVPS</v>
          </cell>
          <cell r="D281">
            <v>0</v>
          </cell>
        </row>
        <row r="282">
          <cell r="A282" t="str">
            <v>Cash Flow Statement</v>
          </cell>
        </row>
        <row r="283">
          <cell r="B283" t="str">
            <v>Net income (pre-preferred dividends)</v>
          </cell>
          <cell r="C283" t="str">
            <v>CF_NI_PRE_PREF</v>
          </cell>
          <cell r="D283">
            <v>0</v>
          </cell>
        </row>
        <row r="284">
          <cell r="A284" t="str">
            <v>Other Items</v>
          </cell>
        </row>
        <row r="285">
          <cell r="B285" t="str">
            <v>Beta</v>
          </cell>
          <cell r="C285" t="str">
            <v>BETA_ANALYST</v>
          </cell>
        </row>
        <row r="286">
          <cell r="B286" t="str">
            <v>Market equity risk premium</v>
          </cell>
          <cell r="C286" t="str">
            <v>MKT_EQ_RISK_PREM</v>
          </cell>
        </row>
        <row r="287">
          <cell r="B287" t="str">
            <v>Risk-free rate</v>
          </cell>
          <cell r="C287" t="str">
            <v>RISK_FR_RATE</v>
          </cell>
        </row>
      </sheetData>
      <sheetData sheetId="11">
        <row r="1">
          <cell r="A1" t="str">
            <v>e80ed4bf-708b-4549-b455-69537af689a2</v>
          </cell>
        </row>
        <row r="2">
          <cell r="A2" t="str">
            <v>\\firmwide.corp.gs.com\root\Projects\Research\hk\gc_tech_telco\GC Tech\Models\Venustech\[Venustech_190926.xlsx]002439.SZ_Validation_Sheet</v>
          </cell>
        </row>
        <row r="3">
          <cell r="A3" t="str">
            <v>Enabled</v>
          </cell>
        </row>
        <row r="7">
          <cell r="A7" t="str">
            <v>Scalar|||208019491|||ISSR|||CURRENCY_ISO|||False|||</v>
          </cell>
          <cell r="C7" t="str">
            <v>V_KEYWORD_ISSR_208019491_CURRENCY_ISO</v>
          </cell>
          <cell r="E7" t="str">
            <v>ERROR</v>
          </cell>
        </row>
        <row r="9">
          <cell r="A9" t="str">
            <v>Scalar|||208019491|||ISSR|||MA_PROB|||False|||</v>
          </cell>
          <cell r="C9" t="str">
            <v>V_KEYWORD_ISSR_208019491_MA_PROB</v>
          </cell>
          <cell r="E9" t="str">
            <v>ERROR</v>
          </cell>
        </row>
        <row r="11">
          <cell r="A11" t="str">
            <v>Vector|||208019491|||ISSR|||SALES|||False|||</v>
          </cell>
          <cell r="C11" t="str">
            <v>V_KEYWORD_ISSR_208019491_SALES</v>
          </cell>
        </row>
        <row r="12">
          <cell r="A12" t="str">
            <v>Vector|||208019491|||ISSR|||PERSONNEL|||False|||</v>
          </cell>
          <cell r="C12" t="str">
            <v>V_KEYWORD_ISSR_208019491_PERSONNEL</v>
          </cell>
        </row>
        <row r="13">
          <cell r="A13" t="str">
            <v>Vector|||208019491|||ISSR|||COST_GD_SD|||False|||</v>
          </cell>
          <cell r="C13" t="str">
            <v>V_KEYWORD_ISSR_208019491_COST_GD_SD</v>
          </cell>
        </row>
        <row r="14">
          <cell r="A14" t="str">
            <v>Vector|||208019491|||ISSR|||SEL_GL_AD|||False|||</v>
          </cell>
          <cell r="C14" t="str">
            <v>V_KEYWORD_ISSR_208019491_SEL_GL_AD</v>
          </cell>
        </row>
        <row r="15">
          <cell r="A15" t="str">
            <v>Vector|||208019491|||ISSR|||OP_COST|||False|||</v>
          </cell>
          <cell r="C15" t="str">
            <v>V_KEYWORD_ISSR_208019491_OP_COST</v>
          </cell>
        </row>
        <row r="16">
          <cell r="A16" t="str">
            <v>Vector|||208019491|||ISSR|||RD_EXP|||False|||</v>
          </cell>
          <cell r="C16" t="str">
            <v>V_KEYWORD_ISSR_208019491_RD_EXP</v>
          </cell>
        </row>
        <row r="17">
          <cell r="A17" t="str">
            <v>Vector|||208019491|||ISSR|||OTH_OP_INC_EXP|||False|||</v>
          </cell>
          <cell r="C17" t="str">
            <v>V_KEYWORD_ISSR_208019491_OTH_OP_INC_EXP</v>
          </cell>
        </row>
        <row r="18">
          <cell r="A18" t="str">
            <v>Vector|||208019491|||ISSR|||TOT_OPS_EXP_DDA|||False|||</v>
          </cell>
          <cell r="C18" t="str">
            <v>V_KEYWORD_ISSR_208019491_TOT_OPS_EXP_DDA</v>
          </cell>
        </row>
        <row r="19">
          <cell r="A19" t="str">
            <v>Vector|||208019491|||ISSR|||TOT_OPS_EXP|||False|||</v>
          </cell>
          <cell r="C19" t="str">
            <v>V_KEYWORD_ISSR_208019491_TOT_OPS_EXP</v>
          </cell>
        </row>
        <row r="20">
          <cell r="A20" t="str">
            <v>Vector|||208019491|||ISSR|||EBITDA_CALC|||False|||</v>
          </cell>
          <cell r="C20" t="str">
            <v>V_KEYWORD_ISSR_208019491_EBITDA_CALC</v>
          </cell>
        </row>
        <row r="21">
          <cell r="A21" t="str">
            <v>Vector|||208019491|||ISSR|||DEPREC|||False|||</v>
          </cell>
          <cell r="C21" t="str">
            <v>V_KEYWORD_ISSR_208019491_DEPREC</v>
          </cell>
        </row>
        <row r="22">
          <cell r="A22" t="str">
            <v>Vector|||208019491|||ISSR|||GOODWILL_AMORT|||False|||</v>
          </cell>
          <cell r="C22" t="str">
            <v>V_KEYWORD_ISSR_208019491_GOODWILL_AMORT</v>
          </cell>
        </row>
        <row r="23">
          <cell r="A23" t="str">
            <v>Vector|||208019491|||ISSR|||EBIT|||False|||</v>
          </cell>
          <cell r="C23" t="str">
            <v>V_KEYWORD_ISSR_208019491_EBIT</v>
          </cell>
        </row>
        <row r="24">
          <cell r="A24" t="str">
            <v>Vector|||208019491|||ISSR|||INT_INC_IND|||False|||</v>
          </cell>
          <cell r="C24" t="str">
            <v>V_KEYWORD_ISSR_208019491_INT_INC_IND</v>
          </cell>
        </row>
        <row r="25">
          <cell r="A25" t="str">
            <v>Vector|||208019491|||ISSR|||INT_EXP_IND|||False|||</v>
          </cell>
          <cell r="C25" t="str">
            <v>V_KEYWORD_ISSR_208019491_INT_EXP_IND</v>
          </cell>
        </row>
        <row r="26">
          <cell r="A26" t="str">
            <v>Vector|||208019491|||ISSR|||NET_INT_EXP|||False|||</v>
          </cell>
          <cell r="C26" t="str">
            <v>V_KEYWORD_ISSR_208019491_NET_INT_EXP</v>
          </cell>
        </row>
        <row r="27">
          <cell r="A27" t="str">
            <v>Vector|||208019491|||ISSR|||ASSOCIATE|||False|||</v>
          </cell>
          <cell r="C27" t="str">
            <v>V_KEYWORD_ISSR_208019491_ASSOCIATE</v>
          </cell>
        </row>
        <row r="28">
          <cell r="A28" t="str">
            <v>Vector|||208019491|||ISSR|||PROFIT_ON_DISP|||False|||</v>
          </cell>
          <cell r="C28" t="str">
            <v>V_KEYWORD_ISSR_208019491_PROFIT_ON_DISP</v>
          </cell>
        </row>
        <row r="29">
          <cell r="A29" t="str">
            <v>Vector|||208019491|||ISSR|||OTH_COST_INC|||False|||</v>
          </cell>
          <cell r="C29" t="str">
            <v>V_KEYWORD_ISSR_208019491_OTH_COST_INC</v>
          </cell>
        </row>
        <row r="30">
          <cell r="A30" t="str">
            <v>Vector|||208019491|||ISSR|||PT_PROF|||False|||</v>
          </cell>
          <cell r="C30" t="str">
            <v>V_KEYWORD_ISSR_208019491_PT_PROF</v>
          </cell>
        </row>
        <row r="32">
          <cell r="A32" t="str">
            <v>Vector|||208019491|||ISSR|||CONTRIB_MARGIN_RATIO|||False|||</v>
          </cell>
          <cell r="C32" t="str">
            <v>V_KEYWORD_ISSR_208019491_CONTRIB_MARGIN_RATIO</v>
          </cell>
        </row>
        <row r="33">
          <cell r="A33" t="str">
            <v>Vector|||208019491|||ISSR|||LEASE_PAY|||False|||</v>
          </cell>
          <cell r="C33" t="str">
            <v>V_KEYWORD_ISSR_208019491_LEASE_PAY</v>
          </cell>
        </row>
        <row r="34">
          <cell r="A34" t="str">
            <v>Vector|||208019491|||ISSR|||LEASE_DEEM_INT|||False|||</v>
          </cell>
          <cell r="C34" t="str">
            <v>V_KEYWORD_ISSR_208019491_LEASE_DEEM_INT</v>
          </cell>
        </row>
        <row r="35">
          <cell r="A35" t="str">
            <v>Vector|||208019491|||ISSR|||LEASE_DEEM_DEPR|||False|||</v>
          </cell>
          <cell r="C35" t="str">
            <v>V_KEYWORD_ISSR_208019491_LEASE_DEEM_DEPR</v>
          </cell>
        </row>
        <row r="36">
          <cell r="A36" t="str">
            <v>Vector|||208019491|||ISSR|||NET_INT_CH|||False|||</v>
          </cell>
          <cell r="C36" t="str">
            <v>V_KEYWORD_ISSR_208019491_NET_INT_CH</v>
          </cell>
        </row>
        <row r="37">
          <cell r="A37" t="str">
            <v>Vector|||208019491|||ISSR|||ASSOCIATE_OP|||False|||</v>
          </cell>
          <cell r="C37" t="str">
            <v>V_KEYWORD_ISSR_208019491_ASSOCIATE_OP</v>
          </cell>
        </row>
        <row r="38">
          <cell r="A38" t="str">
            <v>Vector|||208019491|||ISSR|||DEPR_ROU_ASSETS|||False|||</v>
          </cell>
          <cell r="C38" t="str">
            <v>V_KEYWORD_ISSR_208019491_DEPR_ROU_ASSETS</v>
          </cell>
        </row>
        <row r="39">
          <cell r="A39" t="str">
            <v>Vector|||208019491|||ISSR|||LEASE_INT_CHG|||False|||</v>
          </cell>
          <cell r="C39" t="str">
            <v>V_KEYWORD_ISSR_208019491_LEASE_INT_CHG</v>
          </cell>
        </row>
        <row r="40">
          <cell r="A40" t="str">
            <v>Scalar|||208019491|||ISSR|||LEASE_ADOPT|||False|||</v>
          </cell>
          <cell r="C40" t="str">
            <v>V_KEYWORD_ISSR_208019491_LEASE_ADOPT</v>
          </cell>
        </row>
        <row r="42">
          <cell r="A42" t="str">
            <v>Vector|||208019491|||ISSR|||CASH_EQ|||False|||</v>
          </cell>
          <cell r="C42" t="str">
            <v>V_KEYWORD_ISSR_208019491_CASH_EQ</v>
          </cell>
        </row>
        <row r="43">
          <cell r="A43" t="str">
            <v>Vector|||208019491|||ISSR|||DEBTORS|||False|||</v>
          </cell>
          <cell r="C43" t="str">
            <v>V_KEYWORD_ISSR_208019491_DEBTORS</v>
          </cell>
        </row>
        <row r="44">
          <cell r="A44" t="str">
            <v>Vector|||208019491|||ISSR|||STOCKS|||False|||</v>
          </cell>
          <cell r="C44" t="str">
            <v>V_KEYWORD_ISSR_208019491_STOCKS</v>
          </cell>
        </row>
        <row r="45">
          <cell r="A45" t="str">
            <v>Vector|||208019491|||ISSR|||OTH_CUR_ASS|||False|||</v>
          </cell>
          <cell r="C45" t="str">
            <v>V_KEYWORD_ISSR_208019491_OTH_CUR_ASS</v>
          </cell>
        </row>
        <row r="46">
          <cell r="A46" t="str">
            <v>Vector|||208019491|||ISSR|||CUR_ASS|||False|||</v>
          </cell>
          <cell r="C46" t="str">
            <v>V_KEYWORD_ISSR_208019491_CUR_ASS</v>
          </cell>
        </row>
        <row r="47">
          <cell r="A47" t="str">
            <v>Vector|||208019491|||ISSR|||GR_FIX_ASS|||False|||</v>
          </cell>
          <cell r="C47" t="str">
            <v>V_KEYWORD_ISSR_208019491_GR_FIX_ASS</v>
          </cell>
        </row>
        <row r="48">
          <cell r="A48" t="str">
            <v>Vector|||208019491|||ISSR|||ACC_DDA|||False|||</v>
          </cell>
          <cell r="C48" t="str">
            <v>V_KEYWORD_ISSR_208019491_ACC_DDA</v>
          </cell>
        </row>
        <row r="49">
          <cell r="A49" t="str">
            <v>Vector|||208019491|||ISSR|||NET_FIX_ASS|||False|||</v>
          </cell>
          <cell r="C49" t="str">
            <v>V_KEYWORD_ISSR_208019491_NET_FIX_ASS</v>
          </cell>
        </row>
        <row r="50">
          <cell r="A50" t="str">
            <v>Vector|||208019491|||ISSR|||GR_INTANG|||False|||</v>
          </cell>
          <cell r="C50" t="str">
            <v>V_KEYWORD_ISSR_208019491_GR_INTANG</v>
          </cell>
        </row>
        <row r="51">
          <cell r="A51" t="str">
            <v>Vector|||208019491|||ISSR|||ACC_AMORT|||False|||</v>
          </cell>
          <cell r="C51" t="str">
            <v>V_KEYWORD_ISSR_208019491_ACC_AMORT</v>
          </cell>
        </row>
        <row r="52">
          <cell r="A52" t="str">
            <v>Vector|||208019491|||ISSR|||NET_INTANG|||False|||</v>
          </cell>
          <cell r="C52" t="str">
            <v>V_KEYWORD_ISSR_208019491_NET_INTANG</v>
          </cell>
        </row>
        <row r="53">
          <cell r="A53" t="str">
            <v>Vector|||208019491|||ISSR|||FIX_ASS_INV|||False|||</v>
          </cell>
          <cell r="C53" t="str">
            <v>V_KEYWORD_ISSR_208019491_FIX_ASS_INV</v>
          </cell>
        </row>
        <row r="54">
          <cell r="A54" t="str">
            <v>Vector|||208019491|||ISSR|||INV_SECUR|||False|||</v>
          </cell>
          <cell r="C54" t="str">
            <v>V_KEYWORD_ISSR_208019491_INV_SECUR</v>
          </cell>
        </row>
        <row r="55">
          <cell r="A55" t="str">
            <v>Vector|||208019491|||ISSR|||OTH_LT_ASS|||False|||</v>
          </cell>
          <cell r="C55" t="str">
            <v>V_KEYWORD_ISSR_208019491_OTH_LT_ASS</v>
          </cell>
        </row>
        <row r="56">
          <cell r="A56" t="str">
            <v>Vector|||208019491|||ISSR|||TOT_ASSET|||False|||</v>
          </cell>
          <cell r="C56" t="str">
            <v>V_KEYWORD_ISSR_208019491_TOT_ASSET</v>
          </cell>
        </row>
        <row r="57">
          <cell r="A57" t="str">
            <v>Vector|||208019491|||ISSR|||ACC_PAY_GQ|||False|||</v>
          </cell>
          <cell r="C57" t="str">
            <v>V_KEYWORD_ISSR_208019491_ACC_PAY_GQ</v>
          </cell>
        </row>
        <row r="58">
          <cell r="A58" t="str">
            <v>Vector|||208019491|||ISSR|||SHORT_T_DEBT|||False|||</v>
          </cell>
          <cell r="C58" t="str">
            <v>V_KEYWORD_ISSR_208019491_SHORT_T_DEBT</v>
          </cell>
        </row>
        <row r="59">
          <cell r="A59" t="str">
            <v>Vector|||208019491|||ISSR|||ST_LEASE_LIAB|||False|||</v>
          </cell>
          <cell r="C59" t="str">
            <v>V_KEYWORD_ISSR_208019491_ST_LEASE_LIAB</v>
          </cell>
        </row>
        <row r="60">
          <cell r="A60" t="str">
            <v>Vector|||208019491|||ISSR|||OTH_CUR_LIABS|||False|||</v>
          </cell>
          <cell r="C60" t="str">
            <v>V_KEYWORD_ISSR_208019491_OTH_CUR_LIABS</v>
          </cell>
        </row>
        <row r="61">
          <cell r="A61" t="str">
            <v>Vector|||208019491|||ISSR|||SHORT_TERM_LIABS|||False|||</v>
          </cell>
          <cell r="C61" t="str">
            <v>V_KEYWORD_ISSR_208019491_SHORT_TERM_LIABS</v>
          </cell>
        </row>
        <row r="62">
          <cell r="A62" t="str">
            <v>Vector|||208019491|||ISSR|||LT_DEBT|||False|||</v>
          </cell>
          <cell r="C62" t="str">
            <v>V_KEYWORD_ISSR_208019491_LT_DEBT</v>
          </cell>
        </row>
        <row r="63">
          <cell r="A63" t="str">
            <v>Vector|||208019491|||ISSR|||LT_LEASE_LIAB|||False|||</v>
          </cell>
          <cell r="C63" t="str">
            <v>V_KEYWORD_ISSR_208019491_LT_LEASE_LIAB</v>
          </cell>
        </row>
        <row r="64">
          <cell r="A64" t="str">
            <v>Vector|||208019491|||ISSR|||OTH_LT_CRED_GQ|||False|||</v>
          </cell>
          <cell r="C64" t="str">
            <v>V_KEYWORD_ISSR_208019491_OTH_LT_CRED_GQ</v>
          </cell>
        </row>
        <row r="65">
          <cell r="A65" t="str">
            <v>Vector|||208019491|||ISSR|||TOT_LT_LIAB|||False|||</v>
          </cell>
          <cell r="C65" t="str">
            <v>V_KEYWORD_ISSR_208019491_TOT_LT_LIAB</v>
          </cell>
        </row>
        <row r="66">
          <cell r="A66" t="str">
            <v>Vector|||208019491|||ISSR|||TOT_LIAB|||False|||</v>
          </cell>
          <cell r="C66" t="str">
            <v>V_KEYWORD_ISSR_208019491_TOT_LIAB</v>
          </cell>
        </row>
        <row r="67">
          <cell r="A67" t="str">
            <v>Vector|||208019491|||ISSR|||PREF_SH|||False|||</v>
          </cell>
          <cell r="C67" t="str">
            <v>V_KEYWORD_ISSR_208019491_PREF_SH</v>
          </cell>
        </row>
        <row r="68">
          <cell r="A68" t="str">
            <v>Vector|||208019491|||ISSR|||ORD_SH_FUND|||False|||</v>
          </cell>
          <cell r="C68" t="str">
            <v>V_KEYWORD_ISSR_208019491_ORD_SH_FUND</v>
          </cell>
        </row>
        <row r="69">
          <cell r="A69" t="str">
            <v>Vector|||208019491|||ISSR|||MINORITIES|||False|||</v>
          </cell>
          <cell r="C69" t="str">
            <v>V_KEYWORD_ISSR_208019491_MINORITIES</v>
          </cell>
        </row>
        <row r="70">
          <cell r="A70" t="str">
            <v>Vector|||208019491|||ISSR|||EQ|||False|||</v>
          </cell>
          <cell r="C70" t="str">
            <v>V_KEYWORD_ISSR_208019491_EQ</v>
          </cell>
        </row>
        <row r="71">
          <cell r="A71" t="str">
            <v>Vector|||208019491|||ISSR|||TOT_LIAB_EQ|||False|||</v>
          </cell>
          <cell r="C71" t="str">
            <v>V_KEYWORD_ISSR_208019491_TOT_LIAB_EQ</v>
          </cell>
        </row>
        <row r="73">
          <cell r="A73" t="str">
            <v>Vector|||208019491|||ISSR|||TOT_USD_DEBT|||False|||</v>
          </cell>
          <cell r="C73" t="str">
            <v>V_KEYWORD_ISSR_208019491_TOT_USD_DEBT</v>
          </cell>
        </row>
        <row r="74">
          <cell r="A74" t="str">
            <v>Vector|||208019491|||ISSR|||TOT_PCT_USD_DEBT_HEDGED|||False|||</v>
          </cell>
          <cell r="C74" t="str">
            <v>V_KEYWORD_ISSR_208019491_TOT_PCT_USD_DEBT_HEDGED</v>
          </cell>
        </row>
        <row r="75">
          <cell r="A75" t="str">
            <v>Vector|||208019491|||ISSR|||FLOATING_PCT_LOCAL_DEBT|||False|||</v>
          </cell>
          <cell r="C75" t="str">
            <v>V_KEYWORD_ISSR_208019491_FLOATING_PCT_LOCAL_DEBT</v>
          </cell>
        </row>
        <row r="76">
          <cell r="A76" t="str">
            <v>Vector|||208019491|||ISSR|||FLOATING_PCT_LOCAL_DEBT_HEDGED|||False|||</v>
          </cell>
          <cell r="C76" t="str">
            <v>V_KEYWORD_ISSR_208019491_FLOATING_PCT_LOCAL_DEBT_HEDGED</v>
          </cell>
        </row>
        <row r="77">
          <cell r="A77" t="str">
            <v>Vector|||208019491|||ISSR|||NET_DEBT|||False|||</v>
          </cell>
          <cell r="C77" t="str">
            <v>V_KEYWORD_ISSR_208019491_NET_DEBT</v>
          </cell>
        </row>
        <row r="78">
          <cell r="A78" t="str">
            <v>Vector|||208019491|||ISSR|||CAP_LEASES|||False|||</v>
          </cell>
          <cell r="C78" t="str">
            <v>V_KEYWORD_ISSR_208019491_CAP_LEASES</v>
          </cell>
        </row>
        <row r="79">
          <cell r="A79" t="str">
            <v>Vector|||208019491|||ISSR|||DEF_INC_TAX|||False|||</v>
          </cell>
          <cell r="C79" t="str">
            <v>V_KEYWORD_ISSR_208019491_DEF_INC_TAX</v>
          </cell>
        </row>
        <row r="80">
          <cell r="A80" t="str">
            <v>Vector|||208019491|||ISSR|||MV_ASSOCIATES|||False|||</v>
          </cell>
          <cell r="C80" t="str">
            <v>V_KEYWORD_ISSR_208019491_MV_ASSOCIATES</v>
          </cell>
        </row>
        <row r="81">
          <cell r="A81" t="str">
            <v>Vector|||208019491|||ISSR|||NET_DEBT_ADJ|||False|||</v>
          </cell>
          <cell r="C81" t="str">
            <v>V_KEYWORD_ISSR_208019491_NET_DEBT_ADJ</v>
          </cell>
        </row>
        <row r="82">
          <cell r="A82" t="str">
            <v>Vector|||208019491|||ISSR|||CO_BOR_MARGIN|||False|||</v>
          </cell>
          <cell r="C82" t="str">
            <v>V_KEYWORD_ISSR_208019491_CO_BOR_MARGIN</v>
          </cell>
        </row>
        <row r="83">
          <cell r="A83" t="str">
            <v>Vector|||208019491|||ISSR|||UNF_PENS|||False|||</v>
          </cell>
          <cell r="C83" t="str">
            <v>V_KEYWORD_ISSR_208019491_UNF_PENS</v>
          </cell>
        </row>
        <row r="84">
          <cell r="A84" t="str">
            <v>Vector|||208019491|||ISSR|||UNF_PENS_OFF|||False|||</v>
          </cell>
          <cell r="C84" t="str">
            <v>V_KEYWORD_ISSR_208019491_UNF_PENS_OFF</v>
          </cell>
        </row>
        <row r="85">
          <cell r="A85" t="str">
            <v>Vector|||208019491|||ISSR|||UNF_PENS_LIAB_OTH|||False|||</v>
          </cell>
          <cell r="C85" t="str">
            <v>V_KEYWORD_ISSR_208019491_UNF_PENS_LIAB_OTH</v>
          </cell>
        </row>
        <row r="86">
          <cell r="A86" t="str">
            <v>Vector|||208019491|||ISSR|||ADJ_UNF_PENS_GOOD|||False|||</v>
          </cell>
          <cell r="C86" t="str">
            <v>V_KEYWORD_ISSR_208019491_ADJ_UNF_PENS_GOOD</v>
          </cell>
        </row>
        <row r="87">
          <cell r="A87" t="str">
            <v>Vector|||208019491|||ISSR|||OTH_GCI_ADJ|||False|||</v>
          </cell>
          <cell r="C87" t="str">
            <v>V_KEYWORD_ISSR_208019491_OTH_GCI_ADJ</v>
          </cell>
        </row>
        <row r="88">
          <cell r="A88" t="str">
            <v>Vector|||208019491|||ISSR|||GCI_INFL|||False|||</v>
          </cell>
          <cell r="C88" t="str">
            <v>V_KEYWORD_ISSR_208019491_GCI_INFL</v>
          </cell>
        </row>
        <row r="89">
          <cell r="A89" t="str">
            <v>Vector|||208019491|||ISSR|||BAL_MINO_INT|||False|||</v>
          </cell>
          <cell r="C89" t="str">
            <v>V_KEYWORD_ISSR_208019491_BAL_MINO_INT</v>
          </cell>
        </row>
        <row r="90">
          <cell r="A90" t="str">
            <v>Vector|||208019491|||ISSR|||ROU_ASSET|||False|||</v>
          </cell>
          <cell r="C90" t="str">
            <v>V_KEYWORD_ISSR_208019491_ROU_ASSET</v>
          </cell>
        </row>
        <row r="92">
          <cell r="A92" t="str">
            <v>Vector|||208019491|||ISSR|||CF_INC_MINORITY|||False|||</v>
          </cell>
          <cell r="C92" t="str">
            <v>V_KEYWORD_ISSR_208019491_CF_INC_MINORITY</v>
          </cell>
        </row>
        <row r="93">
          <cell r="A93" t="str">
            <v>Vector|||208019491|||ISSR|||DEPR_AMORT|||False|||</v>
          </cell>
          <cell r="C93" t="str">
            <v>V_KEYWORD_ISSR_208019491_DEPR_AMORT</v>
          </cell>
        </row>
        <row r="94">
          <cell r="A94" t="str">
            <v>Vector|||208019491|||ISSR|||WORK_CAP|||False|||</v>
          </cell>
          <cell r="C94" t="str">
            <v>V_KEYWORD_ISSR_208019491_WORK_CAP</v>
          </cell>
        </row>
        <row r="95">
          <cell r="A95" t="str">
            <v>Vector|||208019491|||ISSR|||OTH_OP_CF|||False|||</v>
          </cell>
          <cell r="C95" t="str">
            <v>V_KEYWORD_ISSR_208019491_OTH_OP_CF</v>
          </cell>
        </row>
        <row r="96">
          <cell r="A96" t="str">
            <v>Vector|||208019491|||ISSR|||CF_OPS|||False|||</v>
          </cell>
          <cell r="C96" t="str">
            <v>V_KEYWORD_ISSR_208019491_CF_OPS</v>
          </cell>
        </row>
        <row r="97">
          <cell r="A97" t="str">
            <v>Vector|||208019491|||ISSR|||CAPEX|||False|||</v>
          </cell>
          <cell r="C97" t="str">
            <v>V_KEYWORD_ISSR_208019491_CAPEX</v>
          </cell>
        </row>
        <row r="98">
          <cell r="A98" t="str">
            <v>Vector|||208019491|||ISSR|||ACQ|||False|||</v>
          </cell>
          <cell r="C98" t="str">
            <v>V_KEYWORD_ISSR_208019491_ACQ</v>
          </cell>
        </row>
        <row r="99">
          <cell r="A99" t="str">
            <v>Vector|||208019491|||ISSR|||DIVEST|||False|||</v>
          </cell>
          <cell r="C99" t="str">
            <v>V_KEYWORD_ISSR_208019491_DIVEST</v>
          </cell>
        </row>
        <row r="100">
          <cell r="A100" t="str">
            <v>Vector|||208019491|||ISSR|||OTH_INV_CF|||False|||</v>
          </cell>
          <cell r="C100" t="str">
            <v>V_KEYWORD_ISSR_208019491_OTH_INV_CF</v>
          </cell>
        </row>
        <row r="101">
          <cell r="A101" t="str">
            <v>Vector|||208019491|||ISSR|||CF_INV|||False|||</v>
          </cell>
          <cell r="C101" t="str">
            <v>V_KEYWORD_ISSR_208019491_CF_INV</v>
          </cell>
        </row>
        <row r="102">
          <cell r="A102" t="str">
            <v>Vector|||208019491|||ISSR|||DIV_PAID|||False|||</v>
          </cell>
          <cell r="C102" t="str">
            <v>V_KEYWORD_ISSR_208019491_DIV_PAID</v>
          </cell>
        </row>
        <row r="103">
          <cell r="A103" t="str">
            <v>Vector|||208019491|||ISSR|||SH_REPUR|||False|||</v>
          </cell>
          <cell r="C103" t="str">
            <v>V_KEYWORD_ISSR_208019491_SH_REPUR</v>
          </cell>
        </row>
        <row r="104">
          <cell r="A104" t="str">
            <v>Vector|||208019491|||ISSR|||CHG_LT_DEBT|||False|||</v>
          </cell>
          <cell r="C104" t="str">
            <v>V_KEYWORD_ISSR_208019491_CHG_LT_DEBT</v>
          </cell>
        </row>
        <row r="105">
          <cell r="A105" t="str">
            <v>Vector|||208019491|||ISSR|||LEASE_PRINCIPAL_CASH|||False|||</v>
          </cell>
          <cell r="C105" t="str">
            <v>V_KEYWORD_ISSR_208019491_LEASE_PRINCIPAL_CASH</v>
          </cell>
        </row>
        <row r="106">
          <cell r="A106" t="str">
            <v>Vector|||208019491|||ISSR|||OTH_FIN_CF|||False|||</v>
          </cell>
          <cell r="C106" t="str">
            <v>V_KEYWORD_ISSR_208019491_OTH_FIN_CF</v>
          </cell>
        </row>
        <row r="107">
          <cell r="A107" t="str">
            <v>Vector|||208019491|||ISSR|||CF_FIN|||False|||</v>
          </cell>
          <cell r="C107" t="str">
            <v>V_KEYWORD_ISSR_208019491_CF_FIN</v>
          </cell>
        </row>
        <row r="108">
          <cell r="A108" t="str">
            <v>Vector|||208019491|||ISSR|||TOT_CF|||False|||</v>
          </cell>
          <cell r="C108" t="str">
            <v>V_KEYWORD_ISSR_208019491_TOT_CF</v>
          </cell>
        </row>
        <row r="110">
          <cell r="A110" t="str">
            <v>Vector|||208019491|||ISSR|||ASSOC_JV_ADDBK|||False|||</v>
          </cell>
          <cell r="C110" t="str">
            <v>V_KEYWORD_ISSR_208019491_ASSOC_JV_ADDBK</v>
          </cell>
        </row>
        <row r="111">
          <cell r="A111" t="str">
            <v>Vector|||208019491|||ISSR|||PL_SALE_ASSETS|||False|||</v>
          </cell>
          <cell r="C111" t="str">
            <v>V_KEYWORD_ISSR_208019491_PL_SALE_ASSETS</v>
          </cell>
        </row>
        <row r="112">
          <cell r="A112" t="str">
            <v>Vector|||208019491|||ISSR|||OTH_NONCASH_ADJ|||False|||</v>
          </cell>
          <cell r="C112" t="str">
            <v>V_KEYWORD_ISSR_208019491_OTH_NONCASH_ADJ</v>
          </cell>
        </row>
        <row r="113">
          <cell r="A113" t="str">
            <v>Vector|||208019491|||ISSR|||OTH_DACF_ADJ|||False|||</v>
          </cell>
          <cell r="C113" t="str">
            <v>V_KEYWORD_ISSR_208019491_OTH_DACF_ADJ</v>
          </cell>
        </row>
        <row r="114">
          <cell r="A114" t="str">
            <v>Vector|||208019491|||ISSR|||CASH_INT_EXP|||False|||</v>
          </cell>
          <cell r="C114" t="str">
            <v>V_KEYWORD_ISSR_208019491_CASH_INT_EXP</v>
          </cell>
        </row>
        <row r="115">
          <cell r="A115" t="str">
            <v>Vector|||208019491|||ISSR|||CASH_TAX_EXP|||False|||</v>
          </cell>
          <cell r="C115" t="str">
            <v>V_KEYWORD_ISSR_208019491_CASH_TAX_EXP</v>
          </cell>
        </row>
        <row r="116">
          <cell r="A116" t="str">
            <v>Vector|||208019491|||ISSR|||DIVDS_ASSOC_JV|||False|||</v>
          </cell>
          <cell r="C116" t="str">
            <v>V_KEYWORD_ISSR_208019491_DIVDS_ASSOC_JV</v>
          </cell>
        </row>
        <row r="117">
          <cell r="A117" t="str">
            <v>Vector|||208019491|||ISSR|||CAPEX_MAINTENANCE|||False|||</v>
          </cell>
          <cell r="C117" t="str">
            <v>V_KEYWORD_ISSR_208019491_CAPEX_MAINTENANCE</v>
          </cell>
        </row>
        <row r="118">
          <cell r="A118" t="str">
            <v>Vector|||208019491|||ISSR|||CAPEX_EXPANSION|||False|||</v>
          </cell>
          <cell r="C118" t="str">
            <v>V_KEYWORD_ISSR_208019491_CAPEX_EXPANSION</v>
          </cell>
        </row>
        <row r="119">
          <cell r="A119" t="str">
            <v>Vector|||208019491|||ISSR|||NONPPE_CAPEX|||False|||</v>
          </cell>
          <cell r="C119" t="str">
            <v>V_KEYWORD_ISSR_208019491_NONPPE_CAPEX</v>
          </cell>
        </row>
        <row r="120">
          <cell r="A120" t="str">
            <v>Vector|||208019491|||ISSR|||DIVDS_PD_MINORITIES|||False|||</v>
          </cell>
          <cell r="C120" t="str">
            <v>V_KEYWORD_ISSR_208019491_DIVDS_PD_MINORITIES</v>
          </cell>
        </row>
        <row r="122">
          <cell r="A122" t="str">
            <v>Vector|||208019491|||ISSR|||EMPLOYEES|||False|||</v>
          </cell>
          <cell r="C122" t="str">
            <v>V_KEYWORD_ISSR_208019491_EMPLOYEES</v>
          </cell>
        </row>
        <row r="124">
          <cell r="A124" t="str">
            <v>Vector|||208019491|||ISSR|||SALES_CANADA|||False|||</v>
          </cell>
          <cell r="C124" t="str">
            <v>V_KEYWORD_ISSR_208019491_SALES_CANADA</v>
          </cell>
        </row>
        <row r="125">
          <cell r="A125" t="str">
            <v>Vector|||208019491|||ISSR|||SALES_US|||False|||</v>
          </cell>
          <cell r="C125" t="str">
            <v>V_KEYWORD_ISSR_208019491_SALES_US</v>
          </cell>
        </row>
        <row r="126">
          <cell r="A126" t="str">
            <v>Vector|||208019491|||ISSR|||SALES_OTH_NO_AMER|||False|||</v>
          </cell>
          <cell r="C126" t="str">
            <v>V_KEYWORD_ISSR_208019491_SALES_OTH_NO_AMER</v>
          </cell>
        </row>
        <row r="127">
          <cell r="A127" t="str">
            <v>Vector|||208019491|||ISSR|||SALES_ARGENTINA|||False|||</v>
          </cell>
          <cell r="C127" t="str">
            <v>V_KEYWORD_ISSR_208019491_SALES_ARGENTINA</v>
          </cell>
        </row>
        <row r="128">
          <cell r="A128" t="str">
            <v>Vector|||208019491|||ISSR|||SALES_BRAZIL|||False|||</v>
          </cell>
          <cell r="C128" t="str">
            <v>V_KEYWORD_ISSR_208019491_SALES_BRAZIL</v>
          </cell>
        </row>
        <row r="129">
          <cell r="A129" t="str">
            <v>Vector|||208019491|||ISSR|||SALES_CHILE|||False|||</v>
          </cell>
          <cell r="C129" t="str">
            <v>V_KEYWORD_ISSR_208019491_SALES_CHILE</v>
          </cell>
        </row>
        <row r="130">
          <cell r="A130" t="str">
            <v>Vector|||208019491|||ISSR|||SALES_COLOMBIA|||False|||</v>
          </cell>
          <cell r="C130" t="str">
            <v>V_KEYWORD_ISSR_208019491_SALES_COLOMBIA</v>
          </cell>
        </row>
        <row r="131">
          <cell r="A131" t="str">
            <v>Vector|||208019491|||ISSR|||SALES_MEXICO|||False|||</v>
          </cell>
          <cell r="C131" t="str">
            <v>V_KEYWORD_ISSR_208019491_SALES_MEXICO</v>
          </cell>
        </row>
        <row r="132">
          <cell r="A132" t="str">
            <v>Vector|||208019491|||ISSR|||SALES_VENEZUELA|||False|||</v>
          </cell>
          <cell r="C132" t="str">
            <v>V_KEYWORD_ISSR_208019491_SALES_VENEZUELA</v>
          </cell>
        </row>
        <row r="133">
          <cell r="A133" t="str">
            <v>Vector|||208019491|||ISSR|||SALES_OTH_LATAM|||False|||</v>
          </cell>
          <cell r="C133" t="str">
            <v>V_KEYWORD_ISSR_208019491_SALES_OTH_LATAM</v>
          </cell>
        </row>
        <row r="134">
          <cell r="A134" t="str">
            <v>Vector|||208019491|||ISSR|||SALES_AUSTRIA|||False|||</v>
          </cell>
          <cell r="C134" t="str">
            <v>V_KEYWORD_ISSR_208019491_SALES_AUSTRIA</v>
          </cell>
        </row>
        <row r="135">
          <cell r="A135" t="str">
            <v>Vector|||208019491|||ISSR|||SALES_BEL|||False|||</v>
          </cell>
          <cell r="C135" t="str">
            <v>V_KEYWORD_ISSR_208019491_SALES_BEL</v>
          </cell>
        </row>
        <row r="136">
          <cell r="A136" t="str">
            <v>Vector|||208019491|||ISSR|||SALES_FRA|||False|||</v>
          </cell>
          <cell r="C136" t="str">
            <v>V_KEYWORD_ISSR_208019491_SALES_FRA</v>
          </cell>
        </row>
        <row r="137">
          <cell r="A137" t="str">
            <v>Vector|||208019491|||ISSR|||SALES_GER|||False|||</v>
          </cell>
          <cell r="C137" t="str">
            <v>V_KEYWORD_ISSR_208019491_SALES_GER</v>
          </cell>
        </row>
        <row r="138">
          <cell r="A138" t="str">
            <v>Vector|||208019491|||ISSR|||SALES_GRE|||False|||</v>
          </cell>
          <cell r="C138" t="str">
            <v>V_KEYWORD_ISSR_208019491_SALES_GRE</v>
          </cell>
        </row>
        <row r="139">
          <cell r="A139" t="str">
            <v>Vector|||208019491|||ISSR|||SALES_IRE|||False|||</v>
          </cell>
          <cell r="C139" t="str">
            <v>V_KEYWORD_ISSR_208019491_SALES_IRE</v>
          </cell>
        </row>
        <row r="140">
          <cell r="A140" t="str">
            <v>Vector|||208019491|||ISSR|||SALES_ITA|||False|||</v>
          </cell>
          <cell r="C140" t="str">
            <v>V_KEYWORD_ISSR_208019491_SALES_ITA</v>
          </cell>
        </row>
        <row r="141">
          <cell r="A141" t="str">
            <v>Vector|||208019491|||ISSR|||SALES_NETH|||False|||</v>
          </cell>
          <cell r="C141" t="str">
            <v>V_KEYWORD_ISSR_208019491_SALES_NETH</v>
          </cell>
        </row>
        <row r="142">
          <cell r="A142" t="str">
            <v>Vector|||208019491|||ISSR|||SALES_NOR|||False|||</v>
          </cell>
          <cell r="C142" t="str">
            <v>V_KEYWORD_ISSR_208019491_SALES_NOR</v>
          </cell>
        </row>
        <row r="143">
          <cell r="A143" t="str">
            <v>Vector|||208019491|||ISSR|||SALES_POR|||False|||</v>
          </cell>
          <cell r="C143" t="str">
            <v>V_KEYWORD_ISSR_208019491_SALES_POR</v>
          </cell>
        </row>
        <row r="144">
          <cell r="A144" t="str">
            <v>Vector|||208019491|||ISSR|||SALES_SPA|||False|||</v>
          </cell>
          <cell r="C144" t="str">
            <v>V_KEYWORD_ISSR_208019491_SALES_SPA</v>
          </cell>
        </row>
        <row r="145">
          <cell r="A145" t="str">
            <v>Vector|||208019491|||ISSR|||SALES_SWE|||False|||</v>
          </cell>
          <cell r="C145" t="str">
            <v>V_KEYWORD_ISSR_208019491_SALES_SWE</v>
          </cell>
        </row>
        <row r="146">
          <cell r="A146" t="str">
            <v>Vector|||208019491|||ISSR|||SALES_SWIT|||False|||</v>
          </cell>
          <cell r="C146" t="str">
            <v>V_KEYWORD_ISSR_208019491_SALES_SWIT</v>
          </cell>
        </row>
        <row r="147">
          <cell r="A147" t="str">
            <v>Vector|||208019491|||ISSR|||SALES_UK|||False|||</v>
          </cell>
          <cell r="C147" t="str">
            <v>V_KEYWORD_ISSR_208019491_SALES_UK</v>
          </cell>
        </row>
        <row r="148">
          <cell r="A148" t="str">
            <v>Vector|||208019491|||ISSR|||SALES_OTH_WEST_EURO|||False|||</v>
          </cell>
          <cell r="C148" t="str">
            <v>V_KEYWORD_ISSR_208019491_SALES_OTH_WEST_EURO</v>
          </cell>
        </row>
        <row r="149">
          <cell r="A149" t="str">
            <v>Vector|||208019491|||ISSR|||SALES_POLAND|||False|||</v>
          </cell>
          <cell r="C149" t="str">
            <v>V_KEYWORD_ISSR_208019491_SALES_POLAND</v>
          </cell>
        </row>
        <row r="150">
          <cell r="A150" t="str">
            <v>Vector|||208019491|||ISSR|||SALES_RUSSIA|||False|||</v>
          </cell>
          <cell r="C150" t="str">
            <v>V_KEYWORD_ISSR_208019491_SALES_RUSSIA</v>
          </cell>
        </row>
        <row r="151">
          <cell r="A151" t="str">
            <v>Vector|||208019491|||ISSR|||SALES_TURKEY|||False|||</v>
          </cell>
          <cell r="C151" t="str">
            <v>V_KEYWORD_ISSR_208019491_SALES_TURKEY</v>
          </cell>
        </row>
        <row r="152">
          <cell r="A152" t="str">
            <v>Vector|||208019491|||ISSR|||SALES_OTH_CEE|||False|||</v>
          </cell>
          <cell r="C152" t="str">
            <v>V_KEYWORD_ISSR_208019491_SALES_OTH_CEE</v>
          </cell>
        </row>
        <row r="153">
          <cell r="A153" t="str">
            <v>Vector|||208019491|||ISSR|||SALES_SAUDI_ARABIA|||False|||</v>
          </cell>
          <cell r="C153" t="str">
            <v>V_KEYWORD_ISSR_208019491_SALES_SAUDI_ARABIA</v>
          </cell>
        </row>
        <row r="154">
          <cell r="A154" t="str">
            <v>Vector|||208019491|||ISSR|||SALES_UAE|||False|||</v>
          </cell>
          <cell r="C154" t="str">
            <v>V_KEYWORD_ISSR_208019491_SALES_UAE</v>
          </cell>
        </row>
        <row r="155">
          <cell r="A155" t="str">
            <v>Vector|||208019491|||ISSR|||SALES_OTH_ME|||False|||</v>
          </cell>
          <cell r="C155" t="str">
            <v>V_KEYWORD_ISSR_208019491_SALES_OTH_ME</v>
          </cell>
        </row>
        <row r="156">
          <cell r="A156" t="str">
            <v>Vector|||208019491|||ISSR|||SALES_NIGERIA|||False|||</v>
          </cell>
          <cell r="C156" t="str">
            <v>V_KEYWORD_ISSR_208019491_SALES_NIGERIA</v>
          </cell>
        </row>
        <row r="157">
          <cell r="A157" t="str">
            <v>Vector|||208019491|||ISSR|||SALES_SO_AFRICA|||False|||</v>
          </cell>
          <cell r="C157" t="str">
            <v>V_KEYWORD_ISSR_208019491_SALES_SO_AFRICA</v>
          </cell>
        </row>
        <row r="158">
          <cell r="A158" t="str">
            <v>Vector|||208019491|||ISSR|||SALES_OTH_AFRICA|||False|||</v>
          </cell>
          <cell r="C158" t="str">
            <v>V_KEYWORD_ISSR_208019491_SALES_OTH_AFRICA</v>
          </cell>
        </row>
        <row r="159">
          <cell r="A159" t="str">
            <v>Vector|||208019491|||ISSR|||SALES_HONG_KONG|||False|||</v>
          </cell>
          <cell r="C159" t="str">
            <v>V_KEYWORD_ISSR_208019491_SALES_HONG_KONG</v>
          </cell>
        </row>
        <row r="160">
          <cell r="A160" t="str">
            <v>Vector|||208019491|||ISSR|||SALES_JAPAN|||False|||</v>
          </cell>
          <cell r="C160" t="str">
            <v>V_KEYWORD_ISSR_208019491_SALES_JAPAN</v>
          </cell>
        </row>
        <row r="161">
          <cell r="A161" t="str">
            <v>Vector|||208019491|||ISSR|||SALES_SINGAPORE|||False|||</v>
          </cell>
          <cell r="C161" t="str">
            <v>V_KEYWORD_ISSR_208019491_SALES_SINGAPORE</v>
          </cell>
        </row>
        <row r="162">
          <cell r="A162" t="str">
            <v>Vector|||208019491|||ISSR|||SALES_SK|||False|||</v>
          </cell>
          <cell r="C162" t="str">
            <v>V_KEYWORD_ISSR_208019491_SALES_SK</v>
          </cell>
        </row>
        <row r="163">
          <cell r="A163" t="str">
            <v>Vector|||208019491|||ISSR|||SALES_TAIWAN|||False|||</v>
          </cell>
          <cell r="C163" t="str">
            <v>V_KEYWORD_ISSR_208019491_SALES_TAIWAN</v>
          </cell>
        </row>
        <row r="164">
          <cell r="A164" t="str">
            <v>Vector|||208019491|||ISSR|||SALES_OTH_DEV_ASIA|||False|||</v>
          </cell>
          <cell r="C164" t="str">
            <v>V_KEYWORD_ISSR_208019491_SALES_OTH_DEV_ASIA</v>
          </cell>
        </row>
        <row r="165">
          <cell r="A165" t="str">
            <v>Vector|||208019491|||ISSR|||SALES_CHINA|||False|||</v>
          </cell>
          <cell r="C165" t="str">
            <v>V_KEYWORD_ISSR_208019491_SALES_CHINA</v>
          </cell>
        </row>
        <row r="166">
          <cell r="A166" t="str">
            <v>Vector|||208019491|||ISSR|||SALES_INDIA|||False|||</v>
          </cell>
          <cell r="C166" t="str">
            <v>V_KEYWORD_ISSR_208019491_SALES_INDIA</v>
          </cell>
        </row>
        <row r="167">
          <cell r="A167" t="str">
            <v>Vector|||208019491|||ISSR|||SALES_INDONESIA|||False|||</v>
          </cell>
          <cell r="C167" t="str">
            <v>V_KEYWORD_ISSR_208019491_SALES_INDONESIA</v>
          </cell>
        </row>
        <row r="168">
          <cell r="A168" t="str">
            <v>Vector|||208019491|||ISSR|||SALES_THAILAND|||False|||</v>
          </cell>
          <cell r="C168" t="str">
            <v>V_KEYWORD_ISSR_208019491_SALES_THAILAND</v>
          </cell>
        </row>
        <row r="169">
          <cell r="A169" t="str">
            <v>Vector|||208019491|||ISSR|||SALES_OTH_EMERG_ASIA|||False|||</v>
          </cell>
          <cell r="C169" t="str">
            <v>V_KEYWORD_ISSR_208019491_SALES_OTH_EMERG_ASIA</v>
          </cell>
        </row>
        <row r="170">
          <cell r="A170" t="str">
            <v>Vector|||208019491|||ISSR|||SALES_AUSTRA|||False|||</v>
          </cell>
          <cell r="C170" t="str">
            <v>V_KEYWORD_ISSR_208019491_SALES_AUSTRA</v>
          </cell>
        </row>
        <row r="171">
          <cell r="A171" t="str">
            <v>Vector|||208019491|||ISSR|||SALES_NZ|||False|||</v>
          </cell>
          <cell r="C171" t="str">
            <v>V_KEYWORD_ISSR_208019491_SALES_NZ</v>
          </cell>
        </row>
        <row r="172">
          <cell r="A172" t="str">
            <v>Vector|||208019491|||ISSR|||SALES_OTHER|||False|||</v>
          </cell>
          <cell r="C172" t="str">
            <v>V_KEYWORD_ISSR_208019491_SALES_OTHER</v>
          </cell>
        </row>
        <row r="173">
          <cell r="A173" t="str">
            <v>Vector|||208019491|||ISSR|||COGS_PCT_US|||False|||</v>
          </cell>
          <cell r="C173" t="str">
            <v>V_KEYWORD_ISSR_208019491_COGS_PCT_US</v>
          </cell>
        </row>
        <row r="174">
          <cell r="A174" t="str">
            <v>Vector|||208019491|||ISSR|||COGS_PCT_ROW|||False|||</v>
          </cell>
          <cell r="C174" t="str">
            <v>V_KEYWORD_ISSR_208019491_COGS_PCT_ROW</v>
          </cell>
        </row>
        <row r="175">
          <cell r="A175" t="str">
            <v>Vector|||208019491|||ISSR|||SGA_PCT_US|||False|||</v>
          </cell>
          <cell r="C175" t="str">
            <v>V_KEYWORD_ISSR_208019491_SGA_PCT_US</v>
          </cell>
        </row>
        <row r="176">
          <cell r="A176" t="str">
            <v>Vector|||208019491|||ISSR|||SGA_PCT_ROW|||False|||</v>
          </cell>
          <cell r="C176" t="str">
            <v>V_KEYWORD_ISSR_208019491_SGA_PCT_ROW</v>
          </cell>
        </row>
        <row r="177">
          <cell r="A177" t="str">
            <v>Vector|||208019491|||ISSR|||SALES_CONS|||False|||</v>
          </cell>
          <cell r="C177" t="str">
            <v>V_KEYWORD_ISSR_208019491_SALES_CONS</v>
          </cell>
        </row>
        <row r="178">
          <cell r="A178" t="str">
            <v>Vector|||208019491|||ISSR|||SALES_IND|||False|||</v>
          </cell>
          <cell r="C178" t="str">
            <v>V_KEYWORD_ISSR_208019491_SALES_IND</v>
          </cell>
        </row>
        <row r="179">
          <cell r="A179" t="str">
            <v>Vector|||208019491|||ISSR|||SALES_GOV|||False|||</v>
          </cell>
          <cell r="C179" t="str">
            <v>V_KEYWORD_ISSR_208019491_SALES_GOV</v>
          </cell>
        </row>
        <row r="180">
          <cell r="A180" t="str">
            <v>Vector|||208019491|||ISSR|||SALES_FINAN|||False|||</v>
          </cell>
          <cell r="C180" t="str">
            <v>V_KEYWORD_ISSR_208019491_SALES_FINAN</v>
          </cell>
        </row>
        <row r="181">
          <cell r="A181" t="str">
            <v>Vector|||208019491|||ISSR|||SALES_OIL_GAS|||False|||</v>
          </cell>
          <cell r="C181" t="str">
            <v>V_KEYWORD_ISSR_208019491_SALES_OIL_GAS</v>
          </cell>
        </row>
        <row r="183">
          <cell r="A183" t="str">
            <v>Vector|||208019491|||ISSR|||EXP_OIL_PETRO_FUEL|||False|||</v>
          </cell>
          <cell r="C183" t="str">
            <v>V_KEYWORD_ISSR_208019491_EXP_OIL_PETRO_FUEL</v>
          </cell>
        </row>
        <row r="184">
          <cell r="A184" t="str">
            <v>Vector|||208019491|||ISSR|||EXP_OIL_DERIV_NGLS_PLASTICS|||False|||</v>
          </cell>
          <cell r="C184" t="str">
            <v>V_KEYWORD_ISSR_208019491_EXP_OIL_DERIV_NGLS_PLASTICS</v>
          </cell>
        </row>
        <row r="191">
          <cell r="A191" t="str">
            <v>Vector|||208019491|||ISSR|||SALES_FX_GPB|||False|||</v>
          </cell>
          <cell r="C191" t="str">
            <v>V_KEYWORD_ISSR_208019491_SALES_FX_GPB</v>
          </cell>
        </row>
        <row r="192">
          <cell r="A192" t="str">
            <v>Vector|||208019491|||ISSR|||SALES_FX_EUR|||False|||</v>
          </cell>
          <cell r="C192" t="str">
            <v>V_KEYWORD_ISSR_208019491_SALES_FX_EUR</v>
          </cell>
        </row>
        <row r="193">
          <cell r="A193" t="str">
            <v>Vector|||208019491|||ISSR|||SALES_FX_RUB|||False|||</v>
          </cell>
          <cell r="C193" t="str">
            <v>V_KEYWORD_ISSR_208019491_SALES_FX_RUB</v>
          </cell>
        </row>
        <row r="194">
          <cell r="A194" t="str">
            <v>Vector|||208019491|||ISSR|||SALES_FX_USD|||False|||</v>
          </cell>
          <cell r="C194" t="str">
            <v>V_KEYWORD_ISSR_208019491_SALES_FX_USD</v>
          </cell>
        </row>
        <row r="195">
          <cell r="A195" t="str">
            <v>Vector|||208019491|||ISSR|||SALES_FX_BRL|||False|||</v>
          </cell>
          <cell r="C195" t="str">
            <v>V_KEYWORD_ISSR_208019491_SALES_FX_BRL</v>
          </cell>
        </row>
        <row r="196">
          <cell r="A196" t="str">
            <v>Vector|||208019491|||ISSR|||SALES_FX_YEN|||False|||</v>
          </cell>
          <cell r="C196" t="str">
            <v>V_KEYWORD_ISSR_208019491_SALES_FX_YEN</v>
          </cell>
        </row>
        <row r="197">
          <cell r="A197" t="str">
            <v>Vector|||208019491|||ISSR|||SALES_FX_CNY|||False|||</v>
          </cell>
          <cell r="C197" t="str">
            <v>V_KEYWORD_ISSR_208019491_SALES_FX_CNY</v>
          </cell>
        </row>
        <row r="198">
          <cell r="A198" t="str">
            <v>Vector|||208019491|||ISSR|||SALES_FX_INR|||False|||</v>
          </cell>
          <cell r="C198" t="str">
            <v>V_KEYWORD_ISSR_208019491_SALES_FX_INR</v>
          </cell>
        </row>
        <row r="199">
          <cell r="A199" t="str">
            <v>Vector|||208019491|||ISSR|||SALES_FX_KRW|||False|||</v>
          </cell>
          <cell r="C199" t="str">
            <v>V_KEYWORD_ISSR_208019491_SALES_FX_KRW</v>
          </cell>
        </row>
        <row r="200">
          <cell r="A200" t="str">
            <v>Vector|||208019491|||ISSR|||SALES_FX_TWD|||False|||</v>
          </cell>
          <cell r="C200" t="str">
            <v>V_KEYWORD_ISSR_208019491_SALES_FX_TWD</v>
          </cell>
        </row>
        <row r="201">
          <cell r="A201" t="str">
            <v>Vector|||208019491|||ISSR|||SALES_FX_OTH|||False|||</v>
          </cell>
          <cell r="C201" t="str">
            <v>V_KEYWORD_ISSR_208019491_SALES_FX_OTH</v>
          </cell>
        </row>
        <row r="203">
          <cell r="A203" t="str">
            <v>Vector|||208019491|||ISSR|||SALES_TOT_AM|||False|||</v>
          </cell>
          <cell r="C203" t="str">
            <v>V_KEYWORD_ISSR_208019491_SALES_TOT_AM</v>
          </cell>
        </row>
        <row r="204">
          <cell r="A204" t="str">
            <v>Vector|||208019491|||ISSR|||SALES_OTH_AM|||False|||</v>
          </cell>
          <cell r="C204" t="str">
            <v>V_KEYWORD_ISSR_208019491_SALES_OTH_AM</v>
          </cell>
        </row>
        <row r="205">
          <cell r="A205" t="str">
            <v>Vector|||208019491|||ISSR|||SALES_TOT_EMEA|||False|||</v>
          </cell>
          <cell r="C205" t="str">
            <v>V_KEYWORD_ISSR_208019491_SALES_TOT_EMEA</v>
          </cell>
        </row>
        <row r="206">
          <cell r="A206" t="str">
            <v>Vector|||208019491|||ISSR|||SALES_EU_EX_UK|||False|||</v>
          </cell>
          <cell r="C206" t="str">
            <v>V_KEYWORD_ISSR_208019491_SALES_EU_EX_UK</v>
          </cell>
        </row>
        <row r="207">
          <cell r="A207" t="str">
            <v>Vector|||208019491|||ISSR|||SALES_CEE|||False|||</v>
          </cell>
          <cell r="C207" t="str">
            <v>V_KEYWORD_ISSR_208019491_SALES_CEE</v>
          </cell>
        </row>
        <row r="208">
          <cell r="A208" t="str">
            <v>Vector|||208019491|||ISSR|||SALES_ME|||False|||</v>
          </cell>
          <cell r="C208" t="str">
            <v>V_KEYWORD_ISSR_208019491_SALES_ME</v>
          </cell>
        </row>
        <row r="209">
          <cell r="A209" t="str">
            <v>Vector|||208019491|||ISSR|||SALES_TOT_AFRICA|||False|||</v>
          </cell>
          <cell r="C209" t="str">
            <v>V_KEYWORD_ISSR_208019491_SALES_TOT_AFRICA</v>
          </cell>
        </row>
        <row r="210">
          <cell r="A210" t="str">
            <v>Vector|||208019491|||ISSR|||SALES_OTH_EMEA|||False|||</v>
          </cell>
          <cell r="C210" t="str">
            <v>V_KEYWORD_ISSR_208019491_SALES_OTH_EMEA</v>
          </cell>
        </row>
        <row r="211">
          <cell r="A211" t="str">
            <v>Vector|||208019491|||ISSR|||SALES_TOT_ASIA|||False|||</v>
          </cell>
          <cell r="C211" t="str">
            <v>V_KEYWORD_ISSR_208019491_SALES_TOT_ASIA</v>
          </cell>
        </row>
        <row r="212">
          <cell r="A212" t="str">
            <v>Vector|||208019491|||ISSR|||SALES_OTH_AEJ|||False|||</v>
          </cell>
          <cell r="C212" t="str">
            <v>V_KEYWORD_ISSR_208019491_SALES_OTH_AEJ</v>
          </cell>
        </row>
        <row r="218">
          <cell r="A218" t="str">
            <v>Scalar|||200020399|||EQTY|||PUB_CURRENCY_ISO|||False|||</v>
          </cell>
          <cell r="C218" t="str">
            <v>V_KEYWORD_EQTY_200020399_PUB_CURRENCY_ISO</v>
          </cell>
          <cell r="E218" t="str">
            <v>ERROR</v>
          </cell>
        </row>
        <row r="219">
          <cell r="A219" t="str">
            <v>Scalar|||200020399|||EQTY|||PRICE_CURRENCY_ISO|||False|||</v>
          </cell>
          <cell r="C219" t="str">
            <v>V_KEYWORD_EQTY_200020399_PRICE_CURRENCY_ISO</v>
          </cell>
          <cell r="E219" t="str">
            <v>ERROR</v>
          </cell>
        </row>
        <row r="220">
          <cell r="A220" t="str">
            <v>Scalar|||200020399|||EQTY|||CURRENCY_ISO|||False|||</v>
          </cell>
          <cell r="C220" t="str">
            <v>V_KEYWORD_EQTY_200020399_CURRENCY_ISO</v>
          </cell>
        </row>
        <row r="222">
          <cell r="A222" t="str">
            <v>Scalar|||200020399|||EQTY|||AEJ_LIST|||False|||</v>
          </cell>
          <cell r="C222" t="str">
            <v>V_KEYWORD_EQTY_200020399_AEJ_LIST</v>
          </cell>
        </row>
        <row r="223">
          <cell r="A223" t="str">
            <v>Scalar|||200020399|||EQTY|||AEJ_CONVICTION|||False|||</v>
          </cell>
          <cell r="C223" t="str">
            <v>V_KEYWORD_EQTY_200020399_AEJ_CONVICTION</v>
          </cell>
        </row>
        <row r="224">
          <cell r="A224" t="str">
            <v>Scalar|||200020399|||EQTY|||LEGAL_RATING|||False|||</v>
          </cell>
          <cell r="C224" t="str">
            <v>V_KEYWORD_EQTY_200020399_LEGAL_RATING</v>
          </cell>
          <cell r="E224" t="str">
            <v>ERROR</v>
          </cell>
        </row>
        <row r="225">
          <cell r="A225" t="str">
            <v>Scalar|||200020399|||EQTY|||TARGET_PRICE|||False|||</v>
          </cell>
          <cell r="C225" t="str">
            <v>V_KEYWORD_EQTY_200020399_TARGET_PRICE</v>
          </cell>
          <cell r="E225" t="str">
            <v>ERROR</v>
          </cell>
        </row>
        <row r="226">
          <cell r="A226" t="str">
            <v>Scalar|||200020399|||EQTY|||TP_PERIOD|||False|||</v>
          </cell>
          <cell r="C226" t="str">
            <v>V_KEYWORD_EQTY_200020399_TP_PERIOD</v>
          </cell>
          <cell r="E226" t="str">
            <v>ERROR</v>
          </cell>
        </row>
        <row r="227">
          <cell r="A227" t="str">
            <v>Scalar|||200020399|||EQTY|||TARGET_PRICE_FUNDAMENTAL|||False|||</v>
          </cell>
          <cell r="C227" t="str">
            <v>V_KEYWORD_EQTY_200020399_TARGET_PRICE_FUNDAMENTAL</v>
          </cell>
        </row>
        <row r="228">
          <cell r="A228" t="str">
            <v>Scalar|||200020399|||EQTY|||TARGET_PRICE_MA|||False|||</v>
          </cell>
          <cell r="C228" t="str">
            <v>V_KEYWORD_EQTY_200020399_TARGET_PRICE_MA</v>
          </cell>
        </row>
        <row r="229">
          <cell r="A229" t="str">
            <v>Scalar|||200020399|||EQTY|||NUM_SH|||False|||</v>
          </cell>
          <cell r="C229" t="str">
            <v>V_KEYWORD_EQTY_200020399_NUM_SH</v>
          </cell>
        </row>
        <row r="230">
          <cell r="A230" t="str">
            <v>Scalar|||200020399|||EQTY|||FREE_FLOAT|||False|||</v>
          </cell>
          <cell r="C230" t="str">
            <v>V_KEYWORD_EQTY_200020399_FREE_FLOAT</v>
          </cell>
        </row>
        <row r="231">
          <cell r="A231" t="str">
            <v>Scalar|||200020399|||EQTY|||FOREIGN_HOLDNG|||False|||</v>
          </cell>
          <cell r="C231" t="str">
            <v>V_KEYWORD_EQTY_200020399_FOREIGN_HOLDNG</v>
          </cell>
        </row>
        <row r="232">
          <cell r="A232" t="str">
            <v>Scalar|||200020399|||EQTY|||CATALYST1_DATE|||True|||</v>
          </cell>
          <cell r="C232" t="str">
            <v>V_KEYWORD_EQTY_200020399_CATALYST1_DATE</v>
          </cell>
        </row>
        <row r="233">
          <cell r="A233" t="str">
            <v>Scalar|||200020399|||EQTY|||CATALYST1_EVENT|||False|||</v>
          </cell>
          <cell r="C233" t="str">
            <v>V_KEYWORD_EQTY_200020399_CATALYST1_EVENT</v>
          </cell>
        </row>
        <row r="234">
          <cell r="A234" t="str">
            <v>Scalar|||200020399|||EQTY|||CATALYST2_DATE|||True|||</v>
          </cell>
          <cell r="C234" t="str">
            <v>V_KEYWORD_EQTY_200020399_CATALYST2_DATE</v>
          </cell>
        </row>
        <row r="235">
          <cell r="A235" t="str">
            <v>Scalar|||200020399|||EQTY|||CATALYST2_EVENT|||False|||</v>
          </cell>
          <cell r="C235" t="str">
            <v>V_KEYWORD_EQTY_200020399_CATALYST2_EVENT</v>
          </cell>
        </row>
        <row r="236">
          <cell r="A236" t="str">
            <v>Scalar|||200020399|||EQTY|||CATALYST3_DATE|||True|||</v>
          </cell>
          <cell r="C236" t="str">
            <v>V_KEYWORD_EQTY_200020399_CATALYST3_DATE</v>
          </cell>
        </row>
        <row r="237">
          <cell r="A237" t="str">
            <v>Scalar|||200020399|||EQTY|||CATALYST3_EVENT|||False|||</v>
          </cell>
          <cell r="C237" t="str">
            <v>V_KEYWORD_EQTY_200020399_CATALYST3_EVENT</v>
          </cell>
        </row>
        <row r="238">
          <cell r="A238" t="str">
            <v>Scalar|||200020399|||EQTY|||CATALYST4_DATE|||True|||</v>
          </cell>
          <cell r="C238" t="str">
            <v>V_KEYWORD_EQTY_200020399_CATALYST4_DATE</v>
          </cell>
        </row>
        <row r="239">
          <cell r="A239" t="str">
            <v>Scalar|||200020399|||EQTY|||CATALYST4_EVENT|||False|||</v>
          </cell>
          <cell r="C239" t="str">
            <v>V_KEYWORD_EQTY_200020399_CATALYST4_EVENT</v>
          </cell>
        </row>
        <row r="240">
          <cell r="A240" t="str">
            <v>Scalar|||200020399|||EQTY|||CATALYST5_DATE|||True|||</v>
          </cell>
          <cell r="C240" t="str">
            <v>V_KEYWORD_EQTY_200020399_CATALYST5_DATE</v>
          </cell>
        </row>
        <row r="241">
          <cell r="A241" t="str">
            <v>Scalar|||200020399|||EQTY|||CATALYST5_EVENT|||False|||</v>
          </cell>
          <cell r="C241" t="str">
            <v>V_KEYWORD_EQTY_200020399_CATALYST5_EVENT</v>
          </cell>
        </row>
        <row r="242">
          <cell r="A242" t="str">
            <v>Scalar|||200020399|||EQTY|||PRI_TARG_MULT|||False|||</v>
          </cell>
          <cell r="C242" t="str">
            <v>V_KEYWORD_EQTY_200020399_PRI_TARG_MULT</v>
          </cell>
        </row>
        <row r="243">
          <cell r="A243" t="str">
            <v>Scalar|||200020399|||EQTY|||PRI_TARG_METH|||False|||</v>
          </cell>
          <cell r="C243" t="str">
            <v>V_KEYWORD_EQTY_200020399_PRI_TARG_METH</v>
          </cell>
        </row>
        <row r="245">
          <cell r="A245" t="str">
            <v>Vector|||200020399|||EQTY|||BVPS_PUB|||False|||</v>
          </cell>
          <cell r="C245" t="str">
            <v>V_KEYWORD_EQTY_200020399_BVPS_PUB</v>
          </cell>
        </row>
        <row r="246">
          <cell r="A246" t="str">
            <v>Vector|||200020399|||EQTY|||DPS_PUB|||False|||</v>
          </cell>
          <cell r="C246" t="str">
            <v>V_KEYWORD_EQTY_200020399_DPS_PUB</v>
          </cell>
        </row>
        <row r="247">
          <cell r="A247" t="str">
            <v>Vector|||200020399|||EQTY|||DPS_SPECIAL_PUB|||False|||</v>
          </cell>
          <cell r="C247" t="str">
            <v>V_KEYWORD_EQTY_200020399_DPS_SPECIAL_PUB</v>
          </cell>
        </row>
        <row r="248">
          <cell r="A248" t="str">
            <v>Vector|||200020399|||EQTY|||EBITDA_PUB|||False|||</v>
          </cell>
          <cell r="C248" t="str">
            <v>V_KEYWORD_EQTY_200020399_EBITDA_PUB</v>
          </cell>
        </row>
        <row r="249">
          <cell r="A249" t="str">
            <v>Vector|||200020399|||EQTY|||EPS_PUB|||False|||</v>
          </cell>
          <cell r="C249" t="str">
            <v>V_KEYWORD_EQTY_200020399_EPS_PUB</v>
          </cell>
          <cell r="F249" t="str">
            <v>ERROR</v>
          </cell>
          <cell r="G249" t="str">
            <v>ERROR</v>
          </cell>
          <cell r="H249" t="str">
            <v>ERROR</v>
          </cell>
          <cell r="I249" t="str">
            <v>ERROR</v>
          </cell>
          <cell r="J249" t="str">
            <v>ERROR</v>
          </cell>
          <cell r="K249" t="str">
            <v>ERROR</v>
          </cell>
          <cell r="L249" t="str">
            <v>ERROR</v>
          </cell>
          <cell r="M249" t="str">
            <v>ERROR</v>
          </cell>
          <cell r="N249" t="str">
            <v>ERROR</v>
          </cell>
          <cell r="O249" t="str">
            <v>ERROR</v>
          </cell>
          <cell r="P249" t="str">
            <v>ERROR</v>
          </cell>
          <cell r="Q249" t="str">
            <v>ERROR</v>
          </cell>
          <cell r="R249" t="str">
            <v>ERROR</v>
          </cell>
          <cell r="S249" t="str">
            <v>ERROR</v>
          </cell>
          <cell r="T249" t="str">
            <v>ERROR</v>
          </cell>
          <cell r="V249" t="str">
            <v>ERROR</v>
          </cell>
          <cell r="W249" t="str">
            <v>ERROR</v>
          </cell>
          <cell r="X249" t="str">
            <v>ERROR</v>
          </cell>
          <cell r="Y249" t="str">
            <v>ERROR</v>
          </cell>
          <cell r="Z249" t="str">
            <v>ERROR</v>
          </cell>
          <cell r="AA249" t="str">
            <v>ERROR</v>
          </cell>
          <cell r="AB249" t="str">
            <v>ERROR</v>
          </cell>
          <cell r="AC249" t="str">
            <v>ERROR</v>
          </cell>
          <cell r="AD249" t="str">
            <v>ERROR</v>
          </cell>
          <cell r="AE249" t="str">
            <v>ERROR</v>
          </cell>
          <cell r="AF249" t="str">
            <v>ERROR</v>
          </cell>
          <cell r="AG249" t="str">
            <v>ERROR</v>
          </cell>
          <cell r="AH249" t="str">
            <v>ERROR</v>
          </cell>
          <cell r="AI249" t="str">
            <v>ERROR</v>
          </cell>
          <cell r="AJ249" t="str">
            <v>ERROR</v>
          </cell>
          <cell r="AK249" t="str">
            <v>ERROR</v>
          </cell>
          <cell r="AL249" t="str">
            <v>ERROR</v>
          </cell>
          <cell r="AM249" t="str">
            <v>ERROR</v>
          </cell>
          <cell r="AN249" t="str">
            <v>ERROR</v>
          </cell>
        </row>
        <row r="250">
          <cell r="A250" t="str">
            <v>Vector|||200020399|||EQTY|||EV_ADJ_PUB|||False|||</v>
          </cell>
          <cell r="C250" t="str">
            <v>V_KEYWORD_EQTY_200020399_EV_ADJ_PUB</v>
          </cell>
        </row>
        <row r="251">
          <cell r="A251" t="str">
            <v>Vector|||200020399|||EQTY|||NET_DEBT_PUB|||False|||</v>
          </cell>
          <cell r="C251" t="str">
            <v>V_KEYWORD_EQTY_200020399_NET_DEBT_PUB</v>
          </cell>
        </row>
        <row r="252">
          <cell r="A252" t="str">
            <v>Vector|||200020399|||EQTY|||NET_DEBT_EX_LEASES_PUB|||False|||</v>
          </cell>
          <cell r="C252" t="str">
            <v>V_KEYWORD_EQTY_200020399_NET_DEBT_EX_LEASES_PUB</v>
          </cell>
        </row>
        <row r="253">
          <cell r="A253" t="str">
            <v>Vector|||200020399|||EQTY|||CEEE_NDEBT|||False|||</v>
          </cell>
          <cell r="C253" t="str">
            <v>V_KEYWORD_EQTY_200020399_CEEE_NDEBT</v>
          </cell>
        </row>
        <row r="254">
          <cell r="A254" t="str">
            <v>Vector|||200020399|||EQTY|||NI_PUB|||False|||</v>
          </cell>
          <cell r="C254" t="str">
            <v>V_KEYWORD_EQTY_200020399_NI_PUB</v>
          </cell>
        </row>
        <row r="255">
          <cell r="A255" t="str">
            <v>Vector|||200020399|||EQTY|||EBIT_PUB|||False|||</v>
          </cell>
          <cell r="C255" t="str">
            <v>V_KEYWORD_EQTY_200020399_EBIT_PUB</v>
          </cell>
        </row>
        <row r="256">
          <cell r="A256" t="str">
            <v>Vector|||200020399|||EQTY|||PTP_PUB|||False|||</v>
          </cell>
          <cell r="C256" t="str">
            <v>V_KEYWORD_EQTY_200020399_PTP_PUB</v>
          </cell>
        </row>
        <row r="257">
          <cell r="A257" t="str">
            <v>Vector|||200020399|||EQTY|||REVS_PUB|||False|||</v>
          </cell>
          <cell r="C257" t="str">
            <v>V_KEYWORD_EQTY_200020399_REVS_PUB</v>
          </cell>
        </row>
        <row r="258">
          <cell r="A258" t="str">
            <v>Vector|||200020399|||EQTY|||EQ_PUB|||False|||</v>
          </cell>
          <cell r="C258" t="str">
            <v>V_KEYWORD_EQTY_200020399_EQ_PUB</v>
          </cell>
        </row>
        <row r="259">
          <cell r="A259" t="str">
            <v>Vector|||200020399|||EQTY|||EPS_CONS_PUB|||False|||</v>
          </cell>
          <cell r="C259" t="str">
            <v>V_KEYWORD_EQTY_200020399_EPS_CONS_PUB</v>
          </cell>
        </row>
        <row r="261">
          <cell r="A261" t="str">
            <v>Vector|||200020399|||EQTY|||PROV_INC_TAX|||False|||</v>
          </cell>
          <cell r="C261" t="str">
            <v>V_KEYWORD_EQTY_200020399_PROV_INC_TAX</v>
          </cell>
        </row>
        <row r="262">
          <cell r="A262" t="str">
            <v>Vector|||200020399|||EQTY|||INC_MINORITY|||False|||</v>
          </cell>
          <cell r="C262" t="str">
            <v>V_KEYWORD_EQTY_200020399_INC_MINORITY</v>
          </cell>
        </row>
        <row r="263">
          <cell r="A263" t="str">
            <v>Vector|||200020399|||EQTY|||NI_PRE_PREF|||False|||</v>
          </cell>
          <cell r="C263" t="str">
            <v>V_KEYWORD_EQTY_200020399_NI_PRE_PREF</v>
          </cell>
        </row>
        <row r="264">
          <cell r="A264" t="str">
            <v>Vector|||200020399|||EQTY|||PREF_DIV|||False|||</v>
          </cell>
          <cell r="C264" t="str">
            <v>V_KEYWORD_EQTY_200020399_PREF_DIV</v>
          </cell>
        </row>
        <row r="265">
          <cell r="A265" t="str">
            <v>Vector|||200020399|||EQTY|||NET_EARNING|||False|||</v>
          </cell>
          <cell r="C265" t="str">
            <v>V_KEYWORD_EQTY_200020399_NET_EARNING</v>
          </cell>
        </row>
        <row r="266">
          <cell r="A266" t="str">
            <v>Vector|||200020399|||EQTY|||TAX_EXC|||False|||</v>
          </cell>
          <cell r="C266" t="str">
            <v>V_KEYWORD_EQTY_200020399_TAX_EXC</v>
          </cell>
        </row>
        <row r="267">
          <cell r="A267" t="str">
            <v>Vector|||200020399|||EQTY|||NET_INC|||False|||</v>
          </cell>
          <cell r="C267" t="str">
            <v>V_KEYWORD_EQTY_200020399_NET_INC</v>
          </cell>
        </row>
        <row r="268">
          <cell r="A268" t="str">
            <v>Vector|||200020399|||EQTY|||EPS|||False|||</v>
          </cell>
          <cell r="C268" t="str">
            <v>V_KEYWORD_EQTY_200020399_EPS</v>
          </cell>
        </row>
        <row r="269">
          <cell r="A269" t="str">
            <v>Vector|||200020399|||EQTY|||EPS_FUL_DIL|||False|||</v>
          </cell>
          <cell r="C269" t="str">
            <v>V_KEYWORD_EQTY_200020399_EPS_FUL_DIL</v>
          </cell>
        </row>
        <row r="270">
          <cell r="A270" t="str">
            <v>Vector|||200020399|||EQTY|||EPS_POST_BASIC|||False|||</v>
          </cell>
          <cell r="C270" t="str">
            <v>V_KEYWORD_EQTY_200020399_EPS_POST_BASIC</v>
          </cell>
        </row>
        <row r="271">
          <cell r="A271" t="str">
            <v>Vector|||200020399|||EQTY|||FULLY_DIL_EPS|||False|||</v>
          </cell>
          <cell r="C271" t="str">
            <v>V_KEYWORD_EQTY_200020399_FULLY_DIL_EPS</v>
          </cell>
        </row>
        <row r="272">
          <cell r="A272" t="str">
            <v>Vector|||200020399|||EQTY|||COMMON_DIV_PAID|||False|||</v>
          </cell>
          <cell r="C272" t="str">
            <v>V_KEYWORD_EQTY_200020399_COMMON_DIV_PAID</v>
          </cell>
        </row>
        <row r="273">
          <cell r="A273" t="str">
            <v>Vector|||200020399|||EQTY|||DPS|||False|||</v>
          </cell>
          <cell r="C273" t="str">
            <v>V_KEYWORD_EQTY_200020399_DPS</v>
          </cell>
        </row>
        <row r="274">
          <cell r="A274" t="str">
            <v>Vector|||200020399|||EQTY|||SH|||False|||</v>
          </cell>
          <cell r="C274" t="str">
            <v>V_KEYWORD_EQTY_200020399_SH</v>
          </cell>
        </row>
        <row r="275">
          <cell r="A275" t="str">
            <v>Vector|||200020399|||EQTY|||DILUTE_SHARES|||False|||</v>
          </cell>
          <cell r="C275" t="str">
            <v>V_KEYWORD_EQTY_200020399_DILUTE_SHARES</v>
          </cell>
        </row>
        <row r="276">
          <cell r="A276" t="str">
            <v>Vector|||200020399|||EQTY|||NON_OP_ADD|||False|||</v>
          </cell>
          <cell r="C276" t="str">
            <v>V_KEYWORD_EQTY_200020399_NON_OP_ADD</v>
          </cell>
        </row>
        <row r="278">
          <cell r="A278" t="str">
            <v>Vector|||200020399|||EQTY|||MARGIN_TAX_RATE|||False|||</v>
          </cell>
          <cell r="C278" t="str">
            <v>V_KEYWORD_EQTY_200020399_MARGIN_TAX_RATE</v>
          </cell>
        </row>
        <row r="279">
          <cell r="A279" t="str">
            <v>Vector|||200020399|||EQTY|||NI_CONS|||False|||</v>
          </cell>
          <cell r="C279" t="str">
            <v>V_KEYWORD_EQTY_200020399_NI_CONS</v>
          </cell>
        </row>
        <row r="281">
          <cell r="A281" t="str">
            <v>Vector|||200020399|||EQTY|||BVPS|||False|||</v>
          </cell>
          <cell r="C281" t="str">
            <v>V_KEYWORD_EQTY_200020399_BVPS</v>
          </cell>
        </row>
        <row r="283">
          <cell r="A283" t="str">
            <v>Vector|||200020399|||EQTY|||CF_NI_PRE_PREF|||False|||</v>
          </cell>
          <cell r="C283" t="str">
            <v>V_KEYWORD_EQTY_200020399_CF_NI_PRE_PREF</v>
          </cell>
        </row>
        <row r="285">
          <cell r="A285" t="str">
            <v>Scalar|||200020399|||EQTY|||BETA_ANALYST|||False|||</v>
          </cell>
          <cell r="C285" t="str">
            <v>V_KEYWORD_EQTY_200020399_BETA_ANALYST</v>
          </cell>
        </row>
        <row r="286">
          <cell r="A286" t="str">
            <v>Scalar|||200020399|||EQTY|||MKT_EQ_RISK_PREM|||False|||</v>
          </cell>
          <cell r="C286" t="str">
            <v>V_KEYWORD_EQTY_200020399_MKT_EQ_RISK_PREM</v>
          </cell>
        </row>
        <row r="287">
          <cell r="A287" t="str">
            <v>Scalar|||200020399|||EQTY|||RISK_FR_RATE|||False|||</v>
          </cell>
          <cell r="C287" t="str">
            <v>V_KEYWORD_EQTY_200020399_RISK_FR_RATE</v>
          </cell>
        </row>
      </sheetData>
      <sheetData sheetId="12"/>
      <sheetData sheetId="13">
        <row r="1">
          <cell r="A1" t="str">
            <v>Issuer: Venustech Group</v>
          </cell>
          <cell r="F1" t="str">
            <v>2009</v>
          </cell>
          <cell r="G1" t="str">
            <v>2010</v>
          </cell>
          <cell r="H1" t="str">
            <v>2011</v>
          </cell>
          <cell r="I1" t="str">
            <v>2012</v>
          </cell>
          <cell r="J1" t="str">
            <v>2013</v>
          </cell>
          <cell r="K1" t="str">
            <v>2014</v>
          </cell>
          <cell r="L1" t="str">
            <v>2015</v>
          </cell>
          <cell r="M1" t="str">
            <v>2016</v>
          </cell>
          <cell r="N1" t="str">
            <v>2017</v>
          </cell>
          <cell r="O1" t="str">
            <v>2018</v>
          </cell>
          <cell r="P1">
            <v>2019</v>
          </cell>
          <cell r="Q1" t="str">
            <v>2020</v>
          </cell>
          <cell r="R1" t="str">
            <v>2021</v>
          </cell>
          <cell r="S1" t="str">
            <v>2022</v>
          </cell>
          <cell r="T1" t="str">
            <v>2023</v>
          </cell>
          <cell r="V1" t="str">
            <v>2011 Q1</v>
          </cell>
          <cell r="W1" t="str">
            <v>2011 Q2</v>
          </cell>
          <cell r="X1" t="str">
            <v>2011 Q3</v>
          </cell>
          <cell r="Y1" t="str">
            <v>2011 Q4</v>
          </cell>
          <cell r="Z1" t="str">
            <v>2012 Q1</v>
          </cell>
          <cell r="AA1" t="str">
            <v>2012 Q2</v>
          </cell>
          <cell r="AB1" t="str">
            <v>2012 Q3</v>
          </cell>
          <cell r="AC1" t="str">
            <v>2012 Q4</v>
          </cell>
          <cell r="AD1" t="str">
            <v>2013 Q1</v>
          </cell>
          <cell r="AE1" t="str">
            <v>2013 Q2</v>
          </cell>
          <cell r="AF1" t="str">
            <v>2013 Q3</v>
          </cell>
          <cell r="AG1" t="str">
            <v>2013 Q4</v>
          </cell>
          <cell r="AH1" t="str">
            <v>2014 Q1</v>
          </cell>
          <cell r="AI1" t="str">
            <v>2014 Q2</v>
          </cell>
          <cell r="AJ1" t="str">
            <v>2014 Q3</v>
          </cell>
          <cell r="AK1" t="str">
            <v>2014 Q4</v>
          </cell>
          <cell r="AL1" t="str">
            <v>2015 Q1</v>
          </cell>
          <cell r="AM1" t="str">
            <v>2015 Q2</v>
          </cell>
          <cell r="AN1" t="str">
            <v>2015 Q3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Estimate</v>
          </cell>
          <cell r="Q2" t="str">
            <v>Estimate</v>
          </cell>
          <cell r="R2" t="str">
            <v>Estimate</v>
          </cell>
          <cell r="S2" t="str">
            <v>Estimate</v>
          </cell>
          <cell r="T2" t="str">
            <v>Estimate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40178</v>
          </cell>
          <cell r="G3">
            <v>40543</v>
          </cell>
          <cell r="H3">
            <v>40908</v>
          </cell>
          <cell r="I3">
            <v>41274</v>
          </cell>
          <cell r="J3">
            <v>41639</v>
          </cell>
          <cell r="K3">
            <v>42004</v>
          </cell>
          <cell r="L3">
            <v>42369</v>
          </cell>
          <cell r="M3">
            <v>42735</v>
          </cell>
          <cell r="N3">
            <v>43100</v>
          </cell>
          <cell r="O3">
            <v>43465</v>
          </cell>
          <cell r="P3">
            <v>43830</v>
          </cell>
          <cell r="Q3">
            <v>44196</v>
          </cell>
          <cell r="R3">
            <v>44561</v>
          </cell>
          <cell r="S3">
            <v>44926</v>
          </cell>
          <cell r="T3">
            <v>45291</v>
          </cell>
          <cell r="V3">
            <v>40633</v>
          </cell>
          <cell r="W3">
            <v>40724</v>
          </cell>
          <cell r="X3">
            <v>40816</v>
          </cell>
          <cell r="Y3">
            <v>40908</v>
          </cell>
          <cell r="Z3">
            <v>40999</v>
          </cell>
          <cell r="AA3">
            <v>41090</v>
          </cell>
          <cell r="AB3">
            <v>41182</v>
          </cell>
          <cell r="AC3">
            <v>41274</v>
          </cell>
          <cell r="AD3">
            <v>41364</v>
          </cell>
          <cell r="AE3">
            <v>41455</v>
          </cell>
          <cell r="AF3">
            <v>41547</v>
          </cell>
          <cell r="AG3">
            <v>41639</v>
          </cell>
          <cell r="AH3">
            <v>41729</v>
          </cell>
          <cell r="AI3">
            <v>41820</v>
          </cell>
          <cell r="AJ3">
            <v>41912</v>
          </cell>
          <cell r="AK3">
            <v>42004</v>
          </cell>
          <cell r="AL3">
            <v>42094</v>
          </cell>
          <cell r="AM3">
            <v>42185</v>
          </cell>
          <cell r="AN3">
            <v>42277</v>
          </cell>
        </row>
        <row r="4">
          <cell r="A4" t="str">
            <v>Issuer: Venustech Group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6">
          <cell r="B6" t="str">
            <v>Issuer Name</v>
          </cell>
          <cell r="C6" t="str">
            <v>Issuer Name</v>
          </cell>
          <cell r="E6" t="str">
            <v>Venustech Group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  <cell r="B10">
            <v>0</v>
          </cell>
          <cell r="C10">
            <v>0</v>
          </cell>
          <cell r="D10">
            <v>0</v>
          </cell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F11">
            <v>304.09907700000002</v>
          </cell>
          <cell r="G11">
            <v>366.919938</v>
          </cell>
          <cell r="H11">
            <v>426.38367499999998</v>
          </cell>
          <cell r="I11">
            <v>727.81148000000007</v>
          </cell>
          <cell r="J11">
            <v>948.43013600000006</v>
          </cell>
          <cell r="K11">
            <v>1195.652587</v>
          </cell>
          <cell r="L11">
            <v>1533.9582439999999</v>
          </cell>
          <cell r="M11">
            <v>1927.370351</v>
          </cell>
          <cell r="N11">
            <v>2278.525314</v>
          </cell>
          <cell r="O11">
            <v>2521.8057989999998</v>
          </cell>
          <cell r="P11">
            <v>3116.3700198627739</v>
          </cell>
          <cell r="Q11">
            <v>3904.171780331314</v>
          </cell>
          <cell r="R11">
            <v>4780.7806365259585</v>
          </cell>
          <cell r="S11">
            <v>5786.3081852711002</v>
          </cell>
          <cell r="T11">
            <v>6936.30493240541</v>
          </cell>
          <cell r="U11">
            <v>0</v>
          </cell>
          <cell r="V11">
            <v>37.381763999999997</v>
          </cell>
          <cell r="W11">
            <v>77.079468000000006</v>
          </cell>
          <cell r="X11">
            <v>76.211333999999994</v>
          </cell>
          <cell r="Y11">
            <v>235.71110899999999</v>
          </cell>
          <cell r="Z11">
            <v>64.957921999999996</v>
          </cell>
          <cell r="AA11">
            <v>94.443916999999999</v>
          </cell>
          <cell r="AB11">
            <v>192.186226</v>
          </cell>
          <cell r="AC11">
            <v>376.22341499999999</v>
          </cell>
          <cell r="AD11">
            <v>102.62884</v>
          </cell>
          <cell r="AE11">
            <v>188.83301700000001</v>
          </cell>
          <cell r="AF11">
            <v>202.672765</v>
          </cell>
          <cell r="AG11">
            <v>454.29551400000003</v>
          </cell>
          <cell r="AH11">
            <v>123.100685</v>
          </cell>
          <cell r="AI11">
            <v>205.45688699999999</v>
          </cell>
          <cell r="AJ11">
            <v>252.87355299999999</v>
          </cell>
          <cell r="AK11">
            <v>614.22146199999997</v>
          </cell>
          <cell r="AL11">
            <v>189.30686499999999</v>
          </cell>
          <cell r="AM11">
            <v>287.22630400000003</v>
          </cell>
          <cell r="AN11">
            <v>369.52668899999998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F13">
            <v>-110.30638999999999</v>
          </cell>
          <cell r="G13">
            <v>-129.18933799999999</v>
          </cell>
          <cell r="H13">
            <v>-144.69680299999999</v>
          </cell>
          <cell r="I13">
            <v>-285.89295300000003</v>
          </cell>
          <cell r="J13">
            <v>-344.550996</v>
          </cell>
          <cell r="K13">
            <v>-399.58135199999998</v>
          </cell>
          <cell r="L13">
            <v>-483.25938100000002</v>
          </cell>
          <cell r="M13">
            <v>-639.66633100000001</v>
          </cell>
          <cell r="N13">
            <v>-793.41368399999988</v>
          </cell>
          <cell r="O13">
            <v>-870.80240300000003</v>
          </cell>
          <cell r="P13">
            <v>-1077.9079559523282</v>
          </cell>
          <cell r="Q13">
            <v>-1357.7722465126153</v>
          </cell>
          <cell r="R13">
            <v>-1673.6373828892104</v>
          </cell>
          <cell r="S13">
            <v>-2024.5306646266349</v>
          </cell>
          <cell r="T13">
            <v>-2417.7831245622924</v>
          </cell>
          <cell r="U13">
            <v>0</v>
          </cell>
          <cell r="V13">
            <v>-9.4788619999999995</v>
          </cell>
          <cell r="W13">
            <v>-27.207632</v>
          </cell>
          <cell r="X13">
            <v>-29.681842</v>
          </cell>
          <cell r="Y13">
            <v>-78.328467000000003</v>
          </cell>
          <cell r="Z13">
            <v>-36.408228000000001</v>
          </cell>
          <cell r="AA13">
            <v>-32.404924000000001</v>
          </cell>
          <cell r="AB13">
            <v>-85.673282</v>
          </cell>
          <cell r="AC13">
            <v>-131.406519</v>
          </cell>
          <cell r="AD13">
            <v>-31.564495000000001</v>
          </cell>
          <cell r="AE13">
            <v>-65.450294</v>
          </cell>
          <cell r="AF13">
            <v>-67.715896999999998</v>
          </cell>
          <cell r="AG13">
            <v>-179.82031000000001</v>
          </cell>
          <cell r="AH13">
            <v>-44.568859000000003</v>
          </cell>
          <cell r="AI13">
            <v>-67.643851999999995</v>
          </cell>
          <cell r="AJ13">
            <v>-90.457547000000005</v>
          </cell>
          <cell r="AK13">
            <v>-196.91109399999999</v>
          </cell>
          <cell r="AL13">
            <v>-60.310969</v>
          </cell>
          <cell r="AM13">
            <v>-68.903968000000006</v>
          </cell>
          <cell r="AN13">
            <v>-130.70481699999999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F14">
            <v>-127.5107990212051</v>
          </cell>
          <cell r="G14">
            <v>-170.38177439</v>
          </cell>
          <cell r="H14">
            <v>-197.67692804000001</v>
          </cell>
          <cell r="I14">
            <v>-301.55969350999999</v>
          </cell>
          <cell r="J14">
            <v>-420.59186774</v>
          </cell>
          <cell r="K14">
            <v>-473.12051655000005</v>
          </cell>
          <cell r="L14">
            <v>-607.21772317</v>
          </cell>
          <cell r="M14">
            <v>-664.00309661000006</v>
          </cell>
          <cell r="N14">
            <v>-712.76839923</v>
          </cell>
          <cell r="O14">
            <v>-737.02470100000005</v>
          </cell>
          <cell r="P14">
            <v>-899.69435959853058</v>
          </cell>
          <cell r="Q14">
            <v>-1141.0359355158753</v>
          </cell>
          <cell r="R14">
            <v>-1397.2342440402701</v>
          </cell>
          <cell r="S14">
            <v>-1691.1104185081961</v>
          </cell>
          <cell r="T14">
            <v>-2027.2092604744314</v>
          </cell>
          <cell r="U14">
            <v>0</v>
          </cell>
          <cell r="V14">
            <v>-37.082355010000001</v>
          </cell>
          <cell r="W14">
            <v>-57.675825009999997</v>
          </cell>
          <cell r="X14">
            <v>-44.595674009999996</v>
          </cell>
          <cell r="Y14">
            <v>-58.323074009999999</v>
          </cell>
          <cell r="Z14">
            <v>-47.329017440000001</v>
          </cell>
          <cell r="AA14">
            <v>-60.036486440000004</v>
          </cell>
          <cell r="AB14">
            <v>-92.214672815000014</v>
          </cell>
          <cell r="AC14">
            <v>-101.979516815</v>
          </cell>
          <cell r="AD14">
            <v>-86.319630404999998</v>
          </cell>
          <cell r="AE14">
            <v>-120.134509405</v>
          </cell>
          <cell r="AF14">
            <v>-103.58199996500001</v>
          </cell>
          <cell r="AG14">
            <v>-110.555727965</v>
          </cell>
          <cell r="AH14">
            <v>-92.29111155999999</v>
          </cell>
          <cell r="AI14">
            <v>-128.69247256</v>
          </cell>
          <cell r="AJ14">
            <v>-97.957284715000014</v>
          </cell>
          <cell r="AK14">
            <v>-154.17964771499999</v>
          </cell>
          <cell r="AL14">
            <v>-115.744452395</v>
          </cell>
          <cell r="AM14">
            <v>-173.21246039499999</v>
          </cell>
          <cell r="AN14">
            <v>-137.68572468999997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F15">
            <v>-237.81718902120508</v>
          </cell>
          <cell r="G15">
            <v>-299.57111239</v>
          </cell>
          <cell r="H15">
            <v>-342.37373104</v>
          </cell>
          <cell r="I15">
            <v>-587.45264651000002</v>
          </cell>
          <cell r="J15">
            <v>-765.14286373999994</v>
          </cell>
          <cell r="K15">
            <v>-872.70186854999997</v>
          </cell>
          <cell r="L15">
            <v>-1090.4771041700001</v>
          </cell>
          <cell r="M15">
            <v>-1303.6694276100002</v>
          </cell>
          <cell r="N15">
            <v>-1506.18208323</v>
          </cell>
          <cell r="O15">
            <v>-1607.827104</v>
          </cell>
          <cell r="P15">
            <v>-1977.6023155508587</v>
          </cell>
          <cell r="Q15">
            <v>-2498.8081820284906</v>
          </cell>
          <cell r="R15">
            <v>-3070.8716269294805</v>
          </cell>
          <cell r="S15">
            <v>-3715.6410831348312</v>
          </cell>
          <cell r="T15">
            <v>-4444.992385036724</v>
          </cell>
          <cell r="U15">
            <v>0</v>
          </cell>
          <cell r="V15">
            <v>-46.56121701</v>
          </cell>
          <cell r="W15">
            <v>-84.883457010000001</v>
          </cell>
          <cell r="X15">
            <v>-74.277516009999999</v>
          </cell>
          <cell r="Y15">
            <v>-136.65154101000002</v>
          </cell>
          <cell r="Z15">
            <v>-83.737245440000009</v>
          </cell>
          <cell r="AA15">
            <v>-92.441410439999999</v>
          </cell>
          <cell r="AB15">
            <v>-177.887954815</v>
          </cell>
          <cell r="AC15">
            <v>-233.38603581500001</v>
          </cell>
          <cell r="AD15">
            <v>-117.88412540499999</v>
          </cell>
          <cell r="AE15">
            <v>-185.584803405</v>
          </cell>
          <cell r="AF15">
            <v>-171.29789696500001</v>
          </cell>
          <cell r="AG15">
            <v>-290.37603796500002</v>
          </cell>
          <cell r="AH15">
            <v>-136.85997055999999</v>
          </cell>
          <cell r="AI15">
            <v>-196.33632455999998</v>
          </cell>
          <cell r="AJ15">
            <v>-188.41483171500002</v>
          </cell>
          <cell r="AK15">
            <v>-351.09074171499998</v>
          </cell>
          <cell r="AL15">
            <v>-176.055421395</v>
          </cell>
          <cell r="AM15">
            <v>-242.11642839500001</v>
          </cell>
          <cell r="AN15">
            <v>-268.39054168999996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F16">
            <v>-28.194468978794891</v>
          </cell>
          <cell r="G16">
            <v>-36.804059609999996</v>
          </cell>
          <cell r="H16">
            <v>-43.358755960000003</v>
          </cell>
          <cell r="I16">
            <v>-75.425865489999993</v>
          </cell>
          <cell r="J16">
            <v>-126.52775526000001</v>
          </cell>
          <cell r="K16">
            <v>-176.96225944999998</v>
          </cell>
          <cell r="L16">
            <v>-265.19824983000001</v>
          </cell>
          <cell r="M16">
            <v>-360.86514638999995</v>
          </cell>
          <cell r="N16">
            <v>-468.60524594000003</v>
          </cell>
          <cell r="O16">
            <v>-567.75067799999988</v>
          </cell>
          <cell r="P16">
            <v>-614.19940893980709</v>
          </cell>
          <cell r="Q16">
            <v>-878.97179719014923</v>
          </cell>
          <cell r="R16">
            <v>-1076.3284979490541</v>
          </cell>
          <cell r="S16">
            <v>-1302.7095094345989</v>
          </cell>
          <cell r="T16">
            <v>-1561.6158190093508</v>
          </cell>
          <cell r="U16">
            <v>0</v>
          </cell>
          <cell r="V16">
            <v>-10.839688990000001</v>
          </cell>
          <cell r="W16">
            <v>-10.839688990000001</v>
          </cell>
          <cell r="X16">
            <v>-10.839688990000001</v>
          </cell>
          <cell r="Y16">
            <v>-10.839688990000001</v>
          </cell>
          <cell r="Z16">
            <v>-13.080604560000001</v>
          </cell>
          <cell r="AA16">
            <v>-13.080604560000001</v>
          </cell>
          <cell r="AB16">
            <v>-24.632328184999995</v>
          </cell>
          <cell r="AC16">
            <v>-24.632328184999995</v>
          </cell>
          <cell r="AD16">
            <v>-31.884780594999999</v>
          </cell>
          <cell r="AE16">
            <v>-31.884780594999999</v>
          </cell>
          <cell r="AF16">
            <v>-31.379097035000004</v>
          </cell>
          <cell r="AG16">
            <v>-31.379097035000004</v>
          </cell>
          <cell r="AH16">
            <v>-38.56552344</v>
          </cell>
          <cell r="AI16">
            <v>-38.56552344</v>
          </cell>
          <cell r="AJ16">
            <v>-49.915606284999996</v>
          </cell>
          <cell r="AK16">
            <v>-49.915606284999996</v>
          </cell>
          <cell r="AL16">
            <v>-68.181853605000001</v>
          </cell>
          <cell r="AM16">
            <v>-68.181853605000001</v>
          </cell>
          <cell r="AN16">
            <v>-64.417271310000004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  <cell r="F17">
            <v>-10.491686</v>
          </cell>
          <cell r="G17">
            <v>-8.7643009999999997</v>
          </cell>
          <cell r="H17">
            <v>-9.0900499999999997</v>
          </cell>
          <cell r="I17">
            <v>-9.7201540000000008</v>
          </cell>
          <cell r="J17">
            <v>-12.556322999999999</v>
          </cell>
          <cell r="K17">
            <v>-17.247477</v>
          </cell>
          <cell r="L17">
            <v>-22.300547000000002</v>
          </cell>
          <cell r="M17">
            <v>-21.989488000000001</v>
          </cell>
          <cell r="N17">
            <v>-29.584400000000002</v>
          </cell>
          <cell r="O17">
            <v>-30.631995</v>
          </cell>
          <cell r="P17">
            <v>-36.762766061712313</v>
          </cell>
          <cell r="Q17">
            <v>-46.276519728861842</v>
          </cell>
          <cell r="R17">
            <v>-56.672261069242481</v>
          </cell>
          <cell r="S17">
            <v>-68.638958342343443</v>
          </cell>
          <cell r="T17">
            <v>-82.361391048240975</v>
          </cell>
          <cell r="U17">
            <v>0</v>
          </cell>
          <cell r="V17">
            <v>-0.98453199999999996</v>
          </cell>
          <cell r="W17">
            <v>-1.7411589999999999</v>
          </cell>
          <cell r="X17">
            <v>-1.8536079999999999</v>
          </cell>
          <cell r="Y17">
            <v>-4.510751</v>
          </cell>
          <cell r="Z17">
            <v>-1.646941</v>
          </cell>
          <cell r="AA17">
            <v>-1.774381</v>
          </cell>
          <cell r="AB17">
            <v>-3.1237370000000002</v>
          </cell>
          <cell r="AC17">
            <v>-3.1750949999999998</v>
          </cell>
          <cell r="AD17">
            <v>-2.1783739999999998</v>
          </cell>
          <cell r="AE17">
            <v>-2.1440359999999998</v>
          </cell>
          <cell r="AF17">
            <v>-2.8974380000000002</v>
          </cell>
          <cell r="AG17">
            <v>-5.3364750000000001</v>
          </cell>
          <cell r="AH17">
            <v>-2.1475230000000001</v>
          </cell>
          <cell r="AI17">
            <v>-2.474532</v>
          </cell>
          <cell r="AJ17">
            <v>-3.1759940000000002</v>
          </cell>
          <cell r="AK17">
            <v>-9.4494279999999993</v>
          </cell>
          <cell r="AL17">
            <v>-2.5009030000000001</v>
          </cell>
          <cell r="AM17">
            <v>-2.39323</v>
          </cell>
          <cell r="AN17">
            <v>-7.432372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F18">
            <v>-276.50334399999997</v>
          </cell>
          <cell r="G18">
            <v>-345.13947300000001</v>
          </cell>
          <cell r="H18">
            <v>-394.82253700000001</v>
          </cell>
          <cell r="I18">
            <v>-672.59866599999998</v>
          </cell>
          <cell r="J18">
            <v>-904.22694200000001</v>
          </cell>
          <cell r="K18">
            <v>-1066.9116049999998</v>
          </cell>
          <cell r="L18">
            <v>-1377.975901</v>
          </cell>
          <cell r="M18">
            <v>-1686.524062</v>
          </cell>
          <cell r="N18">
            <v>-2004.37172917</v>
          </cell>
          <cell r="O18">
            <v>-2206.209777</v>
          </cell>
          <cell r="P18">
            <v>-2628.5644905523782</v>
          </cell>
          <cell r="Q18">
            <v>-3424.0564989475015</v>
          </cell>
          <cell r="R18">
            <v>-4203.8723859477768</v>
          </cell>
          <cell r="S18">
            <v>-5086.9895509117732</v>
          </cell>
          <cell r="T18">
            <v>-6088.969595094316</v>
          </cell>
          <cell r="U18">
            <v>0</v>
          </cell>
          <cell r="V18">
            <v>-58.385438000000008</v>
          </cell>
          <cell r="W18">
            <v>-97.464304999999996</v>
          </cell>
          <cell r="X18">
            <v>-86.970812999999993</v>
          </cell>
          <cell r="Y18">
            <v>-152.00198100000003</v>
          </cell>
          <cell r="Z18">
            <v>-98.464791000000005</v>
          </cell>
          <cell r="AA18">
            <v>-107.296396</v>
          </cell>
          <cell r="AB18">
            <v>-205.64402000000001</v>
          </cell>
          <cell r="AC18">
            <v>-261.19345900000002</v>
          </cell>
          <cell r="AD18">
            <v>-151.94727999999998</v>
          </cell>
          <cell r="AE18">
            <v>-219.61361999999997</v>
          </cell>
          <cell r="AF18">
            <v>-205.574432</v>
          </cell>
          <cell r="AG18">
            <v>-327.09161000000006</v>
          </cell>
          <cell r="AH18">
            <v>-177.57301699999999</v>
          </cell>
          <cell r="AI18">
            <v>-237.37637999999998</v>
          </cell>
          <cell r="AJ18">
            <v>-241.50643200000002</v>
          </cell>
          <cell r="AK18">
            <v>-410.45577600000001</v>
          </cell>
          <cell r="AL18">
            <v>-246.738178</v>
          </cell>
          <cell r="AM18">
            <v>-312.69151200000005</v>
          </cell>
          <cell r="AN18">
            <v>-340.24018499999994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F19">
            <v>-254.41051499999998</v>
          </cell>
          <cell r="G19">
            <v>-316.56843200000003</v>
          </cell>
          <cell r="H19">
            <v>-359.57278600000001</v>
          </cell>
          <cell r="I19">
            <v>-627.26225499999998</v>
          </cell>
          <cell r="J19">
            <v>-848.97358600000007</v>
          </cell>
          <cell r="K19">
            <v>-1001.3815419999997</v>
          </cell>
          <cell r="L19">
            <v>-1291.863245</v>
          </cell>
          <cell r="M19">
            <v>-1586.70244</v>
          </cell>
          <cell r="N19">
            <v>-1880.5240431699999</v>
          </cell>
          <cell r="O19">
            <v>-2085.9048549999998</v>
          </cell>
          <cell r="P19">
            <v>-2509.4539797708567</v>
          </cell>
          <cell r="Q19">
            <v>-3321.4929239363137</v>
          </cell>
          <cell r="R19">
            <v>-4100.7652680578012</v>
          </cell>
          <cell r="S19">
            <v>-4972.2877393002473</v>
          </cell>
          <cell r="T19">
            <v>-5954.6284424912019</v>
          </cell>
          <cell r="U19">
            <v>0</v>
          </cell>
          <cell r="V19">
            <v>-49.698128245000007</v>
          </cell>
          <cell r="W19">
            <v>-88.776995244999995</v>
          </cell>
          <cell r="X19">
            <v>-78.033247254999992</v>
          </cell>
          <cell r="Y19">
            <v>-143.06441525500003</v>
          </cell>
          <cell r="Z19">
            <v>-88.117612395000009</v>
          </cell>
          <cell r="AA19">
            <v>-96.949217395000005</v>
          </cell>
          <cell r="AB19">
            <v>-193.32299310500002</v>
          </cell>
          <cell r="AC19">
            <v>-248.87243210500003</v>
          </cell>
          <cell r="AD19">
            <v>-138.84913315</v>
          </cell>
          <cell r="AE19">
            <v>-206.51547314999999</v>
          </cell>
          <cell r="AF19">
            <v>-191.04590085000001</v>
          </cell>
          <cell r="AG19">
            <v>-312.56307885000007</v>
          </cell>
          <cell r="AH19">
            <v>-162.46027974</v>
          </cell>
          <cell r="AI19">
            <v>-222.26364273999999</v>
          </cell>
          <cell r="AJ19">
            <v>-223.85413776000001</v>
          </cell>
          <cell r="AK19">
            <v>-392.80348176000001</v>
          </cell>
          <cell r="AL19">
            <v>-225.80670036000001</v>
          </cell>
          <cell r="AM19">
            <v>-291.76003436000008</v>
          </cell>
          <cell r="AN19">
            <v>-318.11533463999996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F20">
            <v>49.688562000000047</v>
          </cell>
          <cell r="G20">
            <v>50.351505999999972</v>
          </cell>
          <cell r="H20">
            <v>66.810888999999975</v>
          </cell>
          <cell r="I20">
            <v>100.54922500000009</v>
          </cell>
          <cell r="J20">
            <v>99.456549999999993</v>
          </cell>
          <cell r="K20">
            <v>194.2710450000003</v>
          </cell>
          <cell r="L20">
            <v>242.09499899999992</v>
          </cell>
          <cell r="M20">
            <v>340.667911</v>
          </cell>
          <cell r="N20">
            <v>398.00127083000007</v>
          </cell>
          <cell r="O20">
            <v>435.90094399999998</v>
          </cell>
          <cell r="P20">
            <v>606.91604009191724</v>
          </cell>
          <cell r="Q20">
            <v>582.67885639500037</v>
          </cell>
          <cell r="R20">
            <v>680.01536846815725</v>
          </cell>
          <cell r="S20">
            <v>814.02044597085296</v>
          </cell>
          <cell r="T20">
            <v>981.6764899142081</v>
          </cell>
          <cell r="U20">
            <v>0</v>
          </cell>
          <cell r="V20">
            <v>-12.31636424500001</v>
          </cell>
          <cell r="W20">
            <v>-11.697527244999989</v>
          </cell>
          <cell r="X20">
            <v>-1.8219132549999983</v>
          </cell>
          <cell r="Y20">
            <v>92.646693744999965</v>
          </cell>
          <cell r="Z20">
            <v>-23.159690395000013</v>
          </cell>
          <cell r="AA20">
            <v>-2.5053003950000061</v>
          </cell>
          <cell r="AB20">
            <v>-1.1367671050000183</v>
          </cell>
          <cell r="AC20">
            <v>127.35098289499996</v>
          </cell>
          <cell r="AD20">
            <v>-36.220293150000003</v>
          </cell>
          <cell r="AE20">
            <v>-17.682456149999979</v>
          </cell>
          <cell r="AF20">
            <v>11.626864149999989</v>
          </cell>
          <cell r="AG20">
            <v>141.73243514999996</v>
          </cell>
          <cell r="AH20">
            <v>-39.359594740000006</v>
          </cell>
          <cell r="AI20">
            <v>-16.80675574</v>
          </cell>
          <cell r="AJ20">
            <v>29.019415239999972</v>
          </cell>
          <cell r="AK20">
            <v>221.41798023999996</v>
          </cell>
          <cell r="AL20">
            <v>-36.49983536000002</v>
          </cell>
          <cell r="AM20">
            <v>-4.5337303600000496</v>
          </cell>
          <cell r="AN20">
            <v>51.411354360000018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F21">
            <v>-8.0569430000000004</v>
          </cell>
          <cell r="G21">
            <v>-9.2137499999999992</v>
          </cell>
          <cell r="H21">
            <v>-10.649856</v>
          </cell>
          <cell r="I21">
            <v>-15.176824</v>
          </cell>
          <cell r="J21">
            <v>-16.957595999999999</v>
          </cell>
          <cell r="K21">
            <v>-20.339278999999998</v>
          </cell>
          <cell r="L21">
            <v>-26.000091000000001</v>
          </cell>
          <cell r="M21">
            <v>-30.033842</v>
          </cell>
          <cell r="N21">
            <v>-36.340294999999998</v>
          </cell>
          <cell r="O21">
            <v>-34.118260999999997</v>
          </cell>
          <cell r="P21">
            <v>-33.6912386306945</v>
          </cell>
          <cell r="Q21">
            <v>-47.52938812636242</v>
          </cell>
          <cell r="R21">
            <v>-64.761753234455156</v>
          </cell>
          <cell r="S21">
            <v>-85.522680486801946</v>
          </cell>
          <cell r="T21">
            <v>-110.19651917910632</v>
          </cell>
          <cell r="U21">
            <v>0</v>
          </cell>
          <cell r="V21">
            <v>-2.5731042999999998</v>
          </cell>
          <cell r="W21">
            <v>-2.5731042999999998</v>
          </cell>
          <cell r="X21">
            <v>-2.7518237000000001</v>
          </cell>
          <cell r="Y21">
            <v>-2.7518237000000001</v>
          </cell>
          <cell r="Z21">
            <v>-3.5074462099999999</v>
          </cell>
          <cell r="AA21">
            <v>-3.5074462099999999</v>
          </cell>
          <cell r="AB21">
            <v>-4.0809657900000005</v>
          </cell>
          <cell r="AC21">
            <v>-4.0809657900000005</v>
          </cell>
          <cell r="AD21">
            <v>-4.2017733799999997</v>
          </cell>
          <cell r="AE21">
            <v>-4.2017733799999997</v>
          </cell>
          <cell r="AF21">
            <v>-4.2770246199999997</v>
          </cell>
          <cell r="AG21">
            <v>-4.2770246199999997</v>
          </cell>
          <cell r="AH21">
            <v>-4.8085186449999995</v>
          </cell>
          <cell r="AI21">
            <v>-4.8085186449999995</v>
          </cell>
          <cell r="AJ21">
            <v>-5.3611208550000002</v>
          </cell>
          <cell r="AK21">
            <v>-5.3611208550000002</v>
          </cell>
          <cell r="AL21">
            <v>-5.6687742999999999</v>
          </cell>
          <cell r="AM21">
            <v>-5.6687742999999999</v>
          </cell>
          <cell r="AN21">
            <v>-7.3312711999999998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F22">
            <v>-14.035886</v>
          </cell>
          <cell r="G22">
            <v>-19.357291</v>
          </cell>
          <cell r="H22">
            <v>-24.599894999999997</v>
          </cell>
          <cell r="I22">
            <v>-30.159587000000002</v>
          </cell>
          <cell r="J22">
            <v>-38.295760000000001</v>
          </cell>
          <cell r="K22">
            <v>-45.190784000000001</v>
          </cell>
          <cell r="L22">
            <v>-60.112564999999996</v>
          </cell>
          <cell r="M22">
            <v>-69.787779999999998</v>
          </cell>
          <cell r="N22">
            <v>-87.507390999999984</v>
          </cell>
          <cell r="O22">
            <v>-86.186661000000001</v>
          </cell>
          <cell r="P22">
            <v>-85.419272150827041</v>
          </cell>
          <cell r="Q22">
            <v>-55.034186884825239</v>
          </cell>
          <cell r="R22">
            <v>-38.345364655520619</v>
          </cell>
          <cell r="S22">
            <v>-29.179131124724258</v>
          </cell>
          <cell r="T22">
            <v>-24.14463342400806</v>
          </cell>
          <cell r="U22">
            <v>0</v>
          </cell>
          <cell r="V22">
            <v>-6.1142054550000005</v>
          </cell>
          <cell r="W22">
            <v>-6.1142054550000005</v>
          </cell>
          <cell r="X22">
            <v>-6.1857420449999996</v>
          </cell>
          <cell r="Y22">
            <v>-6.1857420449999996</v>
          </cell>
          <cell r="Z22">
            <v>-6.8397323949999995</v>
          </cell>
          <cell r="AA22">
            <v>-6.8397323949999995</v>
          </cell>
          <cell r="AB22">
            <v>-8.2400611050000006</v>
          </cell>
          <cell r="AC22">
            <v>-8.2400611050000006</v>
          </cell>
          <cell r="AD22">
            <v>-8.8963734700000003</v>
          </cell>
          <cell r="AE22">
            <v>-8.8963734700000003</v>
          </cell>
          <cell r="AF22">
            <v>-10.251506529999999</v>
          </cell>
          <cell r="AG22">
            <v>-10.251506529999999</v>
          </cell>
          <cell r="AH22">
            <v>-10.304218615</v>
          </cell>
          <cell r="AI22">
            <v>-10.304218615</v>
          </cell>
          <cell r="AJ22">
            <v>-12.291173385</v>
          </cell>
          <cell r="AK22">
            <v>-12.291173385</v>
          </cell>
          <cell r="AL22">
            <v>-15.26270334</v>
          </cell>
          <cell r="AM22">
            <v>-15.26270334</v>
          </cell>
          <cell r="AN22">
            <v>-14.79357916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F23">
            <v>27.595733000000045</v>
          </cell>
          <cell r="G23">
            <v>21.780464999999975</v>
          </cell>
          <cell r="H23">
            <v>31.561137999999978</v>
          </cell>
          <cell r="I23">
            <v>55.212814000000094</v>
          </cell>
          <cell r="J23">
            <v>44.203193999999996</v>
          </cell>
          <cell r="K23">
            <v>128.74098200000029</v>
          </cell>
          <cell r="L23">
            <v>155.98234299999993</v>
          </cell>
          <cell r="M23">
            <v>240.84628900000001</v>
          </cell>
          <cell r="N23">
            <v>274.15358483000011</v>
          </cell>
          <cell r="O23">
            <v>315.59602199999995</v>
          </cell>
          <cell r="P23">
            <v>487.80552931039574</v>
          </cell>
          <cell r="Q23">
            <v>480.11528138381271</v>
          </cell>
          <cell r="R23">
            <v>576.90825057818154</v>
          </cell>
          <cell r="S23">
            <v>699.31863435932678</v>
          </cell>
          <cell r="T23">
            <v>847.33533731109378</v>
          </cell>
          <cell r="U23">
            <v>0</v>
          </cell>
          <cell r="V23">
            <v>-21.003674000000011</v>
          </cell>
          <cell r="W23">
            <v>-20.38483699999999</v>
          </cell>
          <cell r="X23">
            <v>-10.759478999999999</v>
          </cell>
          <cell r="Y23">
            <v>83.709127999999964</v>
          </cell>
          <cell r="Z23">
            <v>-33.506869000000016</v>
          </cell>
          <cell r="AA23">
            <v>-12.852479000000006</v>
          </cell>
          <cell r="AB23">
            <v>-13.457794000000019</v>
          </cell>
          <cell r="AC23">
            <v>115.02995599999997</v>
          </cell>
          <cell r="AD23">
            <v>-49.318440000000002</v>
          </cell>
          <cell r="AE23">
            <v>-30.780602999999978</v>
          </cell>
          <cell r="AF23">
            <v>-2.9016670000000095</v>
          </cell>
          <cell r="AG23">
            <v>127.20390399999997</v>
          </cell>
          <cell r="AH23">
            <v>-54.472332000000009</v>
          </cell>
          <cell r="AI23">
            <v>-31.919492999999999</v>
          </cell>
          <cell r="AJ23">
            <v>11.367120999999972</v>
          </cell>
          <cell r="AK23">
            <v>203.76568599999996</v>
          </cell>
          <cell r="AL23">
            <v>-57.431313000000024</v>
          </cell>
          <cell r="AM23">
            <v>-25.465208000000047</v>
          </cell>
          <cell r="AN23">
            <v>29.286504000000015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F24">
            <v>38.387628715980121</v>
          </cell>
          <cell r="G24">
            <v>4.6769689000000003</v>
          </cell>
          <cell r="H24">
            <v>9.785452359999999</v>
          </cell>
          <cell r="I24">
            <v>7.2430432800000002</v>
          </cell>
          <cell r="J24">
            <v>8.4666678699999984</v>
          </cell>
          <cell r="K24">
            <v>4.4272060300000007</v>
          </cell>
          <cell r="L24">
            <v>4.0547338399999999</v>
          </cell>
          <cell r="M24">
            <v>8.3212967000000013</v>
          </cell>
          <cell r="N24">
            <v>5.2615960400000006</v>
          </cell>
          <cell r="O24">
            <v>6.3749760000000002</v>
          </cell>
          <cell r="P24">
            <v>7.179358085704834</v>
          </cell>
          <cell r="Q24">
            <v>18.329551986107699</v>
          </cell>
          <cell r="R24">
            <v>18.528534938574293</v>
          </cell>
          <cell r="S24">
            <v>18.529735157605209</v>
          </cell>
          <cell r="T24">
            <v>18.454543989061811</v>
          </cell>
          <cell r="U24">
            <v>0</v>
          </cell>
          <cell r="V24">
            <v>2.4463630899999997</v>
          </cell>
          <cell r="W24">
            <v>2.4463630899999997</v>
          </cell>
          <cell r="X24">
            <v>2.4463630899999997</v>
          </cell>
          <cell r="Y24">
            <v>2.4463630899999997</v>
          </cell>
          <cell r="Z24">
            <v>2.2516855649999998</v>
          </cell>
          <cell r="AA24">
            <v>2.2516855649999998</v>
          </cell>
          <cell r="AB24">
            <v>1.3698360750000003</v>
          </cell>
          <cell r="AC24">
            <v>1.3698360750000003</v>
          </cell>
          <cell r="AD24">
            <v>2.0090794999999999</v>
          </cell>
          <cell r="AE24">
            <v>2.0090794999999999</v>
          </cell>
          <cell r="AF24">
            <v>2.2242544349999998</v>
          </cell>
          <cell r="AG24">
            <v>2.2242544349999998</v>
          </cell>
          <cell r="AH24">
            <v>1.09787897</v>
          </cell>
          <cell r="AI24">
            <v>1.09787897</v>
          </cell>
          <cell r="AJ24">
            <v>1.1157240450000001</v>
          </cell>
          <cell r="AK24">
            <v>1.1157240450000001</v>
          </cell>
          <cell r="AL24">
            <v>0.48513262000000001</v>
          </cell>
          <cell r="AM24">
            <v>0.48513262000000001</v>
          </cell>
          <cell r="AN24">
            <v>1.5422342999999998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F25">
            <v>-41.136080715980121</v>
          </cell>
          <cell r="G25">
            <v>-2.1629689000000005</v>
          </cell>
          <cell r="H25">
            <v>-0.15452083</v>
          </cell>
          <cell r="I25">
            <v>0</v>
          </cell>
          <cell r="J25">
            <v>0</v>
          </cell>
          <cell r="K25">
            <v>-0.32062877000000001</v>
          </cell>
          <cell r="L25">
            <v>-2.2885166400000001</v>
          </cell>
          <cell r="M25">
            <v>-0.51061425999999999</v>
          </cell>
          <cell r="N25">
            <v>-2.7789999999999998E-3</v>
          </cell>
          <cell r="O25">
            <v>-1.313741</v>
          </cell>
          <cell r="P25">
            <v>-22.774493760000002</v>
          </cell>
          <cell r="Q25">
            <v>-15.77258674632195</v>
          </cell>
          <cell r="R25">
            <v>-15.77258674632195</v>
          </cell>
          <cell r="S25">
            <v>-15.77258674632195</v>
          </cell>
          <cell r="T25">
            <v>-15.77258674632195</v>
          </cell>
          <cell r="U25">
            <v>0</v>
          </cell>
          <cell r="V25">
            <v>-3.8630207499999999E-2</v>
          </cell>
          <cell r="W25">
            <v>-3.8630207499999999E-2</v>
          </cell>
          <cell r="X25">
            <v>-3.8630207499999999E-2</v>
          </cell>
          <cell r="Y25">
            <v>-3.8630207499999999E-2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-0.160314385</v>
          </cell>
          <cell r="AK25">
            <v>-0.160314385</v>
          </cell>
          <cell r="AL25">
            <v>-0.69657449999999999</v>
          </cell>
          <cell r="AM25">
            <v>-0.69657449999999999</v>
          </cell>
          <cell r="AN25">
            <v>-0.44768382000000007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F26">
            <v>-2.7484520000000003</v>
          </cell>
          <cell r="G26">
            <v>2.5139999999999998</v>
          </cell>
          <cell r="H26">
            <v>9.6309315299999998</v>
          </cell>
          <cell r="I26">
            <v>7.2430432800000002</v>
          </cell>
          <cell r="J26">
            <v>8.4666678699999984</v>
          </cell>
          <cell r="K26">
            <v>4.1065772600000008</v>
          </cell>
          <cell r="L26">
            <v>1.7662171999999998</v>
          </cell>
          <cell r="M26">
            <v>7.8106824400000017</v>
          </cell>
          <cell r="N26">
            <v>5.2588170400000003</v>
          </cell>
          <cell r="O26">
            <v>5.0612349999999999</v>
          </cell>
          <cell r="P26">
            <v>-15.595135674295168</v>
          </cell>
          <cell r="Q26">
            <v>2.5569652397857485</v>
          </cell>
          <cell r="R26">
            <v>2.7559481922523421</v>
          </cell>
          <cell r="S26">
            <v>2.7571484112832589</v>
          </cell>
          <cell r="T26">
            <v>2.6819572427398608</v>
          </cell>
          <cell r="U26">
            <v>0</v>
          </cell>
          <cell r="V26">
            <v>2.4077328824999999</v>
          </cell>
          <cell r="W26">
            <v>2.4077328824999999</v>
          </cell>
          <cell r="X26">
            <v>2.4077328824999999</v>
          </cell>
          <cell r="Y26">
            <v>2.4077328824999999</v>
          </cell>
          <cell r="Z26">
            <v>2.2516855649999998</v>
          </cell>
          <cell r="AA26">
            <v>2.2516855649999998</v>
          </cell>
          <cell r="AB26">
            <v>1.3698360750000003</v>
          </cell>
          <cell r="AC26">
            <v>1.3698360750000003</v>
          </cell>
          <cell r="AD26">
            <v>2.0090794999999999</v>
          </cell>
          <cell r="AE26">
            <v>2.0090794999999999</v>
          </cell>
          <cell r="AF26">
            <v>2.2242544349999998</v>
          </cell>
          <cell r="AG26">
            <v>2.2242544349999998</v>
          </cell>
          <cell r="AH26">
            <v>1.09787897</v>
          </cell>
          <cell r="AI26">
            <v>1.09787897</v>
          </cell>
          <cell r="AJ26">
            <v>0.95540966000000016</v>
          </cell>
          <cell r="AK26">
            <v>0.95540966000000016</v>
          </cell>
          <cell r="AL26">
            <v>-0.21144187999999997</v>
          </cell>
          <cell r="AM26">
            <v>-0.21144187999999997</v>
          </cell>
          <cell r="AN26">
            <v>1.0945504799999997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F27">
            <v>-0.59959399999999996</v>
          </cell>
          <cell r="G27">
            <v>5.5534E-2</v>
          </cell>
          <cell r="H27">
            <v>0.96494999999999975</v>
          </cell>
          <cell r="I27">
            <v>1.7653019999999997</v>
          </cell>
          <cell r="J27">
            <v>-2.1850209999999999</v>
          </cell>
          <cell r="K27">
            <v>10.160085</v>
          </cell>
          <cell r="L27">
            <v>21.048753000000001</v>
          </cell>
          <cell r="M27">
            <v>-2.9950359999999994</v>
          </cell>
          <cell r="N27">
            <v>23.475121000000001</v>
          </cell>
          <cell r="O27">
            <v>95.793033000000008</v>
          </cell>
          <cell r="P27">
            <v>-3.4601199999999999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-0.923539</v>
          </cell>
          <cell r="W27">
            <v>-8.4616999999999998E-2</v>
          </cell>
          <cell r="X27">
            <v>-0.35342899999999999</v>
          </cell>
          <cell r="Y27">
            <v>2.3265349999999998</v>
          </cell>
          <cell r="Z27">
            <v>-1.2423960000000001</v>
          </cell>
          <cell r="AA27">
            <v>-0.55655699999999997</v>
          </cell>
          <cell r="AB27">
            <v>-0.848105</v>
          </cell>
          <cell r="AC27">
            <v>4.4123599999999996</v>
          </cell>
          <cell r="AD27">
            <v>-3.788192</v>
          </cell>
          <cell r="AE27">
            <v>-3.5156990000000001</v>
          </cell>
          <cell r="AF27">
            <v>-1.865229</v>
          </cell>
          <cell r="AG27">
            <v>6.9840989999999996</v>
          </cell>
          <cell r="AH27">
            <v>-1.584867</v>
          </cell>
          <cell r="AI27">
            <v>1.8769439999999999</v>
          </cell>
          <cell r="AJ27">
            <v>-0.11955200000000001</v>
          </cell>
          <cell r="AK27">
            <v>9.9875600000000002</v>
          </cell>
          <cell r="AL27">
            <v>0.96479700000000002</v>
          </cell>
          <cell r="AM27">
            <v>13.701209</v>
          </cell>
          <cell r="AN27">
            <v>0.182449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F29">
            <v>32.828943999999979</v>
          </cell>
          <cell r="G29">
            <v>38.857025000000007</v>
          </cell>
          <cell r="H29">
            <v>29.218904470000041</v>
          </cell>
          <cell r="I29">
            <v>24.771550719999997</v>
          </cell>
          <cell r="J29">
            <v>81.779389130000041</v>
          </cell>
          <cell r="K29">
            <v>62.021817740000017</v>
          </cell>
          <cell r="L29">
            <v>117.93996280000012</v>
          </cell>
          <cell r="M29">
            <v>52.609362559999958</v>
          </cell>
          <cell r="N29">
            <v>167.0915561299997</v>
          </cell>
          <cell r="O29">
            <v>183.22980899999993</v>
          </cell>
          <cell r="P29">
            <v>81.150684999999953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9.9449791175000044</v>
          </cell>
          <cell r="W29">
            <v>-0.10858588249999591</v>
          </cell>
          <cell r="X29">
            <v>-1.6794768824999975</v>
          </cell>
          <cell r="Y29">
            <v>21.061988117500029</v>
          </cell>
          <cell r="Z29">
            <v>-0.55514656499999782</v>
          </cell>
          <cell r="AA29">
            <v>8.791862434999997</v>
          </cell>
          <cell r="AB29">
            <v>8.0699099250000046</v>
          </cell>
          <cell r="AC29">
            <v>8.4649249249999929</v>
          </cell>
          <cell r="AD29">
            <v>8.6035274999999949</v>
          </cell>
          <cell r="AE29">
            <v>18.173899499999997</v>
          </cell>
          <cell r="AF29">
            <v>11.308505565000035</v>
          </cell>
          <cell r="AG29">
            <v>43.693456565000005</v>
          </cell>
          <cell r="AH29">
            <v>19.409672029999996</v>
          </cell>
          <cell r="AI29">
            <v>17.556976029999987</v>
          </cell>
          <cell r="AJ29">
            <v>12.880647340000031</v>
          </cell>
          <cell r="AK29">
            <v>12.174522339999996</v>
          </cell>
          <cell r="AL29">
            <v>45.806857880000017</v>
          </cell>
          <cell r="AM29">
            <v>39.20464688000002</v>
          </cell>
          <cell r="AN29">
            <v>2.6429215200000242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F30">
            <v>57.07663100000002</v>
          </cell>
          <cell r="G30">
            <v>63.207023999999983</v>
          </cell>
          <cell r="H30">
            <v>71.375924000000026</v>
          </cell>
          <cell r="I30">
            <v>88.992710000000088</v>
          </cell>
          <cell r="J30">
            <v>132.26423000000003</v>
          </cell>
          <cell r="K30">
            <v>205.02946200000031</v>
          </cell>
          <cell r="L30">
            <v>296.73727600000007</v>
          </cell>
          <cell r="M30">
            <v>298.27129799999994</v>
          </cell>
          <cell r="N30">
            <v>469.97907899999984</v>
          </cell>
          <cell r="O30">
            <v>599.68009899999993</v>
          </cell>
          <cell r="P30">
            <v>549.90095863610054</v>
          </cell>
          <cell r="Q30">
            <v>482.67224662359848</v>
          </cell>
          <cell r="R30">
            <v>579.66419877043393</v>
          </cell>
          <cell r="S30">
            <v>702.07578277061009</v>
          </cell>
          <cell r="T30">
            <v>850.01729455383361</v>
          </cell>
          <cell r="U30">
            <v>0</v>
          </cell>
          <cell r="V30">
            <v>-9.5745010000000086</v>
          </cell>
          <cell r="W30">
            <v>-18.170306999999987</v>
          </cell>
          <cell r="X30">
            <v>-10.384651999999997</v>
          </cell>
          <cell r="Y30">
            <v>109.50538399999999</v>
          </cell>
          <cell r="Z30">
            <v>-33.052726000000021</v>
          </cell>
          <cell r="AA30">
            <v>-2.3654880000000098</v>
          </cell>
          <cell r="AB30">
            <v>-4.8661530000000148</v>
          </cell>
          <cell r="AC30">
            <v>129.27707699999996</v>
          </cell>
          <cell r="AD30">
            <v>-42.494025000000008</v>
          </cell>
          <cell r="AE30">
            <v>-14.11332299999998</v>
          </cell>
          <cell r="AF30">
            <v>8.7658640000000254</v>
          </cell>
          <cell r="AG30">
            <v>180.10571399999998</v>
          </cell>
          <cell r="AH30">
            <v>-35.549648000000019</v>
          </cell>
          <cell r="AI30">
            <v>-11.38769400000001</v>
          </cell>
          <cell r="AJ30">
            <v>25.083626000000002</v>
          </cell>
          <cell r="AK30">
            <v>226.88317799999993</v>
          </cell>
          <cell r="AL30">
            <v>-10.871100000000013</v>
          </cell>
          <cell r="AM30">
            <v>27.229205999999976</v>
          </cell>
          <cell r="AN30">
            <v>33.206425000000038</v>
          </cell>
        </row>
        <row r="31">
          <cell r="A31" t="str">
            <v>Additional Income Statement Items</v>
          </cell>
          <cell r="B31">
            <v>0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2.5579538487363607E-13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-9.7699626167013776E-15</v>
          </cell>
          <cell r="AB31">
            <v>-1.5099033134902129E-14</v>
          </cell>
          <cell r="AC31">
            <v>0</v>
          </cell>
          <cell r="AD31">
            <v>0</v>
          </cell>
          <cell r="AE31">
            <v>1.9539925233402755E-14</v>
          </cell>
          <cell r="AF31">
            <v>2.4868995751603507E-14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</row>
        <row r="33">
          <cell r="B33" t="str">
            <v>Operating lease cost</v>
          </cell>
          <cell r="C33" t="str">
            <v>LEASE_PAY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</row>
        <row r="38">
          <cell r="B38" t="str">
            <v>Depreciation ROU assets   (applicable to IFRS cos.)</v>
          </cell>
          <cell r="C38" t="str">
            <v>DEPR_ROU_ASSETS</v>
          </cell>
          <cell r="D38" t="str">
            <v>CNY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B39" t="str">
            <v>Lease interest charge  (applicable to IFRS cos.)</v>
          </cell>
          <cell r="C39" t="str">
            <v>LEASE_INT_CHG</v>
          </cell>
          <cell r="D39" t="str">
            <v>CNY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</row>
        <row r="40">
          <cell r="B40" t="str">
            <v>Lease standard adopted (US GAAP ASC 842/ IFRS 16)</v>
          </cell>
          <cell r="C40" t="str">
            <v>LEASE_ADOPT</v>
          </cell>
          <cell r="E40">
            <v>0</v>
          </cell>
        </row>
        <row r="41">
          <cell r="A41" t="str">
            <v>Balance Sheet</v>
          </cell>
          <cell r="B41">
            <v>0</v>
          </cell>
          <cell r="C41">
            <v>0</v>
          </cell>
          <cell r="D41">
            <v>0</v>
          </cell>
        </row>
        <row r="42">
          <cell r="B42" t="str">
            <v>Cash &amp; cash equivalents</v>
          </cell>
          <cell r="C42" t="str">
            <v>CASH_EQ</v>
          </cell>
          <cell r="D42" t="str">
            <v>CNY</v>
          </cell>
          <cell r="F42">
            <v>134.806759</v>
          </cell>
          <cell r="G42">
            <v>706.82715299999995</v>
          </cell>
          <cell r="H42">
            <v>583.03891199999998</v>
          </cell>
          <cell r="I42">
            <v>609.41804500000001</v>
          </cell>
          <cell r="J42">
            <v>616.06043699999998</v>
          </cell>
          <cell r="K42">
            <v>259.623377</v>
          </cell>
          <cell r="L42">
            <v>795.898641</v>
          </cell>
          <cell r="M42">
            <v>522.21812899999998</v>
          </cell>
          <cell r="N42">
            <v>596.37920199999996</v>
          </cell>
          <cell r="O42">
            <v>671.62917100000004</v>
          </cell>
          <cell r="P42">
            <v>1714.7301552966512</v>
          </cell>
          <cell r="Q42">
            <v>1733.3450166551302</v>
          </cell>
          <cell r="R42">
            <v>1733.4572971825994</v>
          </cell>
          <cell r="S42">
            <v>1726.4231610394422</v>
          </cell>
          <cell r="T42">
            <v>1609.0054176899639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</row>
        <row r="43">
          <cell r="B43" t="str">
            <v>Accounts receivable</v>
          </cell>
          <cell r="C43" t="str">
            <v>DEBTORS</v>
          </cell>
          <cell r="D43" t="str">
            <v>CNY</v>
          </cell>
          <cell r="F43">
            <v>143.44138599999999</v>
          </cell>
          <cell r="G43">
            <v>190.110815</v>
          </cell>
          <cell r="H43">
            <v>261.43681500000002</v>
          </cell>
          <cell r="I43">
            <v>353.26142900000002</v>
          </cell>
          <cell r="J43">
            <v>408.99910799999998</v>
          </cell>
          <cell r="K43">
            <v>607.74612200000001</v>
          </cell>
          <cell r="L43">
            <v>670.17519600000003</v>
          </cell>
          <cell r="M43">
            <v>952.84505799999999</v>
          </cell>
          <cell r="N43">
            <v>1243.543942</v>
          </cell>
          <cell r="O43">
            <v>1635.3995829999999</v>
          </cell>
          <cell r="P43">
            <v>1779.8004387674237</v>
          </cell>
          <cell r="Q43">
            <v>2177.8531467739081</v>
          </cell>
          <cell r="R43">
            <v>2432.6531109168795</v>
          </cell>
          <cell r="S43">
            <v>2957.3325959109948</v>
          </cell>
          <cell r="T43">
            <v>3465.8758072479882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</row>
        <row r="44">
          <cell r="B44" t="str">
            <v>Inventory</v>
          </cell>
          <cell r="C44" t="str">
            <v>STOCKS</v>
          </cell>
          <cell r="D44" t="str">
            <v>CNY</v>
          </cell>
          <cell r="F44">
            <v>19.381001999999999</v>
          </cell>
          <cell r="G44">
            <v>39.584755999999999</v>
          </cell>
          <cell r="H44">
            <v>28.957197000000001</v>
          </cell>
          <cell r="I44">
            <v>75.547747000000001</v>
          </cell>
          <cell r="J44">
            <v>84.639673999999999</v>
          </cell>
          <cell r="K44">
            <v>115.920106</v>
          </cell>
          <cell r="L44">
            <v>185.73138599999999</v>
          </cell>
          <cell r="M44">
            <v>167.09885199999999</v>
          </cell>
          <cell r="N44">
            <v>178.56038799999999</v>
          </cell>
          <cell r="O44">
            <v>170.380852</v>
          </cell>
          <cell r="P44">
            <v>261.55013195236143</v>
          </cell>
          <cell r="Q44">
            <v>282.52591756641516</v>
          </cell>
          <cell r="R44">
            <v>388.12117950609468</v>
          </cell>
          <cell r="S44">
            <v>423.1331740637612</v>
          </cell>
          <cell r="T44">
            <v>545.70228002930787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</row>
        <row r="45">
          <cell r="B45" t="str">
            <v>Other current assets</v>
          </cell>
          <cell r="C45" t="str">
            <v>OTH_CUR_ASS</v>
          </cell>
          <cell r="D45" t="str">
            <v>CNY</v>
          </cell>
          <cell r="F45">
            <v>29.822083999999961</v>
          </cell>
          <cell r="G45">
            <v>20.381028000000128</v>
          </cell>
          <cell r="H45">
            <v>22.244457000000011</v>
          </cell>
          <cell r="I45">
            <v>29.62587399999984</v>
          </cell>
          <cell r="J45">
            <v>169.59379399999989</v>
          </cell>
          <cell r="K45">
            <v>563.7982320000001</v>
          </cell>
          <cell r="L45">
            <v>302.9596190000002</v>
          </cell>
          <cell r="M45">
            <v>505.77744100000018</v>
          </cell>
          <cell r="N45">
            <v>404.60103300000048</v>
          </cell>
          <cell r="O45">
            <v>493.76175600000005</v>
          </cell>
          <cell r="P45">
            <v>493.76175600000005</v>
          </cell>
          <cell r="Q45">
            <v>493.76175600000005</v>
          </cell>
          <cell r="R45">
            <v>493.76175600000005</v>
          </cell>
          <cell r="S45">
            <v>493.76175600000005</v>
          </cell>
          <cell r="T45">
            <v>493.76175600000005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</row>
        <row r="46">
          <cell r="B46" t="str">
            <v>Total current assets</v>
          </cell>
          <cell r="C46" t="str">
            <v>CUR_ASS</v>
          </cell>
          <cell r="D46" t="str">
            <v>CNY</v>
          </cell>
          <cell r="F46">
            <v>327.45123100000001</v>
          </cell>
          <cell r="G46">
            <v>956.90375200000005</v>
          </cell>
          <cell r="H46">
            <v>895.67738099999997</v>
          </cell>
          <cell r="I46">
            <v>1067.8530949999999</v>
          </cell>
          <cell r="J46">
            <v>1279.293013</v>
          </cell>
          <cell r="K46">
            <v>1547.087837</v>
          </cell>
          <cell r="L46">
            <v>1954.764842</v>
          </cell>
          <cell r="M46">
            <v>2147.93948</v>
          </cell>
          <cell r="N46">
            <v>2423.0845650000001</v>
          </cell>
          <cell r="O46">
            <v>2971.171362</v>
          </cell>
          <cell r="P46">
            <v>4249.8424820164364</v>
          </cell>
          <cell r="Q46">
            <v>4687.4858369954536</v>
          </cell>
          <cell r="R46">
            <v>5047.9933436055735</v>
          </cell>
          <cell r="S46">
            <v>5600.6506870141984</v>
          </cell>
          <cell r="T46">
            <v>6114.3452609672595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B47" t="str">
            <v>Gross fixed assets, PP&amp;E</v>
          </cell>
          <cell r="C47" t="str">
            <v>GR_FIX_ASS</v>
          </cell>
          <cell r="D47" t="str">
            <v>CNY</v>
          </cell>
          <cell r="F47">
            <v>184.83778253</v>
          </cell>
          <cell r="G47">
            <v>190.34461442</v>
          </cell>
          <cell r="H47">
            <v>285.61994285000003</v>
          </cell>
          <cell r="I47">
            <v>305.99613631</v>
          </cell>
          <cell r="J47">
            <v>320.66834172</v>
          </cell>
          <cell r="K47">
            <v>254.91435002</v>
          </cell>
          <cell r="L47">
            <v>283.66265235000003</v>
          </cell>
          <cell r="M47">
            <v>374.10335875999999</v>
          </cell>
          <cell r="N47">
            <v>432.68570866000005</v>
          </cell>
          <cell r="O47">
            <v>425.41309080999997</v>
          </cell>
          <cell r="P47">
            <v>579.35137515464305</v>
          </cell>
          <cell r="Q47">
            <v>772.20443875760952</v>
          </cell>
          <cell r="R47">
            <v>1008.3590559321462</v>
          </cell>
          <cell r="S47">
            <v>1294.1833800825952</v>
          </cell>
          <cell r="T47">
            <v>1636.8137077330944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</row>
        <row r="48">
          <cell r="B48" t="str">
            <v>Accumulated depreciation</v>
          </cell>
          <cell r="C48" t="str">
            <v>ACC_DDA</v>
          </cell>
          <cell r="D48" t="str">
            <v>CNY</v>
          </cell>
          <cell r="F48">
            <v>-30.031077530000001</v>
          </cell>
          <cell r="G48">
            <v>-38.380480420000005</v>
          </cell>
          <cell r="H48">
            <v>-45.487412849999998</v>
          </cell>
          <cell r="I48">
            <v>-63.202897310000004</v>
          </cell>
          <cell r="J48">
            <v>-74.407900720000001</v>
          </cell>
          <cell r="K48">
            <v>-90.078438019999993</v>
          </cell>
          <cell r="L48">
            <v>-110.82087335</v>
          </cell>
          <cell r="M48">
            <v>-145.56214775999999</v>
          </cell>
          <cell r="N48">
            <v>-180.61833966</v>
          </cell>
          <cell r="O48">
            <v>-176.50058380999999</v>
          </cell>
          <cell r="P48">
            <v>-210.19182244069449</v>
          </cell>
          <cell r="Q48">
            <v>-257.72121056705691</v>
          </cell>
          <cell r="R48">
            <v>-322.48296380151208</v>
          </cell>
          <cell r="S48">
            <v>-408.00564428831404</v>
          </cell>
          <cell r="T48">
            <v>-518.20216346742041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</row>
        <row r="49">
          <cell r="B49" t="str">
            <v>Net PP&amp;E</v>
          </cell>
          <cell r="C49" t="str">
            <v>NET_FIX_ASS</v>
          </cell>
          <cell r="D49" t="str">
            <v>CNY</v>
          </cell>
          <cell r="F49">
            <v>154.80670499999999</v>
          </cell>
          <cell r="G49">
            <v>151.964134</v>
          </cell>
          <cell r="H49">
            <v>240.13253</v>
          </cell>
          <cell r="I49">
            <v>242.793239</v>
          </cell>
          <cell r="J49">
            <v>246.26044099999999</v>
          </cell>
          <cell r="K49">
            <v>164.83591200000001</v>
          </cell>
          <cell r="L49">
            <v>172.841779</v>
          </cell>
          <cell r="M49">
            <v>228.541211</v>
          </cell>
          <cell r="N49">
            <v>252.06736900000001</v>
          </cell>
          <cell r="O49">
            <v>248.91250700000001</v>
          </cell>
          <cell r="P49">
            <v>369.15955271394853</v>
          </cell>
          <cell r="Q49">
            <v>514.48322819055261</v>
          </cell>
          <cell r="R49">
            <v>685.87609213063411</v>
          </cell>
          <cell r="S49">
            <v>886.17773579428126</v>
          </cell>
          <cell r="T49">
            <v>1118.611544265674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</row>
        <row r="50">
          <cell r="B50" t="str">
            <v>Gross intangibles</v>
          </cell>
          <cell r="C50" t="str">
            <v>GR_INTANG</v>
          </cell>
          <cell r="D50" t="str">
            <v>CNY</v>
          </cell>
          <cell r="F50">
            <v>70.650156019999997</v>
          </cell>
          <cell r="G50">
            <v>81.063827209999999</v>
          </cell>
          <cell r="H50">
            <v>124.24093625</v>
          </cell>
          <cell r="I50">
            <v>209.86986839000002</v>
          </cell>
          <cell r="J50">
            <v>251.52002818</v>
          </cell>
          <cell r="K50">
            <v>364.71963954</v>
          </cell>
          <cell r="L50">
            <v>405.83575214999996</v>
          </cell>
          <cell r="M50">
            <v>537.67348044999994</v>
          </cell>
          <cell r="N50">
            <v>598.51391384999999</v>
          </cell>
          <cell r="O50">
            <v>670.57040173999997</v>
          </cell>
          <cell r="P50">
            <v>688.58052701999998</v>
          </cell>
          <cell r="Q50">
            <v>706.59065229999987</v>
          </cell>
          <cell r="R50">
            <v>724.60077757999989</v>
          </cell>
          <cell r="S50">
            <v>742.6109028599999</v>
          </cell>
          <cell r="T50">
            <v>760.62102813999979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</row>
        <row r="51">
          <cell r="B51" t="str">
            <v>Accumulated amortization</v>
          </cell>
          <cell r="C51" t="str">
            <v>ACC_AMORT</v>
          </cell>
          <cell r="D51" t="str">
            <v>CNY</v>
          </cell>
          <cell r="F51">
            <v>-28.682142020000001</v>
          </cell>
          <cell r="G51">
            <v>-48.026798210000003</v>
          </cell>
          <cell r="H51">
            <v>-72.674848249999997</v>
          </cell>
          <cell r="I51">
            <v>-113.29061839000001</v>
          </cell>
          <cell r="J51">
            <v>-151.44085918000002</v>
          </cell>
          <cell r="K51">
            <v>-198.01743353999998</v>
          </cell>
          <cell r="L51">
            <v>-257.93922114999998</v>
          </cell>
          <cell r="M51">
            <v>-329.53972844999998</v>
          </cell>
          <cell r="N51">
            <v>-407.30927385000001</v>
          </cell>
          <cell r="O51">
            <v>-481.06820973999999</v>
          </cell>
          <cell r="P51">
            <v>-566.48748189082698</v>
          </cell>
          <cell r="Q51">
            <v>-621.52166877565219</v>
          </cell>
          <cell r="R51">
            <v>-659.86703343117279</v>
          </cell>
          <cell r="S51">
            <v>-689.04616455589701</v>
          </cell>
          <cell r="T51">
            <v>-713.19079797990503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52">
          <cell r="B52" t="str">
            <v>Net intangible assets</v>
          </cell>
          <cell r="C52" t="str">
            <v>NET_INTANG</v>
          </cell>
          <cell r="D52" t="str">
            <v>CNY</v>
          </cell>
          <cell r="F52">
            <v>41.968013999999997</v>
          </cell>
          <cell r="G52">
            <v>33.037028999999997</v>
          </cell>
          <cell r="H52">
            <v>51.566088000000001</v>
          </cell>
          <cell r="I52">
            <v>96.579250000000002</v>
          </cell>
          <cell r="J52">
            <v>100.07916899999999</v>
          </cell>
          <cell r="K52">
            <v>166.70220599999999</v>
          </cell>
          <cell r="L52">
            <v>147.89653100000001</v>
          </cell>
          <cell r="M52">
            <v>208.13375199999999</v>
          </cell>
          <cell r="N52">
            <v>191.20464000000001</v>
          </cell>
          <cell r="O52">
            <v>189.50219200000001</v>
          </cell>
          <cell r="P52">
            <v>122.09304512917298</v>
          </cell>
          <cell r="Q52">
            <v>85.068983524347743</v>
          </cell>
          <cell r="R52">
            <v>64.733744148827128</v>
          </cell>
          <cell r="S52">
            <v>53.564738304102868</v>
          </cell>
          <cell r="T52">
            <v>47.430230160094808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</row>
        <row r="53">
          <cell r="B53" t="str">
            <v>Equity method investments</v>
          </cell>
          <cell r="C53" t="str">
            <v>FIX_ASS_INV</v>
          </cell>
          <cell r="D53" t="str">
            <v>CNY</v>
          </cell>
          <cell r="F53">
            <v>5.582973</v>
          </cell>
          <cell r="G53">
            <v>5.6385059999999996</v>
          </cell>
          <cell r="H53">
            <v>26.803456000000001</v>
          </cell>
          <cell r="I53">
            <v>56.160482000000002</v>
          </cell>
          <cell r="J53">
            <v>87.450682999999998</v>
          </cell>
          <cell r="K53">
            <v>74.200647000000004</v>
          </cell>
          <cell r="L53">
            <v>77.059135999999995</v>
          </cell>
          <cell r="M53">
            <v>89.533085999999997</v>
          </cell>
          <cell r="N53">
            <v>117.251441</v>
          </cell>
          <cell r="O53">
            <v>82.003304999999997</v>
          </cell>
          <cell r="P53">
            <v>82.003304999999955</v>
          </cell>
          <cell r="Q53">
            <v>82.003304999999955</v>
          </cell>
          <cell r="R53">
            <v>82.003304999999955</v>
          </cell>
          <cell r="S53">
            <v>82.003304999999955</v>
          </cell>
          <cell r="T53">
            <v>82.003304999999955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</row>
        <row r="54">
          <cell r="B54" t="str">
            <v>Investments in securities</v>
          </cell>
          <cell r="C54" t="str">
            <v>INV_SECUR</v>
          </cell>
          <cell r="D54" t="str">
            <v>CNY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54.954115000000002</v>
          </cell>
          <cell r="L54">
            <v>57.584693000000001</v>
          </cell>
          <cell r="M54">
            <v>100.8901</v>
          </cell>
          <cell r="N54">
            <v>198.57855599999999</v>
          </cell>
          <cell r="O54">
            <v>327.78425700000003</v>
          </cell>
          <cell r="P54">
            <v>327.78425700000003</v>
          </cell>
          <cell r="Q54">
            <v>327.78425700000003</v>
          </cell>
          <cell r="R54">
            <v>327.78425700000003</v>
          </cell>
          <cell r="S54">
            <v>327.78425700000003</v>
          </cell>
          <cell r="T54">
            <v>327.78425700000003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</row>
        <row r="55">
          <cell r="B55" t="str">
            <v>Other long-term assets</v>
          </cell>
          <cell r="C55" t="str">
            <v>OTH_LT_ASS</v>
          </cell>
          <cell r="D55" t="str">
            <v>CNY</v>
          </cell>
          <cell r="F55">
            <v>11.438943000000023</v>
          </cell>
          <cell r="G55">
            <v>35.424902409999987</v>
          </cell>
          <cell r="H55">
            <v>21.723295759999957</v>
          </cell>
          <cell r="I55">
            <v>117.77956700000013</v>
          </cell>
          <cell r="J55">
            <v>118.83756599999995</v>
          </cell>
          <cell r="K55">
            <v>394.32438825999998</v>
          </cell>
          <cell r="L55">
            <v>417.46957700000019</v>
          </cell>
          <cell r="M55">
            <v>479.91483100000005</v>
          </cell>
          <cell r="N55">
            <v>1092.8251060000002</v>
          </cell>
          <cell r="O55">
            <v>1080.8486369999996</v>
          </cell>
          <cell r="P55">
            <v>1080.8486369999996</v>
          </cell>
          <cell r="Q55">
            <v>1080.8486369999996</v>
          </cell>
          <cell r="R55">
            <v>1080.8486369999996</v>
          </cell>
          <cell r="S55">
            <v>1080.8486369999996</v>
          </cell>
          <cell r="T55">
            <v>1080.8486369999996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</row>
        <row r="56">
          <cell r="B56" t="str">
            <v>Total assets</v>
          </cell>
          <cell r="C56" t="str">
            <v>TOT_ASSET</v>
          </cell>
          <cell r="D56" t="str">
            <v>CNY</v>
          </cell>
          <cell r="F56">
            <v>541.24786600000004</v>
          </cell>
          <cell r="G56">
            <v>1182.96832341</v>
          </cell>
          <cell r="H56">
            <v>1235.9027507600001</v>
          </cell>
          <cell r="I56">
            <v>1581.1656330000001</v>
          </cell>
          <cell r="J56">
            <v>1831.9208719999999</v>
          </cell>
          <cell r="K56">
            <v>2402.1051052600001</v>
          </cell>
          <cell r="L56">
            <v>2827.6165579999997</v>
          </cell>
          <cell r="M56">
            <v>3254.9524600000004</v>
          </cell>
          <cell r="N56">
            <v>4275.0116770000004</v>
          </cell>
          <cell r="O56">
            <v>4900.2222600000005</v>
          </cell>
          <cell r="P56">
            <v>6231.7312788595591</v>
          </cell>
          <cell r="Q56">
            <v>6777.6742477103544</v>
          </cell>
          <cell r="R56">
            <v>7289.239378885035</v>
          </cell>
          <cell r="S56">
            <v>8031.0293601125832</v>
          </cell>
          <cell r="T56">
            <v>8771.0232343930275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B57" t="str">
            <v>Accounts payable</v>
          </cell>
          <cell r="C57" t="str">
            <v>ACC_PAY_GQ</v>
          </cell>
          <cell r="D57" t="str">
            <v>CNY</v>
          </cell>
          <cell r="F57">
            <v>46.047882000000001</v>
          </cell>
          <cell r="G57">
            <v>78.559241999999998</v>
          </cell>
          <cell r="H57">
            <v>79.170197000000002</v>
          </cell>
          <cell r="I57">
            <v>122.636611</v>
          </cell>
          <cell r="J57">
            <v>179.882384</v>
          </cell>
          <cell r="K57">
            <v>238.13148699999999</v>
          </cell>
          <cell r="L57">
            <v>262.012834</v>
          </cell>
          <cell r="M57">
            <v>347.43409800000001</v>
          </cell>
          <cell r="N57">
            <v>425.613001</v>
          </cell>
          <cell r="O57">
            <v>577.98970499999996</v>
          </cell>
          <cell r="P57">
            <v>664.30284918428742</v>
          </cell>
          <cell r="Q57">
            <v>900.53424363636645</v>
          </cell>
          <cell r="R57">
            <v>1028.3384840269371</v>
          </cell>
          <cell r="S57">
            <v>1304.9399341301944</v>
          </cell>
          <cell r="T57">
            <v>1481.5632702389505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</row>
        <row r="58">
          <cell r="B58" t="str">
            <v>Short-term debt</v>
          </cell>
          <cell r="C58" t="str">
            <v>SHORT_T_DEBT</v>
          </cell>
          <cell r="D58" t="str">
            <v>CNY</v>
          </cell>
          <cell r="F58">
            <v>53.591673</v>
          </cell>
          <cell r="G58">
            <v>10.893584000000001</v>
          </cell>
          <cell r="H58">
            <v>16.71471</v>
          </cell>
          <cell r="I58">
            <v>28.595896</v>
          </cell>
          <cell r="J58">
            <v>22.823775999999999</v>
          </cell>
          <cell r="K58">
            <v>71.055977999999996</v>
          </cell>
          <cell r="L58">
            <v>33.438811999999999</v>
          </cell>
          <cell r="M58">
            <v>49.285313000000002</v>
          </cell>
          <cell r="N58">
            <v>76.253227999999993</v>
          </cell>
          <cell r="O58">
            <v>71.170293000000001</v>
          </cell>
          <cell r="P58">
            <v>75.830318810000009</v>
          </cell>
          <cell r="Q58">
            <v>75.830318810000009</v>
          </cell>
          <cell r="R58">
            <v>75.830318810000009</v>
          </cell>
          <cell r="S58">
            <v>75.830318810000009</v>
          </cell>
          <cell r="T58">
            <v>75.830318810000009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 t="str">
            <v>CNY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</row>
        <row r="60">
          <cell r="B60" t="str">
            <v>Other current liabilities</v>
          </cell>
          <cell r="C60" t="str">
            <v>OTH_CUR_LIABS</v>
          </cell>
          <cell r="D60" t="str">
            <v>CNY</v>
          </cell>
          <cell r="F60">
            <v>101.01024100000002</v>
          </cell>
          <cell r="G60">
            <v>94.221285000000009</v>
          </cell>
          <cell r="H60">
            <v>94.652307000000008</v>
          </cell>
          <cell r="I60">
            <v>191.02380599999995</v>
          </cell>
          <cell r="J60">
            <v>270.90884899999998</v>
          </cell>
          <cell r="K60">
            <v>442.11785700000007</v>
          </cell>
          <cell r="L60">
            <v>676.59779600000002</v>
          </cell>
          <cell r="M60">
            <v>533.8856790000001</v>
          </cell>
          <cell r="N60">
            <v>544.09266600000001</v>
          </cell>
          <cell r="O60">
            <v>569.2939520000001</v>
          </cell>
          <cell r="P60">
            <v>561.75025411780234</v>
          </cell>
          <cell r="Q60">
            <v>555.59530423519345</v>
          </cell>
          <cell r="R60">
            <v>559.85577269513738</v>
          </cell>
          <cell r="S60">
            <v>565.23282389599353</v>
          </cell>
          <cell r="T60">
            <v>571.73130269673607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</row>
        <row r="61">
          <cell r="B61" t="str">
            <v>Total current liabilities</v>
          </cell>
          <cell r="C61" t="str">
            <v>SHORT_TERM_LIABS</v>
          </cell>
          <cell r="D61" t="str">
            <v>CNY</v>
          </cell>
          <cell r="F61">
            <v>200.64979600000004</v>
          </cell>
          <cell r="G61">
            <v>183.67411100000001</v>
          </cell>
          <cell r="H61">
            <v>190.53721400000001</v>
          </cell>
          <cell r="I61">
            <v>342.25631299999998</v>
          </cell>
          <cell r="J61">
            <v>473.61500899999999</v>
          </cell>
          <cell r="K61">
            <v>751.30532200000005</v>
          </cell>
          <cell r="L61">
            <v>972.049442</v>
          </cell>
          <cell r="M61">
            <v>930.60509000000013</v>
          </cell>
          <cell r="N61">
            <v>1045.958895</v>
          </cell>
          <cell r="O61">
            <v>1218.4539500000001</v>
          </cell>
          <cell r="P61">
            <v>1301.8834221120896</v>
          </cell>
          <cell r="Q61">
            <v>1531.95986668156</v>
          </cell>
          <cell r="R61">
            <v>1664.0245755320746</v>
          </cell>
          <cell r="S61">
            <v>1946.003076836188</v>
          </cell>
          <cell r="T61">
            <v>2129.1248917456869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</row>
        <row r="62">
          <cell r="B62" t="str">
            <v>Long-term  debt</v>
          </cell>
          <cell r="C62" t="str">
            <v>LT_DEBT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839.65504194000005</v>
          </cell>
          <cell r="Q62">
            <v>839.65504194000005</v>
          </cell>
          <cell r="R62">
            <v>839.65504194000005</v>
          </cell>
          <cell r="S62">
            <v>839.65504194000005</v>
          </cell>
          <cell r="T62">
            <v>839.65504194000005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 t="str">
            <v>CNY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</row>
        <row r="64">
          <cell r="B64" t="str">
            <v>Other long-term liabilities</v>
          </cell>
          <cell r="C64" t="str">
            <v>OTH_LT_CRED_GQ</v>
          </cell>
          <cell r="D64" t="str">
            <v>CNY</v>
          </cell>
          <cell r="F64">
            <v>3.6909949999999867</v>
          </cell>
          <cell r="G64">
            <v>4.5856654999999762</v>
          </cell>
          <cell r="H64">
            <v>4.5358332700000119</v>
          </cell>
          <cell r="I64">
            <v>11.281481000000042</v>
          </cell>
          <cell r="J64">
            <v>24.528450000000021</v>
          </cell>
          <cell r="K64">
            <v>34.802122609999969</v>
          </cell>
          <cell r="L64">
            <v>56.057567999999947</v>
          </cell>
          <cell r="M64">
            <v>64.961455000000001</v>
          </cell>
          <cell r="N64">
            <v>52.2303730000001</v>
          </cell>
          <cell r="O64">
            <v>58.294187999999849</v>
          </cell>
          <cell r="P64">
            <v>58.294187999999849</v>
          </cell>
          <cell r="Q64">
            <v>58.294187999999849</v>
          </cell>
          <cell r="R64">
            <v>58.294187999999849</v>
          </cell>
          <cell r="S64">
            <v>58.294187999999849</v>
          </cell>
          <cell r="T64">
            <v>58.294187999999849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B65" t="str">
            <v>Total long-term liabilities</v>
          </cell>
          <cell r="C65" t="str">
            <v>TOT_LT_LIAB</v>
          </cell>
          <cell r="D65" t="str">
            <v>CNY</v>
          </cell>
          <cell r="F65">
            <v>3.6909949999999867</v>
          </cell>
          <cell r="G65">
            <v>4.5856654999999762</v>
          </cell>
          <cell r="H65">
            <v>4.5358332700000119</v>
          </cell>
          <cell r="I65">
            <v>11.281481000000042</v>
          </cell>
          <cell r="J65">
            <v>24.528450000000021</v>
          </cell>
          <cell r="K65">
            <v>34.802122609999969</v>
          </cell>
          <cell r="L65">
            <v>56.057567999999947</v>
          </cell>
          <cell r="M65">
            <v>64.961455000000001</v>
          </cell>
          <cell r="N65">
            <v>52.2303730000001</v>
          </cell>
          <cell r="O65">
            <v>58.294187999999849</v>
          </cell>
          <cell r="P65">
            <v>897.9492299399999</v>
          </cell>
          <cell r="Q65">
            <v>897.9492299399999</v>
          </cell>
          <cell r="R65">
            <v>897.9492299399999</v>
          </cell>
          <cell r="S65">
            <v>897.9492299399999</v>
          </cell>
          <cell r="T65">
            <v>897.9492299399999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</row>
        <row r="66">
          <cell r="B66" t="str">
            <v>Total liabilities</v>
          </cell>
          <cell r="C66" t="str">
            <v>TOT_LIAB</v>
          </cell>
          <cell r="D66" t="str">
            <v>CNY</v>
          </cell>
          <cell r="F66">
            <v>204.34079100000002</v>
          </cell>
          <cell r="G66">
            <v>188.25977649999999</v>
          </cell>
          <cell r="H66">
            <v>195.07304727000002</v>
          </cell>
          <cell r="I66">
            <v>353.53779400000002</v>
          </cell>
          <cell r="J66">
            <v>498.14345900000001</v>
          </cell>
          <cell r="K66">
            <v>786.10744461000002</v>
          </cell>
          <cell r="L66">
            <v>1028.1070099999999</v>
          </cell>
          <cell r="M66">
            <v>995.56654500000013</v>
          </cell>
          <cell r="N66">
            <v>1098.1892680000001</v>
          </cell>
          <cell r="O66">
            <v>1276.7481379999999</v>
          </cell>
          <cell r="P66">
            <v>2199.8326520520895</v>
          </cell>
          <cell r="Q66">
            <v>2429.9090966215599</v>
          </cell>
          <cell r="R66">
            <v>2561.9738054720747</v>
          </cell>
          <cell r="S66">
            <v>2843.9523067761879</v>
          </cell>
          <cell r="T66">
            <v>3027.0741216856868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</row>
        <row r="67">
          <cell r="B67" t="str">
            <v>Preferred shares</v>
          </cell>
          <cell r="C67" t="str">
            <v>PREF_SH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</row>
        <row r="68">
          <cell r="B68" t="str">
            <v>Total common equity</v>
          </cell>
          <cell r="C68" t="str">
            <v>ORD_SH_FUND</v>
          </cell>
          <cell r="D68" t="str">
            <v>CNY</v>
          </cell>
          <cell r="F68">
            <v>336.26736800000003</v>
          </cell>
          <cell r="G68">
            <v>992.24075291000008</v>
          </cell>
          <cell r="H68">
            <v>1039.8482834899999</v>
          </cell>
          <cell r="I68">
            <v>1227.627839</v>
          </cell>
          <cell r="J68">
            <v>1333.777413</v>
          </cell>
          <cell r="K68">
            <v>1495.5126826500002</v>
          </cell>
          <cell r="L68">
            <v>1691.5559490000001</v>
          </cell>
          <cell r="M68">
            <v>2225.5349119999996</v>
          </cell>
          <cell r="N68">
            <v>3135.128608</v>
          </cell>
          <cell r="O68">
            <v>3590.6091710000001</v>
          </cell>
          <cell r="P68">
            <v>4011.1889358074682</v>
          </cell>
          <cell r="Q68">
            <v>4339.8390320887938</v>
          </cell>
          <cell r="R68">
            <v>4732.1230264129608</v>
          </cell>
          <cell r="S68">
            <v>5204.7180783363947</v>
          </cell>
          <cell r="T68">
            <v>5774.3737097073417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</row>
        <row r="69">
          <cell r="B69" t="str">
            <v>Minority interest</v>
          </cell>
          <cell r="C69" t="str">
            <v>MINORITIES</v>
          </cell>
          <cell r="D69" t="str">
            <v>CNY</v>
          </cell>
          <cell r="F69">
            <v>0.63970700000000003</v>
          </cell>
          <cell r="G69">
            <v>2.467794</v>
          </cell>
          <cell r="H69">
            <v>0.98141999999999996</v>
          </cell>
          <cell r="I69">
            <v>0</v>
          </cell>
          <cell r="J69">
            <v>0</v>
          </cell>
          <cell r="K69">
            <v>120.484978</v>
          </cell>
          <cell r="L69">
            <v>107.953599</v>
          </cell>
          <cell r="M69">
            <v>33.851002999999999</v>
          </cell>
          <cell r="N69">
            <v>41.693801000000001</v>
          </cell>
          <cell r="O69">
            <v>32.864950999999998</v>
          </cell>
          <cell r="P69">
            <v>20.709690999999999</v>
          </cell>
          <cell r="Q69">
            <v>7.9261189999999999</v>
          </cell>
          <cell r="R69">
            <v>-4.8574529999999996</v>
          </cell>
          <cell r="S69">
            <v>-17.641024999999999</v>
          </cell>
          <cell r="T69">
            <v>-30.424596999999999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</row>
        <row r="70">
          <cell r="B70" t="str">
            <v>Total shareholders' equity</v>
          </cell>
          <cell r="C70" t="str">
            <v>EQ</v>
          </cell>
          <cell r="D70" t="str">
            <v>CNY</v>
          </cell>
          <cell r="F70">
            <v>336.90707500000002</v>
          </cell>
          <cell r="G70">
            <v>994.70854691000011</v>
          </cell>
          <cell r="H70">
            <v>1040.8297034899999</v>
          </cell>
          <cell r="I70">
            <v>1227.627839</v>
          </cell>
          <cell r="J70">
            <v>1333.777413</v>
          </cell>
          <cell r="K70">
            <v>1615.9976606500002</v>
          </cell>
          <cell r="L70">
            <v>1799.509548</v>
          </cell>
          <cell r="M70">
            <v>2259.3859149999998</v>
          </cell>
          <cell r="N70">
            <v>3176.8224089999999</v>
          </cell>
          <cell r="O70">
            <v>3623.4741220000001</v>
          </cell>
          <cell r="P70">
            <v>4031.8986268074682</v>
          </cell>
          <cell r="Q70">
            <v>4347.7651510887936</v>
          </cell>
          <cell r="R70">
            <v>4727.2655734129612</v>
          </cell>
          <cell r="S70">
            <v>5187.0770533363948</v>
          </cell>
          <cell r="T70">
            <v>5743.9491127073416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</row>
        <row r="71">
          <cell r="B71" t="str">
            <v>Total liabilities and equity</v>
          </cell>
          <cell r="C71" t="str">
            <v>TOT_LIAB_EQ</v>
          </cell>
          <cell r="D71" t="str">
            <v>CNY</v>
          </cell>
          <cell r="F71">
            <v>541.24786600000004</v>
          </cell>
          <cell r="G71">
            <v>1182.96832341</v>
          </cell>
          <cell r="H71">
            <v>1235.9027507599999</v>
          </cell>
          <cell r="I71">
            <v>1581.1656330000001</v>
          </cell>
          <cell r="J71">
            <v>1831.9208720000001</v>
          </cell>
          <cell r="K71">
            <v>2402.1051052600001</v>
          </cell>
          <cell r="L71">
            <v>2827.6165579999997</v>
          </cell>
          <cell r="M71">
            <v>3254.95246</v>
          </cell>
          <cell r="N71">
            <v>4275.0116770000004</v>
          </cell>
          <cell r="O71">
            <v>4900.2222600000005</v>
          </cell>
          <cell r="P71">
            <v>6231.7312788595573</v>
          </cell>
          <cell r="Q71">
            <v>6777.6742477103535</v>
          </cell>
          <cell r="R71">
            <v>7289.2393788850359</v>
          </cell>
          <cell r="S71">
            <v>8031.0293601125832</v>
          </cell>
          <cell r="T71">
            <v>8771.0232343930293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 t="str">
            <v>Additional Balance Sheet Items</v>
          </cell>
          <cell r="B72">
            <v>0</v>
          </cell>
          <cell r="C72">
            <v>0</v>
          </cell>
          <cell r="D72">
            <v>0</v>
          </cell>
          <cell r="F72" t="b">
            <v>1</v>
          </cell>
          <cell r="G72" t="b">
            <v>1</v>
          </cell>
          <cell r="H72" t="b">
            <v>1</v>
          </cell>
          <cell r="I72" t="b">
            <v>1</v>
          </cell>
          <cell r="J72" t="b">
            <v>1</v>
          </cell>
          <cell r="K72" t="b">
            <v>1</v>
          </cell>
          <cell r="L72" t="b">
            <v>1</v>
          </cell>
          <cell r="M72" t="b">
            <v>1</v>
          </cell>
          <cell r="N72" t="b">
            <v>1</v>
          </cell>
          <cell r="O72" t="b">
            <v>1</v>
          </cell>
          <cell r="P72" t="b">
            <v>1</v>
          </cell>
          <cell r="Q72" t="b">
            <v>1</v>
          </cell>
          <cell r="R72" t="b">
            <v>0</v>
          </cell>
          <cell r="S72" t="b">
            <v>1</v>
          </cell>
          <cell r="T72" t="b">
            <v>1</v>
          </cell>
        </row>
        <row r="73">
          <cell r="B73" t="str">
            <v>Total US$ debt (in US$)</v>
          </cell>
          <cell r="C73" t="str">
            <v>TOT_USD_DEBT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28.22208852</v>
          </cell>
          <cell r="M73">
            <v>50</v>
          </cell>
          <cell r="N73">
            <v>114.30167433</v>
          </cell>
          <cell r="O73">
            <v>235.34637627000001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</row>
        <row r="74">
          <cell r="B74" t="str">
            <v>% US$ debt hedged (principal)</v>
          </cell>
          <cell r="C74" t="str">
            <v>TOT_PCT_USD_DEBT_HEDGED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B75" t="str">
            <v>% Floating debt (local currency debt)</v>
          </cell>
          <cell r="C75" t="str">
            <v>FLOATING_PCT_LOCAL_DEBT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B76" t="str">
            <v>% floating debt hedged (rates)</v>
          </cell>
          <cell r="C76" t="str">
            <v>FLOATING_PCT_LOCAL_DEBT_HEDGED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</row>
        <row r="77">
          <cell r="B77" t="str">
            <v>Net debt</v>
          </cell>
          <cell r="C77" t="str">
            <v>NET_DEBT</v>
          </cell>
          <cell r="D77" t="str">
            <v>CNY</v>
          </cell>
          <cell r="F77">
            <v>-81.215085999999999</v>
          </cell>
          <cell r="G77">
            <v>-695.93356899999992</v>
          </cell>
          <cell r="H77">
            <v>-566.32420200000001</v>
          </cell>
          <cell r="I77">
            <v>-580.82214899999997</v>
          </cell>
          <cell r="J77">
            <v>-593.23666100000003</v>
          </cell>
          <cell r="K77">
            <v>-188.56739900000002</v>
          </cell>
          <cell r="L77">
            <v>-762.45982900000001</v>
          </cell>
          <cell r="M77">
            <v>-472.932816</v>
          </cell>
          <cell r="N77">
            <v>-520.12597399999993</v>
          </cell>
          <cell r="O77">
            <v>-600.45887800000003</v>
          </cell>
          <cell r="P77">
            <v>-799.24479454665118</v>
          </cell>
          <cell r="Q77">
            <v>-817.85965590513013</v>
          </cell>
          <cell r="R77">
            <v>-817.97193643259936</v>
          </cell>
          <cell r="S77">
            <v>-810.93780028944218</v>
          </cell>
          <cell r="T77">
            <v>-693.52005693996387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</row>
        <row r="79">
          <cell r="B79" t="str">
            <v>Deferred income taxes</v>
          </cell>
          <cell r="C79" t="str">
            <v>DEF_INC_TAX</v>
          </cell>
          <cell r="D79" t="str">
            <v>CNY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</row>
        <row r="81">
          <cell r="B81" t="str">
            <v>Net debt adjustment</v>
          </cell>
          <cell r="C81" t="str">
            <v>NET_DEBT_ADJ</v>
          </cell>
          <cell r="D81" t="str">
            <v>CNY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</row>
        <row r="82">
          <cell r="B82" t="str">
            <v>Company borrowing margin</v>
          </cell>
          <cell r="C82" t="str">
            <v>CO_BOR_MARGIN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B83" t="str">
            <v>Unfunded pensions &amp; other provisions</v>
          </cell>
          <cell r="C83" t="str">
            <v>UNF_PENS</v>
          </cell>
          <cell r="D83" t="str">
            <v>CNY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 t="str">
            <v>CNY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 t="str">
            <v>CNY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</row>
        <row r="87">
          <cell r="B87" t="str">
            <v>Other GCI adjustments</v>
          </cell>
          <cell r="C87" t="str">
            <v>OTH_GCI_ADJ</v>
          </cell>
          <cell r="D87" t="str">
            <v>CNY</v>
          </cell>
          <cell r="F87">
            <v>81.215085999999999</v>
          </cell>
          <cell r="G87">
            <v>695.93356899999992</v>
          </cell>
          <cell r="H87">
            <v>566.32420200000001</v>
          </cell>
          <cell r="I87">
            <v>580.82214899999997</v>
          </cell>
          <cell r="J87">
            <v>593.23666100000003</v>
          </cell>
          <cell r="K87">
            <v>188.56739900000002</v>
          </cell>
          <cell r="L87">
            <v>762.45982900000001</v>
          </cell>
          <cell r="M87">
            <v>472.932816</v>
          </cell>
          <cell r="N87">
            <v>520.12597399999993</v>
          </cell>
          <cell r="O87">
            <v>600.45887800000003</v>
          </cell>
          <cell r="P87">
            <v>799.24479454665118</v>
          </cell>
          <cell r="Q87">
            <v>817.85965590513013</v>
          </cell>
          <cell r="R87">
            <v>817.97193643259936</v>
          </cell>
          <cell r="S87">
            <v>810.93780028944218</v>
          </cell>
          <cell r="T87">
            <v>693.52005693996387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</row>
        <row r="88">
          <cell r="B88" t="str">
            <v>GCI inflator</v>
          </cell>
          <cell r="C88" t="str">
            <v>GCI_INFL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</row>
        <row r="89">
          <cell r="B89" t="str">
            <v>Minority interest</v>
          </cell>
          <cell r="C89" t="str">
            <v>BAL_MINO_INT</v>
          </cell>
          <cell r="D89" t="str">
            <v>CNY</v>
          </cell>
          <cell r="F89">
            <v>0.63970700000000003</v>
          </cell>
          <cell r="G89">
            <v>2.467794</v>
          </cell>
          <cell r="H89">
            <v>0.98141999999999996</v>
          </cell>
          <cell r="I89">
            <v>0</v>
          </cell>
          <cell r="J89">
            <v>0</v>
          </cell>
          <cell r="K89">
            <v>120.484978</v>
          </cell>
          <cell r="L89">
            <v>107.953599</v>
          </cell>
          <cell r="M89">
            <v>33.851002999999999</v>
          </cell>
          <cell r="N89">
            <v>41.693801000000001</v>
          </cell>
          <cell r="O89">
            <v>32.864950999999998</v>
          </cell>
          <cell r="P89">
            <v>20.709690999999999</v>
          </cell>
          <cell r="Q89">
            <v>7.9261189999999999</v>
          </cell>
          <cell r="R89">
            <v>-4.8574529999999996</v>
          </cell>
          <cell r="S89">
            <v>-17.641024999999999</v>
          </cell>
          <cell r="T89">
            <v>-30.424596999999999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B90" t="str">
            <v>Right-of-use assets (op lease assets under US GAAP)</v>
          </cell>
          <cell r="C90" t="str">
            <v>ROU_ASSET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</row>
        <row r="91">
          <cell r="A91" t="str">
            <v>Cash Flow Statement</v>
          </cell>
          <cell r="B91">
            <v>0</v>
          </cell>
          <cell r="C91">
            <v>0</v>
          </cell>
          <cell r="D91">
            <v>0</v>
          </cell>
        </row>
        <row r="92">
          <cell r="B92" t="str">
            <v>Minority interest add-back</v>
          </cell>
          <cell r="C92" t="str">
            <v>CF_INC_MINORITY</v>
          </cell>
          <cell r="D92" t="str">
            <v>CNY</v>
          </cell>
          <cell r="F92">
            <v>1.040753</v>
          </cell>
          <cell r="G92">
            <v>1.828087</v>
          </cell>
          <cell r="H92">
            <v>-0.70815000000000006</v>
          </cell>
          <cell r="I92">
            <v>-2.1184000000000036E-2</v>
          </cell>
          <cell r="J92">
            <v>0</v>
          </cell>
          <cell r="K92">
            <v>11.754313</v>
          </cell>
          <cell r="L92">
            <v>10.998289</v>
          </cell>
          <cell r="M92">
            <v>-3.9785279999999998</v>
          </cell>
          <cell r="N92">
            <v>-9.1860990000000005</v>
          </cell>
          <cell r="O92">
            <v>-8.8288499999999992</v>
          </cell>
          <cell r="P92">
            <v>-12.15526</v>
          </cell>
          <cell r="Q92">
            <v>-12.783571999999999</v>
          </cell>
          <cell r="R92">
            <v>-12.783571999999999</v>
          </cell>
          <cell r="S92">
            <v>-12.783571999999999</v>
          </cell>
          <cell r="T92">
            <v>-12.783571999999999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</row>
        <row r="93">
          <cell r="B93" t="str">
            <v>Depreciation &amp; amortization add-back</v>
          </cell>
          <cell r="C93" t="str">
            <v>DEPR_AMORT</v>
          </cell>
          <cell r="D93" t="str">
            <v>CNY</v>
          </cell>
          <cell r="F93">
            <v>22.092829000000002</v>
          </cell>
          <cell r="G93">
            <v>28.571041000000001</v>
          </cell>
          <cell r="H93">
            <v>35.249750999999996</v>
          </cell>
          <cell r="I93">
            <v>45.336410999999998</v>
          </cell>
          <cell r="J93">
            <v>55.253355999999997</v>
          </cell>
          <cell r="K93">
            <v>65.530062999999998</v>
          </cell>
          <cell r="L93">
            <v>86.112656000000001</v>
          </cell>
          <cell r="M93">
            <v>99.821621999999991</v>
          </cell>
          <cell r="N93">
            <v>123.84768599999998</v>
          </cell>
          <cell r="O93">
            <v>120.304922</v>
          </cell>
          <cell r="P93">
            <v>119.11051078152154</v>
          </cell>
          <cell r="Q93">
            <v>102.56357501118765</v>
          </cell>
          <cell r="R93">
            <v>103.10711788997577</v>
          </cell>
          <cell r="S93">
            <v>114.70181161152621</v>
          </cell>
          <cell r="T93">
            <v>134.34115260311438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94">
          <cell r="B94" t="str">
            <v>(Increase)/decrease in working capital</v>
          </cell>
          <cell r="C94" t="str">
            <v>WORK_CAP</v>
          </cell>
          <cell r="D94" t="str">
            <v>CNY</v>
          </cell>
          <cell r="F94">
            <v>-10.513667000000003</v>
          </cell>
          <cell r="G94">
            <v>-34.361823000000015</v>
          </cell>
          <cell r="H94">
            <v>-60.08748600000002</v>
          </cell>
          <cell r="I94">
            <v>-94.948750000000004</v>
          </cell>
          <cell r="J94">
            <v>-7.5838329999999559</v>
          </cell>
          <cell r="K94">
            <v>-171.77834300000006</v>
          </cell>
          <cell r="L94">
            <v>-108.35900699999999</v>
          </cell>
          <cell r="M94">
            <v>-178.61606399999999</v>
          </cell>
          <cell r="N94">
            <v>-223.98151700000005</v>
          </cell>
          <cell r="O94">
            <v>-231.29940099999993</v>
          </cell>
          <cell r="P94">
            <v>-149.25699153549772</v>
          </cell>
          <cell r="Q94">
            <v>-182.79709916845911</v>
          </cell>
          <cell r="R94">
            <v>-232.59098569208038</v>
          </cell>
          <cell r="S94">
            <v>-283.09002944852443</v>
          </cell>
          <cell r="T94">
            <v>-454.48898119378396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B95" t="str">
            <v>Other operating cash flow items</v>
          </cell>
          <cell r="C95" t="str">
            <v>OTH_OP_CF</v>
          </cell>
          <cell r="D95" t="str">
            <v>CNY</v>
          </cell>
          <cell r="F95">
            <v>3.8270039999999881</v>
          </cell>
          <cell r="G95">
            <v>-1.761051999999971</v>
          </cell>
          <cell r="H95">
            <v>9.0407359999999741</v>
          </cell>
          <cell r="I95">
            <v>88.663655999999975</v>
          </cell>
          <cell r="J95">
            <v>81.829340999999999</v>
          </cell>
          <cell r="K95">
            <v>292.26774500000005</v>
          </cell>
          <cell r="L95">
            <v>184.21329799999998</v>
          </cell>
          <cell r="M95">
            <v>-87.655888999999988</v>
          </cell>
          <cell r="N95">
            <v>101.67585200000013</v>
          </cell>
          <cell r="O95">
            <v>-138.95379499999984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</row>
        <row r="96">
          <cell r="B96" t="str">
            <v>Cash flow from operating activities</v>
          </cell>
          <cell r="C96" t="str">
            <v>CF_OPS</v>
          </cell>
          <cell r="D96" t="str">
            <v>CNY</v>
          </cell>
          <cell r="F96">
            <v>68.321043999999986</v>
          </cell>
          <cell r="G96">
            <v>54.22581000000001</v>
          </cell>
          <cell r="H96">
            <v>44.500488999999995</v>
          </cell>
          <cell r="I96">
            <v>112.676109</v>
          </cell>
          <cell r="J96">
            <v>251.894383</v>
          </cell>
          <cell r="K96">
            <v>368.14043800000002</v>
          </cell>
          <cell r="L96">
            <v>417.09239700000001</v>
          </cell>
          <cell r="M96">
            <v>94.743048999999985</v>
          </cell>
          <cell r="N96">
            <v>444.24789900000002</v>
          </cell>
          <cell r="O96">
            <v>310.17719599999992</v>
          </cell>
          <cell r="P96">
            <v>406.43702229129417</v>
          </cell>
          <cell r="Q96">
            <v>257.63704847924748</v>
          </cell>
          <cell r="R96">
            <v>276.28107133719936</v>
          </cell>
          <cell r="S96">
            <v>323.06483010242903</v>
          </cell>
          <cell r="T96">
            <v>274.86427759701417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</row>
        <row r="97">
          <cell r="B97" t="str">
            <v>Capital expenditures, Capex</v>
          </cell>
          <cell r="C97" t="str">
            <v>CAPEX</v>
          </cell>
          <cell r="D97" t="str">
            <v>CNY</v>
          </cell>
          <cell r="F97">
            <v>-38.949770999999998</v>
          </cell>
          <cell r="G97">
            <v>-34.401605000000004</v>
          </cell>
          <cell r="H97">
            <v>-133.13787199999999</v>
          </cell>
          <cell r="I97">
            <v>-50.461458</v>
          </cell>
          <cell r="J97">
            <v>-61.949503</v>
          </cell>
          <cell r="K97">
            <v>-68.389178000000001</v>
          </cell>
          <cell r="L97">
            <v>-85.180076999999997</v>
          </cell>
          <cell r="M97">
            <v>-159.122334</v>
          </cell>
          <cell r="N97">
            <v>-298.48890999999998</v>
          </cell>
          <cell r="O97">
            <v>-124.56879499999999</v>
          </cell>
          <cell r="P97">
            <v>-153.93828434464308</v>
          </cell>
          <cell r="Q97">
            <v>-192.85306360296642</v>
          </cell>
          <cell r="R97">
            <v>-236.15461717453672</v>
          </cell>
          <cell r="S97">
            <v>-285.82432415044889</v>
          </cell>
          <cell r="T97">
            <v>-342.630327650499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</row>
        <row r="98">
          <cell r="B98" t="str">
            <v>Acquisitions</v>
          </cell>
          <cell r="C98" t="str">
            <v>ACQ</v>
          </cell>
          <cell r="D98" t="str">
            <v>CNY</v>
          </cell>
          <cell r="F98">
            <v>0</v>
          </cell>
          <cell r="G98">
            <v>0</v>
          </cell>
          <cell r="H98">
            <v>35.356330999999997</v>
          </cell>
          <cell r="I98">
            <v>29.501356000000001</v>
          </cell>
          <cell r="J98">
            <v>0</v>
          </cell>
          <cell r="K98">
            <v>255.88240999999999</v>
          </cell>
          <cell r="L98">
            <v>0</v>
          </cell>
          <cell r="M98">
            <v>32.626120999999998</v>
          </cell>
          <cell r="N98">
            <v>156.44172800000001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</row>
        <row r="99">
          <cell r="B99" t="str">
            <v>Divestitures</v>
          </cell>
          <cell r="C99" t="str">
            <v>DIVEST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78.311015999999995</v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B100" t="str">
            <v>Other investing cash flow items</v>
          </cell>
          <cell r="C100" t="str">
            <v>OTH_INV_CF</v>
          </cell>
          <cell r="D100" t="str">
            <v>CNY</v>
          </cell>
          <cell r="F100">
            <v>402.53569941000001</v>
          </cell>
          <cell r="G100">
            <v>0.27237300000000175</v>
          </cell>
          <cell r="H100">
            <v>-17.704795000000018</v>
          </cell>
          <cell r="I100">
            <v>15.823063999999995</v>
          </cell>
          <cell r="J100">
            <v>4.296118999999976</v>
          </cell>
          <cell r="K100">
            <v>-230.50681299999997</v>
          </cell>
          <cell r="L100">
            <v>19.628230000000002</v>
          </cell>
          <cell r="M100">
            <v>-10.060403999999949</v>
          </cell>
          <cell r="N100">
            <v>-196.63293399999998</v>
          </cell>
          <cell r="O100">
            <v>103.11512299999998</v>
          </cell>
          <cell r="P100">
            <v>-18.010125280000011</v>
          </cell>
          <cell r="Q100">
            <v>-18.010125279999897</v>
          </cell>
          <cell r="R100">
            <v>-18.010125280000011</v>
          </cell>
          <cell r="S100">
            <v>-18.010125280000011</v>
          </cell>
          <cell r="T100">
            <v>-18.010125279999897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</row>
        <row r="101">
          <cell r="B101" t="str">
            <v>Cash flow from investing</v>
          </cell>
          <cell r="C101" t="str">
            <v>CF_INV</v>
          </cell>
          <cell r="D101" t="str">
            <v>CNY</v>
          </cell>
          <cell r="F101">
            <v>363.58592841000001</v>
          </cell>
          <cell r="G101">
            <v>-34.129232000000002</v>
          </cell>
          <cell r="H101">
            <v>-115.48633600000001</v>
          </cell>
          <cell r="I101">
            <v>-5.137038000000004</v>
          </cell>
          <cell r="J101">
            <v>-57.653384000000024</v>
          </cell>
          <cell r="K101">
            <v>-43.013580999999988</v>
          </cell>
          <cell r="L101">
            <v>-65.551846999999995</v>
          </cell>
          <cell r="M101">
            <v>-136.55661699999996</v>
          </cell>
          <cell r="N101">
            <v>-338.68011599999994</v>
          </cell>
          <cell r="O101">
            <v>56.857343999999983</v>
          </cell>
          <cell r="P101">
            <v>-171.94840962464309</v>
          </cell>
          <cell r="Q101">
            <v>-210.86318888296631</v>
          </cell>
          <cell r="R101">
            <v>-254.16474245453674</v>
          </cell>
          <cell r="S101">
            <v>-303.8344494304489</v>
          </cell>
          <cell r="T101">
            <v>-360.6404529304989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B102" t="str">
            <v>Dividends paid</v>
          </cell>
          <cell r="C102" t="str">
            <v>DIV_PAID</v>
          </cell>
          <cell r="D102" t="str">
            <v>CNY</v>
          </cell>
          <cell r="F102">
            <v>-3.1199129999999999</v>
          </cell>
          <cell r="G102">
            <v>-2.1790470000000002</v>
          </cell>
          <cell r="H102">
            <v>-0.15452099999999999</v>
          </cell>
          <cell r="I102">
            <v>-16.951181999999999</v>
          </cell>
          <cell r="J102">
            <v>-23.556809000000001</v>
          </cell>
          <cell r="K102">
            <v>-21.240306</v>
          </cell>
          <cell r="L102">
            <v>-23.121417999999998</v>
          </cell>
          <cell r="M102">
            <v>-21.743407999999999</v>
          </cell>
          <cell r="N102">
            <v>-89.715440999999998</v>
          </cell>
          <cell r="O102">
            <v>-46.14837</v>
          </cell>
          <cell r="P102">
            <v>-35.702696119999999</v>
          </cell>
          <cell r="Q102">
            <v>-28.158998237802255</v>
          </cell>
          <cell r="R102">
            <v>-22.004048355193383</v>
          </cell>
          <cell r="S102">
            <v>-26.264516815137306</v>
          </cell>
          <cell r="T102">
            <v>-31.641568015993467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</row>
        <row r="103">
          <cell r="B103" t="str">
            <v>Common stock issuance/(repurchase)</v>
          </cell>
          <cell r="C103" t="str">
            <v>SH_REPUR</v>
          </cell>
          <cell r="D103" t="str">
            <v>CNY</v>
          </cell>
          <cell r="F103">
            <v>0</v>
          </cell>
          <cell r="G103">
            <v>25</v>
          </cell>
          <cell r="H103">
            <v>98.759123000000002</v>
          </cell>
          <cell r="I103">
            <v>10.043420999999995</v>
          </cell>
          <cell r="J103">
            <v>0</v>
          </cell>
          <cell r="K103">
            <v>207.561667</v>
          </cell>
          <cell r="L103">
            <v>415.123334</v>
          </cell>
          <cell r="M103">
            <v>38.695605999999998</v>
          </cell>
          <cell r="N103">
            <v>27.750313000000006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</row>
        <row r="104">
          <cell r="B104" t="str">
            <v>Increase/(decrease) in total debt</v>
          </cell>
          <cell r="C104" t="str">
            <v>CHG_LT_DEBT</v>
          </cell>
          <cell r="D104" t="str">
            <v>CNY</v>
          </cell>
          <cell r="F104">
            <v>-40</v>
          </cell>
          <cell r="G104">
            <v>-42.698088999999996</v>
          </cell>
          <cell r="H104">
            <v>5.8211259999999996</v>
          </cell>
          <cell r="I104">
            <v>11.881186</v>
          </cell>
          <cell r="J104">
            <v>-5.772120000000001</v>
          </cell>
          <cell r="K104">
            <v>48.232202000000001</v>
          </cell>
          <cell r="L104">
            <v>-37.617165999999997</v>
          </cell>
          <cell r="M104">
            <v>15.846501000000004</v>
          </cell>
          <cell r="N104">
            <v>26.967914999999991</v>
          </cell>
          <cell r="O104">
            <v>-5.082934999999992</v>
          </cell>
          <cell r="P104">
            <v>844.31506775000003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str">
            <v>CNY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</row>
        <row r="106">
          <cell r="B106" t="str">
            <v>Other financing cash flow items</v>
          </cell>
          <cell r="C106" t="str">
            <v>OTH_FIN_CF</v>
          </cell>
          <cell r="D106" t="str">
            <v>CNY</v>
          </cell>
          <cell r="F106">
            <v>-5.7999999996891376E-5</v>
          </cell>
          <cell r="G106">
            <v>571.85648500000002</v>
          </cell>
          <cell r="H106">
            <v>-100.70684199999999</v>
          </cell>
          <cell r="I106">
            <v>-27.274979999999996</v>
          </cell>
          <cell r="J106">
            <v>8.0205230000000007</v>
          </cell>
          <cell r="K106">
            <v>-263.53099100000003</v>
          </cell>
          <cell r="L106">
            <v>-429.16096900000002</v>
          </cell>
          <cell r="M106">
            <v>11.739834999999998</v>
          </cell>
          <cell r="N106">
            <v>174.039041</v>
          </cell>
          <cell r="O106">
            <v>12.815314999999984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</row>
        <row r="107">
          <cell r="B107" t="str">
            <v>Cash flow from financing</v>
          </cell>
          <cell r="C107" t="str">
            <v>CF_FIN</v>
          </cell>
          <cell r="D107" t="str">
            <v>CNY</v>
          </cell>
          <cell r="F107">
            <v>-43.119970999999993</v>
          </cell>
          <cell r="G107">
            <v>551.97934900000007</v>
          </cell>
          <cell r="H107">
            <v>3.7188859999999977</v>
          </cell>
          <cell r="I107">
            <v>-22.301555</v>
          </cell>
          <cell r="J107">
            <v>-21.308406000000002</v>
          </cell>
          <cell r="K107">
            <v>-28.977428000000032</v>
          </cell>
          <cell r="L107">
            <v>-74.776219000000026</v>
          </cell>
          <cell r="M107">
            <v>44.538533999999999</v>
          </cell>
          <cell r="N107">
            <v>139.04182800000001</v>
          </cell>
          <cell r="O107">
            <v>-38.415990000000008</v>
          </cell>
          <cell r="P107">
            <v>808.61237162999998</v>
          </cell>
          <cell r="Q107">
            <v>-28.158998237802255</v>
          </cell>
          <cell r="R107">
            <v>-22.004048355193383</v>
          </cell>
          <cell r="S107">
            <v>-26.264516815137306</v>
          </cell>
          <cell r="T107">
            <v>-31.641568015993467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</row>
        <row r="108">
          <cell r="B108" t="str">
            <v>Total cash flow</v>
          </cell>
          <cell r="C108" t="str">
            <v>TOT_CF</v>
          </cell>
          <cell r="D108" t="str">
            <v>CNY</v>
          </cell>
          <cell r="F108">
            <v>388.78700140999996</v>
          </cell>
          <cell r="G108">
            <v>572.07592700000009</v>
          </cell>
          <cell r="H108">
            <v>-67.266961000000009</v>
          </cell>
          <cell r="I108">
            <v>85.237515999999999</v>
          </cell>
          <cell r="J108">
            <v>172.932593</v>
          </cell>
          <cell r="K108">
            <v>296.149429</v>
          </cell>
          <cell r="L108">
            <v>276.76433099999997</v>
          </cell>
          <cell r="M108">
            <v>2.7249660000000233</v>
          </cell>
          <cell r="N108">
            <v>244.60961100000009</v>
          </cell>
          <cell r="O108">
            <v>328.61854999999991</v>
          </cell>
          <cell r="P108">
            <v>1043.1009842966509</v>
          </cell>
          <cell r="Q108">
            <v>18.614861358478919</v>
          </cell>
          <cell r="R108">
            <v>0.11228052746923822</v>
          </cell>
          <cell r="S108">
            <v>-7.0341361431571841</v>
          </cell>
          <cell r="T108">
            <v>-117.4177433494782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</row>
        <row r="109">
          <cell r="A109" t="str">
            <v>Additional Cash Flow Items</v>
          </cell>
          <cell r="B109">
            <v>0</v>
          </cell>
          <cell r="C109">
            <v>0</v>
          </cell>
          <cell r="D109">
            <v>0</v>
          </cell>
        </row>
        <row r="110">
          <cell r="B110" t="str">
            <v>Associate and JV add-back</v>
          </cell>
          <cell r="C110" t="str">
            <v>ASSOC_JV_ADDBK</v>
          </cell>
          <cell r="D110" t="str">
            <v>CNY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</row>
        <row r="111">
          <cell r="B111" t="str">
            <v>Profit/(loss) on sale of assets</v>
          </cell>
          <cell r="C111" t="str">
            <v>PL_SALE_ASSETS</v>
          </cell>
          <cell r="D111" t="str">
            <v>CNY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  <row r="112">
          <cell r="B112" t="str">
            <v>Other non-cash adjustments</v>
          </cell>
          <cell r="C112" t="str">
            <v>OTH_NONCASH_ADJ</v>
          </cell>
          <cell r="D112" t="str">
            <v>CNY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</row>
        <row r="113">
          <cell r="B113" t="str">
            <v>Other DACF adjustments</v>
          </cell>
          <cell r="C113" t="str">
            <v>OTH_DACF_ADJ</v>
          </cell>
          <cell r="D113" t="str">
            <v>CNY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B114" t="str">
            <v>Cash interest expense</v>
          </cell>
          <cell r="C114" t="str">
            <v>CASH_INT_EXP</v>
          </cell>
          <cell r="D114" t="str">
            <v>CNY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</row>
        <row r="115">
          <cell r="B115" t="str">
            <v>Cash tax expense</v>
          </cell>
          <cell r="C115" t="str">
            <v>CASH_TAX_EXP</v>
          </cell>
          <cell r="D115" t="str">
            <v>CNY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 t="str">
            <v>CNY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</row>
        <row r="117">
          <cell r="B117" t="str">
            <v>Capex maintenance</v>
          </cell>
          <cell r="C117" t="str">
            <v>CAPEX_MAINTENANCE</v>
          </cell>
          <cell r="D117" t="str">
            <v>CNY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</row>
        <row r="118">
          <cell r="B118" t="str">
            <v>Capex expansion</v>
          </cell>
          <cell r="C118" t="str">
            <v>CAPEX_EXPANSION</v>
          </cell>
          <cell r="D118" t="str">
            <v>CNY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</row>
        <row r="119">
          <cell r="B119" t="str">
            <v>Non-PP&amp;E capex</v>
          </cell>
          <cell r="C119" t="str">
            <v>NONPPE_CAPEX</v>
          </cell>
          <cell r="D119" t="str">
            <v>CNY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</row>
        <row r="120">
          <cell r="B120" t="str">
            <v>Dividends paid to minorities</v>
          </cell>
          <cell r="C120" t="str">
            <v>DIVDS_PD_MINORITIES</v>
          </cell>
          <cell r="D120" t="str">
            <v>CNY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</row>
        <row r="121">
          <cell r="A121" t="str">
            <v>Other Items</v>
          </cell>
          <cell r="B121">
            <v>0</v>
          </cell>
          <cell r="C121">
            <v>0</v>
          </cell>
          <cell r="D121">
            <v>0</v>
          </cell>
        </row>
        <row r="122">
          <cell r="B122" t="str">
            <v>Number of employees</v>
          </cell>
          <cell r="C122" t="str">
            <v>EMPLOYEES</v>
          </cell>
          <cell r="F122">
            <v>0.79900000000000004</v>
          </cell>
          <cell r="G122">
            <v>0.94699999999999995</v>
          </cell>
          <cell r="H122">
            <v>1.141</v>
          </cell>
          <cell r="I122">
            <v>2.1669999999999998</v>
          </cell>
          <cell r="J122">
            <v>2.1829999999999998</v>
          </cell>
          <cell r="K122">
            <v>2.6709999999999998</v>
          </cell>
          <cell r="L122">
            <v>2.9809999999999999</v>
          </cell>
          <cell r="M122">
            <v>3.4390000000000001</v>
          </cell>
          <cell r="N122">
            <v>3.7810000000000001</v>
          </cell>
          <cell r="O122">
            <v>3.863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 t="str">
            <v>Geographical Breakdown</v>
          </cell>
          <cell r="B123">
            <v>0</v>
          </cell>
          <cell r="C123">
            <v>0</v>
          </cell>
          <cell r="D123">
            <v>0</v>
          </cell>
        </row>
        <row r="124">
          <cell r="B124" t="str">
            <v>Sales - % Canada</v>
          </cell>
          <cell r="C124" t="str">
            <v>SALES_CANADA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B125" t="str">
            <v>Sales - % United States</v>
          </cell>
          <cell r="C125" t="str">
            <v>SALES_US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</row>
        <row r="126">
          <cell r="B126" t="str">
            <v>Sales - % Other North Americas</v>
          </cell>
          <cell r="C126" t="str">
            <v>SALES_OTH_NO_AMER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</row>
        <row r="127">
          <cell r="B127" t="str">
            <v>Sales - % Argentina</v>
          </cell>
          <cell r="C127" t="str">
            <v>SALES_ARGENTINA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</row>
        <row r="128">
          <cell r="B128" t="str">
            <v>Sales - % Brazil</v>
          </cell>
          <cell r="C128" t="str">
            <v>SALES_BRAZIL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</row>
        <row r="129">
          <cell r="B129" t="str">
            <v>Sales - % Chile</v>
          </cell>
          <cell r="C129" t="str">
            <v>SALES_CHILE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B130" t="str">
            <v>Sales - % Colombia</v>
          </cell>
          <cell r="C130" t="str">
            <v>SALES_COLOMBIA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</row>
        <row r="131">
          <cell r="B131" t="str">
            <v>Sales - % Mexico</v>
          </cell>
          <cell r="C131" t="str">
            <v>SALES_MEXICO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</row>
        <row r="132">
          <cell r="B132" t="str">
            <v>Sales - % Venezuela</v>
          </cell>
          <cell r="C132" t="str">
            <v>SALES_VENEZUELA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</row>
        <row r="133">
          <cell r="B133" t="str">
            <v>Sales - % Other Latin Americas</v>
          </cell>
          <cell r="C133" t="str">
            <v>SALES_OTH_LATAM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</row>
        <row r="134">
          <cell r="B134" t="str">
            <v>Sales - % Austria</v>
          </cell>
          <cell r="C134" t="str">
            <v>SALES_AUSTRIA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</row>
        <row r="135">
          <cell r="B135" t="str">
            <v>Sales - % Belgium</v>
          </cell>
          <cell r="C135" t="str">
            <v>SALES_BEL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B136" t="str">
            <v>Sales - % France</v>
          </cell>
          <cell r="C136" t="str">
            <v>SALES_FRA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</row>
        <row r="137">
          <cell r="B137" t="str">
            <v>Sales - % Germany</v>
          </cell>
          <cell r="C137" t="str">
            <v>SALES_GER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</row>
        <row r="138">
          <cell r="B138" t="str">
            <v>Sales - % Greece</v>
          </cell>
          <cell r="C138" t="str">
            <v>SALES_GRE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</row>
        <row r="139">
          <cell r="B139" t="str">
            <v>Sales - % Ireland</v>
          </cell>
          <cell r="C139" t="str">
            <v>SALES_IRE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B140" t="str">
            <v>Sales - % Italy</v>
          </cell>
          <cell r="C140" t="str">
            <v>SALES_ITA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</row>
        <row r="141">
          <cell r="B141" t="str">
            <v>Sales - % Netherlands</v>
          </cell>
          <cell r="C141" t="str">
            <v>SALES_NETH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</row>
        <row r="142">
          <cell r="B142" t="str">
            <v>Sales - % Norway</v>
          </cell>
          <cell r="C142" t="str">
            <v>SALES_NOR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</row>
        <row r="143">
          <cell r="B143" t="str">
            <v>Sales - % Portugal</v>
          </cell>
          <cell r="C143" t="str">
            <v>SALES_POR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</row>
        <row r="144">
          <cell r="B144" t="str">
            <v>Sales - % Spain</v>
          </cell>
          <cell r="C144" t="str">
            <v>SALES_SPA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</row>
        <row r="145">
          <cell r="B145" t="str">
            <v>Sales - % Sweden</v>
          </cell>
          <cell r="C145" t="str">
            <v>SALES_SWE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</row>
        <row r="146">
          <cell r="B146" t="str">
            <v>Sales - % Switzerland</v>
          </cell>
          <cell r="C146" t="str">
            <v>SALES_SWIT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</row>
        <row r="147">
          <cell r="B147" t="str">
            <v>Sales - % UK</v>
          </cell>
          <cell r="C147" t="str">
            <v>SALES_UK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</row>
        <row r="148">
          <cell r="B148" t="str">
            <v>Sales - % Other Western Europe</v>
          </cell>
          <cell r="C148" t="str">
            <v>SALES_OTH_WEST_EURO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</row>
        <row r="149">
          <cell r="B149" t="str">
            <v>Sales - % Poland</v>
          </cell>
          <cell r="C149" t="str">
            <v>SALES_POLAND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B150" t="str">
            <v>Sales - % Russia</v>
          </cell>
          <cell r="C150" t="str">
            <v>SALES_RUSSIA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</row>
        <row r="151">
          <cell r="B151" t="str">
            <v>Sales - % Turkey</v>
          </cell>
          <cell r="C151" t="str">
            <v>SALES_TURKEY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</row>
        <row r="152">
          <cell r="B152" t="str">
            <v>Sales - % Other CEE</v>
          </cell>
          <cell r="C152" t="str">
            <v>SALES_OTH_CEE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</row>
        <row r="153">
          <cell r="B153" t="str">
            <v>Sales - % Saudi Arabia</v>
          </cell>
          <cell r="C153" t="str">
            <v>SALES_SAUDI_ARABIA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</row>
        <row r="154">
          <cell r="B154" t="str">
            <v>Sales - % United Arab Emirates</v>
          </cell>
          <cell r="C154" t="str">
            <v>SALES_UAE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</row>
        <row r="155">
          <cell r="B155" t="str">
            <v>Sales - % Other Middle East</v>
          </cell>
          <cell r="C155" t="str">
            <v>SALES_OTH_ME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</row>
        <row r="156">
          <cell r="B156" t="str">
            <v>Sales - % Nigeria</v>
          </cell>
          <cell r="C156" t="str">
            <v>SALES_NIGERIA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</row>
        <row r="157">
          <cell r="B157" t="str">
            <v>Sales - % South Africa</v>
          </cell>
          <cell r="C157" t="str">
            <v>SALES_SO_AFRICA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</row>
        <row r="158">
          <cell r="B158" t="str">
            <v>Sales - % Other Africa</v>
          </cell>
          <cell r="C158" t="str">
            <v>SALES_OTH_AFRICA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</row>
        <row r="159">
          <cell r="B159" t="str">
            <v>Sales - % Hong Kong</v>
          </cell>
          <cell r="C159" t="str">
            <v>SALES_HONG_KONG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</row>
        <row r="160">
          <cell r="B160" t="str">
            <v>Sales - % Japan</v>
          </cell>
          <cell r="C160" t="str">
            <v>SALES_JAPAN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</row>
        <row r="161">
          <cell r="B161" t="str">
            <v>Sales - % Singapore</v>
          </cell>
          <cell r="C161" t="str">
            <v>SALES_SINGAPORE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</row>
        <row r="162">
          <cell r="B162" t="str">
            <v>Sales - % South Korea</v>
          </cell>
          <cell r="C162" t="str">
            <v>SALES_SK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</row>
        <row r="163">
          <cell r="B163" t="str">
            <v>Sales - % Taiwan</v>
          </cell>
          <cell r="C163" t="str">
            <v>SALES_TAIWAN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</row>
        <row r="164">
          <cell r="B164" t="str">
            <v>Sales - % Other Developed Asia</v>
          </cell>
          <cell r="C164" t="str">
            <v>SALES_OTH_DEV_ASIA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</row>
        <row r="165">
          <cell r="B165" t="str">
            <v>Sales - % China</v>
          </cell>
          <cell r="C165" t="str">
            <v>SALES_CHINA</v>
          </cell>
          <cell r="F165">
            <v>1</v>
          </cell>
          <cell r="G165">
            <v>0.96443465004619078</v>
          </cell>
          <cell r="H165">
            <v>0.95790958684783034</v>
          </cell>
          <cell r="I165">
            <v>0.97320294123417783</v>
          </cell>
          <cell r="J165">
            <v>0.98156905151148732</v>
          </cell>
          <cell r="K165">
            <v>0.98194698172806283</v>
          </cell>
          <cell r="L165">
            <v>1</v>
          </cell>
          <cell r="M165">
            <v>1</v>
          </cell>
          <cell r="N165">
            <v>1</v>
          </cell>
          <cell r="O165">
            <v>1</v>
          </cell>
          <cell r="P165">
            <v>1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B166" t="str">
            <v>Sales - % India</v>
          </cell>
          <cell r="C166" t="str">
            <v>SALES_INDIA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</row>
        <row r="167">
          <cell r="B167" t="str">
            <v>Sales - % Indonesia</v>
          </cell>
          <cell r="C167" t="str">
            <v>SALES_INDONESIA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</row>
        <row r="168">
          <cell r="B168" t="str">
            <v>Sales - % Thailand</v>
          </cell>
          <cell r="C168" t="str">
            <v>SALES_THAILAND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</row>
        <row r="169">
          <cell r="B169" t="str">
            <v>Sales - % Other Emerging Asia</v>
          </cell>
          <cell r="C169" t="str">
            <v>SALES_OTH_EMERG_ASIA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</row>
        <row r="170">
          <cell r="B170" t="str">
            <v>Sales - % Australia</v>
          </cell>
          <cell r="C170" t="str">
            <v>SALES_AUSTRA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</row>
        <row r="171">
          <cell r="B171" t="str">
            <v>Sales - % New Zealand</v>
          </cell>
          <cell r="C171" t="str">
            <v>SALES_NZ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</row>
        <row r="172">
          <cell r="B172" t="str">
            <v>Sales - % Others</v>
          </cell>
          <cell r="C172" t="str">
            <v>SALES_OTHER</v>
          </cell>
          <cell r="F172">
            <v>0</v>
          </cell>
          <cell r="G172">
            <v>3.5565349953809222E-2</v>
          </cell>
          <cell r="H172">
            <v>4.2090413152169659E-2</v>
          </cell>
          <cell r="I172">
            <v>2.6797058765822168E-2</v>
          </cell>
          <cell r="J172">
            <v>1.8430948488512677E-2</v>
          </cell>
          <cell r="K172">
            <v>1.8053018271937171E-2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</row>
        <row r="173">
          <cell r="B173" t="str">
            <v>% of CoGS from U.S. (GS estimate)</v>
          </cell>
          <cell r="C173" t="str">
            <v>COGS_PCT_US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</row>
        <row r="174">
          <cell r="B174" t="str">
            <v>% of CoGS from non-U.S. (GS estimate)</v>
          </cell>
          <cell r="C174" t="str">
            <v>COGS_PCT_ROW</v>
          </cell>
          <cell r="F174">
            <v>1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</row>
        <row r="175">
          <cell r="B175" t="str">
            <v>% of SG&amp;A from U.S. (GS estimate)</v>
          </cell>
          <cell r="C175" t="str">
            <v>SGA_PCT_US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B176" t="str">
            <v>% of SG&amp;A from non-U.S. (GS estimate)</v>
          </cell>
          <cell r="C176" t="str">
            <v>SGA_PCT_ROW</v>
          </cell>
          <cell r="F176">
            <v>1</v>
          </cell>
          <cell r="G176">
            <v>1</v>
          </cell>
          <cell r="H176">
            <v>1</v>
          </cell>
          <cell r="I176">
            <v>1</v>
          </cell>
          <cell r="J176">
            <v>1</v>
          </cell>
          <cell r="K176">
            <v>1</v>
          </cell>
          <cell r="L176">
            <v>1</v>
          </cell>
          <cell r="M176">
            <v>1</v>
          </cell>
          <cell r="N176">
            <v>1</v>
          </cell>
          <cell r="O176">
            <v>1</v>
          </cell>
          <cell r="P176">
            <v>1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</row>
        <row r="177">
          <cell r="B177" t="str">
            <v>Sales -% Consumer (C)</v>
          </cell>
          <cell r="C177" t="str">
            <v>SALES_CONS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</row>
        <row r="178">
          <cell r="B178" t="str">
            <v>Sales -% Industry (I)</v>
          </cell>
          <cell r="C178" t="str">
            <v>SALES_IND</v>
          </cell>
          <cell r="F178">
            <v>0.4</v>
          </cell>
          <cell r="G178">
            <v>0.4</v>
          </cell>
          <cell r="H178">
            <v>0.4</v>
          </cell>
          <cell r="I178">
            <v>0.4</v>
          </cell>
          <cell r="J178">
            <v>0.4</v>
          </cell>
          <cell r="K178">
            <v>0.4</v>
          </cell>
          <cell r="L178">
            <v>0.4</v>
          </cell>
          <cell r="M178">
            <v>0.4</v>
          </cell>
          <cell r="N178">
            <v>0.4</v>
          </cell>
          <cell r="O178">
            <v>0.4</v>
          </cell>
          <cell r="P178">
            <v>0.4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</row>
        <row r="179">
          <cell r="B179" t="str">
            <v>Sales -% Government (G)</v>
          </cell>
          <cell r="C179" t="str">
            <v>SALES_GOV</v>
          </cell>
          <cell r="F179">
            <v>0.6</v>
          </cell>
          <cell r="G179">
            <v>0.6</v>
          </cell>
          <cell r="H179">
            <v>0.6</v>
          </cell>
          <cell r="I179">
            <v>0.6</v>
          </cell>
          <cell r="J179">
            <v>0.6</v>
          </cell>
          <cell r="K179">
            <v>0.6</v>
          </cell>
          <cell r="L179">
            <v>0.6</v>
          </cell>
          <cell r="M179">
            <v>0.6</v>
          </cell>
          <cell r="N179">
            <v>0.6</v>
          </cell>
          <cell r="O179">
            <v>0.6</v>
          </cell>
          <cell r="P179">
            <v>0.6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</row>
        <row r="180">
          <cell r="B180" t="str">
            <v>Sales - % Industry Sub-Segment: Financial Services</v>
          </cell>
          <cell r="C180" t="str">
            <v>SALES_FINAN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</row>
        <row r="181">
          <cell r="B181" t="str">
            <v>Sales - % Industry Sub-Segment: Oil &amp; Gas</v>
          </cell>
          <cell r="C181" t="str">
            <v>SALES_OIL_GAS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</row>
        <row r="182">
          <cell r="A182" t="str">
            <v>Commodities Exposure - Expense</v>
          </cell>
          <cell r="B182">
            <v>0</v>
          </cell>
          <cell r="C182">
            <v>0</v>
          </cell>
          <cell r="D182">
            <v>0</v>
          </cell>
        </row>
        <row r="183">
          <cell r="B183" t="str">
            <v>Expense - % Oil/Petrol/Fuel</v>
          </cell>
          <cell r="C183" t="str">
            <v>EXP_OIL_PETRO_FUEL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</row>
        <row r="185">
          <cell r="A185">
            <v>0</v>
          </cell>
          <cell r="B185" t="str">
            <v>Expense - % Paper/pulp</v>
          </cell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</row>
        <row r="186">
          <cell r="A186">
            <v>0</v>
          </cell>
          <cell r="B186" t="str">
            <v>Expense - % Glass</v>
          </cell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</row>
        <row r="187">
          <cell r="A187">
            <v>0</v>
          </cell>
          <cell r="B187" t="str">
            <v>Expense - % Water</v>
          </cell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</row>
        <row r="188">
          <cell r="A188">
            <v>0</v>
          </cell>
          <cell r="B188" t="str">
            <v>Expense - % Other commodity</v>
          </cell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</row>
        <row r="189">
          <cell r="A189">
            <v>0</v>
          </cell>
          <cell r="B189" t="str">
            <v>Expense - % Other (Non-Commodity) cost</v>
          </cell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</row>
        <row r="190">
          <cell r="A190" t="str">
            <v>FX Exposure - Sales</v>
          </cell>
          <cell r="B190">
            <v>0</v>
          </cell>
          <cell r="C190">
            <v>0</v>
          </cell>
          <cell r="D190">
            <v>0</v>
          </cell>
        </row>
        <row r="191">
          <cell r="B191" t="str">
            <v>Sales - % FX: British Pounds/Pence</v>
          </cell>
          <cell r="C191" t="str">
            <v>SALES_FX_GPB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</row>
        <row r="192">
          <cell r="B192" t="str">
            <v>Sales - % FX: Euro</v>
          </cell>
          <cell r="C192" t="str">
            <v>SALES_FX_EUR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</row>
        <row r="193">
          <cell r="B193" t="str">
            <v>Sales - % FX: New Russian Ruble</v>
          </cell>
          <cell r="C193" t="str">
            <v>SALES_FX_RUB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</row>
        <row r="194">
          <cell r="B194" t="str">
            <v>Sales - % FX: U.S. Dollar</v>
          </cell>
          <cell r="C194" t="str">
            <v>SALES_FX_USD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</row>
        <row r="195">
          <cell r="B195" t="str">
            <v>Sales - % FX: Brazilian Real</v>
          </cell>
          <cell r="C195" t="str">
            <v>SALES_FX_BRL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</row>
        <row r="196">
          <cell r="B196" t="str">
            <v>Sales - % FX: Japanese Yen</v>
          </cell>
          <cell r="C196" t="str">
            <v>SALES_FX_YEN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</row>
        <row r="197">
          <cell r="B197" t="str">
            <v>Sales - % FX: Chinese Renminbi</v>
          </cell>
          <cell r="C197" t="str">
            <v>SALES_FX_CNY</v>
          </cell>
          <cell r="F197">
            <v>1</v>
          </cell>
          <cell r="G197">
            <v>0.96443465004619078</v>
          </cell>
          <cell r="H197">
            <v>0.95790958684783034</v>
          </cell>
          <cell r="I197">
            <v>0.97320294123417783</v>
          </cell>
          <cell r="J197">
            <v>0.98156905151148732</v>
          </cell>
          <cell r="K197">
            <v>0.98194698172806283</v>
          </cell>
          <cell r="L197">
            <v>1</v>
          </cell>
          <cell r="M197">
            <v>1</v>
          </cell>
          <cell r="N197">
            <v>1</v>
          </cell>
          <cell r="O197">
            <v>1</v>
          </cell>
          <cell r="P197">
            <v>1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</row>
        <row r="198">
          <cell r="B198" t="str">
            <v>Sales - % FX: Indian Rupee</v>
          </cell>
          <cell r="C198" t="str">
            <v>SALES_FX_INR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</row>
        <row r="199">
          <cell r="B199" t="str">
            <v>Sales - % FX: South Korean Won</v>
          </cell>
          <cell r="C199" t="str">
            <v>SALES_FX_KRW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</row>
        <row r="200">
          <cell r="B200" t="str">
            <v>Sales - % FX: Taiwan Dollar</v>
          </cell>
          <cell r="C200" t="str">
            <v>SALES_FX_TWD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</row>
        <row r="201">
          <cell r="B201" t="str">
            <v>Sales - % FX: Other Currency</v>
          </cell>
          <cell r="C201" t="str">
            <v>SALES_FX_OTH</v>
          </cell>
          <cell r="F201">
            <v>0</v>
          </cell>
          <cell r="G201">
            <v>3.5565349953809222E-2</v>
          </cell>
          <cell r="H201">
            <v>4.2090413152169659E-2</v>
          </cell>
          <cell r="I201">
            <v>2.6797058765822168E-2</v>
          </cell>
          <cell r="J201">
            <v>1.8430948488512677E-2</v>
          </cell>
          <cell r="K201">
            <v>1.8053018271937171E-2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 t="str">
            <v>Items to be removed</v>
          </cell>
          <cell r="B202">
            <v>0</v>
          </cell>
          <cell r="C202">
            <v>0</v>
          </cell>
          <cell r="D202">
            <v>0</v>
          </cell>
        </row>
        <row r="203">
          <cell r="B203" t="str">
            <v>Sales - Total % Americas</v>
          </cell>
          <cell r="C203" t="str">
            <v>SALES_TOT_AM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</row>
        <row r="204">
          <cell r="B204" t="str">
            <v>Sales - % Other Americas</v>
          </cell>
          <cell r="C204" t="str">
            <v>SALES_OTH_AM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</row>
        <row r="205">
          <cell r="B205" t="str">
            <v>Sales - Total % EMEA</v>
          </cell>
          <cell r="C205" t="str">
            <v>SALES_TOT_EMEA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</row>
        <row r="206">
          <cell r="B206" t="str">
            <v>Sales - % Western Europe-Ex UK</v>
          </cell>
          <cell r="C206" t="str">
            <v>SALES_EU_EX_UK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</row>
        <row r="207">
          <cell r="B207" t="str">
            <v>Sales - % Central &amp; Eastern Europe</v>
          </cell>
          <cell r="C207" t="str">
            <v>SALES_CEE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</row>
        <row r="208">
          <cell r="B208" t="str">
            <v>Sales - % Middle East</v>
          </cell>
          <cell r="C208" t="str">
            <v>SALES_ME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</row>
        <row r="209">
          <cell r="B209" t="str">
            <v>Sales - % Total Africa</v>
          </cell>
          <cell r="C209" t="str">
            <v>SALES_TOT_AFRICA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</row>
        <row r="210">
          <cell r="B210" t="str">
            <v>Sales - % Other EMEA</v>
          </cell>
          <cell r="C210" t="str">
            <v>SALES_OTH_EMEA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</row>
        <row r="211">
          <cell r="B211" t="str">
            <v>Sales - Total % Asia (incl Australia &amp; New Zealand)</v>
          </cell>
          <cell r="C211" t="str">
            <v>SALES_TOT_ASIA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</row>
        <row r="212">
          <cell r="B212" t="str">
            <v>Sales - % Other Asia</v>
          </cell>
          <cell r="C212" t="str">
            <v>SALES_OTH_AEJ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</row>
        <row r="213">
          <cell r="A213" t="str">
            <v>Security: Venustech Group</v>
          </cell>
          <cell r="B213">
            <v>0</v>
          </cell>
          <cell r="C213">
            <v>0</v>
          </cell>
          <cell r="D213">
            <v>0</v>
          </cell>
        </row>
        <row r="214">
          <cell r="A214" t="str">
            <v>Reference Data</v>
          </cell>
          <cell r="B214">
            <v>0</v>
          </cell>
          <cell r="C214">
            <v>0</v>
          </cell>
          <cell r="D214">
            <v>0</v>
          </cell>
        </row>
        <row r="215">
          <cell r="B215" t="str">
            <v>Ticker</v>
          </cell>
          <cell r="C215" t="str">
            <v>Ticker</v>
          </cell>
          <cell r="E215" t="str">
            <v>002439.SZ</v>
          </cell>
        </row>
        <row r="216">
          <cell r="B216" t="str">
            <v>Security Name</v>
          </cell>
          <cell r="C216" t="str">
            <v>Security Name</v>
          </cell>
          <cell r="E216" t="str">
            <v>Venustech Group</v>
          </cell>
        </row>
        <row r="217">
          <cell r="B217" t="str">
            <v>Interim Type</v>
          </cell>
          <cell r="C217" t="str">
            <v>Interim Type</v>
          </cell>
          <cell r="E217" t="str">
            <v>Q</v>
          </cell>
        </row>
        <row r="218">
          <cell r="B218" t="str">
            <v>Publishing Currency</v>
          </cell>
          <cell r="C218" t="str">
            <v>PUB_CURRENCY_ISO</v>
          </cell>
          <cell r="E218" t="str">
            <v>CNY</v>
          </cell>
        </row>
        <row r="219">
          <cell r="B219" t="str">
            <v>Pricing Currency</v>
          </cell>
          <cell r="C219" t="str">
            <v>PRICE_CURRENCY_ISO</v>
          </cell>
          <cell r="E219" t="str">
            <v>CNY</v>
          </cell>
        </row>
        <row r="220">
          <cell r="B220" t="str">
            <v>Reporting Currency</v>
          </cell>
          <cell r="C220" t="str">
            <v>CURRENCY_ISO</v>
          </cell>
          <cell r="E220" t="str">
            <v>CNY</v>
          </cell>
        </row>
        <row r="221">
          <cell r="A221" t="str">
            <v>General Information</v>
          </cell>
          <cell r="B221">
            <v>0</v>
          </cell>
          <cell r="C221">
            <v>0</v>
          </cell>
          <cell r="D221">
            <v>0</v>
          </cell>
        </row>
        <row r="222">
          <cell r="B222" t="str">
            <v>Asia ex. Japan Investment List</v>
          </cell>
          <cell r="C222" t="str">
            <v>AEJ_LIST</v>
          </cell>
          <cell r="E222">
            <v>0</v>
          </cell>
        </row>
        <row r="223">
          <cell r="B223" t="str">
            <v>Asia ex. Japan Conviction List</v>
          </cell>
          <cell r="C223" t="str">
            <v>AEJ_CONVICTION</v>
          </cell>
          <cell r="E223">
            <v>0</v>
          </cell>
        </row>
        <row r="224">
          <cell r="B224" t="str">
            <v>Legal rating</v>
          </cell>
          <cell r="C224" t="str">
            <v>LEGAL_RATING</v>
          </cell>
          <cell r="E224">
            <v>0</v>
          </cell>
        </row>
        <row r="225">
          <cell r="B225" t="str">
            <v>Target price</v>
          </cell>
          <cell r="C225" t="str">
            <v>TARGET_PRICE</v>
          </cell>
          <cell r="D225" t="str">
            <v>CNY</v>
          </cell>
          <cell r="E225" t="e">
            <v>#REF!</v>
          </cell>
        </row>
        <row r="226">
          <cell r="B226" t="str">
            <v>Target price period</v>
          </cell>
          <cell r="C226" t="str">
            <v>TP_PERIOD</v>
          </cell>
          <cell r="E226" t="str">
            <v>12 months</v>
          </cell>
        </row>
        <row r="227">
          <cell r="B227" t="str">
            <v>Fundamental value</v>
          </cell>
          <cell r="C227" t="str">
            <v>TARGET_PRICE_FUNDAMENTAL</v>
          </cell>
          <cell r="D227" t="str">
            <v>CNY</v>
          </cell>
          <cell r="E227">
            <v>0</v>
          </cell>
        </row>
        <row r="228">
          <cell r="B228" t="str">
            <v>M&amp;A value</v>
          </cell>
          <cell r="C228" t="str">
            <v>TARGET_PRICE_MA</v>
          </cell>
          <cell r="D228" t="str">
            <v>CNY</v>
          </cell>
          <cell r="E228">
            <v>0</v>
          </cell>
        </row>
        <row r="229">
          <cell r="B229" t="str">
            <v>Current shares outstanding (mn)</v>
          </cell>
          <cell r="C229" t="str">
            <v>NUM_SH</v>
          </cell>
          <cell r="E229">
            <v>898.77202115578393</v>
          </cell>
        </row>
        <row r="230">
          <cell r="B230" t="str">
            <v>Free float</v>
          </cell>
          <cell r="C230" t="str">
            <v>FREE_FLOAT</v>
          </cell>
          <cell r="E230">
            <v>0</v>
          </cell>
        </row>
        <row r="231">
          <cell r="B231" t="str">
            <v>Foreign ownership</v>
          </cell>
          <cell r="C231" t="str">
            <v>FOREIGN_HOLDNG</v>
          </cell>
          <cell r="E231">
            <v>0</v>
          </cell>
        </row>
        <row r="232">
          <cell r="B232" t="str">
            <v>Catalyst 1 date</v>
          </cell>
          <cell r="C232" t="str">
            <v>CATALYST1_DATE</v>
          </cell>
          <cell r="E232">
            <v>0</v>
          </cell>
        </row>
        <row r="233">
          <cell r="B233" t="str">
            <v>Catalyst 1 description</v>
          </cell>
          <cell r="C233" t="str">
            <v>CATALYST1_EVENT</v>
          </cell>
          <cell r="E233">
            <v>0</v>
          </cell>
        </row>
        <row r="234">
          <cell r="B234" t="str">
            <v>Catalyst 2 date</v>
          </cell>
          <cell r="C234" t="str">
            <v>CATALYST2_DATE</v>
          </cell>
          <cell r="E234">
            <v>0</v>
          </cell>
        </row>
        <row r="235">
          <cell r="B235" t="str">
            <v>Catalyst 2 description</v>
          </cell>
          <cell r="C235" t="str">
            <v>CATALYST2_EVENT</v>
          </cell>
          <cell r="E235">
            <v>0</v>
          </cell>
        </row>
        <row r="236">
          <cell r="B236" t="str">
            <v>Catalyst 3 date</v>
          </cell>
          <cell r="C236" t="str">
            <v>CATALYST3_DATE</v>
          </cell>
          <cell r="E236">
            <v>0</v>
          </cell>
        </row>
        <row r="237">
          <cell r="B237" t="str">
            <v>Catalyst 3 description</v>
          </cell>
          <cell r="C237" t="str">
            <v>CATALYST3_EVENT</v>
          </cell>
          <cell r="E237">
            <v>0</v>
          </cell>
        </row>
        <row r="238">
          <cell r="B238" t="str">
            <v>Catalyst 4 date</v>
          </cell>
          <cell r="C238" t="str">
            <v>CATALYST4_DATE</v>
          </cell>
          <cell r="E238">
            <v>0</v>
          </cell>
        </row>
        <row r="239">
          <cell r="B239" t="str">
            <v>Catalyst 4 description</v>
          </cell>
          <cell r="C239" t="str">
            <v>CATALYST4_EVENT</v>
          </cell>
          <cell r="E239">
            <v>0</v>
          </cell>
        </row>
        <row r="240">
          <cell r="B240" t="str">
            <v>Catalyst 5 date</v>
          </cell>
          <cell r="C240" t="str">
            <v>CATALYST5_DATE</v>
          </cell>
          <cell r="E240">
            <v>0</v>
          </cell>
        </row>
        <row r="241">
          <cell r="B241" t="str">
            <v>Catalyst 5 description</v>
          </cell>
          <cell r="C241" t="str">
            <v>CATALYST5_EVENT</v>
          </cell>
          <cell r="E241">
            <v>0</v>
          </cell>
        </row>
        <row r="242">
          <cell r="B242" t="str">
            <v>Target price multiple</v>
          </cell>
          <cell r="C242" t="str">
            <v>PRI_TARG_MULT</v>
          </cell>
          <cell r="E242">
            <v>0</v>
          </cell>
        </row>
        <row r="243">
          <cell r="B243" t="str">
            <v>Target price methodology</v>
          </cell>
          <cell r="C243" t="str">
            <v>PRI_TARG_METH</v>
          </cell>
          <cell r="E243">
            <v>0</v>
          </cell>
        </row>
        <row r="244">
          <cell r="A244" t="str">
            <v>Publishing Items</v>
          </cell>
          <cell r="B244">
            <v>0</v>
          </cell>
          <cell r="C244">
            <v>0</v>
          </cell>
          <cell r="D244">
            <v>0</v>
          </cell>
        </row>
        <row r="245">
          <cell r="B245" t="str">
            <v>Book value per share, BVPS (Pub)</v>
          </cell>
          <cell r="C245" t="str">
            <v>BVPS_PUB</v>
          </cell>
          <cell r="D245" t="str">
            <v>CNY</v>
          </cell>
          <cell r="F245">
            <v>4.5589935769708108</v>
          </cell>
          <cell r="G245">
            <v>10.047079426879884</v>
          </cell>
          <cell r="H245">
            <v>5.2645682338126871</v>
          </cell>
          <cell r="I245">
            <v>5.9145210035338556</v>
          </cell>
          <cell r="J245">
            <v>6.4259332287979749</v>
          </cell>
          <cell r="K245">
            <v>3.6025743680551576</v>
          </cell>
          <cell r="L245">
            <v>2.0374137159439947</v>
          </cell>
          <cell r="M245">
            <v>2.5611999537727632</v>
          </cell>
          <cell r="N245">
            <v>3.4963248870931056</v>
          </cell>
          <cell r="O245">
            <v>4.0042810914862619</v>
          </cell>
          <cell r="P245">
            <v>4.4733155977428281</v>
          </cell>
          <cell r="Q245">
            <v>4.8398292737183004</v>
          </cell>
          <cell r="R245">
            <v>5.2773080708126345</v>
          </cell>
          <cell r="S245">
            <v>5.804350514092512</v>
          </cell>
          <cell r="T245">
            <v>6.4396358277325003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</row>
        <row r="246">
          <cell r="B246" t="str">
            <v>DPS, dividend per share (Pub)</v>
          </cell>
          <cell r="C246" t="str">
            <v>DPS_PUB</v>
          </cell>
          <cell r="D246" t="str">
            <v>CNY</v>
          </cell>
          <cell r="F246">
            <v>0</v>
          </cell>
          <cell r="G246">
            <v>0</v>
          </cell>
          <cell r="H246">
            <v>0.10036884994841126</v>
          </cell>
          <cell r="I246">
            <v>0.10413635857815823</v>
          </cell>
          <cell r="J246">
            <v>0.10063699230219127</v>
          </cell>
          <cell r="K246">
            <v>4.9951254531192583E-2</v>
          </cell>
          <cell r="L246">
            <v>2.5805532758820166E-2</v>
          </cell>
          <cell r="M246">
            <v>0.10482811091784872</v>
          </cell>
          <cell r="N246">
            <v>5.0599838307153665E-2</v>
          </cell>
          <cell r="O246">
            <v>3.9533399793078516E-2</v>
          </cell>
          <cell r="P246">
            <v>3.1330523842510075E-2</v>
          </cell>
          <cell r="Q246">
            <v>2.4539121516338972E-2</v>
          </cell>
          <cell r="R246">
            <v>2.9290435982089007E-2</v>
          </cell>
          <cell r="S246">
            <v>3.5286974013975507E-2</v>
          </cell>
          <cell r="T246">
            <v>4.253413864425757E-2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</row>
        <row r="247">
          <cell r="B247" t="str">
            <v>Special dividend per share</v>
          </cell>
          <cell r="C247" t="str">
            <v>DPS_SPECIAL_PUB</v>
          </cell>
          <cell r="D247" t="str">
            <v>CNY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</row>
        <row r="248">
          <cell r="B248" t="str">
            <v>EBITDA (Pub)</v>
          </cell>
          <cell r="C248" t="str">
            <v>EBITDA_PUB</v>
          </cell>
          <cell r="D248" t="str">
            <v>CNY</v>
          </cell>
          <cell r="F248">
            <v>49.688562000000047</v>
          </cell>
          <cell r="G248">
            <v>50.351505999999972</v>
          </cell>
          <cell r="H248">
            <v>66.810888999999975</v>
          </cell>
          <cell r="I248">
            <v>100.54922500000009</v>
          </cell>
          <cell r="J248">
            <v>99.456549999999993</v>
          </cell>
          <cell r="K248">
            <v>194.2710450000003</v>
          </cell>
          <cell r="L248">
            <v>242.09499899999992</v>
          </cell>
          <cell r="M248">
            <v>340.667911</v>
          </cell>
          <cell r="N248">
            <v>398.00127083000007</v>
          </cell>
          <cell r="O248">
            <v>435.90094399999998</v>
          </cell>
          <cell r="P248">
            <v>606.91604009191724</v>
          </cell>
          <cell r="Q248">
            <v>582.67885639500037</v>
          </cell>
          <cell r="R248">
            <v>680.01536846815725</v>
          </cell>
          <cell r="S248">
            <v>814.02044597085296</v>
          </cell>
          <cell r="T248">
            <v>981.6764899142081</v>
          </cell>
          <cell r="U248">
            <v>0</v>
          </cell>
          <cell r="V248">
            <v>-12.31636424500001</v>
          </cell>
          <cell r="W248">
            <v>-11.697527244999989</v>
          </cell>
          <cell r="X248">
            <v>-1.8219132549999983</v>
          </cell>
          <cell r="Y248">
            <v>92.646693744999965</v>
          </cell>
          <cell r="Z248">
            <v>-23.159690395000013</v>
          </cell>
          <cell r="AA248">
            <v>-2.5053003950000061</v>
          </cell>
          <cell r="AB248">
            <v>-1.1367671050000183</v>
          </cell>
          <cell r="AC248">
            <v>127.35098289499996</v>
          </cell>
          <cell r="AD248">
            <v>-36.220293150000003</v>
          </cell>
          <cell r="AE248">
            <v>-17.682456149999979</v>
          </cell>
          <cell r="AF248">
            <v>11.626864149999989</v>
          </cell>
          <cell r="AG248">
            <v>141.73243514999996</v>
          </cell>
          <cell r="AH248">
            <v>-39.359594740000006</v>
          </cell>
          <cell r="AI248">
            <v>-16.80675574</v>
          </cell>
          <cell r="AJ248">
            <v>29.019415239999972</v>
          </cell>
          <cell r="AK248">
            <v>221.41798023999996</v>
          </cell>
          <cell r="AL248">
            <v>-36.49983536000002</v>
          </cell>
          <cell r="AM248">
            <v>-4.5337303600000496</v>
          </cell>
          <cell r="AN248">
            <v>51.411354360000018</v>
          </cell>
        </row>
        <row r="249">
          <cell r="B249" t="str">
            <v>EPS (Pub)</v>
          </cell>
          <cell r="C249" t="str">
            <v>EPS_PUB</v>
          </cell>
          <cell r="D249" t="str">
            <v>CNY</v>
          </cell>
          <cell r="F249">
            <v>0.70000000000000018</v>
          </cell>
          <cell r="G249">
            <v>0.68999999999999984</v>
          </cell>
          <cell r="H249">
            <v>0.31000000508454795</v>
          </cell>
          <cell r="I249">
            <v>0.36949133601699419</v>
          </cell>
          <cell r="J249">
            <v>0.59343890813064759</v>
          </cell>
          <cell r="K249">
            <v>0.41000000242285406</v>
          </cell>
          <cell r="L249">
            <v>0.28999999834296314</v>
          </cell>
          <cell r="M249">
            <v>0.30999999985637849</v>
          </cell>
          <cell r="N249">
            <v>0.5099999999999999</v>
          </cell>
          <cell r="O249">
            <v>0.63000000114722776</v>
          </cell>
          <cell r="P249">
            <v>0.49927985349189075</v>
          </cell>
          <cell r="Q249">
            <v>0.39105279749181049</v>
          </cell>
          <cell r="R249">
            <v>0.46676923307642271</v>
          </cell>
          <cell r="S249">
            <v>0.56232941729385244</v>
          </cell>
          <cell r="T249">
            <v>0.67781945228424567</v>
          </cell>
          <cell r="U249">
            <v>0</v>
          </cell>
          <cell r="V249">
            <v>-3.0000000000000041E-2</v>
          </cell>
          <cell r="W249">
            <v>-8.9999999999999927E-2</v>
          </cell>
          <cell r="X249">
            <v>-3.9999999999999994E-2</v>
          </cell>
          <cell r="Y249">
            <v>0.47000000508454792</v>
          </cell>
          <cell r="Z249">
            <v>-0.13999999493236198</v>
          </cell>
          <cell r="AA249">
            <v>-5.0866906925648857E-4</v>
          </cell>
          <cell r="AB249">
            <v>-2.9999994949371733E-2</v>
          </cell>
          <cell r="AC249">
            <v>0.53999999496798379</v>
          </cell>
          <cell r="AD249">
            <v>-0.18000000000000002</v>
          </cell>
          <cell r="AE249">
            <v>-1.6561091869352534E-2</v>
          </cell>
          <cell r="AF249">
            <v>4.0000000000000112E-2</v>
          </cell>
          <cell r="AG249">
            <v>0.74999999999999989</v>
          </cell>
          <cell r="AH249">
            <v>-6.9999997577146644E-2</v>
          </cell>
          <cell r="AI249">
            <v>-2.0000000000000014E-2</v>
          </cell>
          <cell r="AJ249">
            <v>0.05</v>
          </cell>
          <cell r="AK249">
            <v>0.4499999999999999</v>
          </cell>
          <cell r="AL249">
            <v>-2.0000000000000025E-2</v>
          </cell>
          <cell r="AM249">
            <v>3.9999999999999966E-2</v>
          </cell>
          <cell r="AN249">
            <v>5.4999998342963201E-2</v>
          </cell>
        </row>
        <row r="250">
          <cell r="B250" t="str">
            <v>EV adjustment (Pub)</v>
          </cell>
          <cell r="C250" t="str">
            <v>EV_ADJ_PUB</v>
          </cell>
          <cell r="D250" t="str">
            <v>CNY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B251" t="str">
            <v>Net debt (Pub)</v>
          </cell>
          <cell r="C251" t="str">
            <v>NET_DEBT_PUB</v>
          </cell>
          <cell r="D251" t="str">
            <v>CNY</v>
          </cell>
          <cell r="F251">
            <v>-81.215085999999999</v>
          </cell>
          <cell r="G251">
            <v>-695.93356899999992</v>
          </cell>
          <cell r="H251">
            <v>-566.32420200000001</v>
          </cell>
          <cell r="I251">
            <v>-580.82214899999997</v>
          </cell>
          <cell r="J251">
            <v>-593.23666100000003</v>
          </cell>
          <cell r="K251">
            <v>-188.56739900000002</v>
          </cell>
          <cell r="L251">
            <v>-762.45982900000001</v>
          </cell>
          <cell r="M251">
            <v>-472.932816</v>
          </cell>
          <cell r="N251">
            <v>-520.12597399999993</v>
          </cell>
          <cell r="O251">
            <v>-600.45887800000003</v>
          </cell>
          <cell r="P251">
            <v>-799.24479454665118</v>
          </cell>
          <cell r="Q251">
            <v>-817.85965590513013</v>
          </cell>
          <cell r="R251">
            <v>-817.97193643259936</v>
          </cell>
          <cell r="S251">
            <v>-810.93780028944218</v>
          </cell>
          <cell r="T251">
            <v>-693.52005693996387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</row>
        <row r="252">
          <cell r="B252" t="str">
            <v>Net Debt (ex leases) (Pub)</v>
          </cell>
          <cell r="C252" t="str">
            <v>NET_DEBT_EX_LEASES_PUB</v>
          </cell>
          <cell r="D252" t="str">
            <v>CNY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</row>
        <row r="253">
          <cell r="B253" t="str">
            <v>Consensus equivalent net debt</v>
          </cell>
          <cell r="C253" t="str">
            <v>CEEE_NDEBT</v>
          </cell>
          <cell r="D253" t="str">
            <v>CNY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</row>
        <row r="254">
          <cell r="B254" t="str">
            <v>Net income (Pub)</v>
          </cell>
          <cell r="C254" t="str">
            <v>NI_PUB</v>
          </cell>
          <cell r="D254" t="str">
            <v>CNY</v>
          </cell>
          <cell r="F254">
            <v>51.874125000000021</v>
          </cell>
          <cell r="G254">
            <v>59.949556999999984</v>
          </cell>
          <cell r="H254">
            <v>61.005638000000033</v>
          </cell>
          <cell r="I254">
            <v>73.64597600000009</v>
          </cell>
          <cell r="J254">
            <v>122.39551900000002</v>
          </cell>
          <cell r="K254">
            <v>170.36666000000031</v>
          </cell>
          <cell r="L254">
            <v>244.12716100000006</v>
          </cell>
          <cell r="M254">
            <v>265.17190799999992</v>
          </cell>
          <cell r="N254">
            <v>451.89197699999983</v>
          </cell>
          <cell r="O254">
            <v>568.95431999999994</v>
          </cell>
          <cell r="P254">
            <v>448.73876304527033</v>
          </cell>
          <cell r="Q254">
            <v>350.65414463651911</v>
          </cell>
          <cell r="R254">
            <v>418.54851113930386</v>
          </cell>
          <cell r="S254">
            <v>504.23661993942699</v>
          </cell>
          <cell r="T254">
            <v>607.79567818768351</v>
          </cell>
          <cell r="U254">
            <v>0</v>
          </cell>
          <cell r="V254">
            <v>-5.8109970000000084</v>
          </cell>
          <cell r="W254">
            <v>-17.680694999999989</v>
          </cell>
          <cell r="X254">
            <v>-7.9395989999999976</v>
          </cell>
          <cell r="Y254">
            <v>92.436928999999992</v>
          </cell>
          <cell r="Z254">
            <v>-27.62628100000002</v>
          </cell>
          <cell r="AA254">
            <v>-0.10074200000000993</v>
          </cell>
          <cell r="AB254">
            <v>-5.9398540000000146</v>
          </cell>
          <cell r="AC254">
            <v>107.31285299999996</v>
          </cell>
          <cell r="AD254">
            <v>-37.655509000000009</v>
          </cell>
          <cell r="AE254">
            <v>-3.3995859999999798</v>
          </cell>
          <cell r="AF254">
            <v>8.9738100000000252</v>
          </cell>
          <cell r="AG254">
            <v>154.47680399999999</v>
          </cell>
          <cell r="AH254">
            <v>-28.89155300000002</v>
          </cell>
          <cell r="AI254">
            <v>-9.7692400000000106</v>
          </cell>
          <cell r="AJ254">
            <v>20.224815000000003</v>
          </cell>
          <cell r="AK254">
            <v>188.80263799999994</v>
          </cell>
          <cell r="AL254">
            <v>-9.9195430000000115</v>
          </cell>
          <cell r="AM254">
            <v>27.553276999999976</v>
          </cell>
          <cell r="AN254">
            <v>33.191777000000044</v>
          </cell>
        </row>
        <row r="255">
          <cell r="B255" t="str">
            <v>EBIT, operating profit (Pub)</v>
          </cell>
          <cell r="C255" t="str">
            <v>EBIT_PUB</v>
          </cell>
          <cell r="D255" t="str">
            <v>CNY</v>
          </cell>
          <cell r="F255">
            <v>27.595733000000045</v>
          </cell>
          <cell r="G255">
            <v>21.780464999999975</v>
          </cell>
          <cell r="H255">
            <v>31.561137999999978</v>
          </cell>
          <cell r="I255">
            <v>55.212814000000094</v>
          </cell>
          <cell r="J255">
            <v>44.203193999999996</v>
          </cell>
          <cell r="K255">
            <v>128.74098200000029</v>
          </cell>
          <cell r="L255">
            <v>155.98234299999993</v>
          </cell>
          <cell r="M255">
            <v>240.84628900000001</v>
          </cell>
          <cell r="N255">
            <v>274.15358483000011</v>
          </cell>
          <cell r="O255">
            <v>315.59602199999995</v>
          </cell>
          <cell r="P255">
            <v>487.80552931039574</v>
          </cell>
          <cell r="Q255">
            <v>480.11528138381271</v>
          </cell>
          <cell r="R255">
            <v>576.90825057818154</v>
          </cell>
          <cell r="S255">
            <v>699.31863435932678</v>
          </cell>
          <cell r="T255">
            <v>847.33533731109378</v>
          </cell>
          <cell r="U255">
            <v>0</v>
          </cell>
          <cell r="V255">
            <v>-21.003674000000011</v>
          </cell>
          <cell r="W255">
            <v>-20.38483699999999</v>
          </cell>
          <cell r="X255">
            <v>-10.759478999999999</v>
          </cell>
          <cell r="Y255">
            <v>83.709127999999964</v>
          </cell>
          <cell r="Z255">
            <v>-33.506869000000016</v>
          </cell>
          <cell r="AA255">
            <v>-12.852479000000006</v>
          </cell>
          <cell r="AB255">
            <v>-13.457794000000019</v>
          </cell>
          <cell r="AC255">
            <v>115.02995599999997</v>
          </cell>
          <cell r="AD255">
            <v>-49.318440000000002</v>
          </cell>
          <cell r="AE255">
            <v>-30.780602999999978</v>
          </cell>
          <cell r="AF255">
            <v>-2.9016670000000095</v>
          </cell>
          <cell r="AG255">
            <v>127.20390399999997</v>
          </cell>
          <cell r="AH255">
            <v>-54.472332000000009</v>
          </cell>
          <cell r="AI255">
            <v>-31.919492999999999</v>
          </cell>
          <cell r="AJ255">
            <v>11.367120999999972</v>
          </cell>
          <cell r="AK255">
            <v>203.76568599999996</v>
          </cell>
          <cell r="AL255">
            <v>-57.431313000000024</v>
          </cell>
          <cell r="AM255">
            <v>-25.465208000000047</v>
          </cell>
          <cell r="AN255">
            <v>29.286504000000015</v>
          </cell>
        </row>
        <row r="256">
          <cell r="B256" t="str">
            <v>Pre-tax profit (Pub)</v>
          </cell>
          <cell r="C256" t="str">
            <v>PTP_PUB</v>
          </cell>
          <cell r="D256" t="str">
            <v>CNY</v>
          </cell>
          <cell r="F256">
            <v>57.07663100000002</v>
          </cell>
          <cell r="G256">
            <v>63.207023999999983</v>
          </cell>
          <cell r="H256">
            <v>71.375924000000026</v>
          </cell>
          <cell r="I256">
            <v>88.992710000000088</v>
          </cell>
          <cell r="J256">
            <v>132.26423000000003</v>
          </cell>
          <cell r="K256">
            <v>205.02946200000031</v>
          </cell>
          <cell r="L256">
            <v>296.73727600000007</v>
          </cell>
          <cell r="M256">
            <v>298.27129799999994</v>
          </cell>
          <cell r="N256">
            <v>469.97907899999984</v>
          </cell>
          <cell r="O256">
            <v>599.68009899999993</v>
          </cell>
          <cell r="P256">
            <v>549.90095863610054</v>
          </cell>
          <cell r="Q256">
            <v>482.67224662359848</v>
          </cell>
          <cell r="R256">
            <v>579.66419877043393</v>
          </cell>
          <cell r="S256">
            <v>702.07578277061009</v>
          </cell>
          <cell r="T256">
            <v>850.01729455383361</v>
          </cell>
          <cell r="U256">
            <v>0</v>
          </cell>
          <cell r="V256">
            <v>-9.5745010000000086</v>
          </cell>
          <cell r="W256">
            <v>-18.170306999999987</v>
          </cell>
          <cell r="X256">
            <v>-10.384651999999997</v>
          </cell>
          <cell r="Y256">
            <v>109.50538399999999</v>
          </cell>
          <cell r="Z256">
            <v>-33.052726000000021</v>
          </cell>
          <cell r="AA256">
            <v>-2.3654880000000098</v>
          </cell>
          <cell r="AB256">
            <v>-4.8661530000000148</v>
          </cell>
          <cell r="AC256">
            <v>129.27707699999996</v>
          </cell>
          <cell r="AD256">
            <v>-42.494025000000008</v>
          </cell>
          <cell r="AE256">
            <v>-14.11332299999998</v>
          </cell>
          <cell r="AF256">
            <v>8.7658640000000254</v>
          </cell>
          <cell r="AG256">
            <v>180.10571399999998</v>
          </cell>
          <cell r="AH256">
            <v>-35.549648000000019</v>
          </cell>
          <cell r="AI256">
            <v>-11.38769400000001</v>
          </cell>
          <cell r="AJ256">
            <v>25.083626000000002</v>
          </cell>
          <cell r="AK256">
            <v>226.88317799999993</v>
          </cell>
          <cell r="AL256">
            <v>-10.871100000000013</v>
          </cell>
          <cell r="AM256">
            <v>27.229205999999976</v>
          </cell>
          <cell r="AN256">
            <v>33.206425000000038</v>
          </cell>
        </row>
        <row r="257">
          <cell r="B257" t="str">
            <v>Sales, revenue (Pub)</v>
          </cell>
          <cell r="C257" t="str">
            <v>REVS_PUB</v>
          </cell>
          <cell r="D257" t="str">
            <v>CNY</v>
          </cell>
          <cell r="F257">
            <v>304.09907700000002</v>
          </cell>
          <cell r="G257">
            <v>366.919938</v>
          </cell>
          <cell r="H257">
            <v>426.38367499999998</v>
          </cell>
          <cell r="I257">
            <v>727.81148000000007</v>
          </cell>
          <cell r="J257">
            <v>948.43013600000006</v>
          </cell>
          <cell r="K257">
            <v>1195.652587</v>
          </cell>
          <cell r="L257">
            <v>1533.9582439999999</v>
          </cell>
          <cell r="M257">
            <v>1927.370351</v>
          </cell>
          <cell r="N257">
            <v>2278.525314</v>
          </cell>
          <cell r="O257">
            <v>2521.8057989999998</v>
          </cell>
          <cell r="P257">
            <v>3116.3700198627739</v>
          </cell>
          <cell r="Q257">
            <v>3904.171780331314</v>
          </cell>
          <cell r="R257">
            <v>4780.7806365259585</v>
          </cell>
          <cell r="S257">
            <v>5786.3081852711002</v>
          </cell>
          <cell r="T257">
            <v>6936.30493240541</v>
          </cell>
          <cell r="U257">
            <v>0</v>
          </cell>
          <cell r="V257">
            <v>37.381763999999997</v>
          </cell>
          <cell r="W257">
            <v>77.079468000000006</v>
          </cell>
          <cell r="X257">
            <v>76.211333999999994</v>
          </cell>
          <cell r="Y257">
            <v>235.71110899999999</v>
          </cell>
          <cell r="Z257">
            <v>64.957921999999996</v>
          </cell>
          <cell r="AA257">
            <v>94.443916999999999</v>
          </cell>
          <cell r="AB257">
            <v>192.186226</v>
          </cell>
          <cell r="AC257">
            <v>376.22341499999999</v>
          </cell>
          <cell r="AD257">
            <v>102.62884</v>
          </cell>
          <cell r="AE257">
            <v>188.83301700000001</v>
          </cell>
          <cell r="AF257">
            <v>202.672765</v>
          </cell>
          <cell r="AG257">
            <v>454.29551400000003</v>
          </cell>
          <cell r="AH257">
            <v>123.100685</v>
          </cell>
          <cell r="AI257">
            <v>205.45688699999999</v>
          </cell>
          <cell r="AJ257">
            <v>252.87355299999999</v>
          </cell>
          <cell r="AK257">
            <v>614.22146199999997</v>
          </cell>
          <cell r="AL257">
            <v>189.30686499999999</v>
          </cell>
          <cell r="AM257">
            <v>287.22630400000003</v>
          </cell>
          <cell r="AN257">
            <v>369.52668899999998</v>
          </cell>
        </row>
        <row r="258">
          <cell r="B258" t="str">
            <v>Total shareholders' equity (Pub)</v>
          </cell>
          <cell r="C258" t="str">
            <v>EQ_PUB</v>
          </cell>
          <cell r="D258" t="str">
            <v>CNY</v>
          </cell>
          <cell r="F258">
            <v>336.90707500000002</v>
          </cell>
          <cell r="G258">
            <v>994.70854691000011</v>
          </cell>
          <cell r="H258">
            <v>1040.8297034899999</v>
          </cell>
          <cell r="I258">
            <v>1227.627839</v>
          </cell>
          <cell r="J258">
            <v>1333.777413</v>
          </cell>
          <cell r="K258">
            <v>1615.9976606500002</v>
          </cell>
          <cell r="L258">
            <v>1799.509548</v>
          </cell>
          <cell r="M258">
            <v>2259.3859149999998</v>
          </cell>
          <cell r="N258">
            <v>3176.8224089999999</v>
          </cell>
          <cell r="O258">
            <v>3623.4741220000001</v>
          </cell>
          <cell r="P258">
            <v>4031.8986268074682</v>
          </cell>
          <cell r="Q258">
            <v>4347.7651510887936</v>
          </cell>
          <cell r="R258">
            <v>4727.2655734129612</v>
          </cell>
          <cell r="S258">
            <v>5187.0770533363948</v>
          </cell>
          <cell r="T258">
            <v>5743.9491127073416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</row>
        <row r="259">
          <cell r="B259" t="str">
            <v>EPS (consensus)</v>
          </cell>
          <cell r="C259" t="str">
            <v>EPS_CONS_PUB</v>
          </cell>
          <cell r="D259" t="str">
            <v>CNY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</row>
        <row r="260">
          <cell r="A260" t="str">
            <v>Income Statement</v>
          </cell>
          <cell r="B260">
            <v>0</v>
          </cell>
          <cell r="C260">
            <v>0</v>
          </cell>
          <cell r="D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6.6613381477509392E-16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V260">
            <v>-4.5102810375396984E-17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-4.9331198848090452E-17</v>
          </cell>
          <cell r="AB260">
            <v>-7.6327832942979512E-17</v>
          </cell>
          <cell r="AC260">
            <v>0</v>
          </cell>
          <cell r="AD260">
            <v>0</v>
          </cell>
          <cell r="AE260">
            <v>9.7144514654701197E-17</v>
          </cell>
          <cell r="AF260">
            <v>1.1102230246251565E-16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6.9388939039072284E-17</v>
          </cell>
        </row>
        <row r="261">
          <cell r="B261" t="str">
            <v>Provision for income tax</v>
          </cell>
          <cell r="C261" t="str">
            <v>PROV_INC_TAX</v>
          </cell>
          <cell r="D261" t="str">
            <v>CNY</v>
          </cell>
          <cell r="F261">
            <v>-4.161753</v>
          </cell>
          <cell r="G261">
            <v>-1.4293800000000001</v>
          </cell>
          <cell r="H261">
            <v>-11.078436</v>
          </cell>
          <cell r="I261">
            <v>-15.367917999999998</v>
          </cell>
          <cell r="J261">
            <v>-9.8687110000000011</v>
          </cell>
          <cell r="K261">
            <v>-22.908488999999999</v>
          </cell>
          <cell r="L261">
            <v>-41.611826000000001</v>
          </cell>
          <cell r="M261">
            <v>-37.077917999999997</v>
          </cell>
          <cell r="N261">
            <v>-27.273201000000004</v>
          </cell>
          <cell r="O261">
            <v>-39.554629000000006</v>
          </cell>
          <cell r="P261">
            <v>-113.31745559083022</v>
          </cell>
          <cell r="Q261">
            <v>-144.80167398707937</v>
          </cell>
          <cell r="R261">
            <v>-173.89925963113006</v>
          </cell>
          <cell r="S261">
            <v>-210.6227348311831</v>
          </cell>
          <cell r="T261">
            <v>-255.00518836615012</v>
          </cell>
          <cell r="U261">
            <v>0</v>
          </cell>
          <cell r="V261">
            <v>3.4153229999999999</v>
          </cell>
          <cell r="W261">
            <v>0.128223</v>
          </cell>
          <cell r="X261">
            <v>2.4450530000000001</v>
          </cell>
          <cell r="Y261">
            <v>-17.067035000000001</v>
          </cell>
          <cell r="Z261">
            <v>5.3717750000000004</v>
          </cell>
          <cell r="AA261">
            <v>2.1244429999999999</v>
          </cell>
          <cell r="AB261">
            <v>-1.1550370000000001</v>
          </cell>
          <cell r="AC261">
            <v>-21.709098999999998</v>
          </cell>
          <cell r="AD261">
            <v>4.8385160000000003</v>
          </cell>
          <cell r="AE261">
            <v>10.713737</v>
          </cell>
          <cell r="AF261">
            <v>0.20794599999999999</v>
          </cell>
          <cell r="AG261">
            <v>-25.628910000000001</v>
          </cell>
          <cell r="AH261">
            <v>6.6580950000000003</v>
          </cell>
          <cell r="AI261">
            <v>1.6184540000000001</v>
          </cell>
          <cell r="AJ261">
            <v>-4.8588110000000002</v>
          </cell>
          <cell r="AK261">
            <v>-26.326226999999999</v>
          </cell>
          <cell r="AL261">
            <v>-1.6164080000000001</v>
          </cell>
          <cell r="AM261">
            <v>-6.4784499999999996</v>
          </cell>
          <cell r="AN261">
            <v>4.5145489999999997</v>
          </cell>
        </row>
        <row r="262">
          <cell r="B262" t="str">
            <v>Minority interest</v>
          </cell>
          <cell r="C262" t="str">
            <v>INC_MINORITY</v>
          </cell>
          <cell r="D262" t="str">
            <v>CNY</v>
          </cell>
          <cell r="F262">
            <v>-1.040753</v>
          </cell>
          <cell r="G262">
            <v>-1.828087</v>
          </cell>
          <cell r="H262">
            <v>0.70815000000000006</v>
          </cell>
          <cell r="I262">
            <v>2.1184000000000036E-2</v>
          </cell>
          <cell r="J262">
            <v>0</v>
          </cell>
          <cell r="K262">
            <v>-11.754313</v>
          </cell>
          <cell r="L262">
            <v>-10.998289</v>
          </cell>
          <cell r="M262">
            <v>3.9785279999999998</v>
          </cell>
          <cell r="N262">
            <v>9.1860990000000005</v>
          </cell>
          <cell r="O262">
            <v>8.8288499999999992</v>
          </cell>
          <cell r="P262">
            <v>12.15526</v>
          </cell>
          <cell r="Q262">
            <v>12.783571999999999</v>
          </cell>
          <cell r="R262">
            <v>12.783571999999999</v>
          </cell>
          <cell r="S262">
            <v>12.783571999999999</v>
          </cell>
          <cell r="T262">
            <v>12.783571999999999</v>
          </cell>
          <cell r="U262">
            <v>0</v>
          </cell>
          <cell r="V262">
            <v>0.34818100000000002</v>
          </cell>
          <cell r="W262">
            <v>0.36138900000000002</v>
          </cell>
          <cell r="X262">
            <v>0</v>
          </cell>
          <cell r="Y262">
            <v>-1.42E-3</v>
          </cell>
          <cell r="Z262">
            <v>5.4670000000000003E-2</v>
          </cell>
          <cell r="AA262">
            <v>0.14030300000000001</v>
          </cell>
          <cell r="AB262">
            <v>8.1336000000000006E-2</v>
          </cell>
          <cell r="AC262">
            <v>-0.25512499999999999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-11.754313</v>
          </cell>
          <cell r="AL262">
            <v>2.5679650000000001</v>
          </cell>
          <cell r="AM262">
            <v>6.8025209999999996</v>
          </cell>
          <cell r="AN262">
            <v>-4.5291969999999999</v>
          </cell>
        </row>
        <row r="263">
          <cell r="B263" t="str">
            <v>Net income (pre-preferred dividends)</v>
          </cell>
          <cell r="C263" t="str">
            <v>NI_PRE_PREF</v>
          </cell>
          <cell r="D263" t="str">
            <v>CNY</v>
          </cell>
          <cell r="F263">
            <v>51.874125000000021</v>
          </cell>
          <cell r="G263">
            <v>59.949556999999984</v>
          </cell>
          <cell r="H263">
            <v>61.005638000000033</v>
          </cell>
          <cell r="I263">
            <v>73.64597600000009</v>
          </cell>
          <cell r="J263">
            <v>122.39551900000002</v>
          </cell>
          <cell r="K263">
            <v>170.36666000000031</v>
          </cell>
          <cell r="L263">
            <v>244.12716100000006</v>
          </cell>
          <cell r="M263">
            <v>265.17190799999992</v>
          </cell>
          <cell r="N263">
            <v>451.89197699999983</v>
          </cell>
          <cell r="O263">
            <v>568.95431999999994</v>
          </cell>
          <cell r="P263">
            <v>448.73876304527033</v>
          </cell>
          <cell r="Q263">
            <v>350.65414463651911</v>
          </cell>
          <cell r="R263">
            <v>418.54851113930386</v>
          </cell>
          <cell r="S263">
            <v>504.23661993942699</v>
          </cell>
          <cell r="T263">
            <v>607.79567818768351</v>
          </cell>
          <cell r="U263">
            <v>0</v>
          </cell>
          <cell r="V263">
            <v>-5.8109970000000084</v>
          </cell>
          <cell r="W263">
            <v>-17.680694999999989</v>
          </cell>
          <cell r="X263">
            <v>-7.9395989999999976</v>
          </cell>
          <cell r="Y263">
            <v>92.436928999999992</v>
          </cell>
          <cell r="Z263">
            <v>-27.62628100000002</v>
          </cell>
          <cell r="AA263">
            <v>-0.10074200000000993</v>
          </cell>
          <cell r="AB263">
            <v>-5.9398540000000146</v>
          </cell>
          <cell r="AC263">
            <v>107.31285299999996</v>
          </cell>
          <cell r="AD263">
            <v>-37.655509000000009</v>
          </cell>
          <cell r="AE263">
            <v>-3.3995859999999798</v>
          </cell>
          <cell r="AF263">
            <v>8.9738100000000252</v>
          </cell>
          <cell r="AG263">
            <v>154.47680399999999</v>
          </cell>
          <cell r="AH263">
            <v>-28.89155300000002</v>
          </cell>
          <cell r="AI263">
            <v>-9.7692400000000106</v>
          </cell>
          <cell r="AJ263">
            <v>20.224815000000003</v>
          </cell>
          <cell r="AK263">
            <v>188.80263799999994</v>
          </cell>
          <cell r="AL263">
            <v>-9.9195430000000115</v>
          </cell>
          <cell r="AM263">
            <v>27.553276999999976</v>
          </cell>
          <cell r="AN263">
            <v>33.191777000000044</v>
          </cell>
        </row>
        <row r="264">
          <cell r="B264" t="str">
            <v>Preferred dividends</v>
          </cell>
          <cell r="C264" t="str">
            <v>PREF_DIV</v>
          </cell>
          <cell r="D264" t="str">
            <v>CNY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B265" t="str">
            <v>Net income (pre-exceptionals)</v>
          </cell>
          <cell r="C265" t="str">
            <v>NET_EARNING</v>
          </cell>
          <cell r="D265" t="str">
            <v>CNY</v>
          </cell>
          <cell r="F265">
            <v>51.874125000000021</v>
          </cell>
          <cell r="G265">
            <v>59.949556999999984</v>
          </cell>
          <cell r="H265">
            <v>61.005638000000033</v>
          </cell>
          <cell r="I265">
            <v>73.64597600000009</v>
          </cell>
          <cell r="J265">
            <v>122.39551900000002</v>
          </cell>
          <cell r="K265">
            <v>170.36666000000031</v>
          </cell>
          <cell r="L265">
            <v>244.12716100000006</v>
          </cell>
          <cell r="M265">
            <v>265.17190799999992</v>
          </cell>
          <cell r="N265">
            <v>451.89197699999983</v>
          </cell>
          <cell r="O265">
            <v>568.95431999999994</v>
          </cell>
          <cell r="P265">
            <v>448.73876304527033</v>
          </cell>
          <cell r="Q265">
            <v>350.65414463651911</v>
          </cell>
          <cell r="R265">
            <v>418.54851113930386</v>
          </cell>
          <cell r="S265">
            <v>504.23661993942699</v>
          </cell>
          <cell r="T265">
            <v>607.79567818768351</v>
          </cell>
          <cell r="U265">
            <v>0</v>
          </cell>
          <cell r="V265">
            <v>-5.8109970000000084</v>
          </cell>
          <cell r="W265">
            <v>-17.680694999999989</v>
          </cell>
          <cell r="X265">
            <v>-7.9395989999999976</v>
          </cell>
          <cell r="Y265">
            <v>92.436928999999992</v>
          </cell>
          <cell r="Z265">
            <v>-27.62628100000002</v>
          </cell>
          <cell r="AA265">
            <v>-0.10074200000000993</v>
          </cell>
          <cell r="AB265">
            <v>-5.9398540000000146</v>
          </cell>
          <cell r="AC265">
            <v>107.31285299999996</v>
          </cell>
          <cell r="AD265">
            <v>-37.655509000000009</v>
          </cell>
          <cell r="AE265">
            <v>-3.3995859999999798</v>
          </cell>
          <cell r="AF265">
            <v>8.9738100000000252</v>
          </cell>
          <cell r="AG265">
            <v>154.47680399999999</v>
          </cell>
          <cell r="AH265">
            <v>-28.89155300000002</v>
          </cell>
          <cell r="AI265">
            <v>-9.7692400000000106</v>
          </cell>
          <cell r="AJ265">
            <v>20.224815000000003</v>
          </cell>
          <cell r="AK265">
            <v>188.80263799999994</v>
          </cell>
          <cell r="AL265">
            <v>-9.9195430000000115</v>
          </cell>
          <cell r="AM265">
            <v>27.553276999999976</v>
          </cell>
          <cell r="AN265">
            <v>33.191777000000044</v>
          </cell>
        </row>
        <row r="266">
          <cell r="B266" t="str">
            <v>Post-tax exceptionals</v>
          </cell>
          <cell r="C266" t="str">
            <v>TAX_EXC</v>
          </cell>
          <cell r="D266" t="str">
            <v>CNY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</row>
        <row r="267">
          <cell r="B267" t="str">
            <v>Net income (post-exceptionals)</v>
          </cell>
          <cell r="C267" t="str">
            <v>NET_INC</v>
          </cell>
          <cell r="D267" t="str">
            <v>CNY</v>
          </cell>
          <cell r="F267">
            <v>51.874125000000021</v>
          </cell>
          <cell r="G267">
            <v>59.949556999999984</v>
          </cell>
          <cell r="H267">
            <v>61.005638000000033</v>
          </cell>
          <cell r="I267">
            <v>73.64597600000009</v>
          </cell>
          <cell r="J267">
            <v>122.39551900000002</v>
          </cell>
          <cell r="K267">
            <v>170.36666000000031</v>
          </cell>
          <cell r="L267">
            <v>244.12716100000006</v>
          </cell>
          <cell r="M267">
            <v>265.17190799999992</v>
          </cell>
          <cell r="N267">
            <v>451.89197699999983</v>
          </cell>
          <cell r="O267">
            <v>568.95431999999994</v>
          </cell>
          <cell r="P267">
            <v>448.73876304527033</v>
          </cell>
          <cell r="Q267">
            <v>350.65414463651911</v>
          </cell>
          <cell r="R267">
            <v>418.54851113930386</v>
          </cell>
          <cell r="S267">
            <v>504.23661993942699</v>
          </cell>
          <cell r="T267">
            <v>607.79567818768351</v>
          </cell>
          <cell r="U267">
            <v>0</v>
          </cell>
          <cell r="V267">
            <v>-5.8109970000000084</v>
          </cell>
          <cell r="W267">
            <v>-17.680694999999989</v>
          </cell>
          <cell r="X267">
            <v>-7.9395989999999976</v>
          </cell>
          <cell r="Y267">
            <v>92.436928999999992</v>
          </cell>
          <cell r="Z267">
            <v>-27.62628100000002</v>
          </cell>
          <cell r="AA267">
            <v>-0.10074200000000993</v>
          </cell>
          <cell r="AB267">
            <v>-5.9398540000000146</v>
          </cell>
          <cell r="AC267">
            <v>107.31285299999996</v>
          </cell>
          <cell r="AD267">
            <v>-37.655509000000009</v>
          </cell>
          <cell r="AE267">
            <v>-3.3995859999999798</v>
          </cell>
          <cell r="AF267">
            <v>8.9738100000000252</v>
          </cell>
          <cell r="AG267">
            <v>154.47680399999999</v>
          </cell>
          <cell r="AH267">
            <v>-28.89155300000002</v>
          </cell>
          <cell r="AI267">
            <v>-9.7692400000000106</v>
          </cell>
          <cell r="AJ267">
            <v>20.224815000000003</v>
          </cell>
          <cell r="AK267">
            <v>188.80263799999994</v>
          </cell>
          <cell r="AL267">
            <v>-9.9195430000000115</v>
          </cell>
          <cell r="AM267">
            <v>27.553276999999976</v>
          </cell>
          <cell r="AN267">
            <v>33.191777000000044</v>
          </cell>
        </row>
        <row r="268">
          <cell r="B268" t="str">
            <v>EPS (pre-exceptionals, basic)</v>
          </cell>
          <cell r="C268" t="str">
            <v>EPS</v>
          </cell>
          <cell r="D268" t="str">
            <v>CNY</v>
          </cell>
          <cell r="F268">
            <v>0.70000000000000018</v>
          </cell>
          <cell r="G268">
            <v>0.68999999999999984</v>
          </cell>
          <cell r="H268">
            <v>0.31000000508454795</v>
          </cell>
          <cell r="I268">
            <v>0.36949133601699419</v>
          </cell>
          <cell r="J268">
            <v>0.59343890813064759</v>
          </cell>
          <cell r="K268">
            <v>0.41000000242285406</v>
          </cell>
          <cell r="L268">
            <v>0.28999999834296314</v>
          </cell>
          <cell r="M268">
            <v>0.30999999985637849</v>
          </cell>
          <cell r="N268">
            <v>0.5099999999999999</v>
          </cell>
          <cell r="O268">
            <v>0.63000000114722776</v>
          </cell>
          <cell r="P268">
            <v>0.49927985349189075</v>
          </cell>
          <cell r="Q268">
            <v>0.39105279749181049</v>
          </cell>
          <cell r="R268">
            <v>0.46676923307642271</v>
          </cell>
          <cell r="S268">
            <v>0.56232941729385244</v>
          </cell>
          <cell r="T268">
            <v>0.67781945228424567</v>
          </cell>
          <cell r="U268">
            <v>0</v>
          </cell>
          <cell r="V268">
            <v>-3.0000000000000041E-2</v>
          </cell>
          <cell r="W268">
            <v>-8.9999999999999927E-2</v>
          </cell>
          <cell r="X268">
            <v>-3.9999999999999994E-2</v>
          </cell>
          <cell r="Y268">
            <v>0.47000000508454792</v>
          </cell>
          <cell r="Z268">
            <v>-0.13999999493236198</v>
          </cell>
          <cell r="AA268">
            <v>-5.0866906925648857E-4</v>
          </cell>
          <cell r="AB268">
            <v>-2.9999994949371733E-2</v>
          </cell>
          <cell r="AC268">
            <v>0.53999999496798379</v>
          </cell>
          <cell r="AD268">
            <v>-0.18000000000000002</v>
          </cell>
          <cell r="AE268">
            <v>-1.6561091869352534E-2</v>
          </cell>
          <cell r="AF268">
            <v>4.0000000000000112E-2</v>
          </cell>
          <cell r="AG268">
            <v>0.74999999999999989</v>
          </cell>
          <cell r="AH268">
            <v>-6.9999997577146644E-2</v>
          </cell>
          <cell r="AI268">
            <v>-2.0000000000000014E-2</v>
          </cell>
          <cell r="AJ268">
            <v>0.05</v>
          </cell>
          <cell r="AK268">
            <v>0.4499999999999999</v>
          </cell>
          <cell r="AL268">
            <v>-2.0000000000000025E-2</v>
          </cell>
          <cell r="AM268">
            <v>3.9999999999999966E-2</v>
          </cell>
          <cell r="AN268">
            <v>5.4999998342963201E-2</v>
          </cell>
        </row>
        <row r="269">
          <cell r="B269" t="str">
            <v>EPS (pre-exceptionals, diluted)</v>
          </cell>
          <cell r="C269" t="str">
            <v>EPS_FUL_DIL</v>
          </cell>
          <cell r="D269" t="str">
            <v>CNY</v>
          </cell>
          <cell r="F269">
            <v>0.70000000000000018</v>
          </cell>
          <cell r="G269">
            <v>0.68999999999999984</v>
          </cell>
          <cell r="H269">
            <v>0.31000000508454795</v>
          </cell>
          <cell r="I269">
            <v>0.36949133601699419</v>
          </cell>
          <cell r="J269">
            <v>0.59343890813064759</v>
          </cell>
          <cell r="K269">
            <v>0.41000000242285406</v>
          </cell>
          <cell r="L269">
            <v>0.28999999834296314</v>
          </cell>
          <cell r="M269">
            <v>0.30999999985637849</v>
          </cell>
          <cell r="N269">
            <v>0.5099999999999999</v>
          </cell>
          <cell r="O269">
            <v>0.63000000114722776</v>
          </cell>
          <cell r="P269">
            <v>0.49927985349189075</v>
          </cell>
          <cell r="Q269">
            <v>0.39105279749181049</v>
          </cell>
          <cell r="R269">
            <v>0.46676923307642271</v>
          </cell>
          <cell r="S269">
            <v>0.56232941729385244</v>
          </cell>
          <cell r="T269">
            <v>0.67781945228424567</v>
          </cell>
          <cell r="U269">
            <v>0</v>
          </cell>
          <cell r="V269">
            <v>-3.0000000000000041E-2</v>
          </cell>
          <cell r="W269">
            <v>-8.9999999999999927E-2</v>
          </cell>
          <cell r="X269">
            <v>-3.9999999999999994E-2</v>
          </cell>
          <cell r="Y269">
            <v>0.47000000508454792</v>
          </cell>
          <cell r="Z269">
            <v>-0.13999999493236198</v>
          </cell>
          <cell r="AA269">
            <v>-5.0866906925648857E-4</v>
          </cell>
          <cell r="AB269">
            <v>-2.9999994949371733E-2</v>
          </cell>
          <cell r="AC269">
            <v>0.53999999496798379</v>
          </cell>
          <cell r="AD269">
            <v>-0.18000000000000002</v>
          </cell>
          <cell r="AE269">
            <v>-1.6561091869352534E-2</v>
          </cell>
          <cell r="AF269">
            <v>4.0000000000000112E-2</v>
          </cell>
          <cell r="AG269">
            <v>0.74999999999999989</v>
          </cell>
          <cell r="AH269">
            <v>-6.9999997577146644E-2</v>
          </cell>
          <cell r="AI269">
            <v>-2.0000000000000014E-2</v>
          </cell>
          <cell r="AJ269">
            <v>0.05</v>
          </cell>
          <cell r="AK269">
            <v>0.4499999999999999</v>
          </cell>
          <cell r="AL269">
            <v>-2.0000000000000025E-2</v>
          </cell>
          <cell r="AM269">
            <v>3.9999999999999966E-2</v>
          </cell>
          <cell r="AN269">
            <v>5.4999998342963201E-2</v>
          </cell>
        </row>
        <row r="270">
          <cell r="B270" t="str">
            <v>EPS (post-exceptionals, basic)</v>
          </cell>
          <cell r="C270" t="str">
            <v>EPS_POST_BASIC</v>
          </cell>
          <cell r="D270" t="str">
            <v>CNY</v>
          </cell>
          <cell r="F270">
            <v>0.70000000000000018</v>
          </cell>
          <cell r="G270">
            <v>0.68999999999999984</v>
          </cell>
          <cell r="H270">
            <v>0.31000000508454795</v>
          </cell>
          <cell r="I270">
            <v>0.36949133601699419</v>
          </cell>
          <cell r="J270">
            <v>0.59343890813064759</v>
          </cell>
          <cell r="K270">
            <v>0.41000000242285406</v>
          </cell>
          <cell r="L270">
            <v>0.28999999834296314</v>
          </cell>
          <cell r="M270">
            <v>0.30999999985637849</v>
          </cell>
          <cell r="N270">
            <v>0.5099999999999999</v>
          </cell>
          <cell r="O270">
            <v>0.63000000114722776</v>
          </cell>
          <cell r="P270">
            <v>0.49927985349189075</v>
          </cell>
          <cell r="Q270">
            <v>0.39105279749181049</v>
          </cell>
          <cell r="R270">
            <v>0.46676923307642271</v>
          </cell>
          <cell r="S270">
            <v>0.56232941729385244</v>
          </cell>
          <cell r="T270">
            <v>0.67781945228424567</v>
          </cell>
          <cell r="U270">
            <v>0</v>
          </cell>
          <cell r="V270">
            <v>-3.0000000000000041E-2</v>
          </cell>
          <cell r="W270">
            <v>-8.9999999999999927E-2</v>
          </cell>
          <cell r="X270">
            <v>-3.9999999999999994E-2</v>
          </cell>
          <cell r="Y270">
            <v>0.47000000508454792</v>
          </cell>
          <cell r="Z270">
            <v>-0.13999999493236198</v>
          </cell>
          <cell r="AA270">
            <v>-5.0866906925648857E-4</v>
          </cell>
          <cell r="AB270">
            <v>-2.9999994949371733E-2</v>
          </cell>
          <cell r="AC270">
            <v>0.53999999496798379</v>
          </cell>
          <cell r="AD270">
            <v>-0.18000000000000002</v>
          </cell>
          <cell r="AE270">
            <v>-1.6561091869352534E-2</v>
          </cell>
          <cell r="AF270">
            <v>4.0000000000000112E-2</v>
          </cell>
          <cell r="AG270">
            <v>0.74999999999999989</v>
          </cell>
          <cell r="AH270">
            <v>-6.9999997577146644E-2</v>
          </cell>
          <cell r="AI270">
            <v>-2.0000000000000014E-2</v>
          </cell>
          <cell r="AJ270">
            <v>0.05</v>
          </cell>
          <cell r="AK270">
            <v>0.4499999999999999</v>
          </cell>
          <cell r="AL270">
            <v>-2.0000000000000025E-2</v>
          </cell>
          <cell r="AM270">
            <v>3.9999999999999966E-2</v>
          </cell>
          <cell r="AN270">
            <v>5.4999998342963201E-2</v>
          </cell>
        </row>
        <row r="271">
          <cell r="B271" t="str">
            <v>EPS (post-exceptionals, diluted)</v>
          </cell>
          <cell r="C271" t="str">
            <v>FULLY_DIL_EPS</v>
          </cell>
          <cell r="D271" t="str">
            <v>CNY</v>
          </cell>
          <cell r="F271">
            <v>0.70000000000000018</v>
          </cell>
          <cell r="G271">
            <v>0.68999999999999984</v>
          </cell>
          <cell r="H271">
            <v>0.31000000508454795</v>
          </cell>
          <cell r="I271">
            <v>0.36949133601699419</v>
          </cell>
          <cell r="J271">
            <v>0.59343890813064759</v>
          </cell>
          <cell r="K271">
            <v>0.41000000242285406</v>
          </cell>
          <cell r="L271">
            <v>0.28999999834296314</v>
          </cell>
          <cell r="M271">
            <v>0.30999999985637849</v>
          </cell>
          <cell r="N271">
            <v>0.5099999999999999</v>
          </cell>
          <cell r="O271">
            <v>0.63000000114722776</v>
          </cell>
          <cell r="P271">
            <v>0.49927985349189075</v>
          </cell>
          <cell r="Q271">
            <v>0.39105279749181049</v>
          </cell>
          <cell r="R271">
            <v>0.46676923307642271</v>
          </cell>
          <cell r="S271">
            <v>0.56232941729385244</v>
          </cell>
          <cell r="T271">
            <v>0.67781945228424567</v>
          </cell>
          <cell r="U271">
            <v>0</v>
          </cell>
          <cell r="V271">
            <v>-3.0000000000000041E-2</v>
          </cell>
          <cell r="W271">
            <v>-8.9999999999999927E-2</v>
          </cell>
          <cell r="X271">
            <v>-3.9999999999999994E-2</v>
          </cell>
          <cell r="Y271">
            <v>0.47000000508454792</v>
          </cell>
          <cell r="Z271">
            <v>-0.13999999493236198</v>
          </cell>
          <cell r="AA271">
            <v>-5.0866906925648857E-4</v>
          </cell>
          <cell r="AB271">
            <v>-2.9999994949371733E-2</v>
          </cell>
          <cell r="AC271">
            <v>0.53999999496798379</v>
          </cell>
          <cell r="AD271">
            <v>-0.18000000000000002</v>
          </cell>
          <cell r="AE271">
            <v>-1.6561091869352534E-2</v>
          </cell>
          <cell r="AF271">
            <v>4.0000000000000112E-2</v>
          </cell>
          <cell r="AG271">
            <v>0.74999999999999989</v>
          </cell>
          <cell r="AH271">
            <v>-6.9999997577146644E-2</v>
          </cell>
          <cell r="AI271">
            <v>-2.0000000000000014E-2</v>
          </cell>
          <cell r="AJ271">
            <v>0.05</v>
          </cell>
          <cell r="AK271">
            <v>0.4499999999999999</v>
          </cell>
          <cell r="AL271">
            <v>-2.0000000000000025E-2</v>
          </cell>
          <cell r="AM271">
            <v>3.9999999999999966E-2</v>
          </cell>
          <cell r="AN271">
            <v>5.4999998342963201E-2</v>
          </cell>
        </row>
        <row r="272">
          <cell r="B272" t="str">
            <v>Common dividends paid</v>
          </cell>
          <cell r="C272" t="str">
            <v>COMMON_DIV_PAID</v>
          </cell>
          <cell r="D272" t="str">
            <v>CNY</v>
          </cell>
          <cell r="F272">
            <v>0</v>
          </cell>
          <cell r="G272">
            <v>0</v>
          </cell>
          <cell r="H272">
            <v>-19.751824600000003</v>
          </cell>
          <cell r="I272">
            <v>-20.756166699999998</v>
          </cell>
          <cell r="J272">
            <v>-20.756166699999998</v>
          </cell>
          <cell r="K272">
            <v>-20.756166699999998</v>
          </cell>
          <cell r="L272">
            <v>-21.723556850000001</v>
          </cell>
          <cell r="M272">
            <v>-89.6692587</v>
          </cell>
          <cell r="N272">
            <v>-44.83462935</v>
          </cell>
          <cell r="O272">
            <v>-35.702696119999999</v>
          </cell>
          <cell r="P272">
            <v>-28.158998237802255</v>
          </cell>
          <cell r="Q272">
            <v>-22.004048355193383</v>
          </cell>
          <cell r="R272">
            <v>-26.264516815137306</v>
          </cell>
          <cell r="S272">
            <v>-31.641568015993467</v>
          </cell>
          <cell r="T272">
            <v>-38.140046816736003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</row>
        <row r="273">
          <cell r="B273" t="str">
            <v>DPS, dividend per share</v>
          </cell>
          <cell r="C273" t="str">
            <v>DPS</v>
          </cell>
          <cell r="D273" t="str">
            <v>CNY</v>
          </cell>
          <cell r="F273">
            <v>0</v>
          </cell>
          <cell r="G273">
            <v>0</v>
          </cell>
          <cell r="H273">
            <v>0.10036884994841126</v>
          </cell>
          <cell r="I273">
            <v>0.10413635857815823</v>
          </cell>
          <cell r="J273">
            <v>0.10063699230219127</v>
          </cell>
          <cell r="K273">
            <v>4.9951254531192583E-2</v>
          </cell>
          <cell r="L273">
            <v>2.5805532758820166E-2</v>
          </cell>
          <cell r="M273">
            <v>0.10482811091784872</v>
          </cell>
          <cell r="N273">
            <v>5.0599838307153665E-2</v>
          </cell>
          <cell r="O273">
            <v>3.9533399793078516E-2</v>
          </cell>
          <cell r="P273">
            <v>3.1330523842510075E-2</v>
          </cell>
          <cell r="Q273">
            <v>2.4539121516338972E-2</v>
          </cell>
          <cell r="R273">
            <v>2.9290435982089007E-2</v>
          </cell>
          <cell r="S273">
            <v>3.5286974013975507E-2</v>
          </cell>
          <cell r="T273">
            <v>4.253413864425757E-2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</row>
        <row r="274">
          <cell r="B274" t="str">
            <v>Weighted average shares outstanding, basic</v>
          </cell>
          <cell r="C274" t="str">
            <v>SH</v>
          </cell>
          <cell r="F274">
            <v>74.105892857142862</v>
          </cell>
          <cell r="G274">
            <v>86.883415942028989</v>
          </cell>
          <cell r="H274">
            <v>196.79237741741858</v>
          </cell>
          <cell r="I274">
            <v>199.31719318206925</v>
          </cell>
          <cell r="J274">
            <v>206.24788385640232</v>
          </cell>
          <cell r="K274">
            <v>415.52843656886722</v>
          </cell>
          <cell r="L274">
            <v>841.81780136180407</v>
          </cell>
          <cell r="M274">
            <v>855.39325200920257</v>
          </cell>
          <cell r="N274">
            <v>886.06269999999984</v>
          </cell>
          <cell r="O274">
            <v>903.1020935935494</v>
          </cell>
          <cell r="P274">
            <v>898.77202115578393</v>
          </cell>
          <cell r="Q274">
            <v>896.69258700000114</v>
          </cell>
          <cell r="R274">
            <v>896.69258700000091</v>
          </cell>
          <cell r="S274">
            <v>896.69258699999989</v>
          </cell>
          <cell r="T274">
            <v>896.69258700000023</v>
          </cell>
          <cell r="U274">
            <v>0</v>
          </cell>
          <cell r="V274">
            <v>193.69990000000001</v>
          </cell>
          <cell r="W274">
            <v>196.4521666666667</v>
          </cell>
          <cell r="X274">
            <v>198.48997499999999</v>
          </cell>
          <cell r="Y274">
            <v>196.67431489361704</v>
          </cell>
          <cell r="Z274">
            <v>197.33058571428569</v>
          </cell>
          <cell r="AA274">
            <v>198.05017857142857</v>
          </cell>
          <cell r="AB274">
            <v>197.99516666666668</v>
          </cell>
          <cell r="AC274">
            <v>198.72750740740742</v>
          </cell>
          <cell r="AD274">
            <v>209.19727222222224</v>
          </cell>
          <cell r="AE274">
            <v>205.275475</v>
          </cell>
          <cell r="AF274">
            <v>224.34524999999999</v>
          </cell>
          <cell r="AG274">
            <v>205.96907200000001</v>
          </cell>
          <cell r="AH274">
            <v>412.73648571428566</v>
          </cell>
          <cell r="AI274">
            <v>488.46200000000022</v>
          </cell>
          <cell r="AJ274">
            <v>404.49630000000002</v>
          </cell>
          <cell r="AK274">
            <v>419.56141777777776</v>
          </cell>
          <cell r="AL274">
            <v>495.97714999999999</v>
          </cell>
          <cell r="AM274">
            <v>688.83192499999996</v>
          </cell>
          <cell r="AN274">
            <v>603.48687272727273</v>
          </cell>
        </row>
        <row r="275">
          <cell r="B275" t="str">
            <v>Diluted average shares outstanding (mn)</v>
          </cell>
          <cell r="C275" t="str">
            <v>DILUTE_SHARES</v>
          </cell>
          <cell r="F275">
            <v>74.105892857142862</v>
          </cell>
          <cell r="G275">
            <v>86.883415942028989</v>
          </cell>
          <cell r="H275">
            <v>196.79237741741858</v>
          </cell>
          <cell r="I275">
            <v>199.31719318206925</v>
          </cell>
          <cell r="J275">
            <v>206.24788385640232</v>
          </cell>
          <cell r="K275">
            <v>415.52843656886722</v>
          </cell>
          <cell r="L275">
            <v>841.81780136180407</v>
          </cell>
          <cell r="M275">
            <v>855.39325200920257</v>
          </cell>
          <cell r="N275">
            <v>886.06269999999984</v>
          </cell>
          <cell r="O275">
            <v>903.1020935935494</v>
          </cell>
          <cell r="P275">
            <v>898.77202115578393</v>
          </cell>
          <cell r="Q275">
            <v>896.69258700000114</v>
          </cell>
          <cell r="R275">
            <v>896.69258700000091</v>
          </cell>
          <cell r="S275">
            <v>896.69258699999989</v>
          </cell>
          <cell r="T275">
            <v>896.69258700000023</v>
          </cell>
          <cell r="U275">
            <v>0</v>
          </cell>
          <cell r="V275">
            <v>193.69990000000001</v>
          </cell>
          <cell r="W275">
            <v>196.4521666666667</v>
          </cell>
          <cell r="X275">
            <v>198.48997499999999</v>
          </cell>
          <cell r="Y275">
            <v>196.67431489361704</v>
          </cell>
          <cell r="Z275">
            <v>197.33058571428569</v>
          </cell>
          <cell r="AA275">
            <v>198.05017857142857</v>
          </cell>
          <cell r="AB275">
            <v>197.99516666666668</v>
          </cell>
          <cell r="AC275">
            <v>198.72750740740742</v>
          </cell>
          <cell r="AD275">
            <v>209.19727222222224</v>
          </cell>
          <cell r="AE275">
            <v>205.275475</v>
          </cell>
          <cell r="AF275">
            <v>224.34524999999999</v>
          </cell>
          <cell r="AG275">
            <v>205.96907200000001</v>
          </cell>
          <cell r="AH275">
            <v>412.73648571428566</v>
          </cell>
          <cell r="AI275">
            <v>488.46200000000022</v>
          </cell>
          <cell r="AJ275">
            <v>404.49630000000002</v>
          </cell>
          <cell r="AK275">
            <v>419.56141777777776</v>
          </cell>
          <cell r="AL275">
            <v>495.97714999999999</v>
          </cell>
          <cell r="AM275">
            <v>688.83192499999996</v>
          </cell>
          <cell r="AN275">
            <v>603.48687272727273</v>
          </cell>
        </row>
        <row r="276">
          <cell r="B276" t="str">
            <v>Period-end shares outstanding</v>
          </cell>
          <cell r="C276" t="str">
            <v>NON_OP_ADD</v>
          </cell>
          <cell r="F276">
            <v>73.759123000000002</v>
          </cell>
          <cell r="G276">
            <v>98.759123000000002</v>
          </cell>
          <cell r="H276">
            <v>197.518246</v>
          </cell>
          <cell r="I276">
            <v>207.561667</v>
          </cell>
          <cell r="J276">
            <v>207.561667</v>
          </cell>
          <cell r="K276">
            <v>415.123334</v>
          </cell>
          <cell r="L276">
            <v>830.246668</v>
          </cell>
          <cell r="M276">
            <v>868.942274</v>
          </cell>
          <cell r="N276">
            <v>896.692587</v>
          </cell>
          <cell r="O276">
            <v>896.692587</v>
          </cell>
          <cell r="P276">
            <v>896.692587</v>
          </cell>
          <cell r="Q276">
            <v>896.692587</v>
          </cell>
          <cell r="R276">
            <v>896.692587</v>
          </cell>
          <cell r="S276">
            <v>896.692587</v>
          </cell>
          <cell r="T276">
            <v>896.692587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</row>
        <row r="277">
          <cell r="A277" t="str">
            <v>Additional Income Statement Items</v>
          </cell>
          <cell r="B277">
            <v>0</v>
          </cell>
          <cell r="C277">
            <v>0</v>
          </cell>
          <cell r="D277">
            <v>0</v>
          </cell>
        </row>
        <row r="278">
          <cell r="B278" t="str">
            <v>Marginal tax rate</v>
          </cell>
          <cell r="C278" t="str">
            <v>MARGIN_TAX_RATE</v>
          </cell>
          <cell r="F278">
            <v>7.291518309831567E-2</v>
          </cell>
          <cell r="G278">
            <v>2.2614258820348829E-2</v>
          </cell>
          <cell r="H278">
            <v>0.15521250555019075</v>
          </cell>
          <cell r="I278">
            <v>0.17268738079782031</v>
          </cell>
          <cell r="J278">
            <v>7.4613604902852446E-2</v>
          </cell>
          <cell r="K278">
            <v>0.11173266893711106</v>
          </cell>
          <cell r="L278">
            <v>0.14023120573500175</v>
          </cell>
          <cell r="M278">
            <v>0.12430937287167335</v>
          </cell>
          <cell r="N278">
            <v>5.8030670339689748E-2</v>
          </cell>
          <cell r="O278">
            <v>6.5959549209586202E-2</v>
          </cell>
          <cell r="P278">
            <v>0.20606884532787031</v>
          </cell>
          <cell r="Q278">
            <v>0.29999999999999977</v>
          </cell>
          <cell r="R278">
            <v>0.29999999999999977</v>
          </cell>
          <cell r="S278">
            <v>0.3</v>
          </cell>
          <cell r="T278">
            <v>0.3</v>
          </cell>
          <cell r="U278">
            <v>0</v>
          </cell>
          <cell r="V278">
            <v>0.35671028704263541</v>
          </cell>
          <cell r="W278">
            <v>7.0567327233381364E-3</v>
          </cell>
          <cell r="X278">
            <v>0.23544871797340922</v>
          </cell>
          <cell r="Y278">
            <v>0.15585567007371984</v>
          </cell>
          <cell r="Z278">
            <v>0.16252139082265107</v>
          </cell>
          <cell r="AA278">
            <v>0.89809925055633333</v>
          </cell>
          <cell r="AB278">
            <v>0</v>
          </cell>
          <cell r="AC278">
            <v>0.16792690168884311</v>
          </cell>
          <cell r="AD278">
            <v>0.11386344315465528</v>
          </cell>
          <cell r="AE278">
            <v>0.75912221381172962</v>
          </cell>
          <cell r="AF278">
            <v>0</v>
          </cell>
          <cell r="AG278">
            <v>0.14229926097736134</v>
          </cell>
          <cell r="AH278">
            <v>0.18729004011516515</v>
          </cell>
          <cell r="AI278">
            <v>0.14212306723380519</v>
          </cell>
          <cell r="AJ278">
            <v>0.19370449073032744</v>
          </cell>
          <cell r="AK278">
            <v>0.11603428351131435</v>
          </cell>
          <cell r="AL278">
            <v>0</v>
          </cell>
          <cell r="AM278">
            <v>0.23792283917496526</v>
          </cell>
          <cell r="AN278">
            <v>0</v>
          </cell>
        </row>
        <row r="279">
          <cell r="B279" t="str">
            <v>Net income (consensus) (Pub)</v>
          </cell>
          <cell r="C279" t="str">
            <v>NI_CONS</v>
          </cell>
          <cell r="D279" t="str">
            <v>CNY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 t="str">
            <v>Balance Sheet</v>
          </cell>
          <cell r="B280">
            <v>0</v>
          </cell>
          <cell r="C280">
            <v>0</v>
          </cell>
          <cell r="D280">
            <v>0</v>
          </cell>
        </row>
        <row r="281">
          <cell r="B281" t="str">
            <v>BVPS, book value per share</v>
          </cell>
          <cell r="C281" t="str">
            <v>BVPS</v>
          </cell>
          <cell r="D281" t="str">
            <v>CNY</v>
          </cell>
          <cell r="F281">
            <v>4.5589935769708108</v>
          </cell>
          <cell r="G281">
            <v>10.047079426879884</v>
          </cell>
          <cell r="H281">
            <v>5.2645682338126871</v>
          </cell>
          <cell r="I281">
            <v>5.9145210035338556</v>
          </cell>
          <cell r="J281">
            <v>6.4259332287979749</v>
          </cell>
          <cell r="K281">
            <v>3.6025743680551576</v>
          </cell>
          <cell r="L281">
            <v>2.0374137159439947</v>
          </cell>
          <cell r="M281">
            <v>2.5611999537727632</v>
          </cell>
          <cell r="N281">
            <v>3.4963248870931056</v>
          </cell>
          <cell r="O281">
            <v>4.0042810914862619</v>
          </cell>
          <cell r="P281">
            <v>4.4733155977428281</v>
          </cell>
          <cell r="Q281">
            <v>4.8398292737183004</v>
          </cell>
          <cell r="R281">
            <v>5.2773080708126345</v>
          </cell>
          <cell r="S281">
            <v>5.804350514092512</v>
          </cell>
          <cell r="T281">
            <v>6.4396358277325003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</row>
        <row r="282">
          <cell r="A282" t="str">
            <v>Cash Flow Statement</v>
          </cell>
          <cell r="B282">
            <v>0</v>
          </cell>
          <cell r="C282">
            <v>0</v>
          </cell>
          <cell r="D282">
            <v>0</v>
          </cell>
        </row>
        <row r="283">
          <cell r="B283" t="str">
            <v>Net income (pre-preferred dividends)</v>
          </cell>
          <cell r="C283" t="str">
            <v>CF_NI_PRE_PREF</v>
          </cell>
          <cell r="D283" t="str">
            <v>CNY</v>
          </cell>
          <cell r="F283">
            <v>51.874124999999999</v>
          </cell>
          <cell r="G283">
            <v>59.949556999999999</v>
          </cell>
          <cell r="H283">
            <v>61.005638000000047</v>
          </cell>
          <cell r="I283">
            <v>73.645976000000033</v>
          </cell>
          <cell r="J283">
            <v>122.39551899999996</v>
          </cell>
          <cell r="K283">
            <v>170.36666000000005</v>
          </cell>
          <cell r="L283">
            <v>244.127161</v>
          </cell>
          <cell r="M283">
            <v>265.17190799999997</v>
          </cell>
          <cell r="N283">
            <v>451.89197699999994</v>
          </cell>
          <cell r="O283">
            <v>568.95431999999971</v>
          </cell>
          <cell r="P283">
            <v>448.73876304527033</v>
          </cell>
          <cell r="Q283">
            <v>350.65414463651894</v>
          </cell>
          <cell r="R283">
            <v>418.54851113930397</v>
          </cell>
          <cell r="S283">
            <v>504.23661993942721</v>
          </cell>
          <cell r="T283">
            <v>607.79567818768373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</row>
        <row r="284">
          <cell r="A284" t="str">
            <v>Other Items</v>
          </cell>
          <cell r="B284">
            <v>0</v>
          </cell>
          <cell r="C284">
            <v>0</v>
          </cell>
          <cell r="D284">
            <v>0</v>
          </cell>
        </row>
        <row r="285">
          <cell r="B285" t="str">
            <v>Beta</v>
          </cell>
          <cell r="C285" t="str">
            <v>BETA_ANALYST</v>
          </cell>
          <cell r="E285">
            <v>0</v>
          </cell>
        </row>
        <row r="286">
          <cell r="B286" t="str">
            <v>Market equity risk premium</v>
          </cell>
          <cell r="C286" t="str">
            <v>MKT_EQ_RISK_PREM</v>
          </cell>
          <cell r="E286">
            <v>0</v>
          </cell>
        </row>
        <row r="287">
          <cell r="B287" t="str">
            <v>Risk-free rate</v>
          </cell>
          <cell r="C287" t="str">
            <v>RISK_FR_RATE</v>
          </cell>
          <cell r="E287">
            <v>0</v>
          </cell>
        </row>
      </sheetData>
      <sheetData sheetId="14"/>
      <sheetData sheetId="15"/>
      <sheetData sheetId="16">
        <row r="1">
          <cell r="A1" t="str">
            <v>Issuer: Maxscend Microelectronics</v>
          </cell>
        </row>
      </sheetData>
      <sheetData sheetId="17">
        <row r="1">
          <cell r="A1" t="str">
            <v>6cb6fcee-7693-4145-9e5a-ed6244f00fb7</v>
          </cell>
        </row>
      </sheetData>
      <sheetData sheetId="18"/>
      <sheetData sheetId="19"/>
      <sheetData sheetId="20">
        <row r="1">
          <cell r="A1" t="str">
            <v>Issuer: Maxscend Microelectronics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AFOSHEET"/>
      <sheetName val="Act Vs Est"/>
      <sheetName val="Act Vs Est_output"/>
      <sheetName val="Valuation"/>
      <sheetName val="Model"/>
      <sheetName val="Revenue"/>
      <sheetName val="Policy"/>
      <sheetName val="Industry"/>
      <sheetName val="Company Data"/>
      <sheetName val="600271.SS_Live_Sheet"/>
      <sheetName val="600271.SS_Validation_Sheet"/>
      <sheetName val="600271.SS_Annotation_Sheet"/>
      <sheetName val="Raw Data"/>
      <sheetName val="Basic Data"/>
      <sheetName val="600271.SS_Exchange_Sheet"/>
      <sheetName val="Ratios"/>
      <sheetName val="Market Data"/>
      <sheetName val="Sheet2"/>
      <sheetName val="Sheet1"/>
      <sheetName val="Exhibit"/>
      <sheetName val="First tak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Issuer: Aisino</v>
          </cell>
          <cell r="C1">
            <v>4083289409</v>
          </cell>
          <cell r="F1">
            <v>2007</v>
          </cell>
          <cell r="G1">
            <v>2008</v>
          </cell>
          <cell r="H1">
            <v>2009</v>
          </cell>
          <cell r="I1">
            <v>2010</v>
          </cell>
          <cell r="J1" t="str">
            <v>2011 Q1</v>
          </cell>
          <cell r="K1" t="str">
            <v>2011 Q2</v>
          </cell>
          <cell r="L1" t="str">
            <v>2011 Q3</v>
          </cell>
          <cell r="M1" t="str">
            <v>2011 Q4</v>
          </cell>
          <cell r="N1">
            <v>2011</v>
          </cell>
          <cell r="O1" t="str">
            <v>2012 Q1</v>
          </cell>
          <cell r="P1" t="str">
            <v>2012 Q2</v>
          </cell>
          <cell r="Q1" t="str">
            <v>2012 Q3</v>
          </cell>
          <cell r="R1" t="str">
            <v>2012 Q4</v>
          </cell>
          <cell r="S1">
            <v>2012</v>
          </cell>
          <cell r="T1" t="str">
            <v>2013 Q1</v>
          </cell>
          <cell r="U1" t="str">
            <v>2013 Q2</v>
          </cell>
          <cell r="V1" t="str">
            <v>2013 Q3</v>
          </cell>
          <cell r="W1" t="str">
            <v>2013 Q4</v>
          </cell>
          <cell r="X1">
            <v>2013</v>
          </cell>
          <cell r="Y1" t="str">
            <v>2014 Q1</v>
          </cell>
          <cell r="Z1" t="str">
            <v>2014 Q2</v>
          </cell>
          <cell r="AA1" t="str">
            <v>2014 Q3</v>
          </cell>
          <cell r="AB1" t="str">
            <v>2014 Q4</v>
          </cell>
          <cell r="AC1">
            <v>2014</v>
          </cell>
          <cell r="AD1" t="str">
            <v>2015 Q1</v>
          </cell>
          <cell r="AE1" t="str">
            <v>2015 Q2</v>
          </cell>
          <cell r="AF1" t="str">
            <v>2015 Q3</v>
          </cell>
          <cell r="AG1" t="str">
            <v>2015 Q4</v>
          </cell>
          <cell r="AH1">
            <v>2015</v>
          </cell>
          <cell r="AI1">
            <v>2016</v>
          </cell>
          <cell r="AJ1">
            <v>2017</v>
          </cell>
          <cell r="AK1">
            <v>2018</v>
          </cell>
          <cell r="AL1">
            <v>2019</v>
          </cell>
          <cell r="AM1">
            <v>2020</v>
          </cell>
        </row>
        <row r="2">
          <cell r="AK2" t="str">
            <v>Estimate</v>
          </cell>
          <cell r="AL2" t="str">
            <v>Estimate</v>
          </cell>
          <cell r="AM2" t="str">
            <v>Estimate</v>
          </cell>
        </row>
        <row r="3">
          <cell r="AK3">
            <v>43465</v>
          </cell>
          <cell r="AL3">
            <v>43830</v>
          </cell>
          <cell r="AM3">
            <v>44196</v>
          </cell>
        </row>
        <row r="4">
          <cell r="A4" t="str">
            <v>Issuer: Aisino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Aisino</v>
          </cell>
        </row>
        <row r="7">
          <cell r="B7" t="str">
            <v>Reporting Currency</v>
          </cell>
          <cell r="C7" t="str">
            <v>CURRENCY_ISO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>
            <v>0</v>
          </cell>
        </row>
        <row r="10">
          <cell r="B10" t="str">
            <v>Compensation &amp; benfits expense</v>
          </cell>
          <cell r="C10" t="str">
            <v>PERSONNEL</v>
          </cell>
          <cell r="D10">
            <v>0</v>
          </cell>
        </row>
        <row r="11">
          <cell r="B11" t="str">
            <v>Cost of goods sold, COGS</v>
          </cell>
          <cell r="C11" t="str">
            <v>COST_GD_SD</v>
          </cell>
          <cell r="D11">
            <v>0</v>
          </cell>
        </row>
        <row r="12">
          <cell r="B12" t="str">
            <v>SG&amp;A, selling, general and admin. expense</v>
          </cell>
          <cell r="C12" t="str">
            <v>SEL_GL_AD</v>
          </cell>
          <cell r="D12">
            <v>0</v>
          </cell>
        </row>
        <row r="13">
          <cell r="B13" t="str">
            <v>Total operating expense</v>
          </cell>
          <cell r="C13" t="str">
            <v>OP_COST</v>
          </cell>
          <cell r="D13">
            <v>0</v>
          </cell>
        </row>
        <row r="14">
          <cell r="B14" t="str">
            <v>R&amp;D expense</v>
          </cell>
          <cell r="C14" t="str">
            <v>RD_EXP</v>
          </cell>
          <cell r="D14">
            <v>0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>
            <v>0</v>
          </cell>
        </row>
        <row r="17">
          <cell r="B17" t="str">
            <v>Total operating expense (excl. D&amp;A)</v>
          </cell>
          <cell r="C17" t="str">
            <v>TOT_OPS_EXP</v>
          </cell>
          <cell r="D17">
            <v>0</v>
          </cell>
        </row>
        <row r="18">
          <cell r="B18" t="str">
            <v>EBITDA</v>
          </cell>
          <cell r="C18" t="str">
            <v>EBITDA_CALC</v>
          </cell>
          <cell r="D18">
            <v>0</v>
          </cell>
        </row>
        <row r="19">
          <cell r="B19" t="str">
            <v>Depreciation</v>
          </cell>
          <cell r="C19" t="str">
            <v>DEPREC</v>
          </cell>
          <cell r="D19">
            <v>0</v>
          </cell>
        </row>
        <row r="20">
          <cell r="B20" t="str">
            <v>Amortization</v>
          </cell>
          <cell r="C20" t="str">
            <v>GOODWILL_AMORT</v>
          </cell>
          <cell r="D20">
            <v>0</v>
          </cell>
        </row>
        <row r="21">
          <cell r="B21" t="str">
            <v>EBIT, operating profit</v>
          </cell>
          <cell r="C21" t="str">
            <v>EBIT</v>
          </cell>
          <cell r="D21">
            <v>0</v>
          </cell>
        </row>
        <row r="22">
          <cell r="B22" t="str">
            <v>Interest income</v>
          </cell>
          <cell r="C22" t="str">
            <v>INT_INC_IND</v>
          </cell>
          <cell r="D22">
            <v>0</v>
          </cell>
        </row>
        <row r="23">
          <cell r="B23" t="str">
            <v>Interest expense</v>
          </cell>
          <cell r="C23" t="str">
            <v>INT_EXP_IND</v>
          </cell>
          <cell r="D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>
            <v>0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>
            <v>0</v>
          </cell>
        </row>
        <row r="28">
          <cell r="B28" t="str">
            <v>Pre-tax profit</v>
          </cell>
          <cell r="C28" t="str">
            <v>PT_PROF</v>
          </cell>
          <cell r="D28">
            <v>0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>
            <v>0</v>
          </cell>
        </row>
        <row r="31">
          <cell r="B31" t="str">
            <v>Lease payments</v>
          </cell>
          <cell r="C31" t="str">
            <v>LEASE_PAY</v>
          </cell>
          <cell r="D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>
            <v>0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>
            <v>0</v>
          </cell>
        </row>
        <row r="34">
          <cell r="B34" t="str">
            <v>Gross interest charge</v>
          </cell>
          <cell r="C34" t="str">
            <v>NET_INT_CH</v>
          </cell>
          <cell r="D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>
            <v>0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>
            <v>0</v>
          </cell>
        </row>
        <row r="38">
          <cell r="B38" t="str">
            <v>Accounts receivable</v>
          </cell>
          <cell r="C38" t="str">
            <v>DEBTORS</v>
          </cell>
          <cell r="D38">
            <v>0</v>
          </cell>
        </row>
        <row r="39">
          <cell r="B39" t="str">
            <v>Inventory</v>
          </cell>
          <cell r="C39" t="str">
            <v>STOCKS</v>
          </cell>
          <cell r="D39">
            <v>0</v>
          </cell>
        </row>
        <row r="40">
          <cell r="B40" t="str">
            <v>Other current assets</v>
          </cell>
          <cell r="C40" t="str">
            <v>OTH_CUR_ASS</v>
          </cell>
          <cell r="D40">
            <v>0</v>
          </cell>
        </row>
        <row r="41">
          <cell r="B41" t="str">
            <v>Total current assets</v>
          </cell>
          <cell r="C41" t="str">
            <v>CUR_ASS</v>
          </cell>
          <cell r="D41">
            <v>0</v>
          </cell>
        </row>
        <row r="42">
          <cell r="B42" t="str">
            <v>Gross fixed assets, PP&amp;E</v>
          </cell>
          <cell r="C42" t="str">
            <v>GR_FIX_ASS</v>
          </cell>
          <cell r="D42">
            <v>0</v>
          </cell>
        </row>
        <row r="43">
          <cell r="B43" t="str">
            <v>Accumulated depreciation</v>
          </cell>
          <cell r="C43" t="str">
            <v>ACC_DDA</v>
          </cell>
          <cell r="D43">
            <v>0</v>
          </cell>
        </row>
        <row r="44">
          <cell r="B44" t="str">
            <v>Net PP&amp;E</v>
          </cell>
          <cell r="C44" t="str">
            <v>NET_FIX_ASS</v>
          </cell>
          <cell r="D44">
            <v>0</v>
          </cell>
        </row>
        <row r="45">
          <cell r="B45" t="str">
            <v>Gross intangibles</v>
          </cell>
          <cell r="C45" t="str">
            <v>GR_INTANG</v>
          </cell>
          <cell r="D45">
            <v>0</v>
          </cell>
        </row>
        <row r="46">
          <cell r="B46" t="str">
            <v>Accumulated amortization</v>
          </cell>
          <cell r="C46" t="str">
            <v>ACC_AMORT</v>
          </cell>
          <cell r="D46">
            <v>0</v>
          </cell>
        </row>
        <row r="47">
          <cell r="B47" t="str">
            <v>Net intangible assets</v>
          </cell>
          <cell r="C47" t="str">
            <v>NET_INTANG</v>
          </cell>
          <cell r="D47">
            <v>0</v>
          </cell>
        </row>
        <row r="48">
          <cell r="B48" t="str">
            <v>Equity method investments</v>
          </cell>
          <cell r="C48" t="str">
            <v>FIX_ASS_INV</v>
          </cell>
          <cell r="D48">
            <v>0</v>
          </cell>
        </row>
        <row r="49">
          <cell r="B49" t="str">
            <v>Investments in securities</v>
          </cell>
          <cell r="C49" t="str">
            <v>INV_SECUR</v>
          </cell>
          <cell r="D49">
            <v>0</v>
          </cell>
        </row>
        <row r="50">
          <cell r="B50" t="str">
            <v>Other long-term assets</v>
          </cell>
          <cell r="C50" t="str">
            <v>OTH_LT_ASS</v>
          </cell>
          <cell r="D50">
            <v>0</v>
          </cell>
        </row>
        <row r="51">
          <cell r="B51" t="str">
            <v>Total assets</v>
          </cell>
          <cell r="C51" t="str">
            <v>TOT_ASSET</v>
          </cell>
          <cell r="D51">
            <v>0</v>
          </cell>
        </row>
        <row r="52">
          <cell r="B52" t="str">
            <v>Accounts payable</v>
          </cell>
          <cell r="C52" t="str">
            <v>ACC_PAY_GQ</v>
          </cell>
          <cell r="D52">
            <v>0</v>
          </cell>
        </row>
        <row r="53">
          <cell r="B53" t="str">
            <v>Short-term debt</v>
          </cell>
          <cell r="C53" t="str">
            <v>SHORT_T_DEBT</v>
          </cell>
          <cell r="D53">
            <v>0</v>
          </cell>
        </row>
        <row r="54">
          <cell r="B54" t="str">
            <v>Other current liabilities</v>
          </cell>
          <cell r="C54" t="str">
            <v>OTH_CUR_LIABS</v>
          </cell>
          <cell r="D54">
            <v>0</v>
          </cell>
        </row>
        <row r="55">
          <cell r="B55" t="str">
            <v>Total current liabilities</v>
          </cell>
          <cell r="C55" t="str">
            <v>SHORT_TERM_LIABS</v>
          </cell>
          <cell r="D55">
            <v>0</v>
          </cell>
        </row>
        <row r="56">
          <cell r="B56" t="str">
            <v>Long-term  debt</v>
          </cell>
          <cell r="C56" t="str">
            <v>LT_DEBT</v>
          </cell>
          <cell r="D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>
            <v>0</v>
          </cell>
        </row>
        <row r="58">
          <cell r="B58" t="str">
            <v>Total long-term liabilities</v>
          </cell>
          <cell r="C58" t="str">
            <v>TOT_LT_LIAB</v>
          </cell>
          <cell r="D58">
            <v>0</v>
          </cell>
        </row>
        <row r="59">
          <cell r="B59" t="str">
            <v>Total liabilities</v>
          </cell>
          <cell r="C59" t="str">
            <v>TOT_LIAB</v>
          </cell>
          <cell r="D59">
            <v>0</v>
          </cell>
        </row>
        <row r="60">
          <cell r="B60" t="str">
            <v>Preferred shares</v>
          </cell>
          <cell r="C60" t="str">
            <v>PREF_SH</v>
          </cell>
          <cell r="D60">
            <v>0</v>
          </cell>
        </row>
        <row r="61">
          <cell r="B61" t="str">
            <v>Total common equity</v>
          </cell>
          <cell r="C61" t="str">
            <v>ORD_SH_FUND</v>
          </cell>
          <cell r="D61">
            <v>0</v>
          </cell>
        </row>
        <row r="62">
          <cell r="B62" t="str">
            <v>Minority interest</v>
          </cell>
          <cell r="C62" t="str">
            <v>MINORITIES</v>
          </cell>
          <cell r="D62">
            <v>0</v>
          </cell>
        </row>
        <row r="63">
          <cell r="B63" t="str">
            <v>Total shareholders' equity</v>
          </cell>
          <cell r="C63" t="str">
            <v>EQ</v>
          </cell>
          <cell r="D63">
            <v>0</v>
          </cell>
        </row>
        <row r="64">
          <cell r="B64" t="str">
            <v>Total liabilities and equity</v>
          </cell>
          <cell r="C64" t="str">
            <v>TOT_LIAB_EQ</v>
          </cell>
          <cell r="D64">
            <v>0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>
            <v>0</v>
          </cell>
        </row>
        <row r="67">
          <cell r="B67" t="str">
            <v>Capitalized leases</v>
          </cell>
          <cell r="C67" t="str">
            <v>CAP_LEASES</v>
          </cell>
          <cell r="D67">
            <v>0</v>
          </cell>
        </row>
        <row r="68">
          <cell r="B68" t="str">
            <v>Deferred income taxes</v>
          </cell>
          <cell r="C68" t="str">
            <v>DEF_INC_TAX</v>
          </cell>
          <cell r="D68">
            <v>0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>
            <v>0</v>
          </cell>
        </row>
        <row r="70">
          <cell r="B70" t="str">
            <v>Net debt adjustment</v>
          </cell>
          <cell r="C70" t="str">
            <v>NET_DEBT_ADJ</v>
          </cell>
          <cell r="D70">
            <v>0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>
            <v>0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>
            <v>0</v>
          </cell>
        </row>
        <row r="76">
          <cell r="B76" t="str">
            <v>Other GCI adjustments</v>
          </cell>
          <cell r="C76" t="str">
            <v>OTH_GCI_ADJ</v>
          </cell>
          <cell r="D76">
            <v>0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>
            <v>0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>
            <v>0</v>
          </cell>
        </row>
        <row r="81">
          <cell r="B81" t="str">
            <v>Depreciation &amp; amortization add-back</v>
          </cell>
          <cell r="C81" t="str">
            <v>DEPR_AMORT</v>
          </cell>
          <cell r="D81">
            <v>0</v>
          </cell>
        </row>
        <row r="82">
          <cell r="B82" t="str">
            <v>(Increase)/decrease in working capital</v>
          </cell>
          <cell r="C82" t="str">
            <v>WORK_CAP</v>
          </cell>
          <cell r="D82">
            <v>0</v>
          </cell>
        </row>
        <row r="83">
          <cell r="B83" t="str">
            <v>Other operating cash flow items</v>
          </cell>
          <cell r="C83" t="str">
            <v>OTH_OP_CF</v>
          </cell>
          <cell r="D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>
            <v>0</v>
          </cell>
        </row>
        <row r="85">
          <cell r="B85" t="str">
            <v>Capital expenditures, Capex</v>
          </cell>
          <cell r="C85" t="str">
            <v>CAPEX</v>
          </cell>
          <cell r="D85">
            <v>0</v>
          </cell>
        </row>
        <row r="86">
          <cell r="B86" t="str">
            <v>Acquisitions</v>
          </cell>
          <cell r="C86" t="str">
            <v>ACQ</v>
          </cell>
          <cell r="D86">
            <v>0</v>
          </cell>
        </row>
        <row r="87">
          <cell r="B87" t="str">
            <v>Divestitures</v>
          </cell>
          <cell r="C87" t="str">
            <v>DIVEST</v>
          </cell>
          <cell r="D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>
            <v>0</v>
          </cell>
        </row>
        <row r="89">
          <cell r="B89" t="str">
            <v>Cash flow from investing</v>
          </cell>
          <cell r="C89" t="str">
            <v>CF_INV</v>
          </cell>
          <cell r="D89">
            <v>0</v>
          </cell>
        </row>
        <row r="90">
          <cell r="B90" t="str">
            <v>Dividends paid</v>
          </cell>
          <cell r="C90" t="str">
            <v>DIV_PAID</v>
          </cell>
          <cell r="D90">
            <v>0</v>
          </cell>
        </row>
        <row r="91">
          <cell r="B91" t="str">
            <v>Common stock issuance/(repurchase)</v>
          </cell>
          <cell r="C91" t="str">
            <v>SH_REPUR</v>
          </cell>
          <cell r="D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>
            <v>0</v>
          </cell>
        </row>
        <row r="94">
          <cell r="B94" t="str">
            <v>Cash flow from financing</v>
          </cell>
          <cell r="C94" t="str">
            <v>CF_FIN</v>
          </cell>
          <cell r="D94">
            <v>0</v>
          </cell>
        </row>
        <row r="95">
          <cell r="B95" t="str">
            <v>Total cash flow</v>
          </cell>
          <cell r="C95" t="str">
            <v>TOT_CF</v>
          </cell>
          <cell r="D95">
            <v>0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>
            <v>0</v>
          </cell>
        </row>
        <row r="98">
          <cell r="B98" t="str">
            <v>Profit/(loss) on sale of assets</v>
          </cell>
          <cell r="C98" t="str">
            <v>PL_SALE_ASSETS</v>
          </cell>
          <cell r="D98">
            <v>0</v>
          </cell>
        </row>
        <row r="99">
          <cell r="B99" t="str">
            <v>Other non-cash adjustments</v>
          </cell>
          <cell r="C99" t="str">
            <v>OTH_NONCASH_ADJ</v>
          </cell>
          <cell r="D99">
            <v>0</v>
          </cell>
        </row>
        <row r="100">
          <cell r="B100" t="str">
            <v>Other DACF adjustments</v>
          </cell>
          <cell r="C100" t="str">
            <v>OTH_DACF_ADJ</v>
          </cell>
          <cell r="D100">
            <v>0</v>
          </cell>
        </row>
        <row r="101">
          <cell r="B101" t="str">
            <v>Cash interest expense</v>
          </cell>
          <cell r="C101" t="str">
            <v>CASH_INT_EXP</v>
          </cell>
          <cell r="D101">
            <v>0</v>
          </cell>
        </row>
        <row r="102">
          <cell r="B102" t="str">
            <v>Cash tax expense</v>
          </cell>
          <cell r="C102" t="str">
            <v>CASH_TAX_EXP</v>
          </cell>
          <cell r="D102">
            <v>0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>
            <v>0</v>
          </cell>
        </row>
        <row r="104">
          <cell r="B104" t="str">
            <v>Capex maintenance</v>
          </cell>
          <cell r="C104" t="str">
            <v>CAPEX_MAINTENANCE</v>
          </cell>
          <cell r="D104">
            <v>0</v>
          </cell>
        </row>
        <row r="105">
          <cell r="B105" t="str">
            <v>Capex expansion</v>
          </cell>
          <cell r="C105" t="str">
            <v>CAPEX_EXPANSION</v>
          </cell>
          <cell r="D105">
            <v>0</v>
          </cell>
        </row>
        <row r="106">
          <cell r="B106" t="str">
            <v>Non-PP&amp;E capex</v>
          </cell>
          <cell r="C106" t="str">
            <v>NONPPE_CAPEX</v>
          </cell>
          <cell r="D106">
            <v>0</v>
          </cell>
        </row>
        <row r="107">
          <cell r="B107" t="str">
            <v>Dividends paid to minorities</v>
          </cell>
          <cell r="C107" t="str">
            <v>DIVDS_PD_MINORITIES</v>
          </cell>
          <cell r="D107">
            <v>0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3">
          <cell r="B113" t="str">
            <v>Sales - % Brazil</v>
          </cell>
          <cell r="C113" t="str">
            <v>SALES_BRAZIL</v>
          </cell>
        </row>
        <row r="114">
          <cell r="B114" t="str">
            <v>Sales - % Other Americas</v>
          </cell>
          <cell r="C114" t="str">
            <v>SALES_OTH_AM</v>
          </cell>
        </row>
        <row r="115">
          <cell r="B115" t="str">
            <v>Sales - Total % EMEA</v>
          </cell>
          <cell r="C115" t="str">
            <v>SALES_TOT_EMEA</v>
          </cell>
        </row>
        <row r="116">
          <cell r="B116" t="str">
            <v>Sales - % UK</v>
          </cell>
          <cell r="C116" t="str">
            <v>SALES_UK</v>
          </cell>
        </row>
        <row r="117">
          <cell r="B117" t="str">
            <v>Sales - % Western Europe-Ex UK</v>
          </cell>
          <cell r="C117" t="str">
            <v>SALES_EU_EX_UK</v>
          </cell>
        </row>
        <row r="118">
          <cell r="B118" t="str">
            <v>Sales - % Central &amp; Eastern Europe</v>
          </cell>
          <cell r="C118" t="str">
            <v>SALES_CEE</v>
          </cell>
        </row>
        <row r="119">
          <cell r="B119" t="str">
            <v>Sales - % Middle East</v>
          </cell>
          <cell r="C119" t="str">
            <v>SALES_ME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</row>
        <row r="122">
          <cell r="B122" t="str">
            <v>Sales - % Other EMEA</v>
          </cell>
          <cell r="C122" t="str">
            <v>SALES_OTH_EMEA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</row>
        <row r="124">
          <cell r="B124" t="str">
            <v>Sales - % Japan</v>
          </cell>
          <cell r="C124" t="str">
            <v>SALES_JAPAN</v>
          </cell>
        </row>
        <row r="125">
          <cell r="B125" t="str">
            <v>Sales - % China</v>
          </cell>
          <cell r="C125" t="str">
            <v>SALES_CHINA</v>
          </cell>
        </row>
        <row r="126">
          <cell r="B126" t="str">
            <v>Sales - % India</v>
          </cell>
          <cell r="C126" t="str">
            <v>SALES_INDIA</v>
          </cell>
        </row>
        <row r="127">
          <cell r="B127" t="str">
            <v>Sales - % South Korea</v>
          </cell>
          <cell r="C127" t="str">
            <v>SALES_SK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</row>
        <row r="130">
          <cell r="B130" t="str">
            <v>Sales - % Others</v>
          </cell>
          <cell r="C130" t="str">
            <v>SALES_OTHER</v>
          </cell>
        </row>
        <row r="131">
          <cell r="B131" t="str">
            <v>Sales -% Consumer (C)</v>
          </cell>
          <cell r="C131" t="str">
            <v>SALES_CONS</v>
          </cell>
        </row>
        <row r="132">
          <cell r="B132" t="str">
            <v>Sales -% Industry (I)</v>
          </cell>
          <cell r="C132" t="str">
            <v>SALES_IND</v>
          </cell>
        </row>
        <row r="133">
          <cell r="B133" t="str">
            <v>Sales -% Government (G)</v>
          </cell>
          <cell r="C133" t="str">
            <v>SALES_GOV</v>
          </cell>
        </row>
        <row r="134">
          <cell r="B134" t="str">
            <v>Sales - % Industry Sub-Segment: Financial Services</v>
          </cell>
          <cell r="C134" t="str">
            <v>SALES_FINAN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</row>
        <row r="145">
          <cell r="B145" t="str">
            <v>Sales - % FX: Euro</v>
          </cell>
          <cell r="C145" t="str">
            <v>SALES_FX_EUR</v>
          </cell>
        </row>
        <row r="146">
          <cell r="B146" t="str">
            <v>Sales - % FX: New Russian Ruble</v>
          </cell>
          <cell r="C146" t="str">
            <v>SALES_FX_RUB</v>
          </cell>
        </row>
        <row r="147">
          <cell r="B147" t="str">
            <v>Sales - % FX: U.S. Dollar</v>
          </cell>
          <cell r="C147" t="str">
            <v>SALES_FX_USD</v>
          </cell>
        </row>
        <row r="148">
          <cell r="B148" t="str">
            <v>Sales - % FX: Brazilian Real</v>
          </cell>
          <cell r="C148" t="str">
            <v>SALES_FX_BRL</v>
          </cell>
        </row>
        <row r="149">
          <cell r="B149" t="str">
            <v>Sales - % FX: Japanese Yen</v>
          </cell>
          <cell r="C149" t="str">
            <v>SALES_FX_YEN</v>
          </cell>
        </row>
        <row r="150">
          <cell r="B150" t="str">
            <v>Sales - % FX: Chinese Renminbi</v>
          </cell>
          <cell r="C150" t="str">
            <v>SALES_FX_CNY</v>
          </cell>
        </row>
        <row r="151">
          <cell r="B151" t="str">
            <v>Sales - % FX: Indian Rupee</v>
          </cell>
          <cell r="C151" t="str">
            <v>SALES_FX_INR</v>
          </cell>
        </row>
        <row r="152">
          <cell r="B152" t="str">
            <v>Sales - % FX: South Korean Won</v>
          </cell>
          <cell r="C152" t="str">
            <v>SALES_FX_KRW</v>
          </cell>
        </row>
        <row r="153">
          <cell r="B153" t="str">
            <v>Sales - % FX: Taiwan Dollar</v>
          </cell>
          <cell r="C153" t="str">
            <v>SALES_FX_TWD</v>
          </cell>
        </row>
        <row r="154">
          <cell r="B154" t="str">
            <v>Sales - % FX: Other Currency</v>
          </cell>
          <cell r="C154" t="str">
            <v>SALES_FX_OTH</v>
          </cell>
        </row>
        <row r="155">
          <cell r="A155" t="str">
            <v>Security: Aisino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600271.SS</v>
          </cell>
        </row>
        <row r="158">
          <cell r="B158" t="str">
            <v>Security Name</v>
          </cell>
          <cell r="C158" t="str">
            <v>Security Name</v>
          </cell>
          <cell r="E158" t="str">
            <v>Aisino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</row>
        <row r="161">
          <cell r="B161" t="str">
            <v>Pricing Currency</v>
          </cell>
          <cell r="C161" t="str">
            <v>PRICE_CURRENCY_ISO</v>
          </cell>
        </row>
        <row r="162">
          <cell r="B162" t="str">
            <v>Reporting Currency</v>
          </cell>
          <cell r="C162" t="str">
            <v>CURRENCY_ISO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</row>
        <row r="165">
          <cell r="B165" t="str">
            <v>Asia Pacific Conviction List</v>
          </cell>
          <cell r="C165" t="str">
            <v>AEJ_CONVICTION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>
            <v>0</v>
          </cell>
        </row>
        <row r="168">
          <cell r="B168" t="str">
            <v>Target price period</v>
          </cell>
          <cell r="C168" t="str">
            <v>TP_PERIOD</v>
          </cell>
        </row>
        <row r="169">
          <cell r="B169" t="str">
            <v>Current shares outstanding (mn)</v>
          </cell>
          <cell r="C169" t="str">
            <v>NUM_SH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</row>
        <row r="183">
          <cell r="B183" t="str">
            <v>Target price methodology</v>
          </cell>
          <cell r="C183" t="str">
            <v>PRI_TARG_METH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>
            <v>0</v>
          </cell>
        </row>
        <row r="186">
          <cell r="B186" t="str">
            <v>DPS, dividend per share (Pub)</v>
          </cell>
          <cell r="C186" t="str">
            <v>DPS_PUB</v>
          </cell>
          <cell r="D186">
            <v>0</v>
          </cell>
        </row>
        <row r="187">
          <cell r="B187" t="str">
            <v>Special dividend per share</v>
          </cell>
          <cell r="C187" t="str">
            <v>DPS_SPECIAL_PUB</v>
          </cell>
          <cell r="D187">
            <v>0</v>
          </cell>
        </row>
        <row r="188">
          <cell r="B188" t="str">
            <v>EBITDA (Pub)</v>
          </cell>
          <cell r="C188" t="str">
            <v>EBITDA_PUB</v>
          </cell>
          <cell r="D188">
            <v>0</v>
          </cell>
        </row>
        <row r="189">
          <cell r="B189" t="str">
            <v>EPS (Pub)</v>
          </cell>
          <cell r="C189" t="str">
            <v>EPS_PUB</v>
          </cell>
          <cell r="D189">
            <v>0</v>
          </cell>
        </row>
        <row r="190">
          <cell r="B190" t="str">
            <v>EV adjustment (Pub)</v>
          </cell>
          <cell r="C190" t="str">
            <v>EV_ADJ_PUB</v>
          </cell>
          <cell r="D190">
            <v>0</v>
          </cell>
        </row>
        <row r="191">
          <cell r="B191" t="str">
            <v>Net debt (Pub)</v>
          </cell>
          <cell r="C191" t="str">
            <v>NET_DEBT_PUB</v>
          </cell>
          <cell r="D191">
            <v>0</v>
          </cell>
        </row>
        <row r="192">
          <cell r="B192" t="str">
            <v>Net income (Pub)</v>
          </cell>
          <cell r="C192" t="str">
            <v>NI_PUB</v>
          </cell>
          <cell r="D192">
            <v>0</v>
          </cell>
        </row>
        <row r="193">
          <cell r="B193" t="str">
            <v>EBIT, operating profit (Pub)</v>
          </cell>
          <cell r="C193" t="str">
            <v>EBIT_PUB</v>
          </cell>
          <cell r="D193">
            <v>0</v>
          </cell>
        </row>
        <row r="194">
          <cell r="B194" t="str">
            <v>Pre-tax profit (Pub)</v>
          </cell>
          <cell r="C194" t="str">
            <v>PTP_PUB</v>
          </cell>
          <cell r="D194">
            <v>0</v>
          </cell>
        </row>
        <row r="195">
          <cell r="B195" t="str">
            <v>Sales, revenue (Pub)</v>
          </cell>
          <cell r="C195" t="str">
            <v>REVS_PUB</v>
          </cell>
          <cell r="D195">
            <v>0</v>
          </cell>
        </row>
        <row r="196">
          <cell r="B196" t="str">
            <v>Total shareholders' equity (Pub)</v>
          </cell>
          <cell r="C196" t="str">
            <v>EQ_PUB</v>
          </cell>
          <cell r="D196">
            <v>0</v>
          </cell>
        </row>
        <row r="197">
          <cell r="B197" t="str">
            <v>EPS (consensus)</v>
          </cell>
          <cell r="C197" t="str">
            <v>EPS_CONS_PUB</v>
          </cell>
          <cell r="D197">
            <v>0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>
            <v>0</v>
          </cell>
        </row>
        <row r="200">
          <cell r="B200" t="str">
            <v>Minority interest</v>
          </cell>
          <cell r="C200" t="str">
            <v>INC_MINORITY</v>
          </cell>
          <cell r="D200">
            <v>0</v>
          </cell>
        </row>
        <row r="201">
          <cell r="B201" t="str">
            <v>Net income (pre-preferred dividends)</v>
          </cell>
          <cell r="C201" t="str">
            <v>NI_PRE_PREF</v>
          </cell>
          <cell r="D201">
            <v>0</v>
          </cell>
        </row>
        <row r="202">
          <cell r="B202" t="str">
            <v>Preferred dividends</v>
          </cell>
          <cell r="C202" t="str">
            <v>PREF_DIV</v>
          </cell>
          <cell r="D202">
            <v>0</v>
          </cell>
        </row>
        <row r="203">
          <cell r="B203" t="str">
            <v>Net income (pre-exceptionals)</v>
          </cell>
          <cell r="C203" t="str">
            <v>NET_EARNING</v>
          </cell>
          <cell r="D203">
            <v>0</v>
          </cell>
        </row>
        <row r="204">
          <cell r="B204" t="str">
            <v>Post-tax exceptionals</v>
          </cell>
          <cell r="C204" t="str">
            <v>TAX_EXC</v>
          </cell>
          <cell r="D204">
            <v>0</v>
          </cell>
        </row>
        <row r="205">
          <cell r="B205" t="str">
            <v>Net income (post-exceptionals)</v>
          </cell>
          <cell r="C205" t="str">
            <v>NET_INC</v>
          </cell>
          <cell r="D205">
            <v>0</v>
          </cell>
        </row>
        <row r="206">
          <cell r="B206" t="str">
            <v>EPS (pre-exceptionals, basic)</v>
          </cell>
          <cell r="C206" t="str">
            <v>EPS</v>
          </cell>
          <cell r="D206">
            <v>0</v>
          </cell>
        </row>
        <row r="207">
          <cell r="B207" t="str">
            <v>EPS (pre-exceptionals, diluted)</v>
          </cell>
          <cell r="C207" t="str">
            <v>EPS_FUL_DIL</v>
          </cell>
          <cell r="D207">
            <v>0</v>
          </cell>
        </row>
        <row r="208">
          <cell r="B208" t="str">
            <v>EPS (post-exceptionals, basic)</v>
          </cell>
          <cell r="C208" t="str">
            <v>EPS_POST_BASIC</v>
          </cell>
          <cell r="D208">
            <v>0</v>
          </cell>
        </row>
        <row r="209">
          <cell r="B209" t="str">
            <v>EPS (post-exceptionals, diluted)</v>
          </cell>
          <cell r="C209" t="str">
            <v>FULLY_DIL_EPS</v>
          </cell>
          <cell r="D209">
            <v>0</v>
          </cell>
        </row>
        <row r="210">
          <cell r="B210" t="str">
            <v>Common dividends paid</v>
          </cell>
          <cell r="C210" t="str">
            <v>COMMON_DIV_PAID</v>
          </cell>
          <cell r="D210">
            <v>0</v>
          </cell>
        </row>
        <row r="211">
          <cell r="B211" t="str">
            <v>DPS, dividend per share</v>
          </cell>
          <cell r="C211" t="str">
            <v>DPS</v>
          </cell>
          <cell r="D211">
            <v>0</v>
          </cell>
        </row>
        <row r="212">
          <cell r="B212" t="str">
            <v>Weighted average shares outstanding, basic</v>
          </cell>
          <cell r="C212" t="str">
            <v>SH</v>
          </cell>
        </row>
        <row r="213">
          <cell r="B213" t="str">
            <v>Diluted average shares outstanding (mn)</v>
          </cell>
          <cell r="C213" t="str">
            <v>DILUTE_SHARES</v>
          </cell>
        </row>
        <row r="214">
          <cell r="B214" t="str">
            <v>Period-end shares outstanding</v>
          </cell>
          <cell r="C214" t="str">
            <v>NON_OP_ADD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</row>
        <row r="217">
          <cell r="B217" t="str">
            <v>Net income (consensus) (Pub)</v>
          </cell>
          <cell r="C217" t="str">
            <v>NI_CONS</v>
          </cell>
          <cell r="D217">
            <v>0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>
            <v>0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>
            <v>0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</row>
      </sheetData>
      <sheetData sheetId="14" refreshError="1">
        <row r="1">
          <cell r="A1" t="str">
            <v>3c58faff-cc86-4d90-b155-a854abb27622</v>
          </cell>
        </row>
        <row r="2">
          <cell r="A2" t="str">
            <v>N:\DLu\SLi\Models\Aisino\[Copy of GS Aisino model 20150824WIP.xlsm]600271.SS_Validation_Sheet</v>
          </cell>
        </row>
        <row r="7">
          <cell r="A7" t="str">
            <v>Scalar|||208015656|||ISSR|||CURRENCY_ISO|||False|||</v>
          </cell>
          <cell r="C7" t="str">
            <v>V_KEYWORD_ISSR_208015656_CURRENCY_ISO</v>
          </cell>
          <cell r="E7" t="str">
            <v>ERROR</v>
          </cell>
        </row>
        <row r="9">
          <cell r="A9" t="str">
            <v>Vector|||208015656|||ISSR|||SALES|||False|||</v>
          </cell>
          <cell r="C9" t="str">
            <v>V_KEYWORD_ISSR_208015656_SALES</v>
          </cell>
        </row>
        <row r="10">
          <cell r="A10" t="str">
            <v>Vector|||208015656|||ISSR|||PERSONNEL|||False|||</v>
          </cell>
          <cell r="C10" t="str">
            <v>V_KEYWORD_ISSR_208015656_PERSONNEL</v>
          </cell>
        </row>
        <row r="11">
          <cell r="A11" t="str">
            <v>Vector|||208015656|||ISSR|||COST_GD_SD|||False|||</v>
          </cell>
          <cell r="C11" t="str">
            <v>V_KEYWORD_ISSR_208015656_COST_GD_SD</v>
          </cell>
        </row>
        <row r="12">
          <cell r="A12" t="str">
            <v>Vector|||208015656|||ISSR|||SEL_GL_AD|||False|||</v>
          </cell>
          <cell r="C12" t="str">
            <v>V_KEYWORD_ISSR_208015656_SEL_GL_AD</v>
          </cell>
        </row>
        <row r="13">
          <cell r="A13" t="str">
            <v>Vector|||208015656|||ISSR|||OP_COST|||False|||</v>
          </cell>
          <cell r="C13" t="str">
            <v>V_KEYWORD_ISSR_208015656_OP_COST</v>
          </cell>
        </row>
        <row r="14">
          <cell r="A14" t="str">
            <v>Vector|||208015656|||ISSR|||RD_EXP|||False|||</v>
          </cell>
          <cell r="C14" t="str">
            <v>V_KEYWORD_ISSR_208015656_RD_EXP</v>
          </cell>
        </row>
        <row r="15">
          <cell r="A15" t="str">
            <v>Vector|||208015656|||ISSR|||OTH_OP_INC_EXP|||False|||</v>
          </cell>
          <cell r="C15" t="str">
            <v>V_KEYWORD_ISSR_208015656_OTH_OP_INC_EXP</v>
          </cell>
        </row>
        <row r="16">
          <cell r="A16" t="str">
            <v>Vector|||208015656|||ISSR|||TOT_OPS_EXP_DDA|||False|||</v>
          </cell>
          <cell r="C16" t="str">
            <v>V_KEYWORD_ISSR_208015656_TOT_OPS_EXP_DDA</v>
          </cell>
        </row>
        <row r="17">
          <cell r="A17" t="str">
            <v>Vector|||208015656|||ISSR|||TOT_OPS_EXP|||False|||</v>
          </cell>
          <cell r="C17" t="str">
            <v>V_KEYWORD_ISSR_208015656_TOT_OPS_EXP</v>
          </cell>
        </row>
        <row r="18">
          <cell r="A18" t="str">
            <v>Vector|||208015656|||ISSR|||EBITDA_CALC|||False|||</v>
          </cell>
          <cell r="C18" t="str">
            <v>V_KEYWORD_ISSR_208015656_EBITDA_CALC</v>
          </cell>
        </row>
        <row r="19">
          <cell r="A19" t="str">
            <v>Vector|||208015656|||ISSR|||DEPREC|||False|||</v>
          </cell>
          <cell r="C19" t="str">
            <v>V_KEYWORD_ISSR_208015656_DEPREC</v>
          </cell>
        </row>
        <row r="20">
          <cell r="A20" t="str">
            <v>Vector|||208015656|||ISSR|||GOODWILL_AMORT|||False|||</v>
          </cell>
          <cell r="C20" t="str">
            <v>V_KEYWORD_ISSR_208015656_GOODWILL_AMORT</v>
          </cell>
        </row>
        <row r="21">
          <cell r="A21" t="str">
            <v>Vector|||208015656|||ISSR|||EBIT|||False|||</v>
          </cell>
          <cell r="C21" t="str">
            <v>V_KEYWORD_ISSR_208015656_EBIT</v>
          </cell>
        </row>
        <row r="22">
          <cell r="A22" t="str">
            <v>Vector|||208015656|||ISSR|||INT_INC_IND|||False|||</v>
          </cell>
          <cell r="C22" t="str">
            <v>V_KEYWORD_ISSR_208015656_INT_INC_IND</v>
          </cell>
        </row>
        <row r="23">
          <cell r="A23" t="str">
            <v>Vector|||208015656|||ISSR|||INT_EXP_IND|||False|||</v>
          </cell>
          <cell r="C23" t="str">
            <v>V_KEYWORD_ISSR_208015656_INT_EXP_IND</v>
          </cell>
        </row>
        <row r="24">
          <cell r="A24" t="str">
            <v>Vector|||208015656|||ISSR|||NET_INT_EXP|||False|||</v>
          </cell>
          <cell r="C24" t="str">
            <v>V_KEYWORD_ISSR_208015656_NET_INT_EXP</v>
          </cell>
        </row>
        <row r="25">
          <cell r="A25" t="str">
            <v>Vector|||208015656|||ISSR|||ASSOCIATE|||False|||</v>
          </cell>
          <cell r="C25" t="str">
            <v>V_KEYWORD_ISSR_208015656_ASSOCIATE</v>
          </cell>
        </row>
        <row r="26">
          <cell r="A26" t="str">
            <v>Vector|||208015656|||ISSR|||PROFIT_ON_DISP|||False|||</v>
          </cell>
          <cell r="C26" t="str">
            <v>V_KEYWORD_ISSR_208015656_PROFIT_ON_DISP</v>
          </cell>
        </row>
        <row r="27">
          <cell r="A27" t="str">
            <v>Vector|||208015656|||ISSR|||OTH_COST_INC|||False|||</v>
          </cell>
          <cell r="C27" t="str">
            <v>V_KEYWORD_ISSR_208015656_OTH_COST_INC</v>
          </cell>
        </row>
        <row r="28">
          <cell r="A28" t="str">
            <v>Vector|||208015656|||ISSR|||PT_PROF|||False|||</v>
          </cell>
          <cell r="C28" t="str">
            <v>V_KEYWORD_ISSR_208015656_PT_PROF</v>
          </cell>
        </row>
        <row r="30">
          <cell r="A30" t="str">
            <v>Vector|||208015656|||ISSR|||CONTRIB_MARGIN_RATIO|||False|||</v>
          </cell>
          <cell r="C30" t="str">
            <v>V_KEYWORD_ISSR_208015656_CONTRIB_MARGIN_RATIO</v>
          </cell>
        </row>
        <row r="31">
          <cell r="A31" t="str">
            <v>Vector|||208015656|||ISSR|||LEASE_PAY|||False|||</v>
          </cell>
          <cell r="C31" t="str">
            <v>V_KEYWORD_ISSR_208015656_LEASE_PAY</v>
          </cell>
        </row>
        <row r="32">
          <cell r="A32" t="str">
            <v>Vector|||208015656|||ISSR|||LEASE_DEEM_INT|||False|||</v>
          </cell>
          <cell r="C32" t="str">
            <v>V_KEYWORD_ISSR_208015656_LEASE_DEEM_INT</v>
          </cell>
        </row>
        <row r="33">
          <cell r="A33" t="str">
            <v>Vector|||208015656|||ISSR|||LEASE_DEEM_DEPR|||False|||</v>
          </cell>
          <cell r="C33" t="str">
            <v>V_KEYWORD_ISSR_208015656_LEASE_DEEM_DEPR</v>
          </cell>
        </row>
        <row r="34">
          <cell r="A34" t="str">
            <v>Vector|||208015656|||ISSR|||NET_INT_CH|||False|||</v>
          </cell>
          <cell r="C34" t="str">
            <v>V_KEYWORD_ISSR_208015656_NET_INT_CH</v>
          </cell>
        </row>
        <row r="35">
          <cell r="A35" t="str">
            <v>Vector|||208015656|||ISSR|||ASSOCIATE_OP|||False|||</v>
          </cell>
          <cell r="C35" t="str">
            <v>V_KEYWORD_ISSR_208015656_ASSOCIATE_OP</v>
          </cell>
        </row>
        <row r="37">
          <cell r="A37" t="str">
            <v>Vector|||208015656|||ISSR|||CASH_EQ|||False|||</v>
          </cell>
          <cell r="C37" t="str">
            <v>V_KEYWORD_ISSR_208015656_CASH_EQ</v>
          </cell>
        </row>
        <row r="38">
          <cell r="A38" t="str">
            <v>Vector|||208015656|||ISSR|||DEBTORS|||False|||</v>
          </cell>
          <cell r="C38" t="str">
            <v>V_KEYWORD_ISSR_208015656_DEBTORS</v>
          </cell>
        </row>
        <row r="39">
          <cell r="A39" t="str">
            <v>Vector|||208015656|||ISSR|||STOCKS|||False|||</v>
          </cell>
          <cell r="C39" t="str">
            <v>V_KEYWORD_ISSR_208015656_STOCKS</v>
          </cell>
        </row>
        <row r="40">
          <cell r="A40" t="str">
            <v>Vector|||208015656|||ISSR|||OTH_CUR_ASS|||False|||</v>
          </cell>
          <cell r="C40" t="str">
            <v>V_KEYWORD_ISSR_208015656_OTH_CUR_ASS</v>
          </cell>
        </row>
        <row r="41">
          <cell r="A41" t="str">
            <v>Vector|||208015656|||ISSR|||CUR_ASS|||False|||</v>
          </cell>
          <cell r="C41" t="str">
            <v>V_KEYWORD_ISSR_208015656_CUR_ASS</v>
          </cell>
        </row>
        <row r="42">
          <cell r="A42" t="str">
            <v>Vector|||208015656|||ISSR|||GR_FIX_ASS|||False|||</v>
          </cell>
          <cell r="C42" t="str">
            <v>V_KEYWORD_ISSR_208015656_GR_FIX_ASS</v>
          </cell>
        </row>
        <row r="43">
          <cell r="A43" t="str">
            <v>Vector|||208015656|||ISSR|||ACC_DDA|||False|||</v>
          </cell>
          <cell r="C43" t="str">
            <v>V_KEYWORD_ISSR_208015656_ACC_DDA</v>
          </cell>
        </row>
        <row r="44">
          <cell r="A44" t="str">
            <v>Vector|||208015656|||ISSR|||NET_FIX_ASS|||False|||</v>
          </cell>
          <cell r="C44" t="str">
            <v>V_KEYWORD_ISSR_208015656_NET_FIX_ASS</v>
          </cell>
        </row>
        <row r="45">
          <cell r="A45" t="str">
            <v>Vector|||208015656|||ISSR|||GR_INTANG|||False|||</v>
          </cell>
          <cell r="C45" t="str">
            <v>V_KEYWORD_ISSR_208015656_GR_INTANG</v>
          </cell>
        </row>
        <row r="46">
          <cell r="A46" t="str">
            <v>Vector|||208015656|||ISSR|||ACC_AMORT|||False|||</v>
          </cell>
          <cell r="C46" t="str">
            <v>V_KEYWORD_ISSR_208015656_ACC_AMORT</v>
          </cell>
        </row>
        <row r="47">
          <cell r="A47" t="str">
            <v>Vector|||208015656|||ISSR|||NET_INTANG|||False|||</v>
          </cell>
          <cell r="C47" t="str">
            <v>V_KEYWORD_ISSR_208015656_NET_INTANG</v>
          </cell>
        </row>
        <row r="48">
          <cell r="A48" t="str">
            <v>Vector|||208015656|||ISSR|||FIX_ASS_INV|||False|||</v>
          </cell>
          <cell r="C48" t="str">
            <v>V_KEYWORD_ISSR_208015656_FIX_ASS_INV</v>
          </cell>
        </row>
        <row r="49">
          <cell r="A49" t="str">
            <v>Vector|||208015656|||ISSR|||INV_SECUR|||False|||</v>
          </cell>
          <cell r="C49" t="str">
            <v>V_KEYWORD_ISSR_208015656_INV_SECUR</v>
          </cell>
        </row>
        <row r="50">
          <cell r="A50" t="str">
            <v>Vector|||208015656|||ISSR|||OTH_LT_ASS|||False|||</v>
          </cell>
          <cell r="C50" t="str">
            <v>V_KEYWORD_ISSR_208015656_OTH_LT_ASS</v>
          </cell>
        </row>
        <row r="51">
          <cell r="A51" t="str">
            <v>Vector|||208015656|||ISSR|||TOT_ASSET|||False|||</v>
          </cell>
          <cell r="C51" t="str">
            <v>V_KEYWORD_ISSR_208015656_TOT_ASSET</v>
          </cell>
        </row>
        <row r="52">
          <cell r="A52" t="str">
            <v>Vector|||208015656|||ISSR|||ACC_PAY_GQ|||False|||</v>
          </cell>
          <cell r="C52" t="str">
            <v>V_KEYWORD_ISSR_208015656_ACC_PAY_GQ</v>
          </cell>
        </row>
        <row r="53">
          <cell r="A53" t="str">
            <v>Vector|||208015656|||ISSR|||SHORT_T_DEBT|||False|||</v>
          </cell>
          <cell r="C53" t="str">
            <v>V_KEYWORD_ISSR_208015656_SHORT_T_DEBT</v>
          </cell>
        </row>
        <row r="54">
          <cell r="A54" t="str">
            <v>Vector|||208015656|||ISSR|||OTH_CUR_LIABS|||False|||</v>
          </cell>
          <cell r="C54" t="str">
            <v>V_KEYWORD_ISSR_208015656_OTH_CUR_LIABS</v>
          </cell>
        </row>
        <row r="55">
          <cell r="A55" t="str">
            <v>Vector|||208015656|||ISSR|||SHORT_TERM_LIABS|||False|||</v>
          </cell>
          <cell r="C55" t="str">
            <v>V_KEYWORD_ISSR_208015656_SHORT_TERM_LIABS</v>
          </cell>
        </row>
        <row r="56">
          <cell r="A56" t="str">
            <v>Vector|||208015656|||ISSR|||LT_DEBT|||False|||</v>
          </cell>
          <cell r="C56" t="str">
            <v>V_KEYWORD_ISSR_208015656_LT_DEBT</v>
          </cell>
        </row>
        <row r="57">
          <cell r="A57" t="str">
            <v>Vector|||208015656|||ISSR|||OTH_LT_CRED_GQ|||False|||</v>
          </cell>
          <cell r="C57" t="str">
            <v>V_KEYWORD_ISSR_208015656_OTH_LT_CRED_GQ</v>
          </cell>
        </row>
        <row r="58">
          <cell r="A58" t="str">
            <v>Vector|||208015656|||ISSR|||TOT_LT_LIAB|||False|||</v>
          </cell>
          <cell r="C58" t="str">
            <v>V_KEYWORD_ISSR_208015656_TOT_LT_LIAB</v>
          </cell>
        </row>
        <row r="59">
          <cell r="A59" t="str">
            <v>Vector|||208015656|||ISSR|||TOT_LIAB|||False|||</v>
          </cell>
          <cell r="C59" t="str">
            <v>V_KEYWORD_ISSR_208015656_TOT_LIAB</v>
          </cell>
        </row>
        <row r="60">
          <cell r="A60" t="str">
            <v>Vector|||208015656|||ISSR|||PREF_SH|||False|||</v>
          </cell>
          <cell r="C60" t="str">
            <v>V_KEYWORD_ISSR_208015656_PREF_SH</v>
          </cell>
        </row>
        <row r="61">
          <cell r="A61" t="str">
            <v>Vector|||208015656|||ISSR|||ORD_SH_FUND|||False|||</v>
          </cell>
          <cell r="C61" t="str">
            <v>V_KEYWORD_ISSR_208015656_ORD_SH_FUND</v>
          </cell>
        </row>
        <row r="62">
          <cell r="A62" t="str">
            <v>Vector|||208015656|||ISSR|||MINORITIES|||False|||</v>
          </cell>
          <cell r="C62" t="str">
            <v>V_KEYWORD_ISSR_208015656_MINORITIES</v>
          </cell>
        </row>
        <row r="63">
          <cell r="A63" t="str">
            <v>Vector|||208015656|||ISSR|||EQ|||False|||</v>
          </cell>
          <cell r="C63" t="str">
            <v>V_KEYWORD_ISSR_208015656_EQ</v>
          </cell>
        </row>
        <row r="64">
          <cell r="A64" t="str">
            <v>Vector|||208015656|||ISSR|||TOT_LIAB_EQ|||False|||</v>
          </cell>
          <cell r="C64" t="str">
            <v>V_KEYWORD_ISSR_208015656_TOT_LIAB_EQ</v>
          </cell>
        </row>
        <row r="66">
          <cell r="A66" t="str">
            <v>Vector|||208015656|||ISSR|||NET_DEBT|||False|||</v>
          </cell>
          <cell r="C66" t="str">
            <v>V_KEYWORD_ISSR_208015656_NET_DEBT</v>
          </cell>
        </row>
        <row r="67">
          <cell r="A67" t="str">
            <v>Vector|||208015656|||ISSR|||CAP_LEASES|||False|||</v>
          </cell>
          <cell r="C67" t="str">
            <v>V_KEYWORD_ISSR_208015656_CAP_LEASES</v>
          </cell>
        </row>
        <row r="68">
          <cell r="A68" t="str">
            <v>Vector|||208015656|||ISSR|||DEF_INC_TAX|||False|||</v>
          </cell>
          <cell r="C68" t="str">
            <v>V_KEYWORD_ISSR_208015656_DEF_INC_TAX</v>
          </cell>
        </row>
        <row r="69">
          <cell r="A69" t="str">
            <v>Vector|||208015656|||ISSR|||MV_ASSOCIATES|||False|||</v>
          </cell>
          <cell r="C69" t="str">
            <v>V_KEYWORD_ISSR_208015656_MV_ASSOCIATES</v>
          </cell>
        </row>
        <row r="70">
          <cell r="A70" t="str">
            <v>Vector|||208015656|||ISSR|||NET_DEBT_ADJ|||False|||</v>
          </cell>
          <cell r="C70" t="str">
            <v>V_KEYWORD_ISSR_208015656_NET_DEBT_ADJ</v>
          </cell>
        </row>
        <row r="71">
          <cell r="A71" t="str">
            <v>Vector|||208015656|||ISSR|||CO_BOR_MARGIN|||False|||</v>
          </cell>
          <cell r="C71" t="str">
            <v>V_KEYWORD_ISSR_208015656_CO_BOR_MARGIN</v>
          </cell>
        </row>
        <row r="72">
          <cell r="A72" t="str">
            <v>Vector|||208015656|||ISSR|||UNF_PENS|||False|||</v>
          </cell>
          <cell r="C72" t="str">
            <v>V_KEYWORD_ISSR_208015656_UNF_PENS</v>
          </cell>
        </row>
        <row r="73">
          <cell r="A73" t="str">
            <v>Vector|||208015656|||ISSR|||UNF_PENS_OFF|||False|||</v>
          </cell>
          <cell r="C73" t="str">
            <v>V_KEYWORD_ISSR_208015656_UNF_PENS_OFF</v>
          </cell>
        </row>
        <row r="74">
          <cell r="A74" t="str">
            <v>Vector|||208015656|||ISSR|||UNF_PENS_LIAB_OTH|||False|||</v>
          </cell>
          <cell r="C74" t="str">
            <v>V_KEYWORD_ISSR_208015656_UNF_PENS_LIAB_OTH</v>
          </cell>
        </row>
        <row r="75">
          <cell r="A75" t="str">
            <v>Vector|||208015656|||ISSR|||ADJ_UNF_PENS_GOOD|||False|||</v>
          </cell>
          <cell r="C75" t="str">
            <v>V_KEYWORD_ISSR_208015656_ADJ_UNF_PENS_GOOD</v>
          </cell>
        </row>
        <row r="76">
          <cell r="A76" t="str">
            <v>Vector|||208015656|||ISSR|||OTH_GCI_ADJ|||False|||</v>
          </cell>
          <cell r="C76" t="str">
            <v>V_KEYWORD_ISSR_208015656_OTH_GCI_ADJ</v>
          </cell>
        </row>
        <row r="77">
          <cell r="A77" t="str">
            <v>Vector|||208015656|||ISSR|||GCI_INFL|||False|||</v>
          </cell>
          <cell r="C77" t="str">
            <v>V_KEYWORD_ISSR_208015656_GCI_INFL</v>
          </cell>
        </row>
        <row r="78">
          <cell r="A78" t="str">
            <v>Vector|||208015656|||ISSR|||BAL_MINO_INT|||False|||</v>
          </cell>
          <cell r="C78" t="str">
            <v>V_KEYWORD_ISSR_208015656_BAL_MINO_INT</v>
          </cell>
        </row>
        <row r="80">
          <cell r="A80" t="str">
            <v>Vector|||208015656|||ISSR|||CF_INC_MINORITY|||False|||</v>
          </cell>
          <cell r="C80" t="str">
            <v>V_KEYWORD_ISSR_208015656_CF_INC_MINORITY</v>
          </cell>
        </row>
        <row r="81">
          <cell r="A81" t="str">
            <v>Vector|||208015656|||ISSR|||DEPR_AMORT|||False|||</v>
          </cell>
          <cell r="C81" t="str">
            <v>V_KEYWORD_ISSR_208015656_DEPR_AMORT</v>
          </cell>
        </row>
        <row r="82">
          <cell r="A82" t="str">
            <v>Vector|||208015656|||ISSR|||WORK_CAP|||False|||</v>
          </cell>
          <cell r="C82" t="str">
            <v>V_KEYWORD_ISSR_208015656_WORK_CAP</v>
          </cell>
        </row>
        <row r="83">
          <cell r="A83" t="str">
            <v>Vector|||208015656|||ISSR|||OTH_OP_CF|||False|||</v>
          </cell>
          <cell r="C83" t="str">
            <v>V_KEYWORD_ISSR_208015656_OTH_OP_CF</v>
          </cell>
        </row>
        <row r="84">
          <cell r="A84" t="str">
            <v>Vector|||208015656|||ISSR|||CF_OPS|||False|||</v>
          </cell>
          <cell r="C84" t="str">
            <v>V_KEYWORD_ISSR_208015656_CF_OPS</v>
          </cell>
        </row>
        <row r="85">
          <cell r="A85" t="str">
            <v>Vector|||208015656|||ISSR|||CAPEX|||False|||</v>
          </cell>
          <cell r="C85" t="str">
            <v>V_KEYWORD_ISSR_208015656_CAPEX</v>
          </cell>
        </row>
        <row r="86">
          <cell r="A86" t="str">
            <v>Vector|||208015656|||ISSR|||ACQ|||False|||</v>
          </cell>
          <cell r="C86" t="str">
            <v>V_KEYWORD_ISSR_208015656_ACQ</v>
          </cell>
        </row>
        <row r="87">
          <cell r="A87" t="str">
            <v>Vector|||208015656|||ISSR|||DIVEST|||False|||</v>
          </cell>
          <cell r="C87" t="str">
            <v>V_KEYWORD_ISSR_208015656_DIVEST</v>
          </cell>
        </row>
        <row r="88">
          <cell r="A88" t="str">
            <v>Vector|||208015656|||ISSR|||OTH_INV_CF|||False|||</v>
          </cell>
          <cell r="C88" t="str">
            <v>V_KEYWORD_ISSR_208015656_OTH_INV_CF</v>
          </cell>
        </row>
        <row r="89">
          <cell r="A89" t="str">
            <v>Vector|||208015656|||ISSR|||CF_INV|||False|||</v>
          </cell>
          <cell r="C89" t="str">
            <v>V_KEYWORD_ISSR_208015656_CF_INV</v>
          </cell>
        </row>
        <row r="90">
          <cell r="A90" t="str">
            <v>Vector|||208015656|||ISSR|||DIV_PAID|||False|||</v>
          </cell>
          <cell r="C90" t="str">
            <v>V_KEYWORD_ISSR_208015656_DIV_PAID</v>
          </cell>
        </row>
        <row r="91">
          <cell r="A91" t="str">
            <v>Vector|||208015656|||ISSR|||SH_REPUR|||False|||</v>
          </cell>
          <cell r="C91" t="str">
            <v>V_KEYWORD_ISSR_208015656_SH_REPUR</v>
          </cell>
        </row>
        <row r="92">
          <cell r="A92" t="str">
            <v>Vector|||208015656|||ISSR|||CHG_LT_DEBT|||False|||</v>
          </cell>
          <cell r="C92" t="str">
            <v>V_KEYWORD_ISSR_208015656_CHG_LT_DEBT</v>
          </cell>
        </row>
        <row r="93">
          <cell r="A93" t="str">
            <v>Vector|||208015656|||ISSR|||OTH_FIN_CF|||False|||</v>
          </cell>
          <cell r="C93" t="str">
            <v>V_KEYWORD_ISSR_208015656_OTH_FIN_CF</v>
          </cell>
        </row>
        <row r="94">
          <cell r="A94" t="str">
            <v>Vector|||208015656|||ISSR|||CF_FIN|||False|||</v>
          </cell>
          <cell r="C94" t="str">
            <v>V_KEYWORD_ISSR_208015656_CF_FIN</v>
          </cell>
        </row>
        <row r="95">
          <cell r="A95" t="str">
            <v>Vector|||208015656|||ISSR|||TOT_CF|||False|||</v>
          </cell>
          <cell r="C95" t="str">
            <v>V_KEYWORD_ISSR_208015656_TOT_CF</v>
          </cell>
        </row>
        <row r="97">
          <cell r="A97" t="str">
            <v>Vector|||208015656|||ISSR|||ASSOC_JV_ADDBK|||False|||</v>
          </cell>
          <cell r="C97" t="str">
            <v>V_KEYWORD_ISSR_208015656_ASSOC_JV_ADDBK</v>
          </cell>
        </row>
        <row r="98">
          <cell r="A98" t="str">
            <v>Vector|||208015656|||ISSR|||PL_SALE_ASSETS|||False|||</v>
          </cell>
          <cell r="C98" t="str">
            <v>V_KEYWORD_ISSR_208015656_PL_SALE_ASSETS</v>
          </cell>
        </row>
        <row r="99">
          <cell r="A99" t="str">
            <v>Vector|||208015656|||ISSR|||OTH_NONCASH_ADJ|||False|||</v>
          </cell>
          <cell r="C99" t="str">
            <v>V_KEYWORD_ISSR_208015656_OTH_NONCASH_ADJ</v>
          </cell>
        </row>
        <row r="100">
          <cell r="A100" t="str">
            <v>Vector|||208015656|||ISSR|||OTH_DACF_ADJ|||False|||</v>
          </cell>
          <cell r="C100" t="str">
            <v>V_KEYWORD_ISSR_208015656_OTH_DACF_ADJ</v>
          </cell>
        </row>
        <row r="101">
          <cell r="A101" t="str">
            <v>Vector|||208015656|||ISSR|||CASH_INT_EXP|||False|||</v>
          </cell>
          <cell r="C101" t="str">
            <v>V_KEYWORD_ISSR_208015656_CASH_INT_EXP</v>
          </cell>
        </row>
        <row r="102">
          <cell r="A102" t="str">
            <v>Vector|||208015656|||ISSR|||CASH_TAX_EXP|||False|||</v>
          </cell>
          <cell r="C102" t="str">
            <v>V_KEYWORD_ISSR_208015656_CASH_TAX_EXP</v>
          </cell>
        </row>
        <row r="103">
          <cell r="A103" t="str">
            <v>Vector|||208015656|||ISSR|||DIVDS_ASSOC_JV|||False|||</v>
          </cell>
          <cell r="C103" t="str">
            <v>V_KEYWORD_ISSR_208015656_DIVDS_ASSOC_JV</v>
          </cell>
        </row>
        <row r="104">
          <cell r="A104" t="str">
            <v>Vector|||208015656|||ISSR|||CAPEX_MAINTENANCE|||False|||</v>
          </cell>
          <cell r="C104" t="str">
            <v>V_KEYWORD_ISSR_208015656_CAPEX_MAINTENANCE</v>
          </cell>
        </row>
        <row r="105">
          <cell r="A105" t="str">
            <v>Vector|||208015656|||ISSR|||CAPEX_EXPANSION|||False|||</v>
          </cell>
          <cell r="C105" t="str">
            <v>V_KEYWORD_ISSR_208015656_CAPEX_EXPANSION</v>
          </cell>
        </row>
        <row r="106">
          <cell r="A106" t="str">
            <v>Vector|||208015656|||ISSR|||NONPPE_CAPEX|||False|||</v>
          </cell>
          <cell r="C106" t="str">
            <v>V_KEYWORD_ISSR_208015656_NONPPE_CAPEX</v>
          </cell>
        </row>
        <row r="107">
          <cell r="A107" t="str">
            <v>Vector|||208015656|||ISSR|||DIVDS_PD_MINORITIES|||False|||</v>
          </cell>
          <cell r="C107" t="str">
            <v>V_KEYWORD_ISSR_208015656_DIVDS_PD_MINORITIES</v>
          </cell>
        </row>
        <row r="109">
          <cell r="A109" t="str">
            <v>Vector|||208015656|||ISSR|||EMPLOYEES|||False|||</v>
          </cell>
          <cell r="C109" t="str">
            <v>V_KEYWORD_ISSR_208015656_EMPLOYEES</v>
          </cell>
        </row>
        <row r="111">
          <cell r="A111" t="str">
            <v>Vector|||208015656|||ISSR|||SALES_TOT_AM|||False|||</v>
          </cell>
          <cell r="C111" t="str">
            <v>V_KEYWORD_ISSR_208015656_SALES_TOT_AM</v>
          </cell>
        </row>
        <row r="112">
          <cell r="A112" t="str">
            <v>Vector|||208015656|||ISSR|||SALES_US|||False|||</v>
          </cell>
          <cell r="C112" t="str">
            <v>V_KEYWORD_ISSR_208015656_SALES_US</v>
          </cell>
        </row>
        <row r="113">
          <cell r="A113" t="str">
            <v>Vector|||208015656|||ISSR|||SALES_BRAZIL|||False|||</v>
          </cell>
          <cell r="C113" t="str">
            <v>V_KEYWORD_ISSR_208015656_SALES_BRAZIL</v>
          </cell>
        </row>
        <row r="114">
          <cell r="A114" t="str">
            <v>Vector|||208015656|||ISSR|||SALES_OTH_AM|||False|||</v>
          </cell>
          <cell r="C114" t="str">
            <v>V_KEYWORD_ISSR_208015656_SALES_OTH_AM</v>
          </cell>
        </row>
        <row r="115">
          <cell r="A115" t="str">
            <v>Vector|||208015656|||ISSR|||SALES_TOT_EMEA|||False|||</v>
          </cell>
          <cell r="C115" t="str">
            <v>V_KEYWORD_ISSR_208015656_SALES_TOT_EMEA</v>
          </cell>
        </row>
        <row r="116">
          <cell r="A116" t="str">
            <v>Vector|||208015656|||ISSR|||SALES_UK|||False|||</v>
          </cell>
          <cell r="C116" t="str">
            <v>V_KEYWORD_ISSR_208015656_SALES_UK</v>
          </cell>
        </row>
        <row r="117">
          <cell r="A117" t="str">
            <v>Vector|||208015656|||ISSR|||SALES_EU_EX_UK|||False|||</v>
          </cell>
          <cell r="C117" t="str">
            <v>V_KEYWORD_ISSR_208015656_SALES_EU_EX_UK</v>
          </cell>
        </row>
        <row r="118">
          <cell r="A118" t="str">
            <v>Vector|||208015656|||ISSR|||SALES_CEE|||False|||</v>
          </cell>
          <cell r="C118" t="str">
            <v>V_KEYWORD_ISSR_208015656_SALES_CEE</v>
          </cell>
        </row>
        <row r="119">
          <cell r="A119" t="str">
            <v>Vector|||208015656|||ISSR|||SALES_ME|||False|||</v>
          </cell>
          <cell r="C119" t="str">
            <v>V_KEYWORD_ISSR_208015656_SALES_ME</v>
          </cell>
        </row>
        <row r="120">
          <cell r="A120" t="str">
            <v>Vector|||208015656|||ISSR|||SALES_TOT_AFRICA|||False|||</v>
          </cell>
          <cell r="C120" t="str">
            <v>V_KEYWORD_ISSR_208015656_SALES_TOT_AFRICA</v>
          </cell>
        </row>
        <row r="121">
          <cell r="A121" t="str">
            <v>Vector|||208015656|||ISSR|||SALES_RUSSIA|||False|||</v>
          </cell>
          <cell r="C121" t="str">
            <v>V_KEYWORD_ISSR_208015656_SALES_RUSSIA</v>
          </cell>
        </row>
        <row r="122">
          <cell r="A122" t="str">
            <v>Vector|||208015656|||ISSR|||SALES_OTH_EMEA|||False|||</v>
          </cell>
          <cell r="C122" t="str">
            <v>V_KEYWORD_ISSR_208015656_SALES_OTH_EMEA</v>
          </cell>
        </row>
        <row r="123">
          <cell r="A123" t="str">
            <v>Vector|||208015656|||ISSR|||SALES_TOT_ASIA|||False|||</v>
          </cell>
          <cell r="C123" t="str">
            <v>V_KEYWORD_ISSR_208015656_SALES_TOT_ASIA</v>
          </cell>
        </row>
        <row r="124">
          <cell r="A124" t="str">
            <v>Vector|||208015656|||ISSR|||SALES_JAPAN|||False|||</v>
          </cell>
          <cell r="C124" t="str">
            <v>V_KEYWORD_ISSR_208015656_SALES_JAPAN</v>
          </cell>
        </row>
        <row r="125">
          <cell r="A125" t="str">
            <v>Vector|||208015656|||ISSR|||SALES_CHINA|||False|||</v>
          </cell>
          <cell r="C125" t="str">
            <v>V_KEYWORD_ISSR_208015656_SALES_CHINA</v>
          </cell>
        </row>
        <row r="126">
          <cell r="A126" t="str">
            <v>Vector|||208015656|||ISSR|||SALES_INDIA|||False|||</v>
          </cell>
          <cell r="C126" t="str">
            <v>V_KEYWORD_ISSR_208015656_SALES_INDIA</v>
          </cell>
        </row>
        <row r="127">
          <cell r="A127" t="str">
            <v>Vector|||208015656|||ISSR|||SALES_SK|||False|||</v>
          </cell>
          <cell r="C127" t="str">
            <v>V_KEYWORD_ISSR_208015656_SALES_SK</v>
          </cell>
        </row>
        <row r="128">
          <cell r="A128" t="str">
            <v>Vector|||208015656|||ISSR|||SALES_TAIWAN|||False|||</v>
          </cell>
          <cell r="C128" t="str">
            <v>V_KEYWORD_ISSR_208015656_SALES_TAIWAN</v>
          </cell>
        </row>
        <row r="129">
          <cell r="A129" t="str">
            <v>Vector|||208015656|||ISSR|||SALES_OTH_AEJ|||False|||</v>
          </cell>
          <cell r="C129" t="str">
            <v>V_KEYWORD_ISSR_208015656_SALES_OTH_AEJ</v>
          </cell>
        </row>
        <row r="130">
          <cell r="A130" t="str">
            <v>Vector|||208015656|||ISSR|||SALES_OTHER|||False|||</v>
          </cell>
          <cell r="C130" t="str">
            <v>V_KEYWORD_ISSR_208015656_SALES_OTHER</v>
          </cell>
        </row>
        <row r="131">
          <cell r="A131" t="str">
            <v>Vector|||208015656|||ISSR|||SALES_CONS|||False|||</v>
          </cell>
          <cell r="C131" t="str">
            <v>V_KEYWORD_ISSR_208015656_SALES_CONS</v>
          </cell>
        </row>
        <row r="132">
          <cell r="A132" t="str">
            <v>Vector|||208015656|||ISSR|||SALES_IND|||False|||</v>
          </cell>
          <cell r="C132" t="str">
            <v>V_KEYWORD_ISSR_208015656_SALES_IND</v>
          </cell>
        </row>
        <row r="133">
          <cell r="A133" t="str">
            <v>Vector|||208015656|||ISSR|||SALES_GOV|||False|||</v>
          </cell>
          <cell r="C133" t="str">
            <v>V_KEYWORD_ISSR_208015656_SALES_GOV</v>
          </cell>
        </row>
        <row r="134">
          <cell r="A134" t="str">
            <v>Vector|||208015656|||ISSR|||SALES_FINAN|||False|||</v>
          </cell>
          <cell r="C134" t="str">
            <v>V_KEYWORD_ISSR_208015656_SALES_FINAN</v>
          </cell>
        </row>
        <row r="144">
          <cell r="A144" t="str">
            <v>Vector|||208015656|||ISSR|||SALES_FX_GPB|||False|||</v>
          </cell>
          <cell r="C144" t="str">
            <v>V_KEYWORD_ISSR_208015656_SALES_FX_GPB</v>
          </cell>
        </row>
        <row r="145">
          <cell r="A145" t="str">
            <v>Vector|||208015656|||ISSR|||SALES_FX_EUR|||False|||</v>
          </cell>
          <cell r="C145" t="str">
            <v>V_KEYWORD_ISSR_208015656_SALES_FX_EUR</v>
          </cell>
        </row>
        <row r="146">
          <cell r="A146" t="str">
            <v>Vector|||208015656|||ISSR|||SALES_FX_RUB|||False|||</v>
          </cell>
          <cell r="C146" t="str">
            <v>V_KEYWORD_ISSR_208015656_SALES_FX_RUB</v>
          </cell>
        </row>
        <row r="147">
          <cell r="A147" t="str">
            <v>Vector|||208015656|||ISSR|||SALES_FX_USD|||False|||</v>
          </cell>
          <cell r="C147" t="str">
            <v>V_KEYWORD_ISSR_208015656_SALES_FX_USD</v>
          </cell>
        </row>
        <row r="148">
          <cell r="A148" t="str">
            <v>Vector|||208015656|||ISSR|||SALES_FX_BRL|||False|||</v>
          </cell>
          <cell r="C148" t="str">
            <v>V_KEYWORD_ISSR_208015656_SALES_FX_BRL</v>
          </cell>
        </row>
        <row r="149">
          <cell r="A149" t="str">
            <v>Vector|||208015656|||ISSR|||SALES_FX_YEN|||False|||</v>
          </cell>
          <cell r="C149" t="str">
            <v>V_KEYWORD_ISSR_208015656_SALES_FX_YEN</v>
          </cell>
        </row>
        <row r="150">
          <cell r="A150" t="str">
            <v>Vector|||208015656|||ISSR|||SALES_FX_CNY|||False|||</v>
          </cell>
          <cell r="C150" t="str">
            <v>V_KEYWORD_ISSR_208015656_SALES_FX_CNY</v>
          </cell>
        </row>
        <row r="151">
          <cell r="A151" t="str">
            <v>Vector|||208015656|||ISSR|||SALES_FX_INR|||False|||</v>
          </cell>
          <cell r="C151" t="str">
            <v>V_KEYWORD_ISSR_208015656_SALES_FX_INR</v>
          </cell>
        </row>
        <row r="152">
          <cell r="A152" t="str">
            <v>Vector|||208015656|||ISSR|||SALES_FX_KRW|||False|||</v>
          </cell>
          <cell r="C152" t="str">
            <v>V_KEYWORD_ISSR_208015656_SALES_FX_KRW</v>
          </cell>
        </row>
        <row r="153">
          <cell r="A153" t="str">
            <v>Vector|||208015656|||ISSR|||SALES_FX_TWD|||False|||</v>
          </cell>
          <cell r="C153" t="str">
            <v>V_KEYWORD_ISSR_208015656_SALES_FX_TWD</v>
          </cell>
        </row>
        <row r="154">
          <cell r="A154" t="str">
            <v>Vector|||208015656|||ISSR|||SALES_FX_OTH|||False|||</v>
          </cell>
          <cell r="C154" t="str">
            <v>V_KEYWORD_ISSR_208015656_SALES_FX_OTH</v>
          </cell>
        </row>
        <row r="160">
          <cell r="A160" t="str">
            <v>Scalar|||200017990|||EQTY|||PUB_CURRENCY_ISO|||False|||</v>
          </cell>
          <cell r="C160" t="str">
            <v>V_KEYWORD_EQTY_200017990_PUB_CURRENCY_ISO</v>
          </cell>
          <cell r="E160" t="str">
            <v>ERROR</v>
          </cell>
        </row>
        <row r="161">
          <cell r="A161" t="str">
            <v>Scalar|||200017990|||EQTY|||PRICE_CURRENCY_ISO|||False|||</v>
          </cell>
          <cell r="C161" t="str">
            <v>V_KEYWORD_EQTY_200017990_PRICE_CURRENCY_ISO</v>
          </cell>
          <cell r="E161" t="str">
            <v>ERROR</v>
          </cell>
        </row>
        <row r="162">
          <cell r="A162" t="str">
            <v>Scalar|||200017990|||EQTY|||CURRENCY_ISO|||False|||</v>
          </cell>
          <cell r="C162" t="str">
            <v>V_KEYWORD_EQTY_200017990_CURRENCY_ISO</v>
          </cell>
        </row>
        <row r="164">
          <cell r="A164" t="str">
            <v>Scalar|||200017990|||EQTY|||AEJ_LIST|||False|||</v>
          </cell>
          <cell r="C164" t="str">
            <v>V_KEYWORD_EQTY_200017990_AEJ_LIST</v>
          </cell>
          <cell r="E164" t="str">
            <v>ERROR</v>
          </cell>
        </row>
        <row r="165">
          <cell r="A165" t="str">
            <v>Scalar|||200017990|||EQTY|||AEJ_CONVICTION|||False|||</v>
          </cell>
          <cell r="C165" t="str">
            <v>V_KEYWORD_EQTY_200017990_AEJ_CONVICTION</v>
          </cell>
          <cell r="E165" t="str">
            <v>ERROR</v>
          </cell>
        </row>
        <row r="166">
          <cell r="A166" t="str">
            <v>Scalar|||200017990|||EQTY|||LEGAL_RATING|||False|||</v>
          </cell>
          <cell r="C166" t="str">
            <v>V_KEYWORD_EQTY_200017990_LEGAL_RATING</v>
          </cell>
        </row>
        <row r="167">
          <cell r="A167" t="str">
            <v>Scalar|||200017990|||EQTY|||TARGET_PRICE|||False|||</v>
          </cell>
          <cell r="C167" t="str">
            <v>V_KEYWORD_EQTY_200017990_TARGET_PRICE</v>
          </cell>
          <cell r="E167" t="str">
            <v>ERROR</v>
          </cell>
        </row>
        <row r="168">
          <cell r="A168" t="str">
            <v>Scalar|||200017990|||EQTY|||TP_PERIOD|||False|||</v>
          </cell>
          <cell r="C168" t="str">
            <v>V_KEYWORD_EQTY_200017990_TP_PERIOD</v>
          </cell>
          <cell r="E168" t="str">
            <v>ERROR</v>
          </cell>
        </row>
        <row r="169">
          <cell r="A169" t="str">
            <v>Scalar|||200017990|||EQTY|||NUM_SH|||False|||</v>
          </cell>
          <cell r="C169" t="str">
            <v>V_KEYWORD_EQTY_200017990_NUM_SH</v>
          </cell>
        </row>
        <row r="170">
          <cell r="A170" t="str">
            <v>Scalar|||200017990|||EQTY|||FREE_FLOAT|||False|||</v>
          </cell>
          <cell r="C170" t="str">
            <v>V_KEYWORD_EQTY_200017990_FREE_FLOAT</v>
          </cell>
        </row>
        <row r="171">
          <cell r="A171" t="str">
            <v>Scalar|||200017990|||EQTY|||FOREIGN_HOLDNG|||False|||</v>
          </cell>
          <cell r="C171" t="str">
            <v>V_KEYWORD_EQTY_200017990_FOREIGN_HOLDNG</v>
          </cell>
        </row>
        <row r="172">
          <cell r="A172" t="str">
            <v>Scalar|||200017990|||EQTY|||CATALYST1_DATE|||True|||</v>
          </cell>
          <cell r="C172" t="str">
            <v>V_KEYWORD_EQTY_200017990_CATALYST1_DATE</v>
          </cell>
        </row>
        <row r="173">
          <cell r="A173" t="str">
            <v>Scalar|||200017990|||EQTY|||CATALYST1_EVENT|||False|||</v>
          </cell>
          <cell r="C173" t="str">
            <v>V_KEYWORD_EQTY_200017990_CATALYST1_EVENT</v>
          </cell>
        </row>
        <row r="174">
          <cell r="A174" t="str">
            <v>Scalar|||200017990|||EQTY|||CATALYST2_DATE|||True|||</v>
          </cell>
          <cell r="C174" t="str">
            <v>V_KEYWORD_EQTY_200017990_CATALYST2_DATE</v>
          </cell>
        </row>
        <row r="175">
          <cell r="A175" t="str">
            <v>Scalar|||200017990|||EQTY|||CATALYST2_EVENT|||False|||</v>
          </cell>
          <cell r="C175" t="str">
            <v>V_KEYWORD_EQTY_200017990_CATALYST2_EVENT</v>
          </cell>
        </row>
        <row r="176">
          <cell r="A176" t="str">
            <v>Scalar|||200017990|||EQTY|||CATALYST3_DATE|||True|||</v>
          </cell>
          <cell r="C176" t="str">
            <v>V_KEYWORD_EQTY_200017990_CATALYST3_DATE</v>
          </cell>
        </row>
        <row r="177">
          <cell r="A177" t="str">
            <v>Scalar|||200017990|||EQTY|||CATALYST3_EVENT|||False|||</v>
          </cell>
          <cell r="C177" t="str">
            <v>V_KEYWORD_EQTY_200017990_CATALYST3_EVENT</v>
          </cell>
        </row>
        <row r="178">
          <cell r="A178" t="str">
            <v>Scalar|||200017990|||EQTY|||CATALYST4_DATE|||True|||</v>
          </cell>
          <cell r="C178" t="str">
            <v>V_KEYWORD_EQTY_200017990_CATALYST4_DATE</v>
          </cell>
        </row>
        <row r="179">
          <cell r="A179" t="str">
            <v>Scalar|||200017990|||EQTY|||CATALYST4_EVENT|||False|||</v>
          </cell>
          <cell r="C179" t="str">
            <v>V_KEYWORD_EQTY_200017990_CATALYST4_EVENT</v>
          </cell>
        </row>
        <row r="180">
          <cell r="A180" t="str">
            <v>Scalar|||200017990|||EQTY|||CATALYST5_DATE|||True|||</v>
          </cell>
          <cell r="C180" t="str">
            <v>V_KEYWORD_EQTY_200017990_CATALYST5_DATE</v>
          </cell>
        </row>
        <row r="181">
          <cell r="A181" t="str">
            <v>Scalar|||200017990|||EQTY|||CATALYST5_EVENT|||False|||</v>
          </cell>
          <cell r="C181" t="str">
            <v>V_KEYWORD_EQTY_200017990_CATALYST5_EVENT</v>
          </cell>
        </row>
        <row r="182">
          <cell r="A182" t="str">
            <v>Scalar|||200017990|||EQTY|||PRI_TARG_MULT|||False|||</v>
          </cell>
          <cell r="C182" t="str">
            <v>V_KEYWORD_EQTY_200017990_PRI_TARG_MULT</v>
          </cell>
        </row>
        <row r="183">
          <cell r="A183" t="str">
            <v>Scalar|||200017990|||EQTY|||PRI_TARG_METH|||False|||</v>
          </cell>
          <cell r="C183" t="str">
            <v>V_KEYWORD_EQTY_200017990_PRI_TARG_METH</v>
          </cell>
        </row>
        <row r="185">
          <cell r="A185" t="str">
            <v>Vector|||200017990|||EQTY|||BVPS_PUB|||False|||</v>
          </cell>
          <cell r="C185" t="str">
            <v>V_KEYWORD_EQTY_200017990_BVPS_PUB</v>
          </cell>
        </row>
        <row r="186">
          <cell r="A186" t="str">
            <v>Vector|||200017990|||EQTY|||DPS_PUB|||False|||</v>
          </cell>
          <cell r="C186" t="str">
            <v>V_KEYWORD_EQTY_200017990_DPS_PUB</v>
          </cell>
        </row>
        <row r="187">
          <cell r="A187" t="str">
            <v>Vector|||200017990|||EQTY|||DPS_SPECIAL_PUB|||False|||</v>
          </cell>
          <cell r="C187" t="str">
            <v>V_KEYWORD_EQTY_200017990_DPS_SPECIAL_PUB</v>
          </cell>
        </row>
        <row r="188">
          <cell r="A188" t="str">
            <v>Vector|||200017990|||EQTY|||EBITDA_PUB|||False|||</v>
          </cell>
          <cell r="C188" t="str">
            <v>V_KEYWORD_EQTY_200017990_EBITDA_PUB</v>
          </cell>
        </row>
        <row r="189">
          <cell r="A189" t="str">
            <v>Vector|||200017990|||EQTY|||EPS_PUB|||False|||</v>
          </cell>
          <cell r="C189" t="str">
            <v>V_KEYWORD_EQTY_200017990_EPS_PUB</v>
          </cell>
          <cell r="F189" t="str">
            <v>ERROR</v>
          </cell>
          <cell r="G189" t="str">
            <v>ERROR</v>
          </cell>
          <cell r="H189" t="str">
            <v>ERROR</v>
          </cell>
          <cell r="I189" t="str">
            <v>ERROR</v>
          </cell>
          <cell r="J189" t="str">
            <v>ERROR</v>
          </cell>
          <cell r="K189" t="str">
            <v>ERROR</v>
          </cell>
          <cell r="L189" t="str">
            <v>ERROR</v>
          </cell>
          <cell r="M189" t="str">
            <v>ERROR</v>
          </cell>
          <cell r="N189" t="str">
            <v>ERROR</v>
          </cell>
          <cell r="O189" t="str">
            <v>ERROR</v>
          </cell>
          <cell r="P189" t="str">
            <v>ERROR</v>
          </cell>
          <cell r="Q189" t="str">
            <v>ERROR</v>
          </cell>
          <cell r="R189" t="str">
            <v>ERROR</v>
          </cell>
          <cell r="S189" t="str">
            <v>ERROR</v>
          </cell>
          <cell r="T189" t="str">
            <v>ERROR</v>
          </cell>
          <cell r="U189" t="str">
            <v>ERROR</v>
          </cell>
          <cell r="V189" t="str">
            <v>ERROR</v>
          </cell>
          <cell r="W189" t="str">
            <v>ERROR</v>
          </cell>
          <cell r="X189" t="str">
            <v>ERROR</v>
          </cell>
          <cell r="Y189" t="str">
            <v>ERROR</v>
          </cell>
          <cell r="Z189" t="str">
            <v>ERROR</v>
          </cell>
          <cell r="AA189" t="str">
            <v>ERROR</v>
          </cell>
          <cell r="AB189" t="str">
            <v>ERROR</v>
          </cell>
          <cell r="AC189" t="str">
            <v>ERROR</v>
          </cell>
          <cell r="AD189" t="str">
            <v>ERROR</v>
          </cell>
          <cell r="AE189" t="str">
            <v>ERROR</v>
          </cell>
          <cell r="AF189" t="str">
            <v>ERROR</v>
          </cell>
          <cell r="AG189" t="str">
            <v>ERROR</v>
          </cell>
          <cell r="AH189" t="str">
            <v>ERROR</v>
          </cell>
          <cell r="AI189" t="str">
            <v>ERROR</v>
          </cell>
          <cell r="AJ189" t="str">
            <v>ERROR</v>
          </cell>
          <cell r="AK189" t="str">
            <v>ERROR</v>
          </cell>
          <cell r="AL189" t="str">
            <v>ERROR</v>
          </cell>
          <cell r="AM189" t="str">
            <v>ERROR</v>
          </cell>
        </row>
        <row r="190">
          <cell r="A190" t="str">
            <v>Vector|||200017990|||EQTY|||EV_ADJ_PUB|||False|||</v>
          </cell>
          <cell r="C190" t="str">
            <v>V_KEYWORD_EQTY_200017990_EV_ADJ_PUB</v>
          </cell>
        </row>
        <row r="191">
          <cell r="A191" t="str">
            <v>Vector|||200017990|||EQTY|||NET_DEBT_PUB|||False|||</v>
          </cell>
          <cell r="C191" t="str">
            <v>V_KEYWORD_EQTY_200017990_NET_DEBT_PUB</v>
          </cell>
        </row>
        <row r="192">
          <cell r="A192" t="str">
            <v>Vector|||200017990|||EQTY|||NI_PUB|||False|||</v>
          </cell>
          <cell r="C192" t="str">
            <v>V_KEYWORD_EQTY_200017990_NI_PUB</v>
          </cell>
        </row>
        <row r="193">
          <cell r="A193" t="str">
            <v>Vector|||200017990|||EQTY|||EBIT_PUB|||False|||</v>
          </cell>
          <cell r="C193" t="str">
            <v>V_KEYWORD_EQTY_200017990_EBIT_PUB</v>
          </cell>
        </row>
        <row r="194">
          <cell r="A194" t="str">
            <v>Vector|||200017990|||EQTY|||PTP_PUB|||False|||</v>
          </cell>
          <cell r="C194" t="str">
            <v>V_KEYWORD_EQTY_200017990_PTP_PUB</v>
          </cell>
        </row>
        <row r="195">
          <cell r="A195" t="str">
            <v>Vector|||200017990|||EQTY|||REVS_PUB|||False|||</v>
          </cell>
          <cell r="C195" t="str">
            <v>V_KEYWORD_EQTY_200017990_REVS_PUB</v>
          </cell>
        </row>
        <row r="196">
          <cell r="A196" t="str">
            <v>Vector|||200017990|||EQTY|||EQ_PUB|||False|||</v>
          </cell>
          <cell r="C196" t="str">
            <v>V_KEYWORD_EQTY_200017990_EQ_PUB</v>
          </cell>
        </row>
        <row r="197">
          <cell r="A197" t="str">
            <v>Vector|||200017990|||EQTY|||EPS_CONS_PUB|||False|||</v>
          </cell>
          <cell r="C197" t="str">
            <v>V_KEYWORD_EQTY_200017990_EPS_CONS_PUB</v>
          </cell>
        </row>
        <row r="199">
          <cell r="A199" t="str">
            <v>Vector|||200017990|||EQTY|||PROV_INC_TAX|||False|||</v>
          </cell>
          <cell r="C199" t="str">
            <v>V_KEYWORD_EQTY_200017990_PROV_INC_TAX</v>
          </cell>
        </row>
        <row r="200">
          <cell r="A200" t="str">
            <v>Vector|||200017990|||EQTY|||INC_MINORITY|||False|||</v>
          </cell>
          <cell r="C200" t="str">
            <v>V_KEYWORD_EQTY_200017990_INC_MINORITY</v>
          </cell>
        </row>
        <row r="201">
          <cell r="A201" t="str">
            <v>Vector|||200017990|||EQTY|||NI_PRE_PREF|||False|||</v>
          </cell>
          <cell r="C201" t="str">
            <v>V_KEYWORD_EQTY_200017990_NI_PRE_PREF</v>
          </cell>
        </row>
        <row r="202">
          <cell r="A202" t="str">
            <v>Vector|||200017990|||EQTY|||PREF_DIV|||False|||</v>
          </cell>
          <cell r="C202" t="str">
            <v>V_KEYWORD_EQTY_200017990_PREF_DIV</v>
          </cell>
        </row>
        <row r="203">
          <cell r="A203" t="str">
            <v>Vector|||200017990|||EQTY|||NET_EARNING|||False|||</v>
          </cell>
          <cell r="C203" t="str">
            <v>V_KEYWORD_EQTY_200017990_NET_EARNING</v>
          </cell>
        </row>
        <row r="204">
          <cell r="A204" t="str">
            <v>Vector|||200017990|||EQTY|||TAX_EXC|||False|||</v>
          </cell>
          <cell r="C204" t="str">
            <v>V_KEYWORD_EQTY_200017990_TAX_EXC</v>
          </cell>
        </row>
        <row r="205">
          <cell r="A205" t="str">
            <v>Vector|||200017990|||EQTY|||NET_INC|||False|||</v>
          </cell>
          <cell r="C205" t="str">
            <v>V_KEYWORD_EQTY_200017990_NET_INC</v>
          </cell>
        </row>
        <row r="206">
          <cell r="A206" t="str">
            <v>Vector|||200017990|||EQTY|||EPS|||False|||</v>
          </cell>
          <cell r="C206" t="str">
            <v>V_KEYWORD_EQTY_200017990_EPS</v>
          </cell>
        </row>
        <row r="207">
          <cell r="A207" t="str">
            <v>Vector|||200017990|||EQTY|||EPS_FUL_DIL|||False|||</v>
          </cell>
          <cell r="C207" t="str">
            <v>V_KEYWORD_EQTY_200017990_EPS_FUL_DIL</v>
          </cell>
        </row>
        <row r="208">
          <cell r="A208" t="str">
            <v>Vector|||200017990|||EQTY|||EPS_POST_BASIC|||False|||</v>
          </cell>
          <cell r="C208" t="str">
            <v>V_KEYWORD_EQTY_200017990_EPS_POST_BASIC</v>
          </cell>
        </row>
        <row r="209">
          <cell r="A209" t="str">
            <v>Vector|||200017990|||EQTY|||FULLY_DIL_EPS|||False|||</v>
          </cell>
          <cell r="C209" t="str">
            <v>V_KEYWORD_EQTY_200017990_FULLY_DIL_EPS</v>
          </cell>
        </row>
        <row r="210">
          <cell r="A210" t="str">
            <v>Vector|||200017990|||EQTY|||COMMON_DIV_PAID|||False|||</v>
          </cell>
          <cell r="C210" t="str">
            <v>V_KEYWORD_EQTY_200017990_COMMON_DIV_PAID</v>
          </cell>
        </row>
        <row r="211">
          <cell r="A211" t="str">
            <v>Vector|||200017990|||EQTY|||DPS|||False|||</v>
          </cell>
          <cell r="C211" t="str">
            <v>V_KEYWORD_EQTY_200017990_DPS</v>
          </cell>
        </row>
        <row r="212">
          <cell r="A212" t="str">
            <v>Vector|||200017990|||EQTY|||SH|||False|||</v>
          </cell>
          <cell r="C212" t="str">
            <v>V_KEYWORD_EQTY_200017990_SH</v>
          </cell>
        </row>
        <row r="213">
          <cell r="A213" t="str">
            <v>Vector|||200017990|||EQTY|||DILUTE_SHARES|||False|||</v>
          </cell>
          <cell r="C213" t="str">
            <v>V_KEYWORD_EQTY_200017990_DILUTE_SHARES</v>
          </cell>
        </row>
        <row r="214">
          <cell r="A214" t="str">
            <v>Vector|||200017990|||EQTY|||NON_OP_ADD|||False|||</v>
          </cell>
          <cell r="C214" t="str">
            <v>V_KEYWORD_EQTY_200017990_NON_OP_ADD</v>
          </cell>
        </row>
        <row r="216">
          <cell r="A216" t="str">
            <v>Vector|||200017990|||EQTY|||MARGIN_TAX_RATE|||False|||</v>
          </cell>
          <cell r="C216" t="str">
            <v>V_KEYWORD_EQTY_200017990_MARGIN_TAX_RATE</v>
          </cell>
        </row>
        <row r="217">
          <cell r="A217" t="str">
            <v>Vector|||200017990|||EQTY|||NI_CONS|||False|||</v>
          </cell>
          <cell r="C217" t="str">
            <v>V_KEYWORD_EQTY_200017990_NI_CONS</v>
          </cell>
        </row>
        <row r="219">
          <cell r="A219" t="str">
            <v>Vector|||200017990|||EQTY|||BVPS|||False|||</v>
          </cell>
          <cell r="C219" t="str">
            <v>V_KEYWORD_EQTY_200017990_BVPS</v>
          </cell>
        </row>
        <row r="221">
          <cell r="A221" t="str">
            <v>Vector|||200017990|||EQTY|||CF_NI_PRE_PREF|||False|||</v>
          </cell>
          <cell r="C221" t="str">
            <v>V_KEYWORD_EQTY_200017990_CF_NI_PRE_PREF</v>
          </cell>
        </row>
        <row r="223">
          <cell r="A223" t="str">
            <v>Scalar|||200017990|||EQTY|||BETA_ANALYST|||False|||</v>
          </cell>
          <cell r="C223" t="str">
            <v>V_KEYWORD_EQTY_200017990_BETA_ANALYST</v>
          </cell>
        </row>
        <row r="224">
          <cell r="A224" t="str">
            <v>Scalar|||200017990|||EQTY|||MKT_EQ_RISK_PREM|||False|||</v>
          </cell>
          <cell r="C224" t="str">
            <v>V_KEYWORD_EQTY_200017990_MKT_EQ_RISK_PREM</v>
          </cell>
        </row>
        <row r="225">
          <cell r="A225" t="str">
            <v>Scalar|||200017990|||EQTY|||RISK_FR_RATE|||False|||</v>
          </cell>
          <cell r="C225" t="str">
            <v>V_KEYWORD_EQTY_200017990_RISK_FR_RATE</v>
          </cell>
        </row>
      </sheetData>
      <sheetData sheetId="15" refreshError="1"/>
      <sheetData sheetId="16" refreshError="1"/>
      <sheetData sheetId="17" refreshError="1"/>
      <sheetData sheetId="18" refreshError="1">
        <row r="1">
          <cell r="A1" t="str">
            <v>Issuer: Aisino</v>
          </cell>
          <cell r="F1" t="str">
            <v>2007</v>
          </cell>
          <cell r="G1" t="str">
            <v>2008</v>
          </cell>
          <cell r="H1" t="str">
            <v>2009</v>
          </cell>
          <cell r="I1" t="str">
            <v>2010</v>
          </cell>
          <cell r="J1" t="str">
            <v>2011 Q1</v>
          </cell>
          <cell r="K1" t="str">
            <v>2011 Q2</v>
          </cell>
          <cell r="L1" t="str">
            <v>2011 Q3</v>
          </cell>
          <cell r="M1" t="str">
            <v>2011 Q4</v>
          </cell>
          <cell r="N1" t="str">
            <v>2011</v>
          </cell>
          <cell r="O1" t="str">
            <v>2012 Q1</v>
          </cell>
          <cell r="P1" t="str">
            <v>2012 Q2</v>
          </cell>
          <cell r="Q1" t="str">
            <v>2012 Q3</v>
          </cell>
          <cell r="R1" t="str">
            <v>2012 Q4</v>
          </cell>
          <cell r="S1" t="str">
            <v>2012</v>
          </cell>
          <cell r="T1" t="str">
            <v>2013 Q1</v>
          </cell>
          <cell r="U1" t="str">
            <v>2013 Q2</v>
          </cell>
          <cell r="V1" t="str">
            <v>2013 Q3</v>
          </cell>
          <cell r="W1" t="str">
            <v>2013 Q4</v>
          </cell>
          <cell r="X1" t="str">
            <v>2013</v>
          </cell>
          <cell r="Y1" t="str">
            <v>2014 Q1</v>
          </cell>
          <cell r="Z1" t="str">
            <v>2014 Q2</v>
          </cell>
          <cell r="AA1" t="str">
            <v>2014 Q3</v>
          </cell>
          <cell r="AB1" t="str">
            <v>2014 Q4</v>
          </cell>
          <cell r="AC1">
            <v>2014</v>
          </cell>
          <cell r="AD1" t="str">
            <v>2015 Q1</v>
          </cell>
          <cell r="AE1" t="str">
            <v>2015 Q2</v>
          </cell>
          <cell r="AF1" t="str">
            <v>2015 Q3</v>
          </cell>
          <cell r="AG1" t="str">
            <v>2015 Q4</v>
          </cell>
          <cell r="AH1" t="str">
            <v>2015</v>
          </cell>
          <cell r="AI1" t="str">
            <v>2016</v>
          </cell>
          <cell r="AJ1" t="str">
            <v>2017</v>
          </cell>
          <cell r="AK1" t="str">
            <v>2018</v>
          </cell>
          <cell r="AL1" t="str">
            <v>2019</v>
          </cell>
          <cell r="AM1" t="str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Estimate</v>
          </cell>
          <cell r="AG2" t="str">
            <v>Estimate</v>
          </cell>
          <cell r="AH2" t="str">
            <v>Estimate</v>
          </cell>
          <cell r="AI2" t="str">
            <v>Estimate</v>
          </cell>
          <cell r="AJ2" t="str">
            <v>Estimate</v>
          </cell>
          <cell r="AK2" t="str">
            <v>Estimate</v>
          </cell>
          <cell r="AL2" t="str">
            <v>Estimate</v>
          </cell>
          <cell r="AM2" t="str">
            <v>Estimate</v>
          </cell>
        </row>
        <row r="3">
          <cell r="F3">
            <v>39447</v>
          </cell>
          <cell r="G3">
            <v>39813</v>
          </cell>
          <cell r="H3">
            <v>40178</v>
          </cell>
          <cell r="I3">
            <v>40543</v>
          </cell>
          <cell r="J3">
            <v>40633</v>
          </cell>
          <cell r="K3">
            <v>40724</v>
          </cell>
          <cell r="L3">
            <v>40816</v>
          </cell>
          <cell r="M3">
            <v>40908</v>
          </cell>
          <cell r="N3">
            <v>40908</v>
          </cell>
          <cell r="O3">
            <v>40999</v>
          </cell>
          <cell r="P3">
            <v>41090</v>
          </cell>
          <cell r="Q3">
            <v>41182</v>
          </cell>
          <cell r="R3">
            <v>41274</v>
          </cell>
          <cell r="S3">
            <v>41274</v>
          </cell>
          <cell r="T3">
            <v>41364</v>
          </cell>
          <cell r="U3">
            <v>41455</v>
          </cell>
          <cell r="V3">
            <v>41547</v>
          </cell>
          <cell r="W3">
            <v>41639</v>
          </cell>
          <cell r="X3">
            <v>41639</v>
          </cell>
          <cell r="Y3">
            <v>41729</v>
          </cell>
          <cell r="Z3">
            <v>41820</v>
          </cell>
          <cell r="AA3">
            <v>41912</v>
          </cell>
          <cell r="AB3">
            <v>42004</v>
          </cell>
          <cell r="AC3">
            <v>42004</v>
          </cell>
          <cell r="AD3">
            <v>42094</v>
          </cell>
          <cell r="AE3">
            <v>42185</v>
          </cell>
          <cell r="AF3">
            <v>42277</v>
          </cell>
          <cell r="AG3">
            <v>42369</v>
          </cell>
          <cell r="AH3">
            <v>42369</v>
          </cell>
          <cell r="AI3">
            <v>42735</v>
          </cell>
          <cell r="AJ3">
            <v>43100</v>
          </cell>
          <cell r="AK3">
            <v>43465</v>
          </cell>
          <cell r="AL3">
            <v>43830</v>
          </cell>
          <cell r="AM3">
            <v>44196</v>
          </cell>
        </row>
        <row r="4">
          <cell r="A4" t="str">
            <v>Issuer: Aisino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Aisino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4824.64184871</v>
          </cell>
          <cell r="G9">
            <v>5930.8771576000008</v>
          </cell>
          <cell r="H9">
            <v>7491.3097636499997</v>
          </cell>
          <cell r="I9">
            <v>9451.4495168499998</v>
          </cell>
          <cell r="J9">
            <v>2402.0655430000002</v>
          </cell>
          <cell r="K9">
            <v>2994.7555664099996</v>
          </cell>
          <cell r="L9">
            <v>2880.6713060200009</v>
          </cell>
          <cell r="M9">
            <v>3262.2841636800003</v>
          </cell>
          <cell r="N9">
            <v>11539.776579110001</v>
          </cell>
          <cell r="O9">
            <v>2915.9190807</v>
          </cell>
          <cell r="P9">
            <v>3777.6448500799993</v>
          </cell>
          <cell r="Q9">
            <v>3863.1230784000018</v>
          </cell>
          <cell r="R9">
            <v>3968.6187556199984</v>
          </cell>
          <cell r="S9">
            <v>14525.305764799999</v>
          </cell>
          <cell r="T9">
            <v>2882.4545817500002</v>
          </cell>
          <cell r="U9">
            <v>3909.5819354399991</v>
          </cell>
          <cell r="V9">
            <v>3963.4448538500019</v>
          </cell>
          <cell r="W9">
            <v>5826.9801919899983</v>
          </cell>
          <cell r="X9">
            <v>16582.46156303</v>
          </cell>
          <cell r="Y9">
            <v>3391.74397692</v>
          </cell>
          <cell r="Z9">
            <v>4722.6930777699999</v>
          </cell>
          <cell r="AA9">
            <v>5260.2634296299993</v>
          </cell>
          <cell r="AB9">
            <v>6584.4900634999995</v>
          </cell>
          <cell r="AC9">
            <v>19959.190547819999</v>
          </cell>
          <cell r="AD9">
            <v>3629.4444778500001</v>
          </cell>
          <cell r="AE9">
            <v>5625.1497447799993</v>
          </cell>
          <cell r="AF9">
            <v>6345.4143752902601</v>
          </cell>
          <cell r="AG9">
            <v>9089.0518307037528</v>
          </cell>
          <cell r="AH9">
            <v>24689.060428624012</v>
          </cell>
          <cell r="AI9">
            <v>30992.369864098549</v>
          </cell>
          <cell r="AJ9">
            <v>36325.728512063288</v>
          </cell>
          <cell r="AK9">
            <v>41778.8324101709</v>
          </cell>
          <cell r="AL9">
            <v>48496.447200515788</v>
          </cell>
          <cell r="AM9">
            <v>53317.207544478617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-3607.1605304499999</v>
          </cell>
          <cell r="G11">
            <v>-4476.6574523199997</v>
          </cell>
          <cell r="H11">
            <v>-5807.7950693500006</v>
          </cell>
          <cell r="I11">
            <v>-7207.6822576599998</v>
          </cell>
          <cell r="N11">
            <v>-9062.8963899899991</v>
          </cell>
          <cell r="S11">
            <v>-11931.29640381</v>
          </cell>
          <cell r="X11">
            <v>-13781.729477540001</v>
          </cell>
          <cell r="AC11">
            <v>-16530.345444930001</v>
          </cell>
          <cell r="AH11">
            <v>-20060.087548527223</v>
          </cell>
          <cell r="AI11">
            <v>-25216.995076945255</v>
          </cell>
          <cell r="AJ11">
            <v>-29110.117094421421</v>
          </cell>
          <cell r="AK11">
            <v>-33159.416980142334</v>
          </cell>
          <cell r="AL11">
            <v>-38044.063614212289</v>
          </cell>
          <cell r="AM11">
            <v>-41931.430494573018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-623.32445426000004</v>
          </cell>
          <cell r="G12">
            <v>-700.85093474999996</v>
          </cell>
          <cell r="H12">
            <v>-800.19395579999991</v>
          </cell>
          <cell r="I12">
            <v>-897.88977395000006</v>
          </cell>
          <cell r="N12">
            <v>-994.07747112000004</v>
          </cell>
          <cell r="S12">
            <v>-1038.9199735300001</v>
          </cell>
          <cell r="X12">
            <v>-1018.2647822399999</v>
          </cell>
          <cell r="AC12">
            <v>-1188.3761824200001</v>
          </cell>
          <cell r="AH12">
            <v>-1593.9496696732629</v>
          </cell>
          <cell r="AI12">
            <v>-1847.6454119534005</v>
          </cell>
          <cell r="AJ12">
            <v>-2119.7502793289109</v>
          </cell>
          <cell r="AK12">
            <v>-2413.5809065925505</v>
          </cell>
          <cell r="AL12">
            <v>-2773.6437646955592</v>
          </cell>
          <cell r="AM12">
            <v>-3018.8626034568115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-4230.4849847099995</v>
          </cell>
          <cell r="G13">
            <v>-5177.50838707</v>
          </cell>
          <cell r="H13">
            <v>-6607.9890251500001</v>
          </cell>
          <cell r="I13">
            <v>-8105.5720316099996</v>
          </cell>
          <cell r="N13">
            <v>-10056.973861109998</v>
          </cell>
          <cell r="S13">
            <v>-12970.216377340001</v>
          </cell>
          <cell r="X13">
            <v>-14799.99425978</v>
          </cell>
          <cell r="AC13">
            <v>-17718.721627350002</v>
          </cell>
          <cell r="AH13">
            <v>-21654.037218200487</v>
          </cell>
          <cell r="AI13">
            <v>-27064.640488898654</v>
          </cell>
          <cell r="AJ13">
            <v>-31229.86737375033</v>
          </cell>
          <cell r="AK13">
            <v>-35572.997886734884</v>
          </cell>
          <cell r="AL13">
            <v>-40817.707378907849</v>
          </cell>
          <cell r="AM13">
            <v>-44950.293098029826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>
            <v>0</v>
          </cell>
          <cell r="G14">
            <v>0</v>
          </cell>
          <cell r="H14">
            <v>0</v>
          </cell>
          <cell r="I14">
            <v>-55.053483829999998</v>
          </cell>
          <cell r="N14">
            <v>-118.20985968000001</v>
          </cell>
          <cell r="S14">
            <v>-113.42763231000001</v>
          </cell>
          <cell r="X14">
            <v>-161.18960312999999</v>
          </cell>
          <cell r="AC14">
            <v>-289.35167072000002</v>
          </cell>
          <cell r="AH14">
            <v>-375.81744158082353</v>
          </cell>
          <cell r="AI14">
            <v>-467.04889611654875</v>
          </cell>
          <cell r="AJ14">
            <v>-541.9473425820014</v>
          </cell>
          <cell r="AK14">
            <v>-617.06974221916323</v>
          </cell>
          <cell r="AL14">
            <v>-709.12544850414292</v>
          </cell>
          <cell r="AM14">
            <v>-771.81948341649047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C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-4230.4849847099995</v>
          </cell>
          <cell r="G16">
            <v>-5177.5083870700009</v>
          </cell>
          <cell r="H16">
            <v>-6607.9890251500001</v>
          </cell>
          <cell r="I16">
            <v>-8160.6255154399996</v>
          </cell>
          <cell r="N16">
            <v>-10175.183720789999</v>
          </cell>
          <cell r="S16">
            <v>-13083.644009650001</v>
          </cell>
          <cell r="X16">
            <v>-14961.18386291</v>
          </cell>
          <cell r="AC16">
            <v>-18008.073298070001</v>
          </cell>
          <cell r="AH16">
            <v>-22029.854659781311</v>
          </cell>
          <cell r="AI16">
            <v>-27531.689385015201</v>
          </cell>
          <cell r="AJ16">
            <v>-31771.814716332326</v>
          </cell>
          <cell r="AK16">
            <v>-36190.06762895405</v>
          </cell>
          <cell r="AL16">
            <v>-41526.832827411992</v>
          </cell>
          <cell r="AM16">
            <v>-45722.112581446308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-4185.7609847099993</v>
          </cell>
          <cell r="G17">
            <v>-5114.7233754400004</v>
          </cell>
          <cell r="H17">
            <v>-6528.0441469699999</v>
          </cell>
          <cell r="I17">
            <v>-8083.7469401599992</v>
          </cell>
          <cell r="N17">
            <v>-10076.049742769999</v>
          </cell>
          <cell r="S17">
            <v>-12982.839614400002</v>
          </cell>
          <cell r="X17">
            <v>-14860.54553969</v>
          </cell>
          <cell r="AC17">
            <v>-17876.001733070003</v>
          </cell>
          <cell r="AH17">
            <v>-21855.370546632817</v>
          </cell>
          <cell r="AI17">
            <v>-27295.09100280761</v>
          </cell>
          <cell r="AJ17">
            <v>-31472.813525641963</v>
          </cell>
          <cell r="AK17">
            <v>-35843.219423960676</v>
          </cell>
          <cell r="AL17">
            <v>-41152.214456655405</v>
          </cell>
          <cell r="AM17">
            <v>-45316.963568199149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638.88086400000066</v>
          </cell>
          <cell r="G18">
            <v>816.15378216000045</v>
          </cell>
          <cell r="H18">
            <v>963.26561667999977</v>
          </cell>
          <cell r="I18">
            <v>1367.7025766900006</v>
          </cell>
          <cell r="N18">
            <v>1463.7268363400017</v>
          </cell>
          <cell r="S18">
            <v>1542.4661503999978</v>
          </cell>
          <cell r="X18">
            <v>1721.9160233399998</v>
          </cell>
          <cell r="AC18">
            <v>2083.1888147499958</v>
          </cell>
          <cell r="AH18">
            <v>2833.6898819911949</v>
          </cell>
          <cell r="AI18">
            <v>3697.2788612909389</v>
          </cell>
          <cell r="AJ18">
            <v>4852.914986421325</v>
          </cell>
          <cell r="AK18">
            <v>5935.6129862102243</v>
          </cell>
          <cell r="AL18">
            <v>7344.2327438603825</v>
          </cell>
          <cell r="AM18">
            <v>8000.2439762794675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-39.420999999999999</v>
          </cell>
          <cell r="G19">
            <v>-50.571248090000005</v>
          </cell>
          <cell r="H19">
            <v>-68.206249170000007</v>
          </cell>
          <cell r="I19">
            <v>-66.640637900000002</v>
          </cell>
          <cell r="N19">
            <v>-81.396344739999989</v>
          </cell>
          <cell r="S19">
            <v>-77.553980780000003</v>
          </cell>
          <cell r="X19">
            <v>-76.716651930000012</v>
          </cell>
          <cell r="AC19">
            <v>-89.269137319999999</v>
          </cell>
          <cell r="AH19">
            <v>-131.68168546849495</v>
          </cell>
          <cell r="AI19">
            <v>-193.79595452759307</v>
          </cell>
          <cell r="AJ19">
            <v>-256.19876301036635</v>
          </cell>
          <cell r="AK19">
            <v>-304.04577731337355</v>
          </cell>
          <cell r="AL19">
            <v>-331.81594307658929</v>
          </cell>
          <cell r="AM19">
            <v>-362.34658556716334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-5.3029999999999999</v>
          </cell>
          <cell r="G20">
            <v>-12.21376354</v>
          </cell>
          <cell r="H20">
            <v>-11.73862901</v>
          </cell>
          <cell r="I20">
            <v>-10.23793738</v>
          </cell>
          <cell r="N20">
            <v>-17.737633280000001</v>
          </cell>
          <cell r="S20">
            <v>-23.250414469999999</v>
          </cell>
          <cell r="X20">
            <v>-23.921671289999999</v>
          </cell>
          <cell r="AC20">
            <v>-42.802427680000001</v>
          </cell>
          <cell r="AH20">
            <v>-42.802427680000001</v>
          </cell>
          <cell r="AI20">
            <v>-42.802427680000001</v>
          </cell>
          <cell r="AJ20">
            <v>-42.802427680000001</v>
          </cell>
          <cell r="AK20">
            <v>-42.802427680000001</v>
          </cell>
          <cell r="AL20">
            <v>-42.802427680000001</v>
          </cell>
          <cell r="AM20">
            <v>-42.802427680000001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594.1568640000005</v>
          </cell>
          <cell r="G21">
            <v>753.36877052999989</v>
          </cell>
          <cell r="H21">
            <v>883.32073849999961</v>
          </cell>
          <cell r="I21">
            <v>1290.8240014100002</v>
          </cell>
          <cell r="J21">
            <v>312.9255910200003</v>
          </cell>
          <cell r="K21">
            <v>496.50941359999922</v>
          </cell>
          <cell r="L21">
            <v>308.30386963000137</v>
          </cell>
          <cell r="M21">
            <v>246.8539840700011</v>
          </cell>
          <cell r="N21">
            <v>1364.5928583200021</v>
          </cell>
          <cell r="O21">
            <v>356.14672440000015</v>
          </cell>
          <cell r="P21">
            <v>426.62842439000002</v>
          </cell>
          <cell r="Q21">
            <v>343.11589410999989</v>
          </cell>
          <cell r="R21">
            <v>315.77071224999946</v>
          </cell>
          <cell r="S21">
            <v>1441.6617551499985</v>
          </cell>
          <cell r="T21">
            <v>370.39729168000031</v>
          </cell>
          <cell r="U21">
            <v>536.02291967999872</v>
          </cell>
          <cell r="V21">
            <v>371.87845051000227</v>
          </cell>
          <cell r="W21">
            <v>342.97903824999787</v>
          </cell>
          <cell r="X21">
            <v>1621.2777001199993</v>
          </cell>
          <cell r="Y21">
            <v>424.92800058000012</v>
          </cell>
          <cell r="Z21">
            <v>595.10215360999973</v>
          </cell>
          <cell r="AA21">
            <v>459.58983481999962</v>
          </cell>
          <cell r="AB21">
            <v>471.49726073999858</v>
          </cell>
          <cell r="AC21">
            <v>1951.1172497499974</v>
          </cell>
          <cell r="AD21">
            <v>464.37810622000018</v>
          </cell>
          <cell r="AE21">
            <v>751.80365889999871</v>
          </cell>
          <cell r="AF21">
            <v>474.05220721299395</v>
          </cell>
          <cell r="AG21">
            <v>968.9717965097085</v>
          </cell>
          <cell r="AH21">
            <v>2659.2057688427012</v>
          </cell>
          <cell r="AI21">
            <v>3460.6804790833485</v>
          </cell>
          <cell r="AJ21">
            <v>4553.9137957309613</v>
          </cell>
          <cell r="AK21">
            <v>5588.7647812168507</v>
          </cell>
          <cell r="AL21">
            <v>6969.6143731037955</v>
          </cell>
          <cell r="AM21">
            <v>7595.0949630323084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24.5338347</v>
          </cell>
          <cell r="G22">
            <v>25.206381180000001</v>
          </cell>
          <cell r="H22">
            <v>27.963150890000001</v>
          </cell>
          <cell r="I22">
            <v>29.74704105</v>
          </cell>
          <cell r="N22">
            <v>53.078583109999997</v>
          </cell>
          <cell r="S22">
            <v>43.207173709999999</v>
          </cell>
          <cell r="X22">
            <v>58.386004790000001</v>
          </cell>
          <cell r="AC22">
            <v>65.0236242</v>
          </cell>
          <cell r="AH22">
            <v>44.218216082717909</v>
          </cell>
          <cell r="AI22">
            <v>81.114420193438292</v>
          </cell>
          <cell r="AJ22">
            <v>88.248360491573393</v>
          </cell>
          <cell r="AK22">
            <v>105.43096343258937</v>
          </cell>
          <cell r="AL22">
            <v>129.97173936685076</v>
          </cell>
          <cell r="AM22">
            <v>164.85087412149619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N23">
            <v>0</v>
          </cell>
          <cell r="S23">
            <v>0</v>
          </cell>
          <cell r="X23">
            <v>0</v>
          </cell>
          <cell r="AC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24.5338347</v>
          </cell>
          <cell r="G24">
            <v>25.206381180000001</v>
          </cell>
          <cell r="H24">
            <v>27.963150890000001</v>
          </cell>
          <cell r="I24">
            <v>29.74704105</v>
          </cell>
          <cell r="N24">
            <v>53.078583109999997</v>
          </cell>
          <cell r="S24">
            <v>43.207173709999999</v>
          </cell>
          <cell r="X24">
            <v>58.386004790000001</v>
          </cell>
          <cell r="AC24">
            <v>65.0236242</v>
          </cell>
          <cell r="AH24">
            <v>44.218216082717909</v>
          </cell>
          <cell r="AI24">
            <v>81.114420193438292</v>
          </cell>
          <cell r="AJ24">
            <v>88.248360491573393</v>
          </cell>
          <cell r="AK24">
            <v>105.43096343258937</v>
          </cell>
          <cell r="AL24">
            <v>129.97173936685076</v>
          </cell>
          <cell r="AM24">
            <v>164.85087412149619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N25">
            <v>0</v>
          </cell>
          <cell r="S25">
            <v>0</v>
          </cell>
          <cell r="X25">
            <v>0</v>
          </cell>
          <cell r="AC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N26">
            <v>0</v>
          </cell>
          <cell r="S26">
            <v>0</v>
          </cell>
          <cell r="X26">
            <v>0</v>
          </cell>
          <cell r="AC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88.012930689999564</v>
          </cell>
          <cell r="G27">
            <v>36.410822290001299</v>
          </cell>
          <cell r="H27">
            <v>48.514157209999617</v>
          </cell>
          <cell r="I27">
            <v>70.384350519999771</v>
          </cell>
          <cell r="N27">
            <v>77.771162709999956</v>
          </cell>
          <cell r="S27">
            <v>115.33896083000081</v>
          </cell>
          <cell r="X27">
            <v>108.36445235999987</v>
          </cell>
          <cell r="AC27">
            <v>45.802464570000751</v>
          </cell>
          <cell r="AH27">
            <v>177.04847546300192</v>
          </cell>
          <cell r="AI27">
            <v>208.21228529744641</v>
          </cell>
          <cell r="AJ27">
            <v>222.75954634831476</v>
          </cell>
          <cell r="AK27">
            <v>245.03550098315623</v>
          </cell>
          <cell r="AL27">
            <v>269.53905108147217</v>
          </cell>
          <cell r="AM27">
            <v>296.49295618960628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706.70362939000006</v>
          </cell>
          <cell r="G28">
            <v>814.98597400000119</v>
          </cell>
          <cell r="H28">
            <v>959.79804659999922</v>
          </cell>
          <cell r="I28">
            <v>1390.9553929799999</v>
          </cell>
          <cell r="N28">
            <v>1495.442604140002</v>
          </cell>
          <cell r="S28">
            <v>1600.2078896899993</v>
          </cell>
          <cell r="X28">
            <v>1788.0281572699992</v>
          </cell>
          <cell r="AC28">
            <v>2061.9433385199982</v>
          </cell>
          <cell r="AH28">
            <v>2880.472460388421</v>
          </cell>
          <cell r="AI28">
            <v>3750.0071845742332</v>
          </cell>
          <cell r="AJ28">
            <v>4864.9217025708494</v>
          </cell>
          <cell r="AK28">
            <v>5939.2312456325963</v>
          </cell>
          <cell r="AL28">
            <v>7369.1251635521185</v>
          </cell>
          <cell r="AM28">
            <v>8056.4387933434109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N31">
            <v>0</v>
          </cell>
          <cell r="S31">
            <v>0</v>
          </cell>
          <cell r="X31">
            <v>0</v>
          </cell>
          <cell r="AC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N34">
            <v>0</v>
          </cell>
          <cell r="S34">
            <v>0</v>
          </cell>
          <cell r="X34">
            <v>0</v>
          </cell>
          <cell r="AC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2203.0906553099999</v>
          </cell>
          <cell r="G37">
            <v>2571.4498890199998</v>
          </cell>
          <cell r="H37">
            <v>3240.6162977499998</v>
          </cell>
          <cell r="I37">
            <v>3745.3401574200002</v>
          </cell>
          <cell r="N37">
            <v>4246.3695008200002</v>
          </cell>
          <cell r="S37">
            <v>4636.9343448700001</v>
          </cell>
          <cell r="X37">
            <v>5141.3535120100005</v>
          </cell>
          <cell r="AC37">
            <v>5487.95541736</v>
          </cell>
          <cell r="AH37">
            <v>9019.9916910514385</v>
          </cell>
          <cell r="AI37">
            <v>10329.780891896939</v>
          </cell>
          <cell r="AJ37">
            <v>12341.064983119315</v>
          </cell>
          <cell r="AK37">
            <v>15213.649095798253</v>
          </cell>
          <cell r="AL37">
            <v>19296.374459844403</v>
          </cell>
          <cell r="AM37">
            <v>23569.175453985434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382.29033244000004</v>
          </cell>
          <cell r="G38">
            <v>399.47390149</v>
          </cell>
          <cell r="H38">
            <v>577.13128016999997</v>
          </cell>
          <cell r="I38">
            <v>706.91707986999995</v>
          </cell>
          <cell r="N38">
            <v>558.22578665000003</v>
          </cell>
          <cell r="S38">
            <v>918.78394573999992</v>
          </cell>
          <cell r="X38">
            <v>1025.91130406</v>
          </cell>
          <cell r="AC38">
            <v>1394.2454561600002</v>
          </cell>
          <cell r="AH38">
            <v>1724.6496162755677</v>
          </cell>
          <cell r="AI38">
            <v>2164.9660969527222</v>
          </cell>
          <cell r="AJ38">
            <v>2537.5268500143566</v>
          </cell>
          <cell r="AK38">
            <v>2918.4523847292571</v>
          </cell>
          <cell r="AL38">
            <v>3387.710087101088</v>
          </cell>
          <cell r="AM38">
            <v>3724.4633832181298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505.79199045000001</v>
          </cell>
          <cell r="G39">
            <v>537.33042871999999</v>
          </cell>
          <cell r="H39">
            <v>487.78146479000003</v>
          </cell>
          <cell r="I39">
            <v>670.31812352999998</v>
          </cell>
          <cell r="N39">
            <v>690.67779161999999</v>
          </cell>
          <cell r="S39">
            <v>791.5972845</v>
          </cell>
          <cell r="X39">
            <v>759.51790655999991</v>
          </cell>
          <cell r="AC39">
            <v>969.98029487999997</v>
          </cell>
          <cell r="AH39">
            <v>1177.1012106469291</v>
          </cell>
          <cell r="AI39">
            <v>1479.7021878465919</v>
          </cell>
          <cell r="AJ39">
            <v>1708.1457890463212</v>
          </cell>
          <cell r="AK39">
            <v>1945.7537150448545</v>
          </cell>
          <cell r="AL39">
            <v>2232.3787585615928</v>
          </cell>
          <cell r="AM39">
            <v>2460.4846554093529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185.26891714000004</v>
          </cell>
          <cell r="G40">
            <v>198.1205120300001</v>
          </cell>
          <cell r="H40">
            <v>182.83822831999993</v>
          </cell>
          <cell r="I40">
            <v>215.2730917400005</v>
          </cell>
          <cell r="N40">
            <v>556.39200003000076</v>
          </cell>
          <cell r="S40">
            <v>587.08370685999955</v>
          </cell>
          <cell r="X40">
            <v>965.67744753999989</v>
          </cell>
          <cell r="AC40">
            <v>851.5238181999996</v>
          </cell>
          <cell r="AH40">
            <v>851.52381820000073</v>
          </cell>
          <cell r="AI40">
            <v>851.52381819999778</v>
          </cell>
          <cell r="AJ40">
            <v>851.52381819999982</v>
          </cell>
          <cell r="AK40">
            <v>851.52381820000141</v>
          </cell>
          <cell r="AL40">
            <v>851.52381820000028</v>
          </cell>
          <cell r="AM40">
            <v>851.52381820000119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3276.44189534</v>
          </cell>
          <cell r="G41">
            <v>3706.3747312599999</v>
          </cell>
          <cell r="H41">
            <v>4488.3672710299998</v>
          </cell>
          <cell r="I41">
            <v>5337.8484525600006</v>
          </cell>
          <cell r="N41">
            <v>6051.6650791200009</v>
          </cell>
          <cell r="S41">
            <v>6934.3992819699997</v>
          </cell>
          <cell r="X41">
            <v>7892.4601701700003</v>
          </cell>
          <cell r="AC41">
            <v>8703.7049865999998</v>
          </cell>
          <cell r="AH41">
            <v>12773.266336173936</v>
          </cell>
          <cell r="AI41">
            <v>14825.97299489625</v>
          </cell>
          <cell r="AJ41">
            <v>17438.261440379993</v>
          </cell>
          <cell r="AK41">
            <v>20929.379013772366</v>
          </cell>
          <cell r="AL41">
            <v>25767.987123707084</v>
          </cell>
          <cell r="AM41">
            <v>30605.647310812918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613.27197667000007</v>
          </cell>
          <cell r="G42">
            <v>778.30664904000002</v>
          </cell>
          <cell r="H42">
            <v>889.91266528000006</v>
          </cell>
          <cell r="I42">
            <v>1029.2992925299998</v>
          </cell>
          <cell r="N42">
            <v>983.31706455000005</v>
          </cell>
          <cell r="S42">
            <v>1114.3704224000001</v>
          </cell>
          <cell r="X42">
            <v>1257.6490994900003</v>
          </cell>
          <cell r="AC42">
            <v>1558.9521652800001</v>
          </cell>
          <cell r="AH42">
            <v>2299.6239781387203</v>
          </cell>
          <cell r="AI42">
            <v>3384.35692338217</v>
          </cell>
          <cell r="AJ42">
            <v>4474.1287787440688</v>
          </cell>
          <cell r="AK42">
            <v>5309.7054269474866</v>
          </cell>
          <cell r="AL42">
            <v>5794.669898952644</v>
          </cell>
          <cell r="AM42">
            <v>6327.84197439743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-102.39</v>
          </cell>
          <cell r="G43">
            <v>-143.51060111000001</v>
          </cell>
          <cell r="H43">
            <v>-189.71419498</v>
          </cell>
          <cell r="I43">
            <v>-229.48342688</v>
          </cell>
          <cell r="N43">
            <v>-265.32073697999999</v>
          </cell>
          <cell r="S43">
            <v>-325.70699648000004</v>
          </cell>
          <cell r="X43">
            <v>-368.05228729000004</v>
          </cell>
          <cell r="AC43">
            <v>-469.69203546</v>
          </cell>
          <cell r="AH43">
            <v>-601.373720928495</v>
          </cell>
          <cell r="AI43">
            <v>-795.16967545608804</v>
          </cell>
          <cell r="AJ43">
            <v>-1051.3684384664543</v>
          </cell>
          <cell r="AK43">
            <v>-1355.4142157798278</v>
          </cell>
          <cell r="AL43">
            <v>-1687.2301588564171</v>
          </cell>
          <cell r="AM43">
            <v>-2049.5767444235803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510.88197667000009</v>
          </cell>
          <cell r="G44">
            <v>634.79604792999999</v>
          </cell>
          <cell r="H44">
            <v>700.19847030000005</v>
          </cell>
          <cell r="I44">
            <v>799.81586564999975</v>
          </cell>
          <cell r="N44">
            <v>717.99632757000006</v>
          </cell>
          <cell r="S44">
            <v>788.66342592000001</v>
          </cell>
          <cell r="X44">
            <v>889.59681220000016</v>
          </cell>
          <cell r="AC44">
            <v>1089.2601298200002</v>
          </cell>
          <cell r="AH44">
            <v>1698.2502572102253</v>
          </cell>
          <cell r="AI44">
            <v>2589.1872479260819</v>
          </cell>
          <cell r="AJ44">
            <v>3422.7603402776144</v>
          </cell>
          <cell r="AK44">
            <v>3954.2912111676587</v>
          </cell>
          <cell r="AL44">
            <v>4107.4397400962271</v>
          </cell>
          <cell r="AM44">
            <v>4278.2652299738493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126.04168837</v>
          </cell>
          <cell r="G45">
            <v>117.79377423</v>
          </cell>
          <cell r="H45">
            <v>142.29534466000001</v>
          </cell>
          <cell r="I45">
            <v>157.42626299</v>
          </cell>
          <cell r="N45">
            <v>195.15190514000005</v>
          </cell>
          <cell r="S45">
            <v>260.01377035999997</v>
          </cell>
          <cell r="X45">
            <v>304.56941165000001</v>
          </cell>
          <cell r="AC45">
            <v>670.23718914000005</v>
          </cell>
          <cell r="AH45">
            <v>670.23718914000005</v>
          </cell>
          <cell r="AI45">
            <v>670.23718914000005</v>
          </cell>
          <cell r="AJ45">
            <v>670.23718914000005</v>
          </cell>
          <cell r="AK45">
            <v>670.23718914000005</v>
          </cell>
          <cell r="AL45">
            <v>670.23718914000005</v>
          </cell>
          <cell r="AM45">
            <v>670.23718914000005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-4.5970000000000004</v>
          </cell>
          <cell r="G46">
            <v>-14.622023990000001</v>
          </cell>
          <cell r="H46">
            <v>-23.699349179999999</v>
          </cell>
          <cell r="I46">
            <v>-32.931357779999999</v>
          </cell>
          <cell r="N46">
            <v>-43.212705920000005</v>
          </cell>
          <cell r="S46">
            <v>-58.579220149999998</v>
          </cell>
          <cell r="X46">
            <v>-73.847770230000009</v>
          </cell>
          <cell r="AC46">
            <v>-101.70303305</v>
          </cell>
          <cell r="AH46">
            <v>-144.50546073000001</v>
          </cell>
          <cell r="AI46">
            <v>-187.30788841</v>
          </cell>
          <cell r="AJ46">
            <v>-230.11031609</v>
          </cell>
          <cell r="AK46">
            <v>-272.91274377000002</v>
          </cell>
          <cell r="AL46">
            <v>-315.71517145000001</v>
          </cell>
          <cell r="AM46">
            <v>-358.51759913000001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121.44468837000001</v>
          </cell>
          <cell r="G47">
            <v>103.17175023999999</v>
          </cell>
          <cell r="H47">
            <v>118.59599548000001</v>
          </cell>
          <cell r="I47">
            <v>124.49490521</v>
          </cell>
          <cell r="N47">
            <v>151.93919922000003</v>
          </cell>
          <cell r="S47">
            <v>201.43455020999997</v>
          </cell>
          <cell r="X47">
            <v>230.72164142</v>
          </cell>
          <cell r="AC47">
            <v>568.53415609000001</v>
          </cell>
          <cell r="AH47">
            <v>525.73172841000007</v>
          </cell>
          <cell r="AI47">
            <v>482.92930073000002</v>
          </cell>
          <cell r="AJ47">
            <v>440.12687305000009</v>
          </cell>
          <cell r="AK47">
            <v>397.32444537000003</v>
          </cell>
          <cell r="AL47">
            <v>354.52201769000004</v>
          </cell>
          <cell r="AM47">
            <v>311.71959001000005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324.25062288999993</v>
          </cell>
          <cell r="G49">
            <v>201.54749380999999</v>
          </cell>
          <cell r="H49">
            <v>182.16334090999999</v>
          </cell>
          <cell r="I49">
            <v>171.37977340999998</v>
          </cell>
          <cell r="N49">
            <v>240.49290147999997</v>
          </cell>
          <cell r="S49">
            <v>205.55010020000003</v>
          </cell>
          <cell r="X49">
            <v>199.24931140000001</v>
          </cell>
          <cell r="AC49">
            <v>193.88250855000001</v>
          </cell>
          <cell r="AH49">
            <v>193.88250855000001</v>
          </cell>
          <cell r="AI49">
            <v>193.88250855000001</v>
          </cell>
          <cell r="AJ49">
            <v>193.88250855000001</v>
          </cell>
          <cell r="AK49">
            <v>193.88250855000001</v>
          </cell>
          <cell r="AL49">
            <v>193.88250855000001</v>
          </cell>
          <cell r="AM49">
            <v>193.88250855000001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28.974394330000223</v>
          </cell>
          <cell r="G50">
            <v>49.753393219999737</v>
          </cell>
          <cell r="H50">
            <v>59.236068619999344</v>
          </cell>
          <cell r="I50">
            <v>65.610919020000608</v>
          </cell>
          <cell r="N50">
            <v>59.40830326000011</v>
          </cell>
          <cell r="S50">
            <v>69.061542809999594</v>
          </cell>
          <cell r="X50">
            <v>85.979496910000648</v>
          </cell>
          <cell r="AC50">
            <v>82.659831249998547</v>
          </cell>
          <cell r="AH50">
            <v>82.659831249999684</v>
          </cell>
          <cell r="AI50">
            <v>82.659831250000479</v>
          </cell>
          <cell r="AJ50">
            <v>82.659831250000252</v>
          </cell>
          <cell r="AK50">
            <v>82.659831249998319</v>
          </cell>
          <cell r="AL50">
            <v>82.659831249997694</v>
          </cell>
          <cell r="AM50">
            <v>82.659831249997978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4261.9935776000002</v>
          </cell>
          <cell r="G51">
            <v>4695.6434164599996</v>
          </cell>
          <cell r="H51">
            <v>5548.5611463399991</v>
          </cell>
          <cell r="I51">
            <v>6499.149915850001</v>
          </cell>
          <cell r="N51">
            <v>7221.5018106500011</v>
          </cell>
          <cell r="S51">
            <v>8199.1089011099994</v>
          </cell>
          <cell r="X51">
            <v>9298.0074321000011</v>
          </cell>
          <cell r="AC51">
            <v>10638.041612309999</v>
          </cell>
          <cell r="AH51">
            <v>15273.790661594161</v>
          </cell>
          <cell r="AI51">
            <v>18174.631883352333</v>
          </cell>
          <cell r="AJ51">
            <v>21577.690993507607</v>
          </cell>
          <cell r="AK51">
            <v>25557.537010110023</v>
          </cell>
          <cell r="AL51">
            <v>30506.491221293309</v>
          </cell>
          <cell r="AM51">
            <v>35472.174470596765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797.64302301000009</v>
          </cell>
          <cell r="G52">
            <v>787.56677077999996</v>
          </cell>
          <cell r="H52">
            <v>1007.70614156</v>
          </cell>
          <cell r="I52">
            <v>1137.04684413</v>
          </cell>
          <cell r="N52">
            <v>1227.8897598799999</v>
          </cell>
          <cell r="S52">
            <v>1577.6607873799999</v>
          </cell>
          <cell r="X52">
            <v>1885.3181114600002</v>
          </cell>
          <cell r="AC52">
            <v>2107.40462419</v>
          </cell>
          <cell r="AH52">
            <v>2557.4009570615799</v>
          </cell>
          <cell r="AI52">
            <v>3214.8397751500188</v>
          </cell>
          <cell r="AJ52">
            <v>3711.162333531975</v>
          </cell>
          <cell r="AK52">
            <v>4227.3955442854494</v>
          </cell>
          <cell r="AL52">
            <v>4850.1246299217319</v>
          </cell>
          <cell r="AM52">
            <v>5345.7134829730694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28</v>
          </cell>
          <cell r="G53">
            <v>2</v>
          </cell>
          <cell r="H53">
            <v>0</v>
          </cell>
          <cell r="I53">
            <v>8</v>
          </cell>
          <cell r="N53">
            <v>0</v>
          </cell>
          <cell r="S53">
            <v>0</v>
          </cell>
          <cell r="X53">
            <v>0</v>
          </cell>
          <cell r="AC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355.41448382999999</v>
          </cell>
          <cell r="G54">
            <v>360.09163182999998</v>
          </cell>
          <cell r="H54">
            <v>402.67195817000004</v>
          </cell>
          <cell r="I54">
            <v>442.51515848999998</v>
          </cell>
          <cell r="N54">
            <v>426.88878900999998</v>
          </cell>
          <cell r="S54">
            <v>358.51045577000014</v>
          </cell>
          <cell r="X54">
            <v>338.88880302000007</v>
          </cell>
          <cell r="AC54">
            <v>322.1323786400003</v>
          </cell>
          <cell r="AH54">
            <v>594.36564980475896</v>
          </cell>
          <cell r="AI54">
            <v>851.91276070165986</v>
          </cell>
          <cell r="AJ54">
            <v>1182.379445122006</v>
          </cell>
          <cell r="AK54">
            <v>1500.8105956775598</v>
          </cell>
          <cell r="AL54">
            <v>1924.6388753350657</v>
          </cell>
          <cell r="AM54">
            <v>2128.3623471597748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1181.0575068400001</v>
          </cell>
          <cell r="G55">
            <v>1149.6584026099999</v>
          </cell>
          <cell r="H55">
            <v>1410.37809973</v>
          </cell>
          <cell r="I55">
            <v>1587.5620026199999</v>
          </cell>
          <cell r="N55">
            <v>1654.7785488899999</v>
          </cell>
          <cell r="S55">
            <v>1936.17124315</v>
          </cell>
          <cell r="X55">
            <v>2224.2069144800003</v>
          </cell>
          <cell r="AC55">
            <v>2429.5370028300003</v>
          </cell>
          <cell r="AH55">
            <v>3151.7666068663389</v>
          </cell>
          <cell r="AI55">
            <v>4066.7525358516787</v>
          </cell>
          <cell r="AJ55">
            <v>4893.5417786539811</v>
          </cell>
          <cell r="AK55">
            <v>5728.2061399630093</v>
          </cell>
          <cell r="AL55">
            <v>6774.7635052567975</v>
          </cell>
          <cell r="AM55">
            <v>7474.0758301328442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N56">
            <v>0</v>
          </cell>
          <cell r="S56">
            <v>0</v>
          </cell>
          <cell r="X56">
            <v>0</v>
          </cell>
          <cell r="AC56">
            <v>42</v>
          </cell>
          <cell r="AH56">
            <v>2429.8000000000002</v>
          </cell>
          <cell r="AI56">
            <v>2429.8000000000002</v>
          </cell>
          <cell r="AJ56">
            <v>2429.8000000000002</v>
          </cell>
          <cell r="AK56">
            <v>2429.8000000000002</v>
          </cell>
          <cell r="AL56">
            <v>2429.8000000000002</v>
          </cell>
          <cell r="AM56">
            <v>2429.8000000000002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50.455554239999998</v>
          </cell>
          <cell r="G57">
            <v>39.428642349999997</v>
          </cell>
          <cell r="H57">
            <v>49.110485580000002</v>
          </cell>
          <cell r="I57">
            <v>49.430304819999996</v>
          </cell>
          <cell r="N57">
            <v>48.960556109999999</v>
          </cell>
          <cell r="S57">
            <v>50.971300119999995</v>
          </cell>
          <cell r="X57">
            <v>31.284213260000001</v>
          </cell>
          <cell r="AC57">
            <v>117.16390361999999</v>
          </cell>
          <cell r="AH57">
            <v>117.16390361999993</v>
          </cell>
          <cell r="AI57">
            <v>117.16390361999993</v>
          </cell>
          <cell r="AJ57">
            <v>117.16390361999993</v>
          </cell>
          <cell r="AK57">
            <v>117.16390361999993</v>
          </cell>
          <cell r="AL57">
            <v>117.16390361999993</v>
          </cell>
          <cell r="AM57">
            <v>117.16390361999993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50.455554239999998</v>
          </cell>
          <cell r="G58">
            <v>39.428642349999997</v>
          </cell>
          <cell r="H58">
            <v>49.110485580000002</v>
          </cell>
          <cell r="I58">
            <v>49.430304819999996</v>
          </cell>
          <cell r="N58">
            <v>48.960556109999999</v>
          </cell>
          <cell r="S58">
            <v>50.971300119999995</v>
          </cell>
          <cell r="X58">
            <v>31.284213260000001</v>
          </cell>
          <cell r="AC58">
            <v>159.16390361999999</v>
          </cell>
          <cell r="AH58">
            <v>2546.9639036200001</v>
          </cell>
          <cell r="AI58">
            <v>2546.9639036200001</v>
          </cell>
          <cell r="AJ58">
            <v>2546.9639036200001</v>
          </cell>
          <cell r="AK58">
            <v>2546.9639036200001</v>
          </cell>
          <cell r="AL58">
            <v>2546.9639036200001</v>
          </cell>
          <cell r="AM58">
            <v>2546.9639036200001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1231.5130610800002</v>
          </cell>
          <cell r="G59">
            <v>1189.08704496</v>
          </cell>
          <cell r="H59">
            <v>1459.48858531</v>
          </cell>
          <cell r="I59">
            <v>1636.9923074399999</v>
          </cell>
          <cell r="N59">
            <v>1703.7391049999999</v>
          </cell>
          <cell r="S59">
            <v>1987.14254327</v>
          </cell>
          <cell r="X59">
            <v>2255.4911277400001</v>
          </cell>
          <cell r="AC59">
            <v>2588.7009064500003</v>
          </cell>
          <cell r="AH59">
            <v>5698.730510486339</v>
          </cell>
          <cell r="AI59">
            <v>6613.7164394716783</v>
          </cell>
          <cell r="AJ59">
            <v>7440.5056822739807</v>
          </cell>
          <cell r="AK59">
            <v>8275.1700435830098</v>
          </cell>
          <cell r="AL59">
            <v>9321.7274088767972</v>
          </cell>
          <cell r="AM59">
            <v>10021.039733752845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N60">
            <v>0</v>
          </cell>
          <cell r="S60">
            <v>0</v>
          </cell>
          <cell r="X60">
            <v>0</v>
          </cell>
          <cell r="AC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2709.3875070200002</v>
          </cell>
          <cell r="G61">
            <v>3065.4006556200002</v>
          </cell>
          <cell r="H61">
            <v>3477.5806896700001</v>
          </cell>
          <cell r="I61">
            <v>4189.4152740400004</v>
          </cell>
          <cell r="N61">
            <v>4787.6843703899995</v>
          </cell>
          <cell r="S61">
            <v>5414.14651306</v>
          </cell>
          <cell r="X61">
            <v>6109.7887277299997</v>
          </cell>
          <cell r="AC61">
            <v>6712.6157655500001</v>
          </cell>
          <cell r="AH61">
            <v>7543.3317023415102</v>
          </cell>
          <cell r="AI61">
            <v>8624.5800570154006</v>
          </cell>
          <cell r="AJ61">
            <v>10027.294325979996</v>
          </cell>
          <cell r="AK61">
            <v>11739.766781708668</v>
          </cell>
          <cell r="AL61">
            <v>13864.523899842385</v>
          </cell>
          <cell r="AM61">
            <v>16187.455766657591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321.09300949999999</v>
          </cell>
          <cell r="G62">
            <v>441.15571588</v>
          </cell>
          <cell r="H62">
            <v>611.49187136</v>
          </cell>
          <cell r="I62">
            <v>672.74233436999998</v>
          </cell>
          <cell r="N62">
            <v>730.07833526000002</v>
          </cell>
          <cell r="S62">
            <v>797.81984477999993</v>
          </cell>
          <cell r="X62">
            <v>932.72757663000004</v>
          </cell>
          <cell r="AC62">
            <v>1336.72494031</v>
          </cell>
          <cell r="AH62">
            <v>2031.7284487663096</v>
          </cell>
          <cell r="AI62">
            <v>2936.3353868652539</v>
          </cell>
          <cell r="AJ62">
            <v>4109.890985253629</v>
          </cell>
          <cell r="AK62">
            <v>5542.600184818345</v>
          </cell>
          <cell r="AL62">
            <v>7320.2399125741267</v>
          </cell>
          <cell r="AM62">
            <v>9263.6789701863308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3030.48051652</v>
          </cell>
          <cell r="G63">
            <v>3506.5563715000003</v>
          </cell>
          <cell r="H63">
            <v>4089.0725610300001</v>
          </cell>
          <cell r="I63">
            <v>4862.1576084100006</v>
          </cell>
          <cell r="N63">
            <v>5517.7627056499996</v>
          </cell>
          <cell r="S63">
            <v>6211.9663578399995</v>
          </cell>
          <cell r="X63">
            <v>7042.5163043599996</v>
          </cell>
          <cell r="AC63">
            <v>8049.3407058600005</v>
          </cell>
          <cell r="AH63">
            <v>9575.0601511078203</v>
          </cell>
          <cell r="AI63">
            <v>11560.915443880654</v>
          </cell>
          <cell r="AJ63">
            <v>14137.185311233625</v>
          </cell>
          <cell r="AK63">
            <v>17282.366966527014</v>
          </cell>
          <cell r="AL63">
            <v>21184.76381241651</v>
          </cell>
          <cell r="AM63">
            <v>25451.134736843924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4261.9935776000002</v>
          </cell>
          <cell r="G64">
            <v>4695.6434164600005</v>
          </cell>
          <cell r="H64">
            <v>5548.5611463400001</v>
          </cell>
          <cell r="I64">
            <v>6499.149915850001</v>
          </cell>
          <cell r="N64">
            <v>7221.5018106499992</v>
          </cell>
          <cell r="S64">
            <v>8199.1089011099994</v>
          </cell>
          <cell r="X64">
            <v>9298.0074320999993</v>
          </cell>
          <cell r="AC64">
            <v>10638.04161231</v>
          </cell>
          <cell r="AH64">
            <v>15273.790661594159</v>
          </cell>
          <cell r="AI64">
            <v>18174.631883352333</v>
          </cell>
          <cell r="AJ64">
            <v>21577.690993507604</v>
          </cell>
          <cell r="AK64">
            <v>25557.537010110023</v>
          </cell>
          <cell r="AL64">
            <v>30506.491221293305</v>
          </cell>
          <cell r="AM64">
            <v>35472.174470596772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-2175.0906553099999</v>
          </cell>
          <cell r="G66">
            <v>-2569.4498890199998</v>
          </cell>
          <cell r="H66">
            <v>-3240.6162977499998</v>
          </cell>
          <cell r="I66">
            <v>-3737.3401574200002</v>
          </cell>
          <cell r="N66">
            <v>-4246.3695008200002</v>
          </cell>
          <cell r="S66">
            <v>-4636.9343448700001</v>
          </cell>
          <cell r="X66">
            <v>-5141.3535120100005</v>
          </cell>
          <cell r="AC66">
            <v>-5445.95541736</v>
          </cell>
          <cell r="AH66">
            <v>-6590.1916910514383</v>
          </cell>
          <cell r="AI66">
            <v>-7899.9808918969384</v>
          </cell>
          <cell r="AJ66">
            <v>-9911.2649831193157</v>
          </cell>
          <cell r="AK66">
            <v>-12783.849095798254</v>
          </cell>
          <cell r="AL66">
            <v>-16866.574459844403</v>
          </cell>
          <cell r="AM66">
            <v>-21139.375453985434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N67">
            <v>0</v>
          </cell>
          <cell r="S67">
            <v>0</v>
          </cell>
          <cell r="X67">
            <v>0</v>
          </cell>
          <cell r="AC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N69">
            <v>0</v>
          </cell>
          <cell r="S69">
            <v>0</v>
          </cell>
          <cell r="X69">
            <v>0</v>
          </cell>
          <cell r="AC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N71">
            <v>0</v>
          </cell>
          <cell r="S71">
            <v>0</v>
          </cell>
          <cell r="X71">
            <v>0</v>
          </cell>
          <cell r="AC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N72">
            <v>0</v>
          </cell>
          <cell r="S72">
            <v>0</v>
          </cell>
          <cell r="X72">
            <v>0</v>
          </cell>
          <cell r="AC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N74">
            <v>0</v>
          </cell>
          <cell r="S74">
            <v>0</v>
          </cell>
          <cell r="X74">
            <v>0</v>
          </cell>
          <cell r="AC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-121.44468837000001</v>
          </cell>
          <cell r="G75">
            <v>-103.17175023999999</v>
          </cell>
          <cell r="H75">
            <v>-118.59599548000001</v>
          </cell>
          <cell r="I75">
            <v>-124.49490521</v>
          </cell>
          <cell r="N75">
            <v>-151.93919922000003</v>
          </cell>
          <cell r="S75">
            <v>-201.43455020999997</v>
          </cell>
          <cell r="X75">
            <v>-230.72164142</v>
          </cell>
          <cell r="AC75">
            <v>-568.53415609000001</v>
          </cell>
          <cell r="AH75">
            <v>-525.73172841000007</v>
          </cell>
          <cell r="AI75">
            <v>-482.92930073000002</v>
          </cell>
          <cell r="AJ75">
            <v>-440.12687305000009</v>
          </cell>
          <cell r="AK75">
            <v>-397.32444537000003</v>
          </cell>
          <cell r="AL75">
            <v>-354.52201769000004</v>
          </cell>
          <cell r="AM75">
            <v>-311.71959001000005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N77">
            <v>1</v>
          </cell>
          <cell r="S77">
            <v>1</v>
          </cell>
          <cell r="X77">
            <v>1</v>
          </cell>
          <cell r="AC77">
            <v>1</v>
          </cell>
          <cell r="AH77">
            <v>1</v>
          </cell>
          <cell r="AI77">
            <v>1</v>
          </cell>
          <cell r="AJ77">
            <v>1</v>
          </cell>
          <cell r="AK77">
            <v>1</v>
          </cell>
          <cell r="AL77">
            <v>1</v>
          </cell>
          <cell r="AM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321.09300949999999</v>
          </cell>
          <cell r="G78">
            <v>441.15571588</v>
          </cell>
          <cell r="H78">
            <v>611.49187136</v>
          </cell>
          <cell r="I78">
            <v>672.74233436999998</v>
          </cell>
          <cell r="N78">
            <v>730.07833526000002</v>
          </cell>
          <cell r="S78">
            <v>797.81984477999993</v>
          </cell>
          <cell r="X78">
            <v>932.72757663000004</v>
          </cell>
          <cell r="AC78">
            <v>1336.72494031</v>
          </cell>
          <cell r="AH78">
            <v>2031.7284487663096</v>
          </cell>
          <cell r="AI78">
            <v>2936.3353868652539</v>
          </cell>
          <cell r="AJ78">
            <v>4109.890985253629</v>
          </cell>
          <cell r="AK78">
            <v>5542.600184818345</v>
          </cell>
          <cell r="AL78">
            <v>7320.2399125741267</v>
          </cell>
          <cell r="AM78">
            <v>9263.6789701863308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122.26738989</v>
          </cell>
          <cell r="G80">
            <v>170.35670500000001</v>
          </cell>
          <cell r="H80">
            <v>206.82657786999999</v>
          </cell>
          <cell r="I80">
            <v>252.26754912000001</v>
          </cell>
          <cell r="N80">
            <v>294.63509994999998</v>
          </cell>
          <cell r="S80">
            <v>346.46808637999999</v>
          </cell>
          <cell r="X80">
            <v>400.52428579000002</v>
          </cell>
          <cell r="AC80">
            <v>524.20020751999994</v>
          </cell>
          <cell r="AH80">
            <v>695.00350845630965</v>
          </cell>
          <cell r="AI80">
            <v>904.60693809894406</v>
          </cell>
          <cell r="AJ80">
            <v>1173.5555983883755</v>
          </cell>
          <cell r="AK80">
            <v>1432.7091995647163</v>
          </cell>
          <cell r="AL80">
            <v>1777.6397277557821</v>
          </cell>
          <cell r="AM80">
            <v>1943.4390576122034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44.723999999999997</v>
          </cell>
          <cell r="G81">
            <v>62.785011630000007</v>
          </cell>
          <cell r="H81">
            <v>79.944878180000003</v>
          </cell>
          <cell r="I81">
            <v>76.878575280000007</v>
          </cell>
          <cell r="N81">
            <v>99.133978019999986</v>
          </cell>
          <cell r="S81">
            <v>100.80439525</v>
          </cell>
          <cell r="X81">
            <v>100.63832322000002</v>
          </cell>
          <cell r="AC81">
            <v>132.07156499999999</v>
          </cell>
          <cell r="AH81">
            <v>174.48411314849494</v>
          </cell>
          <cell r="AI81">
            <v>236.59838220759306</v>
          </cell>
          <cell r="AJ81">
            <v>299.00119069036634</v>
          </cell>
          <cell r="AK81">
            <v>346.84820499337354</v>
          </cell>
          <cell r="AL81">
            <v>374.61837075658929</v>
          </cell>
          <cell r="AM81">
            <v>405.14901324716334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-45.48256084999997</v>
          </cell>
          <cell r="G82">
            <v>-58.798259550000068</v>
          </cell>
          <cell r="H82">
            <v>92.030956030000027</v>
          </cell>
          <cell r="I82">
            <v>-182.98175586999997</v>
          </cell>
          <cell r="N82">
            <v>219.17454087999988</v>
          </cell>
          <cell r="S82">
            <v>-111.70662446999995</v>
          </cell>
          <cell r="X82">
            <v>232.6093437000003</v>
          </cell>
          <cell r="AC82">
            <v>-356.7100276900004</v>
          </cell>
          <cell r="AH82">
            <v>-87.528743010916742</v>
          </cell>
          <cell r="AI82">
            <v>-85.478639788378359</v>
          </cell>
          <cell r="AJ82">
            <v>-104.68179587940745</v>
          </cell>
          <cell r="AK82">
            <v>-102.3002499599595</v>
          </cell>
          <cell r="AL82">
            <v>-133.15366025228673</v>
          </cell>
          <cell r="AM82">
            <v>-69.27033991346434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-165.34848205000003</v>
          </cell>
          <cell r="G83">
            <v>-62.641938720001178</v>
          </cell>
          <cell r="H83">
            <v>-73.779612549999413</v>
          </cell>
          <cell r="I83">
            <v>43.814261170000009</v>
          </cell>
          <cell r="N83">
            <v>-405.45829492000183</v>
          </cell>
          <cell r="S83">
            <v>-136.06205083999939</v>
          </cell>
          <cell r="X83">
            <v>-351.83920052999935</v>
          </cell>
          <cell r="AC83">
            <v>310.60454179000226</v>
          </cell>
          <cell r="AH83">
            <v>2.8421709430404007E-13</v>
          </cell>
          <cell r="AI83">
            <v>1.4210854715202004E-13</v>
          </cell>
          <cell r="AJ83">
            <v>-1.1368683772161603E-13</v>
          </cell>
          <cell r="AK83">
            <v>-3.4106051316484809E-13</v>
          </cell>
          <cell r="AL83">
            <v>1.0800249583553523E-12</v>
          </cell>
          <cell r="AM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426.88822986000002</v>
          </cell>
          <cell r="G84">
            <v>665.15599639999994</v>
          </cell>
          <cell r="H84">
            <v>915.51681252999992</v>
          </cell>
          <cell r="I84">
            <v>1097.8597482</v>
          </cell>
          <cell r="N84">
            <v>1194.54584464</v>
          </cell>
          <cell r="S84">
            <v>1217.4998813</v>
          </cell>
          <cell r="X84">
            <v>1474.4670012300001</v>
          </cell>
          <cell r="AC84">
            <v>1757.8056455000001</v>
          </cell>
          <cell r="AH84">
            <v>2466.6500865501584</v>
          </cell>
          <cell r="AI84">
            <v>3248.4974172537086</v>
          </cell>
          <cell r="AJ84">
            <v>4212.5783286459355</v>
          </cell>
          <cell r="AK84">
            <v>5150.149827364361</v>
          </cell>
          <cell r="AL84">
            <v>6328.110053088868</v>
          </cell>
          <cell r="AM84">
            <v>6990.2215662808821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-182.31998131</v>
          </cell>
          <cell r="G85">
            <v>-179.03714221000001</v>
          </cell>
          <cell r="H85">
            <v>-86.294068330000002</v>
          </cell>
          <cell r="I85">
            <v>-210.92794462000001</v>
          </cell>
          <cell r="N85">
            <v>-83.04240403</v>
          </cell>
          <cell r="S85">
            <v>-172.65126888</v>
          </cell>
          <cell r="X85">
            <v>-170.2185849</v>
          </cell>
          <cell r="AC85">
            <v>-392.83146911</v>
          </cell>
          <cell r="AH85">
            <v>-740.67181285872039</v>
          </cell>
          <cell r="AI85">
            <v>-1084.7329452434494</v>
          </cell>
          <cell r="AJ85">
            <v>-1089.7718553618986</v>
          </cell>
          <cell r="AK85">
            <v>-835.5766482034179</v>
          </cell>
          <cell r="AL85">
            <v>-484.96447200515775</v>
          </cell>
          <cell r="AM85">
            <v>-533.17207544478595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S86">
            <v>0</v>
          </cell>
          <cell r="X86">
            <v>0</v>
          </cell>
          <cell r="AC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15.512697429999999</v>
          </cell>
          <cell r="G87">
            <v>2.3701804599999998</v>
          </cell>
          <cell r="H87">
            <v>21.171265890000001</v>
          </cell>
          <cell r="I87">
            <v>9.3134726800000003</v>
          </cell>
          <cell r="N87">
            <v>2.64201621</v>
          </cell>
          <cell r="S87">
            <v>4.4049709000000004</v>
          </cell>
          <cell r="X87">
            <v>1.9997276399999999</v>
          </cell>
          <cell r="AC87">
            <v>2.9023750499999998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-42.478945959999976</v>
          </cell>
          <cell r="G88">
            <v>125.94322879999999</v>
          </cell>
          <cell r="H88">
            <v>74.55563994000002</v>
          </cell>
          <cell r="I88">
            <v>-5.0696614000000118</v>
          </cell>
          <cell r="N88">
            <v>-2.6620012100000054</v>
          </cell>
          <cell r="S88">
            <v>19.070375469999981</v>
          </cell>
          <cell r="X88">
            <v>-131.47323107</v>
          </cell>
          <cell r="AC88">
            <v>-180.85071756000002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-209.28622983999998</v>
          </cell>
          <cell r="G89">
            <v>-50.723732950000027</v>
          </cell>
          <cell r="H89">
            <v>9.4328375000000122</v>
          </cell>
          <cell r="I89">
            <v>-206.68413334000002</v>
          </cell>
          <cell r="N89">
            <v>-83.062389030000006</v>
          </cell>
          <cell r="S89">
            <v>-149.17592251000002</v>
          </cell>
          <cell r="X89">
            <v>-299.69208832999999</v>
          </cell>
          <cell r="AC89">
            <v>-570.77981162000003</v>
          </cell>
          <cell r="AH89">
            <v>-740.67181285872039</v>
          </cell>
          <cell r="AI89">
            <v>-1084.7329452434494</v>
          </cell>
          <cell r="AJ89">
            <v>-1089.7718553618986</v>
          </cell>
          <cell r="AK89">
            <v>-835.5766482034179</v>
          </cell>
          <cell r="AL89">
            <v>-484.96447200515775</v>
          </cell>
          <cell r="AM89">
            <v>-533.17207544478595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-110.80800000000001</v>
          </cell>
          <cell r="G90">
            <v>-147.744</v>
          </cell>
          <cell r="H90">
            <v>-166.21199999999999</v>
          </cell>
          <cell r="I90">
            <v>-193.91399999999999</v>
          </cell>
          <cell r="N90">
            <v>-369.36</v>
          </cell>
          <cell r="S90">
            <v>-387.82799999999997</v>
          </cell>
          <cell r="X90">
            <v>-397.06200000000001</v>
          </cell>
          <cell r="AC90">
            <v>-554.04</v>
          </cell>
          <cell r="AH90">
            <v>-581.74199999999996</v>
          </cell>
          <cell r="AI90">
            <v>-853.97527116475885</v>
          </cell>
          <cell r="AJ90">
            <v>-1111.52238206166</v>
          </cell>
          <cell r="AK90">
            <v>-1441.9890664820061</v>
          </cell>
          <cell r="AL90">
            <v>-1760.42021703756</v>
          </cell>
          <cell r="AM90">
            <v>-2184.2484966950656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19.886500000000002</v>
          </cell>
          <cell r="G91">
            <v>29.805499170000001</v>
          </cell>
          <cell r="H91">
            <v>11.207807000000001</v>
          </cell>
          <cell r="I91">
            <v>18.566283590000001</v>
          </cell>
          <cell r="N91">
            <v>0.71299999999999997</v>
          </cell>
          <cell r="S91">
            <v>8.8149999999999995</v>
          </cell>
          <cell r="X91">
            <v>15.442436000000001</v>
          </cell>
          <cell r="AC91">
            <v>46.49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9</v>
          </cell>
          <cell r="G92">
            <v>-26</v>
          </cell>
          <cell r="H92">
            <v>-2</v>
          </cell>
          <cell r="I92">
            <v>8</v>
          </cell>
          <cell r="N92">
            <v>-8</v>
          </cell>
          <cell r="S92">
            <v>0</v>
          </cell>
          <cell r="X92">
            <v>0</v>
          </cell>
          <cell r="AC92">
            <v>42</v>
          </cell>
          <cell r="AH92">
            <v>2387.8000000000002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-73.652860750000002</v>
          </cell>
          <cell r="G93">
            <v>-102.13452891</v>
          </cell>
          <cell r="H93">
            <v>-132.84902546000001</v>
          </cell>
          <cell r="I93">
            <v>-219.10403878000005</v>
          </cell>
          <cell r="N93">
            <v>-233.80711220999993</v>
          </cell>
          <cell r="S93">
            <v>-298.74611474</v>
          </cell>
          <cell r="X93">
            <v>-288.73618175999997</v>
          </cell>
          <cell r="AC93">
            <v>-374.87392853000006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-155.57436075000001</v>
          </cell>
          <cell r="G94">
            <v>-246.07302974000001</v>
          </cell>
          <cell r="H94">
            <v>-289.85321845999999</v>
          </cell>
          <cell r="I94">
            <v>-386.45175519000003</v>
          </cell>
          <cell r="N94">
            <v>-610.45411220999995</v>
          </cell>
          <cell r="S94">
            <v>-677.75911473999997</v>
          </cell>
          <cell r="X94">
            <v>-670.35574575999999</v>
          </cell>
          <cell r="AC94">
            <v>-840.42392853000001</v>
          </cell>
          <cell r="AH94">
            <v>1806.0580000000002</v>
          </cell>
          <cell r="AI94">
            <v>-853.97527116475885</v>
          </cell>
          <cell r="AJ94">
            <v>-1111.52238206166</v>
          </cell>
          <cell r="AK94">
            <v>-1441.9890664820061</v>
          </cell>
          <cell r="AL94">
            <v>-1760.42021703756</v>
          </cell>
          <cell r="AM94">
            <v>-2184.2484966950656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62.027639270000037</v>
          </cell>
          <cell r="G95">
            <v>368.3592337099999</v>
          </cell>
          <cell r="H95">
            <v>635.09643156999994</v>
          </cell>
          <cell r="I95">
            <v>504.72385966999997</v>
          </cell>
          <cell r="N95">
            <v>501.02934340000002</v>
          </cell>
          <cell r="S95">
            <v>390.56484405000003</v>
          </cell>
          <cell r="X95">
            <v>504.41916714000013</v>
          </cell>
          <cell r="AC95">
            <v>346.60190534999992</v>
          </cell>
          <cell r="AH95">
            <v>3532.0362736914385</v>
          </cell>
          <cell r="AI95">
            <v>1309.7892008455001</v>
          </cell>
          <cell r="AJ95">
            <v>2011.2840912223767</v>
          </cell>
          <cell r="AK95">
            <v>2872.5841126789373</v>
          </cell>
          <cell r="AL95">
            <v>4082.7253640461504</v>
          </cell>
          <cell r="AM95">
            <v>4272.800994141031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9.2870000000000008</v>
          </cell>
          <cell r="H109">
            <v>9.8339999999999996</v>
          </cell>
          <cell r="I109">
            <v>11.583</v>
          </cell>
          <cell r="N109">
            <v>12.85</v>
          </cell>
          <cell r="S109">
            <v>13.795</v>
          </cell>
          <cell r="X109">
            <v>14.117000000000001</v>
          </cell>
          <cell r="AC109">
            <v>17.73</v>
          </cell>
          <cell r="AH109">
            <v>18.616500000000002</v>
          </cell>
          <cell r="AI109">
            <v>19.547325000000004</v>
          </cell>
          <cell r="AJ109">
            <v>20.524691250000004</v>
          </cell>
          <cell r="AK109">
            <v>20.524691250000004</v>
          </cell>
          <cell r="AL109">
            <v>20.524691250000004</v>
          </cell>
          <cell r="AM109">
            <v>20.524691250000004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S111">
            <v>0</v>
          </cell>
          <cell r="X111">
            <v>0</v>
          </cell>
          <cell r="AC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S112">
            <v>0</v>
          </cell>
          <cell r="X112">
            <v>0</v>
          </cell>
          <cell r="AC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</row>
        <row r="113">
          <cell r="B113" t="str">
            <v>Sales - % Brazil</v>
          </cell>
          <cell r="C113" t="str">
            <v>SALES_BRAZIL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S113">
            <v>0</v>
          </cell>
          <cell r="X113">
            <v>0</v>
          </cell>
          <cell r="AC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</row>
        <row r="114">
          <cell r="B114" t="str">
            <v>Sales - % Other Americas</v>
          </cell>
          <cell r="C114" t="str">
            <v>SALES_OTH_AM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S114">
            <v>0</v>
          </cell>
          <cell r="X114">
            <v>0</v>
          </cell>
          <cell r="AC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</row>
        <row r="115">
          <cell r="B115" t="str">
            <v>Sales - Total % EMEA</v>
          </cell>
          <cell r="C115" t="str">
            <v>SALES_TOT_EMEA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S115">
            <v>0</v>
          </cell>
          <cell r="X115">
            <v>0</v>
          </cell>
          <cell r="AC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B116" t="str">
            <v>Sales - % UK</v>
          </cell>
          <cell r="C116" t="str">
            <v>SALES_UK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S116">
            <v>0</v>
          </cell>
          <cell r="X116">
            <v>0</v>
          </cell>
          <cell r="AC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</row>
        <row r="117">
          <cell r="B117" t="str">
            <v>Sales - % Western Europe-Ex UK</v>
          </cell>
          <cell r="C117" t="str">
            <v>SALES_EU_EX_UK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S117">
            <v>0</v>
          </cell>
          <cell r="X117">
            <v>0</v>
          </cell>
          <cell r="AC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</row>
        <row r="118">
          <cell r="B118" t="str">
            <v>Sales - % Central &amp; Eastern Europe</v>
          </cell>
          <cell r="C118" t="str">
            <v>SALES_CEE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S118">
            <v>0</v>
          </cell>
          <cell r="X118">
            <v>0</v>
          </cell>
          <cell r="AC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B119" t="str">
            <v>Sales - % Middle East</v>
          </cell>
          <cell r="C119" t="str">
            <v>SALES_ME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S119">
            <v>0</v>
          </cell>
          <cell r="X119">
            <v>0</v>
          </cell>
          <cell r="AC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S121">
            <v>0</v>
          </cell>
          <cell r="X121">
            <v>0</v>
          </cell>
          <cell r="AC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</row>
        <row r="122">
          <cell r="B122" t="str">
            <v>Sales - % Other EMEA</v>
          </cell>
          <cell r="C122" t="str">
            <v>SALES_OTH_EMEA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S122">
            <v>0</v>
          </cell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  <cell r="F123">
            <v>1</v>
          </cell>
          <cell r="G123">
            <v>1</v>
          </cell>
          <cell r="H123">
            <v>1</v>
          </cell>
          <cell r="I123">
            <v>1</v>
          </cell>
          <cell r="J123">
            <v>1</v>
          </cell>
          <cell r="K123">
            <v>1</v>
          </cell>
          <cell r="L123">
            <v>1</v>
          </cell>
          <cell r="M123">
            <v>1</v>
          </cell>
          <cell r="N123">
            <v>1</v>
          </cell>
          <cell r="S123">
            <v>1</v>
          </cell>
          <cell r="X123">
            <v>1</v>
          </cell>
          <cell r="AC123">
            <v>1</v>
          </cell>
          <cell r="AH123">
            <v>1</v>
          </cell>
          <cell r="AI123">
            <v>1</v>
          </cell>
          <cell r="AJ123">
            <v>1</v>
          </cell>
          <cell r="AK123">
            <v>1</v>
          </cell>
          <cell r="AL123">
            <v>1</v>
          </cell>
          <cell r="AM123">
            <v>1</v>
          </cell>
        </row>
        <row r="124">
          <cell r="B124" t="str">
            <v>Sales - % Japan</v>
          </cell>
          <cell r="C124" t="str">
            <v>SALES_JAPAN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S124">
            <v>0</v>
          </cell>
          <cell r="X124">
            <v>0</v>
          </cell>
          <cell r="AC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</row>
        <row r="125">
          <cell r="B125" t="str">
            <v>Sales - % China</v>
          </cell>
          <cell r="C125" t="str">
            <v>SALES_CHINA</v>
          </cell>
          <cell r="F125">
            <v>1</v>
          </cell>
          <cell r="G125">
            <v>1</v>
          </cell>
          <cell r="H125">
            <v>1</v>
          </cell>
          <cell r="I125">
            <v>1</v>
          </cell>
          <cell r="J125">
            <v>1</v>
          </cell>
          <cell r="K125">
            <v>1</v>
          </cell>
          <cell r="L125">
            <v>1</v>
          </cell>
          <cell r="M125">
            <v>1</v>
          </cell>
          <cell r="N125">
            <v>1</v>
          </cell>
          <cell r="S125">
            <v>1</v>
          </cell>
          <cell r="X125">
            <v>1</v>
          </cell>
          <cell r="AC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</row>
        <row r="126">
          <cell r="B126" t="str">
            <v>Sales - % India</v>
          </cell>
          <cell r="C126" t="str">
            <v>SALES_INDIA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S126">
            <v>0</v>
          </cell>
          <cell r="X126">
            <v>0</v>
          </cell>
          <cell r="AC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</row>
        <row r="127">
          <cell r="B127" t="str">
            <v>Sales - % South Korea</v>
          </cell>
          <cell r="C127" t="str">
            <v>SALES_SK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S127">
            <v>0</v>
          </cell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S129">
            <v>0</v>
          </cell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</row>
        <row r="130">
          <cell r="B130" t="str">
            <v>Sales - % Others</v>
          </cell>
          <cell r="C130" t="str">
            <v>SALES_OTHER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S130">
            <v>0</v>
          </cell>
          <cell r="X130">
            <v>0</v>
          </cell>
          <cell r="AC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</row>
        <row r="131">
          <cell r="B131" t="str">
            <v>Sales -% Consumer (C)</v>
          </cell>
          <cell r="C131" t="str">
            <v>SALES_CONS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N131">
            <v>0</v>
          </cell>
          <cell r="S131">
            <v>0</v>
          </cell>
          <cell r="X131">
            <v>0</v>
          </cell>
          <cell r="AC131">
            <v>0</v>
          </cell>
          <cell r="AH131">
            <v>0</v>
          </cell>
          <cell r="AI131">
            <v>0.01</v>
          </cell>
          <cell r="AJ131">
            <v>0.02</v>
          </cell>
          <cell r="AK131">
            <v>0.03</v>
          </cell>
          <cell r="AL131">
            <v>0.04</v>
          </cell>
          <cell r="AM131">
            <v>0.05</v>
          </cell>
        </row>
        <row r="132">
          <cell r="B132" t="str">
            <v>Sales -% Industry (I)</v>
          </cell>
          <cell r="C132" t="str">
            <v>SALES_IND</v>
          </cell>
          <cell r="F132">
            <v>0.85</v>
          </cell>
          <cell r="G132">
            <v>0.85</v>
          </cell>
          <cell r="H132">
            <v>0.85</v>
          </cell>
          <cell r="I132">
            <v>0.85</v>
          </cell>
          <cell r="N132">
            <v>0.84</v>
          </cell>
          <cell r="S132">
            <v>0.83</v>
          </cell>
          <cell r="X132">
            <v>0.82</v>
          </cell>
          <cell r="AC132">
            <v>0.80999999999999994</v>
          </cell>
          <cell r="AH132">
            <v>0.79999999999999993</v>
          </cell>
          <cell r="AI132">
            <v>0.78999999999999992</v>
          </cell>
          <cell r="AJ132">
            <v>0.77999999999999992</v>
          </cell>
          <cell r="AK132">
            <v>0.76999999999999991</v>
          </cell>
          <cell r="AL132">
            <v>0.7599999999999999</v>
          </cell>
          <cell r="AM132">
            <v>0.74999999999999989</v>
          </cell>
        </row>
        <row r="133">
          <cell r="B133" t="str">
            <v>Sales -% Government (G)</v>
          </cell>
          <cell r="C133" t="str">
            <v>SALES_GOV</v>
          </cell>
          <cell r="F133">
            <v>0.15000000000000002</v>
          </cell>
          <cell r="G133">
            <v>0.15000000000000002</v>
          </cell>
          <cell r="H133">
            <v>0.15000000000000002</v>
          </cell>
          <cell r="I133">
            <v>0.15000000000000002</v>
          </cell>
          <cell r="N133">
            <v>0.16000000000000003</v>
          </cell>
          <cell r="S133">
            <v>0.17000000000000004</v>
          </cell>
          <cell r="X133">
            <v>0.18000000000000005</v>
          </cell>
          <cell r="AC133">
            <v>0.19000000000000006</v>
          </cell>
          <cell r="AH133">
            <v>0.20000000000000007</v>
          </cell>
          <cell r="AI133">
            <v>0.20000000000000007</v>
          </cell>
          <cell r="AJ133">
            <v>0.20000000000000009</v>
          </cell>
          <cell r="AK133">
            <v>0.20000000000000009</v>
          </cell>
          <cell r="AL133">
            <v>0.20000000000000009</v>
          </cell>
          <cell r="AM133">
            <v>0.20000000000000012</v>
          </cell>
        </row>
        <row r="134">
          <cell r="B134" t="str">
            <v>Sales - % Industry Sub-Segment: Financial Services</v>
          </cell>
          <cell r="C134" t="str">
            <v>SALES_FINAN</v>
          </cell>
          <cell r="F134">
            <v>0.15</v>
          </cell>
          <cell r="G134">
            <v>0.15</v>
          </cell>
          <cell r="H134">
            <v>0.15</v>
          </cell>
          <cell r="I134">
            <v>0.15</v>
          </cell>
          <cell r="N134">
            <v>0.15</v>
          </cell>
          <cell r="S134">
            <v>0.13999999999999999</v>
          </cell>
          <cell r="X134">
            <v>0.12999999999999998</v>
          </cell>
          <cell r="AC134">
            <v>0.11999999999999998</v>
          </cell>
          <cell r="AH134">
            <v>0.10999999999999999</v>
          </cell>
          <cell r="AI134">
            <v>9.9999999999999992E-2</v>
          </cell>
          <cell r="AJ134">
            <v>0.09</v>
          </cell>
          <cell r="AK134">
            <v>0.08</v>
          </cell>
          <cell r="AL134">
            <v>7.0000000000000007E-2</v>
          </cell>
          <cell r="AM134">
            <v>6.0000000000000005E-2</v>
          </cell>
        </row>
        <row r="135">
          <cell r="A135" t="str">
            <v>Commodities Exposure - Expense</v>
          </cell>
        </row>
        <row r="136">
          <cell r="B136" t="str">
            <v>Expense - % Oil/Petrol/Fuel</v>
          </cell>
        </row>
        <row r="137">
          <cell r="B137" t="str">
            <v>Expense - % Oil derivatives/NGLs/plastics</v>
          </cell>
        </row>
        <row r="138">
          <cell r="B138" t="str">
            <v>Expense - % Paper/pulp</v>
          </cell>
        </row>
        <row r="139">
          <cell r="B139" t="str">
            <v>Expense - % Glass</v>
          </cell>
        </row>
        <row r="140">
          <cell r="B140" t="str">
            <v>Expense - % Water</v>
          </cell>
        </row>
        <row r="141">
          <cell r="B141" t="str">
            <v>Expense - % Other commodity</v>
          </cell>
        </row>
        <row r="142">
          <cell r="B142" t="str">
            <v>Expense - % Other (Non-Commodity) cost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</row>
        <row r="145">
          <cell r="B145" t="str">
            <v>Sales - % FX: Euro</v>
          </cell>
          <cell r="C145" t="str">
            <v>SALES_FX_EUR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</row>
        <row r="146">
          <cell r="B146" t="str">
            <v>Sales - % FX: New Russian Ruble</v>
          </cell>
          <cell r="C146" t="str">
            <v>SALES_FX_RUB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</row>
        <row r="147">
          <cell r="B147" t="str">
            <v>Sales - % FX: U.S. Dollar</v>
          </cell>
          <cell r="C147" t="str">
            <v>SALES_FX_USD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</row>
        <row r="148">
          <cell r="B148" t="str">
            <v>Sales - % FX: Brazilian Real</v>
          </cell>
          <cell r="C148" t="str">
            <v>SALES_FX_BRL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</row>
        <row r="149">
          <cell r="B149" t="str">
            <v>Sales - % FX: Japanese Yen</v>
          </cell>
          <cell r="C149" t="str">
            <v>SALES_FX_YEN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</row>
        <row r="150">
          <cell r="B150" t="str">
            <v>Sales - % FX: Chinese Renminbi</v>
          </cell>
          <cell r="C150" t="str">
            <v>SALES_FX_CNY</v>
          </cell>
          <cell r="F150">
            <v>1</v>
          </cell>
          <cell r="G150">
            <v>1</v>
          </cell>
          <cell r="H150">
            <v>1</v>
          </cell>
          <cell r="I150">
            <v>1</v>
          </cell>
          <cell r="J150">
            <v>1</v>
          </cell>
          <cell r="K150">
            <v>1</v>
          </cell>
          <cell r="L150">
            <v>1</v>
          </cell>
          <cell r="M150">
            <v>1</v>
          </cell>
          <cell r="N150">
            <v>1</v>
          </cell>
          <cell r="O150">
            <v>1</v>
          </cell>
          <cell r="P150">
            <v>1</v>
          </cell>
          <cell r="Q150">
            <v>1</v>
          </cell>
          <cell r="R150">
            <v>1</v>
          </cell>
          <cell r="S150">
            <v>1</v>
          </cell>
          <cell r="T150">
            <v>1</v>
          </cell>
          <cell r="U150">
            <v>1</v>
          </cell>
          <cell r="V150">
            <v>1</v>
          </cell>
          <cell r="W150">
            <v>1</v>
          </cell>
          <cell r="X150">
            <v>1</v>
          </cell>
          <cell r="Y150">
            <v>1</v>
          </cell>
          <cell r="Z150">
            <v>1</v>
          </cell>
          <cell r="AA150">
            <v>1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</row>
        <row r="151">
          <cell r="B151" t="str">
            <v>Sales - % FX: Indian Rupee</v>
          </cell>
          <cell r="C151" t="str">
            <v>SALES_FX_INR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</row>
        <row r="152">
          <cell r="B152" t="str">
            <v>Sales - % FX: South Korean Won</v>
          </cell>
          <cell r="C152" t="str">
            <v>SALES_FX_KRW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</row>
        <row r="153">
          <cell r="B153" t="str">
            <v>Sales - % FX: Taiwan Dollar</v>
          </cell>
          <cell r="C153" t="str">
            <v>SALES_FX_TWD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</row>
        <row r="154">
          <cell r="B154" t="str">
            <v>Sales - % FX: Other Currency</v>
          </cell>
          <cell r="C154" t="str">
            <v>SALES_FX_OTH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</row>
        <row r="155">
          <cell r="A155" t="str">
            <v>Security: Aisino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600271.SS</v>
          </cell>
        </row>
        <row r="158">
          <cell r="B158" t="str">
            <v>Security Name</v>
          </cell>
          <cell r="C158" t="str">
            <v>Security Name</v>
          </cell>
          <cell r="E158" t="str">
            <v>Aisino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  <cell r="E160" t="str">
            <v>CNY</v>
          </cell>
        </row>
        <row r="161">
          <cell r="B161" t="str">
            <v>Pricing Currency</v>
          </cell>
          <cell r="C161" t="str">
            <v>PRICE_CURRENCY_ISO</v>
          </cell>
          <cell r="E161" t="str">
            <v>CNY</v>
          </cell>
        </row>
        <row r="162">
          <cell r="B162" t="str">
            <v>Reporting Currency</v>
          </cell>
          <cell r="C162" t="str">
            <v>CURRENCY_ISO</v>
          </cell>
          <cell r="E162" t="str">
            <v>CNY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  <cell r="E164" t="str">
            <v>Buy</v>
          </cell>
        </row>
        <row r="165">
          <cell r="B165" t="str">
            <v>Asia Pacific Conviction List</v>
          </cell>
          <cell r="C165" t="str">
            <v>AEJ_CONVICTION</v>
          </cell>
          <cell r="E165" t="str">
            <v>Buy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 t="str">
            <v>CNY</v>
          </cell>
          <cell r="E167">
            <v>78.599999999999994</v>
          </cell>
        </row>
        <row r="168">
          <cell r="B168" t="str">
            <v>Target price period</v>
          </cell>
          <cell r="C168" t="str">
            <v>TP_PERIOD</v>
          </cell>
          <cell r="E168" t="str">
            <v>12 months</v>
          </cell>
        </row>
        <row r="169">
          <cell r="B169" t="str">
            <v>Current shares outstanding (mn)</v>
          </cell>
          <cell r="C169" t="str">
            <v>NUM_SH</v>
          </cell>
          <cell r="E169">
            <v>923.4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  <cell r="E182">
            <v>43.08162804983543</v>
          </cell>
        </row>
        <row r="183">
          <cell r="B183" t="str">
            <v>Target price methodology</v>
          </cell>
          <cell r="C183" t="str">
            <v>PRI_TARG_METH</v>
          </cell>
          <cell r="E183" t="str">
            <v>Long-term growth discounted P/E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 t="str">
            <v>CNY</v>
          </cell>
          <cell r="F185">
            <v>2.9341428492744206</v>
          </cell>
          <cell r="G185">
            <v>3.3196888191682912</v>
          </cell>
          <cell r="H185">
            <v>3.7660609591401344</v>
          </cell>
          <cell r="I185">
            <v>4.5369452826943908</v>
          </cell>
          <cell r="N185">
            <v>5.1848433727420398</v>
          </cell>
          <cell r="S185">
            <v>5.8632732435131034</v>
          </cell>
          <cell r="X185">
            <v>6.6166219706844265</v>
          </cell>
          <cell r="AC185">
            <v>7.269456103043102</v>
          </cell>
          <cell r="AH185">
            <v>8.1690834983122276</v>
          </cell>
          <cell r="AI185">
            <v>9.3400260526482572</v>
          </cell>
          <cell r="AJ185">
            <v>10.859101500952995</v>
          </cell>
          <cell r="AK185">
            <v>12.713630909366113</v>
          </cell>
          <cell r="AL185">
            <v>15.014645765477997</v>
          </cell>
          <cell r="AM185">
            <v>17.530274817692863</v>
          </cell>
        </row>
        <row r="186">
          <cell r="B186" t="str">
            <v>DPS, dividend per share (Pub)</v>
          </cell>
          <cell r="C186" t="str">
            <v>DPS_PUB</v>
          </cell>
          <cell r="D186" t="str">
            <v>CNY</v>
          </cell>
          <cell r="F186">
            <v>0.15999999999999998</v>
          </cell>
          <cell r="G186">
            <v>0.17999999999999997</v>
          </cell>
          <cell r="H186">
            <v>0.21</v>
          </cell>
          <cell r="I186">
            <v>0.4</v>
          </cell>
          <cell r="N186">
            <v>0.42</v>
          </cell>
          <cell r="S186">
            <v>0.43000000000000005</v>
          </cell>
          <cell r="X186">
            <v>0.6</v>
          </cell>
          <cell r="AC186">
            <v>0.63</v>
          </cell>
          <cell r="AH186">
            <v>0.92481619142815563</v>
          </cell>
          <cell r="AI186">
            <v>1.2037279424536063</v>
          </cell>
          <cell r="AJ186">
            <v>1.5616082591314773</v>
          </cell>
          <cell r="AK186">
            <v>1.9064546426657571</v>
          </cell>
          <cell r="AL186">
            <v>2.3654413002978831</v>
          </cell>
          <cell r="AM186">
            <v>2.5860645099845945</v>
          </cell>
        </row>
        <row r="187">
          <cell r="B187" t="str">
            <v>Special dividend per share</v>
          </cell>
          <cell r="C187" t="str">
            <v>DPS_SPECIAL_PUB</v>
          </cell>
          <cell r="D187" t="str">
            <v>CNY</v>
          </cell>
        </row>
        <row r="188">
          <cell r="B188" t="str">
            <v>EBITDA (Pub)</v>
          </cell>
          <cell r="C188" t="str">
            <v>EBITDA_PUB</v>
          </cell>
          <cell r="D188" t="str">
            <v>CNY</v>
          </cell>
          <cell r="F188">
            <v>638.88086400000066</v>
          </cell>
          <cell r="G188">
            <v>816.15378216000045</v>
          </cell>
          <cell r="H188">
            <v>963.26561667999977</v>
          </cell>
          <cell r="I188">
            <v>1367.7025766900006</v>
          </cell>
          <cell r="N188">
            <v>1463.7268363400017</v>
          </cell>
          <cell r="S188">
            <v>1542.4661503999978</v>
          </cell>
          <cell r="X188">
            <v>1721.9160233399998</v>
          </cell>
          <cell r="AC188">
            <v>2083.1888147499958</v>
          </cell>
          <cell r="AH188">
            <v>2833.6898819911949</v>
          </cell>
          <cell r="AI188">
            <v>3697.2788612909389</v>
          </cell>
          <cell r="AJ188">
            <v>4852.914986421325</v>
          </cell>
          <cell r="AK188">
            <v>5935.6129862102243</v>
          </cell>
          <cell r="AL188">
            <v>7344.2327438603825</v>
          </cell>
          <cell r="AM188">
            <v>8000.2439762794675</v>
          </cell>
        </row>
        <row r="189">
          <cell r="B189" t="str">
            <v>EPS (Pub)</v>
          </cell>
          <cell r="C189" t="str">
            <v>EPS_PUB</v>
          </cell>
          <cell r="D189" t="str">
            <v>CNY</v>
          </cell>
          <cell r="F189">
            <v>0.50977678456790121</v>
          </cell>
          <cell r="G189">
            <v>0.59936590647606791</v>
          </cell>
          <cell r="H189">
            <v>0.66113711609270009</v>
          </cell>
          <cell r="I189">
            <v>0.98319376055880436</v>
          </cell>
          <cell r="N189">
            <v>1.068941434600392</v>
          </cell>
          <cell r="S189">
            <v>1.1024432260991979</v>
          </cell>
          <cell r="X189">
            <v>1.1831646621724052</v>
          </cell>
          <cell r="AC189">
            <v>1.242840977777776</v>
          </cell>
          <cell r="AH189">
            <v>1.8244435866972821</v>
          </cell>
          <cell r="AI189">
            <v>2.3746704967896357</v>
          </cell>
          <cell r="AJ189">
            <v>3.0806837074362154</v>
          </cell>
          <cell r="AK189">
            <v>3.7609840510788732</v>
          </cell>
          <cell r="AL189">
            <v>4.6664561564097706</v>
          </cell>
          <cell r="AM189">
            <v>5.1016935621994577</v>
          </cell>
        </row>
        <row r="190">
          <cell r="B190" t="str">
            <v>EV adjustment (Pub)</v>
          </cell>
          <cell r="C190" t="str">
            <v>EV_ADJ_PUB</v>
          </cell>
          <cell r="D190" t="str">
            <v>CNY</v>
          </cell>
        </row>
        <row r="191">
          <cell r="B191" t="str">
            <v>Net debt (Pub)</v>
          </cell>
          <cell r="C191" t="str">
            <v>NET_DEBT_PUB</v>
          </cell>
          <cell r="D191" t="str">
            <v>CNY</v>
          </cell>
          <cell r="F191">
            <v>-2175.0906553099999</v>
          </cell>
          <cell r="G191">
            <v>-2569.4498890199998</v>
          </cell>
          <cell r="H191">
            <v>-3240.6162977499998</v>
          </cell>
          <cell r="I191">
            <v>-3737.3401574200002</v>
          </cell>
          <cell r="N191">
            <v>-4246.3695008200002</v>
          </cell>
          <cell r="S191">
            <v>-4636.9343448700001</v>
          </cell>
          <cell r="X191">
            <v>-5141.3535120100005</v>
          </cell>
          <cell r="AC191">
            <v>-5445.95541736</v>
          </cell>
          <cell r="AH191">
            <v>-6590.1916910514383</v>
          </cell>
          <cell r="AI191">
            <v>-7899.9808918969384</v>
          </cell>
          <cell r="AJ191">
            <v>-9911.2649831193157</v>
          </cell>
          <cell r="AK191">
            <v>-12783.849095798254</v>
          </cell>
          <cell r="AL191">
            <v>-16866.574459844403</v>
          </cell>
          <cell r="AM191">
            <v>-21139.375453985434</v>
          </cell>
        </row>
        <row r="192">
          <cell r="B192" t="str">
            <v>Net income (Pub)</v>
          </cell>
          <cell r="C192" t="str">
            <v>NI_PUB</v>
          </cell>
          <cell r="D192" t="str">
            <v>CNY</v>
          </cell>
          <cell r="F192">
            <v>470.72788287000003</v>
          </cell>
          <cell r="G192">
            <v>553.45447804000116</v>
          </cell>
          <cell r="H192">
            <v>610.49401299999931</v>
          </cell>
          <cell r="I192">
            <v>907.88111849999996</v>
          </cell>
          <cell r="J192">
            <v>203.70714944000031</v>
          </cell>
          <cell r="K192">
            <v>332.86988581999924</v>
          </cell>
          <cell r="L192">
            <v>208.09159594000138</v>
          </cell>
          <cell r="M192">
            <v>242.39188951000114</v>
          </cell>
          <cell r="N192">
            <v>987.06052071000204</v>
          </cell>
          <cell r="O192">
            <v>238.41735438000015</v>
          </cell>
          <cell r="P192">
            <v>293.01209414000004</v>
          </cell>
          <cell r="Q192">
            <v>214.47539891999989</v>
          </cell>
          <cell r="R192">
            <v>272.09122753999947</v>
          </cell>
          <cell r="S192">
            <v>1017.9960749799993</v>
          </cell>
          <cell r="T192">
            <v>239.60179489000029</v>
          </cell>
          <cell r="U192">
            <v>351.88797536999863</v>
          </cell>
          <cell r="V192">
            <v>251.52365190000231</v>
          </cell>
          <cell r="W192">
            <v>249.52082688999786</v>
          </cell>
          <cell r="X192">
            <v>1092.5342490499991</v>
          </cell>
          <cell r="Y192">
            <v>275.44825685000012</v>
          </cell>
          <cell r="Z192">
            <v>356.71047072999966</v>
          </cell>
          <cell r="AA192">
            <v>270.65977698999956</v>
          </cell>
          <cell r="AB192">
            <v>244.82085430999865</v>
          </cell>
          <cell r="AC192">
            <v>1147.6393588799983</v>
          </cell>
          <cell r="AD192">
            <v>318.85295285000018</v>
          </cell>
          <cell r="AE192">
            <v>497.84830961999876</v>
          </cell>
          <cell r="AF192">
            <v>301.61621348515166</v>
          </cell>
          <cell r="AG192">
            <v>566.37373200111767</v>
          </cell>
          <cell r="AH192">
            <v>1684.6912079562703</v>
          </cell>
          <cell r="AI192">
            <v>2192.7707367355497</v>
          </cell>
          <cell r="AJ192">
            <v>2844.7033354466012</v>
          </cell>
          <cell r="AK192">
            <v>3472.892672766231</v>
          </cell>
          <cell r="AL192">
            <v>4309.0056148287822</v>
          </cell>
          <cell r="AM192">
            <v>4710.9038353349797</v>
          </cell>
        </row>
        <row r="193">
          <cell r="B193" t="str">
            <v>EBIT, operating profit (Pub)</v>
          </cell>
          <cell r="C193" t="str">
            <v>EBIT_PUB</v>
          </cell>
          <cell r="D193" t="str">
            <v>CNY</v>
          </cell>
          <cell r="F193">
            <v>594.1568640000005</v>
          </cell>
          <cell r="G193">
            <v>753.36877052999989</v>
          </cell>
          <cell r="H193">
            <v>883.32073849999961</v>
          </cell>
          <cell r="I193">
            <v>1290.8240014100002</v>
          </cell>
          <cell r="J193">
            <v>312.9255910200003</v>
          </cell>
          <cell r="K193">
            <v>496.50941359999922</v>
          </cell>
          <cell r="L193">
            <v>308.30386963000137</v>
          </cell>
          <cell r="M193">
            <v>246.8539840700011</v>
          </cell>
          <cell r="N193">
            <v>1364.5928583200021</v>
          </cell>
          <cell r="O193">
            <v>356.14672440000015</v>
          </cell>
          <cell r="P193">
            <v>426.62842439000002</v>
          </cell>
          <cell r="Q193">
            <v>343.11589410999989</v>
          </cell>
          <cell r="R193">
            <v>315.77071224999946</v>
          </cell>
          <cell r="S193">
            <v>1441.6617551499985</v>
          </cell>
          <cell r="T193">
            <v>370.39729168000031</v>
          </cell>
          <cell r="U193">
            <v>536.02291967999872</v>
          </cell>
          <cell r="V193">
            <v>371.87845051000227</v>
          </cell>
          <cell r="W193">
            <v>342.97903824999787</v>
          </cell>
          <cell r="X193">
            <v>1621.2777001199993</v>
          </cell>
          <cell r="Y193">
            <v>424.92800058000012</v>
          </cell>
          <cell r="Z193">
            <v>595.10215360999973</v>
          </cell>
          <cell r="AA193">
            <v>459.58983481999962</v>
          </cell>
          <cell r="AB193">
            <v>471.49726073999858</v>
          </cell>
          <cell r="AC193">
            <v>1951.1172497499974</v>
          </cell>
          <cell r="AD193">
            <v>464.37810622000018</v>
          </cell>
          <cell r="AE193">
            <v>751.80365889999871</v>
          </cell>
          <cell r="AF193">
            <v>474.05220721299395</v>
          </cell>
          <cell r="AG193">
            <v>968.9717965097085</v>
          </cell>
          <cell r="AH193">
            <v>2659.2057688427012</v>
          </cell>
          <cell r="AI193">
            <v>3460.6804790833485</v>
          </cell>
          <cell r="AJ193">
            <v>4553.9137957309613</v>
          </cell>
          <cell r="AK193">
            <v>5588.7647812168507</v>
          </cell>
          <cell r="AL193">
            <v>6969.6143731037955</v>
          </cell>
          <cell r="AM193">
            <v>7595.0949630323084</v>
          </cell>
        </row>
        <row r="194">
          <cell r="B194" t="str">
            <v>Pre-tax profit (Pub)</v>
          </cell>
          <cell r="C194" t="str">
            <v>PTP_PUB</v>
          </cell>
          <cell r="D194" t="str">
            <v>CNY</v>
          </cell>
          <cell r="F194">
            <v>706.70362939000006</v>
          </cell>
          <cell r="G194">
            <v>814.98597400000119</v>
          </cell>
          <cell r="H194">
            <v>959.79804659999922</v>
          </cell>
          <cell r="I194">
            <v>1390.9553929799999</v>
          </cell>
          <cell r="N194">
            <v>1495.442604140002</v>
          </cell>
          <cell r="S194">
            <v>1600.2078896899993</v>
          </cell>
          <cell r="X194">
            <v>1788.0281572699992</v>
          </cell>
          <cell r="AC194">
            <v>2061.9433385199982</v>
          </cell>
          <cell r="AH194">
            <v>2880.472460388421</v>
          </cell>
          <cell r="AI194">
            <v>3750.0071845742332</v>
          </cell>
          <cell r="AJ194">
            <v>4864.9217025708494</v>
          </cell>
          <cell r="AK194">
            <v>5939.2312456325963</v>
          </cell>
          <cell r="AL194">
            <v>7369.1251635521185</v>
          </cell>
          <cell r="AM194">
            <v>8056.4387933434109</v>
          </cell>
        </row>
        <row r="195">
          <cell r="B195" t="str">
            <v>Sales, revenue (Pub)</v>
          </cell>
          <cell r="C195" t="str">
            <v>REVS_PUB</v>
          </cell>
          <cell r="D195" t="str">
            <v>CNY</v>
          </cell>
          <cell r="F195">
            <v>4824.64184871</v>
          </cell>
          <cell r="G195">
            <v>5930.8771576000008</v>
          </cell>
          <cell r="H195">
            <v>7491.3097636499997</v>
          </cell>
          <cell r="I195">
            <v>9451.4495168499998</v>
          </cell>
          <cell r="J195">
            <v>2402.0655430000002</v>
          </cell>
          <cell r="K195">
            <v>2994.7555664099996</v>
          </cell>
          <cell r="L195">
            <v>2880.6713060200009</v>
          </cell>
          <cell r="M195">
            <v>3262.2841636800003</v>
          </cell>
          <cell r="N195">
            <v>11539.776579110001</v>
          </cell>
          <cell r="O195">
            <v>2915.9190807</v>
          </cell>
          <cell r="P195">
            <v>3777.6448500799993</v>
          </cell>
          <cell r="Q195">
            <v>3863.1230784000018</v>
          </cell>
          <cell r="R195">
            <v>3968.6187556199984</v>
          </cell>
          <cell r="S195">
            <v>14525.305764799999</v>
          </cell>
          <cell r="T195">
            <v>2882.4545817500002</v>
          </cell>
          <cell r="U195">
            <v>3909.5819354399991</v>
          </cell>
          <cell r="V195">
            <v>3963.4448538500019</v>
          </cell>
          <cell r="W195">
            <v>5826.9801919899983</v>
          </cell>
          <cell r="X195">
            <v>16582.46156303</v>
          </cell>
          <cell r="Y195">
            <v>3391.74397692</v>
          </cell>
          <cell r="Z195">
            <v>4722.6930777699999</v>
          </cell>
          <cell r="AA195">
            <v>5260.2634296299993</v>
          </cell>
          <cell r="AB195">
            <v>6584.4900634999995</v>
          </cell>
          <cell r="AC195">
            <v>19959.190547819999</v>
          </cell>
          <cell r="AD195">
            <v>3629.4444778500001</v>
          </cell>
          <cell r="AE195">
            <v>5625.1497447799993</v>
          </cell>
          <cell r="AF195">
            <v>6345.4143752902601</v>
          </cell>
          <cell r="AG195">
            <v>9089.0518307037528</v>
          </cell>
          <cell r="AH195">
            <v>24689.060428624012</v>
          </cell>
          <cell r="AI195">
            <v>30992.369864098549</v>
          </cell>
          <cell r="AJ195">
            <v>36325.728512063288</v>
          </cell>
          <cell r="AK195">
            <v>41778.8324101709</v>
          </cell>
          <cell r="AL195">
            <v>48496.447200515788</v>
          </cell>
          <cell r="AM195">
            <v>53317.207544478617</v>
          </cell>
        </row>
        <row r="196">
          <cell r="B196" t="str">
            <v>Total shareholders' equity (Pub)</v>
          </cell>
          <cell r="C196" t="str">
            <v>EQ_PUB</v>
          </cell>
          <cell r="D196" t="str">
            <v>CNY</v>
          </cell>
          <cell r="F196">
            <v>3030.48051652</v>
          </cell>
          <cell r="G196">
            <v>3506.5563715000003</v>
          </cell>
          <cell r="H196">
            <v>4089.0725610300001</v>
          </cell>
          <cell r="I196">
            <v>4862.1576084100006</v>
          </cell>
          <cell r="N196">
            <v>5517.7627056499996</v>
          </cell>
          <cell r="S196">
            <v>6211.9663578399995</v>
          </cell>
          <cell r="X196">
            <v>7042.5163043599996</v>
          </cell>
          <cell r="AC196">
            <v>8049.3407058600005</v>
          </cell>
          <cell r="AH196">
            <v>9575.0601511078203</v>
          </cell>
          <cell r="AI196">
            <v>11560.915443880654</v>
          </cell>
          <cell r="AJ196">
            <v>14137.185311233625</v>
          </cell>
          <cell r="AK196">
            <v>17282.366966527014</v>
          </cell>
          <cell r="AL196">
            <v>21184.76381241651</v>
          </cell>
          <cell r="AM196">
            <v>25451.134736843924</v>
          </cell>
        </row>
        <row r="197">
          <cell r="B197" t="str">
            <v>EPS (consensus)</v>
          </cell>
          <cell r="C197" t="str">
            <v>EPS_CONS_PUB</v>
          </cell>
          <cell r="D197" t="str">
            <v>CNY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 t="str">
            <v>CNY</v>
          </cell>
          <cell r="F199">
            <v>-113.70835663</v>
          </cell>
          <cell r="G199">
            <v>-91.174790959999996</v>
          </cell>
          <cell r="H199">
            <v>-142.47745573</v>
          </cell>
          <cell r="I199">
            <v>-230.80672536</v>
          </cell>
          <cell r="N199">
            <v>-213.74698347999998</v>
          </cell>
          <cell r="S199">
            <v>-235.74372833000001</v>
          </cell>
          <cell r="X199">
            <v>-294.96962243000002</v>
          </cell>
          <cell r="AC199">
            <v>-390.10377212000003</v>
          </cell>
          <cell r="AH199">
            <v>-500.77774397584125</v>
          </cell>
          <cell r="AI199">
            <v>-652.62950973973932</v>
          </cell>
          <cell r="AJ199">
            <v>-846.66276873587276</v>
          </cell>
          <cell r="AK199">
            <v>-1033.6293733016494</v>
          </cell>
          <cell r="AL199">
            <v>-1282.4798209675532</v>
          </cell>
          <cell r="AM199">
            <v>-1402.095900396228</v>
          </cell>
        </row>
        <row r="200">
          <cell r="B200" t="str">
            <v>Minority interest</v>
          </cell>
          <cell r="C200" t="str">
            <v>INC_MINORITY</v>
          </cell>
          <cell r="D200" t="str">
            <v>CNY</v>
          </cell>
          <cell r="F200">
            <v>-122.26738989</v>
          </cell>
          <cell r="G200">
            <v>-170.35670500000001</v>
          </cell>
          <cell r="H200">
            <v>-206.82657786999999</v>
          </cell>
          <cell r="I200">
            <v>-252.26754912000001</v>
          </cell>
          <cell r="N200">
            <v>-294.63509994999998</v>
          </cell>
          <cell r="S200">
            <v>-346.46808637999999</v>
          </cell>
          <cell r="X200">
            <v>-400.52428579000002</v>
          </cell>
          <cell r="AC200">
            <v>-524.20020751999994</v>
          </cell>
          <cell r="AH200">
            <v>-695.00350845630965</v>
          </cell>
          <cell r="AI200">
            <v>-904.60693809894406</v>
          </cell>
          <cell r="AJ200">
            <v>-1173.5555983883755</v>
          </cell>
          <cell r="AK200">
            <v>-1432.7091995647163</v>
          </cell>
          <cell r="AL200">
            <v>-1777.6397277557821</v>
          </cell>
          <cell r="AM200">
            <v>-1943.4390576122034</v>
          </cell>
        </row>
        <row r="201">
          <cell r="B201" t="str">
            <v>Net income (pre-preferred dividends)</v>
          </cell>
          <cell r="C201" t="str">
            <v>NI_PRE_PREF</v>
          </cell>
          <cell r="D201" t="str">
            <v>CNY</v>
          </cell>
          <cell r="F201">
            <v>470.72788287000003</v>
          </cell>
          <cell r="G201">
            <v>553.45447804000116</v>
          </cell>
          <cell r="H201">
            <v>610.49401299999931</v>
          </cell>
          <cell r="I201">
            <v>907.88111849999996</v>
          </cell>
          <cell r="N201">
            <v>987.06052071000204</v>
          </cell>
          <cell r="S201">
            <v>1017.9960749799993</v>
          </cell>
          <cell r="X201">
            <v>1092.5342490499991</v>
          </cell>
          <cell r="AC201">
            <v>1147.6393588799983</v>
          </cell>
          <cell r="AH201">
            <v>1684.6912079562703</v>
          </cell>
          <cell r="AI201">
            <v>2192.7707367355497</v>
          </cell>
          <cell r="AJ201">
            <v>2844.7033354466012</v>
          </cell>
          <cell r="AK201">
            <v>3472.892672766231</v>
          </cell>
          <cell r="AL201">
            <v>4309.0056148287822</v>
          </cell>
          <cell r="AM201">
            <v>4710.9038353349797</v>
          </cell>
        </row>
        <row r="202">
          <cell r="B202" t="str">
            <v>Preferred dividends</v>
          </cell>
          <cell r="C202" t="str">
            <v>PREF_DIV</v>
          </cell>
          <cell r="D202" t="str">
            <v>CNY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N202">
            <v>0</v>
          </cell>
          <cell r="S202">
            <v>0</v>
          </cell>
          <cell r="X202">
            <v>0</v>
          </cell>
          <cell r="AC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</row>
        <row r="203">
          <cell r="B203" t="str">
            <v>Net income (pre-exceptionals)</v>
          </cell>
          <cell r="C203" t="str">
            <v>NET_EARNING</v>
          </cell>
          <cell r="D203" t="str">
            <v>CNY</v>
          </cell>
          <cell r="F203">
            <v>470.72788287000003</v>
          </cell>
          <cell r="G203">
            <v>553.45447804000116</v>
          </cell>
          <cell r="H203">
            <v>610.49401299999931</v>
          </cell>
          <cell r="I203">
            <v>907.88111849999996</v>
          </cell>
          <cell r="N203">
            <v>987.06052071000204</v>
          </cell>
          <cell r="S203">
            <v>1017.9960749799993</v>
          </cell>
          <cell r="X203">
            <v>1092.5342490499991</v>
          </cell>
          <cell r="AC203">
            <v>1147.6393588799983</v>
          </cell>
          <cell r="AH203">
            <v>1684.6912079562703</v>
          </cell>
          <cell r="AI203">
            <v>2192.7707367355497</v>
          </cell>
          <cell r="AJ203">
            <v>2844.7033354466012</v>
          </cell>
          <cell r="AK203">
            <v>3472.892672766231</v>
          </cell>
          <cell r="AL203">
            <v>4309.0056148287822</v>
          </cell>
          <cell r="AM203">
            <v>4710.9038353349797</v>
          </cell>
        </row>
        <row r="204">
          <cell r="B204" t="str">
            <v>Post-tax exceptionals</v>
          </cell>
          <cell r="C204" t="str">
            <v>TAX_EXC</v>
          </cell>
          <cell r="D204" t="str">
            <v>CNY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N204">
            <v>0</v>
          </cell>
          <cell r="S204">
            <v>0</v>
          </cell>
          <cell r="X204">
            <v>0</v>
          </cell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</row>
        <row r="205">
          <cell r="B205" t="str">
            <v>Net income (post-exceptionals)</v>
          </cell>
          <cell r="C205" t="str">
            <v>NET_INC</v>
          </cell>
          <cell r="D205" t="str">
            <v>CNY</v>
          </cell>
          <cell r="F205">
            <v>470.72788287000003</v>
          </cell>
          <cell r="G205">
            <v>553.45447804000116</v>
          </cell>
          <cell r="H205">
            <v>610.49401299999931</v>
          </cell>
          <cell r="I205">
            <v>907.88111849999996</v>
          </cell>
          <cell r="J205">
            <v>203.70714944000031</v>
          </cell>
          <cell r="K205">
            <v>332.86988581999924</v>
          </cell>
          <cell r="L205">
            <v>208.09159594000138</v>
          </cell>
          <cell r="M205">
            <v>242.39188951000114</v>
          </cell>
          <cell r="N205">
            <v>987.06052071000204</v>
          </cell>
          <cell r="O205">
            <v>238.41735438000015</v>
          </cell>
          <cell r="P205">
            <v>293.01209414000004</v>
          </cell>
          <cell r="Q205">
            <v>214.47539891999989</v>
          </cell>
          <cell r="R205">
            <v>272.09122753999947</v>
          </cell>
          <cell r="S205">
            <v>1017.9960749799993</v>
          </cell>
          <cell r="T205">
            <v>239.60179489000029</v>
          </cell>
          <cell r="U205">
            <v>351.88797536999863</v>
          </cell>
          <cell r="V205">
            <v>251.52365190000231</v>
          </cell>
          <cell r="W205">
            <v>249.52082688999786</v>
          </cell>
          <cell r="X205">
            <v>1092.5342490499991</v>
          </cell>
          <cell r="Y205">
            <v>275.44825685000012</v>
          </cell>
          <cell r="Z205">
            <v>356.71047072999966</v>
          </cell>
          <cell r="AA205">
            <v>270.65977698999956</v>
          </cell>
          <cell r="AB205">
            <v>244.82085430999865</v>
          </cell>
          <cell r="AC205">
            <v>1147.6393588799983</v>
          </cell>
          <cell r="AD205">
            <v>318.85295285000018</v>
          </cell>
          <cell r="AE205">
            <v>497.84830961999876</v>
          </cell>
          <cell r="AF205">
            <v>301.61621348515166</v>
          </cell>
          <cell r="AG205">
            <v>566.37373200111767</v>
          </cell>
          <cell r="AH205">
            <v>1684.6912079562703</v>
          </cell>
          <cell r="AI205">
            <v>2192.7707367355497</v>
          </cell>
          <cell r="AJ205">
            <v>2844.7033354466012</v>
          </cell>
          <cell r="AK205">
            <v>3472.892672766231</v>
          </cell>
          <cell r="AL205">
            <v>4309.0056148287822</v>
          </cell>
          <cell r="AM205">
            <v>4710.9038353349797</v>
          </cell>
        </row>
        <row r="206">
          <cell r="B206" t="str">
            <v>EPS (pre-exceptionals, basic)</v>
          </cell>
          <cell r="C206" t="str">
            <v>EPS</v>
          </cell>
          <cell r="D206" t="str">
            <v>CNY</v>
          </cell>
          <cell r="F206">
            <v>0.50977678456790121</v>
          </cell>
          <cell r="G206">
            <v>0.59936590647606791</v>
          </cell>
          <cell r="H206">
            <v>0.66113711609270009</v>
          </cell>
          <cell r="I206">
            <v>0.98319376055880436</v>
          </cell>
          <cell r="N206">
            <v>1.068941434600392</v>
          </cell>
          <cell r="S206">
            <v>1.1024432260991979</v>
          </cell>
          <cell r="X206">
            <v>1.1831646621724052</v>
          </cell>
          <cell r="AC206">
            <v>1.242840977777776</v>
          </cell>
          <cell r="AH206">
            <v>1.8244435866972821</v>
          </cell>
          <cell r="AI206">
            <v>2.3746704967896357</v>
          </cell>
          <cell r="AJ206">
            <v>3.0806837074362154</v>
          </cell>
          <cell r="AK206">
            <v>3.7609840510788732</v>
          </cell>
          <cell r="AL206">
            <v>4.6664561564097706</v>
          </cell>
          <cell r="AM206">
            <v>5.1016935621994577</v>
          </cell>
        </row>
        <row r="207">
          <cell r="B207" t="str">
            <v>EPS (pre-exceptionals, diluted)</v>
          </cell>
          <cell r="C207" t="str">
            <v>EPS_FUL_DIL</v>
          </cell>
          <cell r="D207" t="str">
            <v>CNY</v>
          </cell>
          <cell r="F207">
            <v>0.50977678456790121</v>
          </cell>
          <cell r="G207">
            <v>0.59936590647606791</v>
          </cell>
          <cell r="H207">
            <v>0.66113711609270021</v>
          </cell>
          <cell r="I207">
            <v>0.98319376055880436</v>
          </cell>
          <cell r="N207">
            <v>1.068941434600392</v>
          </cell>
          <cell r="S207">
            <v>1.1024432260991979</v>
          </cell>
          <cell r="X207">
            <v>1.1831646621724052</v>
          </cell>
          <cell r="AC207">
            <v>1.242840977777776</v>
          </cell>
          <cell r="AH207">
            <v>1.8244435866972821</v>
          </cell>
          <cell r="AI207">
            <v>2.3746704967896357</v>
          </cell>
          <cell r="AJ207">
            <v>3.0806837074362154</v>
          </cell>
          <cell r="AK207">
            <v>3.7609840510788732</v>
          </cell>
          <cell r="AL207">
            <v>4.6664561564097697</v>
          </cell>
          <cell r="AM207">
            <v>5.1016935621994577</v>
          </cell>
        </row>
        <row r="208">
          <cell r="B208" t="str">
            <v>EPS (post-exceptionals, basic)</v>
          </cell>
          <cell r="C208" t="str">
            <v>EPS_POST_BASIC</v>
          </cell>
          <cell r="D208" t="str">
            <v>CNY</v>
          </cell>
          <cell r="F208">
            <v>0.50977678456790121</v>
          </cell>
          <cell r="G208">
            <v>0.59936590647606791</v>
          </cell>
          <cell r="H208">
            <v>0.66113711609270009</v>
          </cell>
          <cell r="I208">
            <v>0.98319376055880436</v>
          </cell>
          <cell r="N208">
            <v>1.068941434600392</v>
          </cell>
          <cell r="S208">
            <v>1.1024432260991979</v>
          </cell>
          <cell r="X208">
            <v>1.1831646621724052</v>
          </cell>
          <cell r="AC208">
            <v>1.242840977777776</v>
          </cell>
          <cell r="AH208">
            <v>1.8244435866972821</v>
          </cell>
          <cell r="AI208">
            <v>2.3746704967896357</v>
          </cell>
          <cell r="AJ208">
            <v>3.0806837074362154</v>
          </cell>
          <cell r="AK208">
            <v>3.7609840510788732</v>
          </cell>
          <cell r="AL208">
            <v>4.6664561564097706</v>
          </cell>
          <cell r="AM208">
            <v>5.1016935621994577</v>
          </cell>
        </row>
        <row r="209">
          <cell r="B209" t="str">
            <v>EPS (post-exceptionals, diluted)</v>
          </cell>
          <cell r="C209" t="str">
            <v>FULLY_DIL_EPS</v>
          </cell>
          <cell r="D209" t="str">
            <v>CNY</v>
          </cell>
          <cell r="F209">
            <v>0.50977678456790121</v>
          </cell>
          <cell r="G209">
            <v>0.59936590647606791</v>
          </cell>
          <cell r="H209">
            <v>0.66113711609270021</v>
          </cell>
          <cell r="I209">
            <v>0.98319376055880436</v>
          </cell>
          <cell r="N209">
            <v>1.068941434600392</v>
          </cell>
          <cell r="S209">
            <v>1.1024432260991979</v>
          </cell>
          <cell r="X209">
            <v>1.1831646621724052</v>
          </cell>
          <cell r="AC209">
            <v>1.242840977777776</v>
          </cell>
          <cell r="AH209">
            <v>1.8244435866972821</v>
          </cell>
          <cell r="AI209">
            <v>2.3746704967896357</v>
          </cell>
          <cell r="AJ209">
            <v>3.0806837074362154</v>
          </cell>
          <cell r="AK209">
            <v>3.7609840510788732</v>
          </cell>
          <cell r="AL209">
            <v>4.6664561564097697</v>
          </cell>
          <cell r="AM209">
            <v>5.1016935621994577</v>
          </cell>
        </row>
        <row r="210">
          <cell r="B210" t="str">
            <v>Common dividends paid</v>
          </cell>
          <cell r="C210" t="str">
            <v>COMMON_DIV_PAID</v>
          </cell>
          <cell r="D210" t="str">
            <v>CNY</v>
          </cell>
          <cell r="F210">
            <v>-147.744</v>
          </cell>
          <cell r="G210">
            <v>-166.21199999999999</v>
          </cell>
          <cell r="H210">
            <v>-193.91399999999999</v>
          </cell>
          <cell r="I210">
            <v>-369.36</v>
          </cell>
          <cell r="N210">
            <v>-387.82799999999997</v>
          </cell>
          <cell r="S210">
            <v>-397.06200000000001</v>
          </cell>
          <cell r="X210">
            <v>-554.04</v>
          </cell>
          <cell r="AC210">
            <v>-581.74199999999996</v>
          </cell>
          <cell r="AH210">
            <v>-853.97527116475885</v>
          </cell>
          <cell r="AI210">
            <v>-1111.52238206166</v>
          </cell>
          <cell r="AJ210">
            <v>-1441.9890664820061</v>
          </cell>
          <cell r="AK210">
            <v>-1760.42021703756</v>
          </cell>
          <cell r="AL210">
            <v>-2184.2484966950656</v>
          </cell>
          <cell r="AM210">
            <v>-2387.9719685197747</v>
          </cell>
        </row>
        <row r="211">
          <cell r="B211" t="str">
            <v>DPS, dividend per share</v>
          </cell>
          <cell r="C211" t="str">
            <v>DPS</v>
          </cell>
          <cell r="D211" t="str">
            <v>CNY</v>
          </cell>
          <cell r="F211">
            <v>0.15999999999999998</v>
          </cell>
          <cell r="G211">
            <v>0.17999999999999997</v>
          </cell>
          <cell r="H211">
            <v>0.21</v>
          </cell>
          <cell r="I211">
            <v>0.4</v>
          </cell>
          <cell r="N211">
            <v>0.42</v>
          </cell>
          <cell r="S211">
            <v>0.43000000000000005</v>
          </cell>
          <cell r="X211">
            <v>0.6</v>
          </cell>
          <cell r="AC211">
            <v>0.63</v>
          </cell>
          <cell r="AH211">
            <v>0.92481619142815563</v>
          </cell>
          <cell r="AI211">
            <v>1.2037279424536063</v>
          </cell>
          <cell r="AJ211">
            <v>1.5616082591314773</v>
          </cell>
          <cell r="AK211">
            <v>1.9064546426657571</v>
          </cell>
          <cell r="AL211">
            <v>2.3654413002978831</v>
          </cell>
          <cell r="AM211">
            <v>2.5860645099845945</v>
          </cell>
        </row>
        <row r="212">
          <cell r="B212" t="str">
            <v>Weighted average shares outstanding, basic</v>
          </cell>
          <cell r="C212" t="str">
            <v>SH</v>
          </cell>
          <cell r="F212">
            <v>923.40000000000009</v>
          </cell>
          <cell r="G212">
            <v>923.40000000000009</v>
          </cell>
          <cell r="H212">
            <v>923.40000000000009</v>
          </cell>
          <cell r="I212">
            <v>923.4</v>
          </cell>
          <cell r="N212">
            <v>923.4</v>
          </cell>
          <cell r="S212">
            <v>923.4</v>
          </cell>
          <cell r="X212">
            <v>923.4</v>
          </cell>
          <cell r="AC212">
            <v>923.4</v>
          </cell>
          <cell r="AH212">
            <v>923.4</v>
          </cell>
          <cell r="AI212">
            <v>923.4</v>
          </cell>
          <cell r="AJ212">
            <v>923.4</v>
          </cell>
          <cell r="AK212">
            <v>923.39999999999986</v>
          </cell>
          <cell r="AL212">
            <v>923.4</v>
          </cell>
          <cell r="AM212">
            <v>923.40000000000009</v>
          </cell>
        </row>
        <row r="213">
          <cell r="B213" t="str">
            <v>Diluted average shares outstanding (mn)</v>
          </cell>
          <cell r="C213" t="str">
            <v>DILUTE_SHARES</v>
          </cell>
          <cell r="F213">
            <v>923.40000000000009</v>
          </cell>
          <cell r="G213">
            <v>923.40000000000009</v>
          </cell>
          <cell r="H213">
            <v>923.4</v>
          </cell>
          <cell r="I213">
            <v>923.4</v>
          </cell>
          <cell r="N213">
            <v>923.4</v>
          </cell>
          <cell r="S213">
            <v>923.4</v>
          </cell>
          <cell r="X213">
            <v>923.4</v>
          </cell>
          <cell r="AC213">
            <v>923.4</v>
          </cell>
          <cell r="AH213">
            <v>923.4</v>
          </cell>
          <cell r="AI213">
            <v>923.4</v>
          </cell>
          <cell r="AJ213">
            <v>923.4</v>
          </cell>
          <cell r="AK213">
            <v>923.39999999999986</v>
          </cell>
          <cell r="AL213">
            <v>923.40000000000009</v>
          </cell>
          <cell r="AM213">
            <v>923.40000000000009</v>
          </cell>
        </row>
        <row r="214">
          <cell r="B214" t="str">
            <v>Period-end shares outstanding</v>
          </cell>
          <cell r="C214" t="str">
            <v>NON_OP_ADD</v>
          </cell>
          <cell r="F214">
            <v>923.40000000000009</v>
          </cell>
          <cell r="G214">
            <v>923.40000000000009</v>
          </cell>
          <cell r="H214">
            <v>923.4</v>
          </cell>
          <cell r="I214">
            <v>923.4</v>
          </cell>
          <cell r="N214">
            <v>923.4</v>
          </cell>
          <cell r="S214">
            <v>923.4</v>
          </cell>
          <cell r="X214">
            <v>923.4</v>
          </cell>
          <cell r="AC214">
            <v>923.4</v>
          </cell>
          <cell r="AH214">
            <v>923.4</v>
          </cell>
          <cell r="AI214">
            <v>923.4</v>
          </cell>
          <cell r="AJ214">
            <v>923.4</v>
          </cell>
          <cell r="AK214">
            <v>923.39999999999986</v>
          </cell>
          <cell r="AL214">
            <v>923.40000000000009</v>
          </cell>
          <cell r="AM214">
            <v>923.40000000000009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  <cell r="F216">
            <v>0.16089963586029515</v>
          </cell>
          <cell r="G216">
            <v>0.1118728344642651</v>
          </cell>
          <cell r="H216">
            <v>0.1484452445331744</v>
          </cell>
          <cell r="I216">
            <v>0.16593395196197977</v>
          </cell>
          <cell r="N216">
            <v>0.14293225489782099</v>
          </cell>
          <cell r="S216">
            <v>0.14732068867356324</v>
          </cell>
          <cell r="X216">
            <v>0.16496922670410635</v>
          </cell>
          <cell r="AC216">
            <v>0.18919228517695591</v>
          </cell>
          <cell r="AH216">
            <v>0.173852640795015</v>
          </cell>
          <cell r="AI216">
            <v>0.17403420250082463</v>
          </cell>
          <cell r="AJ216">
            <v>0.17403420250082483</v>
          </cell>
          <cell r="AK216">
            <v>0.17403420250082483</v>
          </cell>
          <cell r="AL216">
            <v>0.17403420250082483</v>
          </cell>
          <cell r="AM216">
            <v>0.17403420250082483</v>
          </cell>
        </row>
        <row r="217">
          <cell r="B217" t="str">
            <v>Net income (consensus) (Pub)</v>
          </cell>
          <cell r="C217" t="str">
            <v>NI_CONS</v>
          </cell>
          <cell r="D217" t="str">
            <v>CNY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 t="str">
            <v>CNY</v>
          </cell>
          <cell r="F219">
            <v>2.9341428492744206</v>
          </cell>
          <cell r="G219">
            <v>3.3196888191682912</v>
          </cell>
          <cell r="H219">
            <v>3.7660609591401344</v>
          </cell>
          <cell r="I219">
            <v>4.5369452826943908</v>
          </cell>
          <cell r="N219">
            <v>5.1848433727420398</v>
          </cell>
          <cell r="S219">
            <v>5.8632732435131034</v>
          </cell>
          <cell r="X219">
            <v>6.6166219706844265</v>
          </cell>
          <cell r="AC219">
            <v>7.269456103043102</v>
          </cell>
          <cell r="AH219">
            <v>8.1690834983122276</v>
          </cell>
          <cell r="AI219">
            <v>9.3400260526482572</v>
          </cell>
          <cell r="AJ219">
            <v>10.859101500952995</v>
          </cell>
          <cell r="AK219">
            <v>12.713630909366113</v>
          </cell>
          <cell r="AL219">
            <v>15.014645765477997</v>
          </cell>
          <cell r="AM219">
            <v>17.530274817692863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 t="str">
            <v>CNY</v>
          </cell>
          <cell r="F221">
            <v>470.72788287000003</v>
          </cell>
          <cell r="G221">
            <v>553.45447804000116</v>
          </cell>
          <cell r="H221">
            <v>610.49401299999931</v>
          </cell>
          <cell r="I221">
            <v>907.88111849999996</v>
          </cell>
          <cell r="N221">
            <v>987.06052071000204</v>
          </cell>
          <cell r="S221">
            <v>1017.9960749799993</v>
          </cell>
          <cell r="X221">
            <v>1092.5342490499991</v>
          </cell>
          <cell r="AC221">
            <v>1147.6393588799983</v>
          </cell>
          <cell r="AH221">
            <v>1684.6912079562703</v>
          </cell>
          <cell r="AI221">
            <v>2192.7707367355497</v>
          </cell>
          <cell r="AJ221">
            <v>2844.7033354466012</v>
          </cell>
          <cell r="AK221">
            <v>3472.892672766231</v>
          </cell>
          <cell r="AL221">
            <v>4309.0056148287822</v>
          </cell>
          <cell r="AM221">
            <v>4710.9038353349797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N225">
            <v>0</v>
          </cell>
          <cell r="S225">
            <v>0</v>
          </cell>
          <cell r="X225">
            <v>0</v>
          </cell>
          <cell r="AC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Assumption sum"/>
      <sheetName val="Waterfall"/>
      <sheetName val="Model"/>
      <sheetName val="Assumption"/>
      <sheetName val="Valuation"/>
      <sheetName val="Discounted PE"/>
      <sheetName val="Comp"/>
      <sheetName val="Comp (2)"/>
      <sheetName val="Raw PL annual"/>
      <sheetName val="Raw PL quarterly"/>
      <sheetName val="Raw CF"/>
      <sheetName val="DCF"/>
      <sheetName val="SoTP"/>
      <sheetName val="TAM Ref"/>
      <sheetName val="Segment"/>
      <sheetName val="P&amp;L sum"/>
      <sheetName val="600703.SS_Exchange_Sheet"/>
      <sheetName val="Sub vs Win Semi"/>
      <sheetName val="PEPB"/>
      <sheetName val="600703.SS_Live_Sheet"/>
      <sheetName val="600703.SS_Validation_Sheet"/>
      <sheetName val="600703.SS_Annotation_Sheet"/>
      <sheetName val="AFOSHEET"/>
      <sheetName val="Raw BS"/>
      <sheetName val="SUM"/>
      <sheetName val="Sheet1"/>
    </sheetNames>
    <sheetDataSet>
      <sheetData sheetId="0" refreshError="1"/>
      <sheetData sheetId="1"/>
      <sheetData sheetId="2" refreshError="1"/>
      <sheetData sheetId="3">
        <row r="6">
          <cell r="N6">
            <v>6747.3756464757062</v>
          </cell>
        </row>
      </sheetData>
      <sheetData sheetId="4" refreshError="1"/>
      <sheetData sheetId="5" refreshError="1"/>
      <sheetData sheetId="6">
        <row r="42">
          <cell r="J42">
            <v>0.28387197623584393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>
        <row r="1">
          <cell r="A1" t="str">
            <v>Issuer: Sanan</v>
          </cell>
          <cell r="F1">
            <v>2009</v>
          </cell>
          <cell r="G1">
            <v>2010</v>
          </cell>
          <cell r="H1">
            <v>2011</v>
          </cell>
          <cell r="I1">
            <v>2012</v>
          </cell>
          <cell r="J1">
            <v>2013</v>
          </cell>
          <cell r="K1">
            <v>2014</v>
          </cell>
          <cell r="L1">
            <v>2015</v>
          </cell>
          <cell r="M1">
            <v>2016</v>
          </cell>
          <cell r="N1">
            <v>2017</v>
          </cell>
          <cell r="O1">
            <v>2018</v>
          </cell>
          <cell r="P1">
            <v>2019</v>
          </cell>
          <cell r="Q1">
            <v>2020</v>
          </cell>
          <cell r="R1">
            <v>2021</v>
          </cell>
          <cell r="S1" t="str">
            <v>2022</v>
          </cell>
          <cell r="T1" t="str">
            <v>2023</v>
          </cell>
          <cell r="U1" t="str">
            <v>2014 Q1</v>
          </cell>
          <cell r="V1" t="str">
            <v>2014 Q2</v>
          </cell>
          <cell r="W1" t="str">
            <v>2014 Q3</v>
          </cell>
          <cell r="X1" t="str">
            <v>2014 Q4</v>
          </cell>
          <cell r="Y1" t="str">
            <v>2015 Q1</v>
          </cell>
          <cell r="Z1" t="str">
            <v>2015 Q2</v>
          </cell>
          <cell r="AA1" t="str">
            <v>2015 Q3</v>
          </cell>
          <cell r="AB1" t="str">
            <v>2015 Q4</v>
          </cell>
          <cell r="AC1" t="str">
            <v>2016 Q1</v>
          </cell>
          <cell r="AD1" t="str">
            <v>2016 Q2</v>
          </cell>
          <cell r="AE1" t="str">
            <v>2016 Q3</v>
          </cell>
          <cell r="AF1" t="str">
            <v>2016 Q4</v>
          </cell>
          <cell r="AG1" t="str">
            <v>2017 Q1</v>
          </cell>
          <cell r="AH1" t="str">
            <v>2017 Q2</v>
          </cell>
          <cell r="AI1" t="str">
            <v>2017 Q3</v>
          </cell>
          <cell r="AJ1" t="str">
            <v>2017 Q4</v>
          </cell>
          <cell r="AK1" t="str">
            <v>2018 Q1</v>
          </cell>
          <cell r="AL1" t="str">
            <v>2018 Q2</v>
          </cell>
          <cell r="AM1" t="str">
            <v>2018 Q3</v>
          </cell>
          <cell r="AN1" t="str">
            <v>2018 Q4</v>
          </cell>
          <cell r="AO1" t="str">
            <v>2019 Q1</v>
          </cell>
          <cell r="AP1" t="str">
            <v>2019 Q2</v>
          </cell>
          <cell r="AQ1" t="str">
            <v>2019 Q3</v>
          </cell>
          <cell r="AR1" t="str">
            <v>2019 Q4</v>
          </cell>
          <cell r="AS1" t="str">
            <v>2020 Q1</v>
          </cell>
          <cell r="AT1" t="str">
            <v>2020 Q2</v>
          </cell>
          <cell r="AU1" t="str">
            <v>2020 Q3</v>
          </cell>
          <cell r="AV1" t="str">
            <v>2020 Q4</v>
          </cell>
          <cell r="AW1" t="str">
            <v>2021 Q1</v>
          </cell>
          <cell r="AX1" t="str">
            <v>2021 Q2</v>
          </cell>
          <cell r="AY1" t="str">
            <v>2021 Q3</v>
          </cell>
          <cell r="AZ1" t="str">
            <v>2021 Q4</v>
          </cell>
          <cell r="BA1" t="str">
            <v>2022 Q1</v>
          </cell>
          <cell r="BB1" t="str">
            <v>2022 Q2</v>
          </cell>
        </row>
        <row r="2">
          <cell r="A2"/>
          <cell r="B2"/>
          <cell r="C2"/>
          <cell r="D2"/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Estimate</v>
          </cell>
          <cell r="R2" t="str">
            <v>Estimate</v>
          </cell>
          <cell r="S2" t="str">
            <v>Estimate</v>
          </cell>
          <cell r="T2" t="str">
            <v>Estimate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</row>
        <row r="3">
          <cell r="A3"/>
          <cell r="B3"/>
          <cell r="C3"/>
          <cell r="D3"/>
          <cell r="F3">
            <v>40178</v>
          </cell>
          <cell r="G3">
            <v>40543</v>
          </cell>
          <cell r="H3">
            <v>40908</v>
          </cell>
          <cell r="I3">
            <v>41274</v>
          </cell>
          <cell r="J3">
            <v>41639</v>
          </cell>
          <cell r="K3">
            <v>42004</v>
          </cell>
          <cell r="L3">
            <v>42369</v>
          </cell>
          <cell r="M3">
            <v>42735</v>
          </cell>
          <cell r="N3">
            <v>43100</v>
          </cell>
          <cell r="O3">
            <v>43465</v>
          </cell>
          <cell r="P3">
            <v>43830</v>
          </cell>
          <cell r="Q3">
            <v>44196</v>
          </cell>
          <cell r="R3">
            <v>44561</v>
          </cell>
          <cell r="S3">
            <v>44926</v>
          </cell>
          <cell r="T3">
            <v>45291</v>
          </cell>
          <cell r="U3">
            <v>41729</v>
          </cell>
          <cell r="V3">
            <v>41820</v>
          </cell>
          <cell r="W3">
            <v>41912</v>
          </cell>
          <cell r="X3">
            <v>42004</v>
          </cell>
          <cell r="Y3">
            <v>42094</v>
          </cell>
          <cell r="Z3">
            <v>42185</v>
          </cell>
          <cell r="AA3">
            <v>42277</v>
          </cell>
          <cell r="AB3">
            <v>42369</v>
          </cell>
          <cell r="AC3">
            <v>42460</v>
          </cell>
          <cell r="AD3">
            <v>42551</v>
          </cell>
          <cell r="AE3">
            <v>42643</v>
          </cell>
          <cell r="AF3">
            <v>42735</v>
          </cell>
          <cell r="AG3">
            <v>42825</v>
          </cell>
          <cell r="AH3">
            <v>42916</v>
          </cell>
          <cell r="AI3">
            <v>43008</v>
          </cell>
          <cell r="AJ3">
            <v>43100</v>
          </cell>
          <cell r="AK3">
            <v>43190</v>
          </cell>
          <cell r="AL3">
            <v>43281</v>
          </cell>
          <cell r="AM3">
            <v>43373</v>
          </cell>
          <cell r="AN3">
            <v>43465</v>
          </cell>
          <cell r="AO3">
            <v>43555</v>
          </cell>
          <cell r="AP3">
            <v>43646</v>
          </cell>
          <cell r="AQ3">
            <v>43738</v>
          </cell>
          <cell r="AR3">
            <v>43830</v>
          </cell>
          <cell r="AS3">
            <v>43921</v>
          </cell>
          <cell r="AT3">
            <v>44012</v>
          </cell>
          <cell r="AU3">
            <v>44104</v>
          </cell>
          <cell r="AV3">
            <v>44196</v>
          </cell>
          <cell r="AW3">
            <v>44286</v>
          </cell>
          <cell r="AX3">
            <v>44377</v>
          </cell>
          <cell r="AY3">
            <v>44469</v>
          </cell>
          <cell r="AZ3">
            <v>44561</v>
          </cell>
          <cell r="BA3">
            <v>44651</v>
          </cell>
          <cell r="BB3">
            <v>44742</v>
          </cell>
        </row>
        <row r="4">
          <cell r="A4" t="str">
            <v>Issuer: Sanan</v>
          </cell>
          <cell r="B4"/>
          <cell r="C4"/>
          <cell r="D4"/>
        </row>
        <row r="5">
          <cell r="A5" t="str">
            <v>Reference Data</v>
          </cell>
          <cell r="B5"/>
          <cell r="C5"/>
          <cell r="D5"/>
        </row>
        <row r="6">
          <cell r="B6" t="str">
            <v>Issuer Name</v>
          </cell>
          <cell r="C6" t="str">
            <v>Issuer Name</v>
          </cell>
          <cell r="E6" t="str">
            <v>Sanan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  <cell r="B8"/>
          <cell r="C8"/>
          <cell r="D8"/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  <cell r="B10"/>
          <cell r="C10"/>
          <cell r="D10"/>
        </row>
        <row r="11">
          <cell r="B11" t="str">
            <v>Sales, net revenue</v>
          </cell>
          <cell r="C11" t="str">
            <v>SALES</v>
          </cell>
          <cell r="D11" t="str">
            <v>CNY</v>
          </cell>
          <cell r="F11">
            <v>470.29375900000002</v>
          </cell>
          <cell r="G11">
            <v>862.61084189999997</v>
          </cell>
          <cell r="H11">
            <v>1747.3119655999999</v>
          </cell>
          <cell r="I11">
            <v>3363.1581839</v>
          </cell>
          <cell r="J11">
            <v>3732.0673683</v>
          </cell>
          <cell r="K11">
            <v>4579.6650718000001</v>
          </cell>
          <cell r="L11">
            <v>4858.2538021</v>
          </cell>
          <cell r="M11">
            <v>6272.6026578999999</v>
          </cell>
          <cell r="N11">
            <v>8393.7257836999997</v>
          </cell>
          <cell r="O11">
            <v>8364.3742254999997</v>
          </cell>
          <cell r="P11">
            <v>7460.0138789199991</v>
          </cell>
          <cell r="Q11">
            <v>7774.0189432736042</v>
          </cell>
          <cell r="R11">
            <v>9871.3404882413779</v>
          </cell>
          <cell r="S11">
            <v>12568.031888771333</v>
          </cell>
          <cell r="T11">
            <v>21646.360501606759</v>
          </cell>
          <cell r="U11">
            <v>822.52028689999997</v>
          </cell>
          <cell r="V11">
            <v>1354.4359935</v>
          </cell>
          <cell r="W11">
            <v>1301.0826692999999</v>
          </cell>
          <cell r="X11">
            <v>1101.6261222000001</v>
          </cell>
          <cell r="Y11">
            <v>926.59462450000001</v>
          </cell>
          <cell r="Z11">
            <v>1364.8055884</v>
          </cell>
          <cell r="AA11">
            <v>1310.1210477</v>
          </cell>
          <cell r="AB11">
            <v>1256.7325415</v>
          </cell>
          <cell r="AC11">
            <v>1178.1832107999999</v>
          </cell>
          <cell r="AD11">
            <v>1600.1824829000002</v>
          </cell>
          <cell r="AE11">
            <v>1707.3974378</v>
          </cell>
          <cell r="AF11">
            <v>1786.8395264999999</v>
          </cell>
          <cell r="AG11">
            <v>1989.9348844000001</v>
          </cell>
          <cell r="AH11">
            <v>2076.6807985</v>
          </cell>
          <cell r="AI11">
            <v>2215.9046279999998</v>
          </cell>
          <cell r="AJ11">
            <v>2111.2054727</v>
          </cell>
          <cell r="AK11">
            <v>1944.9134947</v>
          </cell>
          <cell r="AL11">
            <v>2228.2823898000001</v>
          </cell>
          <cell r="AM11">
            <v>2220.1244207</v>
          </cell>
          <cell r="AN11">
            <v>1971.0539202999998</v>
          </cell>
          <cell r="AO11">
            <v>1729.0078114999999</v>
          </cell>
          <cell r="AP11">
            <v>1658.6357237</v>
          </cell>
          <cell r="AQ11">
            <v>1944.5454382</v>
          </cell>
          <cell r="AR11">
            <v>2127.8249055199999</v>
          </cell>
          <cell r="AS11">
            <v>1681.5915208599999</v>
          </cell>
          <cell r="AT11">
            <v>1712.7815974763041</v>
          </cell>
          <cell r="AU11">
            <v>2105.6637646459385</v>
          </cell>
          <cell r="AV11">
            <v>2273.982060291361</v>
          </cell>
          <cell r="AW11">
            <v>2127.4878416040046</v>
          </cell>
          <cell r="AX11">
            <v>2258.267912005791</v>
          </cell>
          <cell r="AY11">
            <v>2638.9490313308006</v>
          </cell>
          <cell r="AZ11">
            <v>2846.6357033007816</v>
          </cell>
          <cell r="BA11">
            <v>2803.1181354947785</v>
          </cell>
          <cell r="BB11">
            <v>2918.0828966286954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CNY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</row>
        <row r="13">
          <cell r="B13" t="str">
            <v>Cost of goods sold, COGS</v>
          </cell>
          <cell r="C13" t="str">
            <v>COST_GD_SD</v>
          </cell>
          <cell r="D13" t="str">
            <v>CNY</v>
          </cell>
          <cell r="F13">
            <v>-272.70852230000003</v>
          </cell>
          <cell r="G13">
            <v>-453.83767269999998</v>
          </cell>
          <cell r="H13">
            <v>-1008.0777811</v>
          </cell>
          <cell r="I13">
            <v>-2463.3452074000002</v>
          </cell>
          <cell r="J13">
            <v>-2379.3854405000002</v>
          </cell>
          <cell r="K13">
            <v>-2516.7399439000001</v>
          </cell>
          <cell r="L13">
            <v>-2616.5503999000002</v>
          </cell>
          <cell r="M13">
            <v>-3660.2877635999998</v>
          </cell>
          <cell r="N13">
            <v>-4298.4037269999999</v>
          </cell>
          <cell r="O13">
            <v>-4624.8075140000001</v>
          </cell>
          <cell r="P13">
            <v>-5268.9029608300007</v>
          </cell>
          <cell r="Q13">
            <v>-5571.2899466849167</v>
          </cell>
          <cell r="R13">
            <v>-6891.0534550139237</v>
          </cell>
          <cell r="S13">
            <v>-8627.8486968371944</v>
          </cell>
          <cell r="T13">
            <v>-14471.48251296862</v>
          </cell>
          <cell r="U13">
            <v>-495.02286550000002</v>
          </cell>
          <cell r="V13">
            <v>-784.94321029999992</v>
          </cell>
          <cell r="W13">
            <v>-723.63428759999999</v>
          </cell>
          <cell r="X13">
            <v>-513.13958060000004</v>
          </cell>
          <cell r="Y13">
            <v>-478.03324570000001</v>
          </cell>
          <cell r="Z13">
            <v>-709.6233575</v>
          </cell>
          <cell r="AA13">
            <v>-754.02980279999997</v>
          </cell>
          <cell r="AB13">
            <v>-674.86399389999997</v>
          </cell>
          <cell r="AC13">
            <v>-717.67455710000002</v>
          </cell>
          <cell r="AD13">
            <v>-1014.6599179999999</v>
          </cell>
          <cell r="AE13">
            <v>-1037.1282917999999</v>
          </cell>
          <cell r="AF13">
            <v>-890.82499670000004</v>
          </cell>
          <cell r="AG13">
            <v>-1078.3575119000002</v>
          </cell>
          <cell r="AH13">
            <v>-1025.6894830000001</v>
          </cell>
          <cell r="AI13">
            <v>-1141.3811270000001</v>
          </cell>
          <cell r="AJ13">
            <v>-1052.9756050000001</v>
          </cell>
          <cell r="AK13">
            <v>-950.48157020000008</v>
          </cell>
          <cell r="AL13">
            <v>-1182.6793592000001</v>
          </cell>
          <cell r="AM13">
            <v>-1233.0844903</v>
          </cell>
          <cell r="AN13">
            <v>-1258.5620942999999</v>
          </cell>
          <cell r="AO13">
            <v>-1090.3502607999999</v>
          </cell>
          <cell r="AP13">
            <v>-1105.938791</v>
          </cell>
          <cell r="AQ13">
            <v>-1409.4027005999999</v>
          </cell>
          <cell r="AR13">
            <v>-1663.2112084300002</v>
          </cell>
          <cell r="AS13">
            <v>-1206.6392690099999</v>
          </cell>
          <cell r="AT13">
            <v>-1213.3399864254957</v>
          </cell>
          <cell r="AU13">
            <v>-1520.9750766916968</v>
          </cell>
          <cell r="AV13">
            <v>-1630.3356145577243</v>
          </cell>
          <cell r="AW13">
            <v>-1485.8914574070711</v>
          </cell>
          <cell r="AX13">
            <v>-1570.417122831198</v>
          </cell>
          <cell r="AY13">
            <v>-1855.2725375165903</v>
          </cell>
          <cell r="AZ13">
            <v>-1979.4723372590647</v>
          </cell>
          <cell r="BA13">
            <v>-1910.8107306382121</v>
          </cell>
          <cell r="BB13">
            <v>-1986.5854377445373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CNY</v>
          </cell>
          <cell r="F14">
            <v>-28.960289448253</v>
          </cell>
          <cell r="G14">
            <v>-77.63369526999999</v>
          </cell>
          <cell r="H14">
            <v>-180.05703376999998</v>
          </cell>
          <cell r="I14">
            <v>-246.79209368999997</v>
          </cell>
          <cell r="J14">
            <v>-353.78239446999999</v>
          </cell>
          <cell r="K14">
            <v>-415.15778540999997</v>
          </cell>
          <cell r="L14">
            <v>-406.00089133</v>
          </cell>
          <cell r="M14">
            <v>-504.42324966000001</v>
          </cell>
          <cell r="N14">
            <v>-485.14729620000003</v>
          </cell>
          <cell r="O14">
            <v>-718.96204180000007</v>
          </cell>
          <cell r="P14">
            <v>-720.18913316999999</v>
          </cell>
          <cell r="Q14">
            <v>-616.8211434657569</v>
          </cell>
          <cell r="R14">
            <v>-686.32513774787014</v>
          </cell>
          <cell r="S14">
            <v>-755.33250124915719</v>
          </cell>
          <cell r="T14">
            <v>-1366.974540498451</v>
          </cell>
          <cell r="U14">
            <v>90.041729275000009</v>
          </cell>
          <cell r="V14">
            <v>99.226265375000011</v>
          </cell>
          <cell r="W14">
            <v>103.74730277000002</v>
          </cell>
          <cell r="X14">
            <v>74.130487570000028</v>
          </cell>
          <cell r="Y14">
            <v>69.535787940000034</v>
          </cell>
          <cell r="Z14">
            <v>150.43932964000001</v>
          </cell>
          <cell r="AA14">
            <v>122.91551599500002</v>
          </cell>
          <cell r="AB14">
            <v>60.420131394999991</v>
          </cell>
          <cell r="AC14">
            <v>144.15793830000001</v>
          </cell>
          <cell r="AD14">
            <v>140.90425000000002</v>
          </cell>
          <cell r="AE14">
            <v>140.51067402000004</v>
          </cell>
          <cell r="AF14">
            <v>114.09468772000002</v>
          </cell>
          <cell r="AG14">
            <v>171.006928375</v>
          </cell>
          <cell r="AH14">
            <v>166.40627387500001</v>
          </cell>
          <cell r="AI14">
            <v>194.02684892499997</v>
          </cell>
          <cell r="AJ14">
            <v>222.70597072500001</v>
          </cell>
          <cell r="AK14">
            <v>200.96422282499998</v>
          </cell>
          <cell r="AL14">
            <v>199.99617442499999</v>
          </cell>
          <cell r="AM14">
            <v>185.28236982499999</v>
          </cell>
          <cell r="AN14">
            <v>133.9439257249999</v>
          </cell>
          <cell r="AO14">
            <v>235.30158293500006</v>
          </cell>
          <cell r="AP14">
            <v>224.57128303500002</v>
          </cell>
          <cell r="AQ14">
            <v>206.77964843500007</v>
          </cell>
          <cell r="AR14">
            <v>223.54090376500005</v>
          </cell>
          <cell r="AS14">
            <v>244.57102405812896</v>
          </cell>
          <cell r="AT14">
            <v>268.14906123020819</v>
          </cell>
          <cell r="AU14">
            <v>283.17108430282349</v>
          </cell>
          <cell r="AV14">
            <v>293.13930925559828</v>
          </cell>
          <cell r="AW14">
            <v>244.30838603880323</v>
          </cell>
          <cell r="AX14">
            <v>265.77543044407992</v>
          </cell>
          <cell r="AY14">
            <v>285.28947643108563</v>
          </cell>
          <cell r="AZ14">
            <v>297.77769810959796</v>
          </cell>
          <cell r="BA14">
            <v>251.33782825494839</v>
          </cell>
          <cell r="BB14">
            <v>274.40579326978275</v>
          </cell>
        </row>
        <row r="15">
          <cell r="B15" t="str">
            <v>Total operating expense</v>
          </cell>
          <cell r="C15" t="str">
            <v>OP_COST</v>
          </cell>
          <cell r="D15" t="str">
            <v>CNY</v>
          </cell>
          <cell r="F15">
            <v>-301.66881174825301</v>
          </cell>
          <cell r="G15">
            <v>-531.47136796999996</v>
          </cell>
          <cell r="H15">
            <v>-1188.1348148699999</v>
          </cell>
          <cell r="I15">
            <v>-2710.1373010900002</v>
          </cell>
          <cell r="J15">
            <v>-2733.1678349700001</v>
          </cell>
          <cell r="K15">
            <v>-2931.8977293100002</v>
          </cell>
          <cell r="L15">
            <v>-3022.5512912300001</v>
          </cell>
          <cell r="M15">
            <v>-4164.7110132600001</v>
          </cell>
          <cell r="N15">
            <v>-4783.5510231999997</v>
          </cell>
          <cell r="O15">
            <v>-5343.7695558000005</v>
          </cell>
          <cell r="P15">
            <v>-5989.0920940000005</v>
          </cell>
          <cell r="Q15">
            <v>-6188.1110901506736</v>
          </cell>
          <cell r="R15">
            <v>-7577.3785927617937</v>
          </cell>
          <cell r="S15">
            <v>-9383.1811980863513</v>
          </cell>
          <cell r="T15">
            <v>-15838.457053467071</v>
          </cell>
          <cell r="U15">
            <v>-404.981136225</v>
          </cell>
          <cell r="V15">
            <v>-685.71694492499989</v>
          </cell>
          <cell r="W15">
            <v>-619.88698482999996</v>
          </cell>
          <cell r="X15">
            <v>-439.00909303000003</v>
          </cell>
          <cell r="Y15">
            <v>-408.49745775999997</v>
          </cell>
          <cell r="Z15">
            <v>-559.18402786000001</v>
          </cell>
          <cell r="AA15">
            <v>-631.11428680499989</v>
          </cell>
          <cell r="AB15">
            <v>-614.44386250499997</v>
          </cell>
          <cell r="AC15">
            <v>-573.51661880000006</v>
          </cell>
          <cell r="AD15">
            <v>-873.7556679999999</v>
          </cell>
          <cell r="AE15">
            <v>-896.61761777999993</v>
          </cell>
          <cell r="AF15">
            <v>-776.73030898000002</v>
          </cell>
          <cell r="AG15">
            <v>-907.35058352500016</v>
          </cell>
          <cell r="AH15">
            <v>-859.2832091250001</v>
          </cell>
          <cell r="AI15">
            <v>-947.35427807500014</v>
          </cell>
          <cell r="AJ15">
            <v>-830.26963427500004</v>
          </cell>
          <cell r="AK15">
            <v>-749.5173473750001</v>
          </cell>
          <cell r="AL15">
            <v>-982.6831847750002</v>
          </cell>
          <cell r="AM15">
            <v>-1047.802120475</v>
          </cell>
          <cell r="AN15">
            <v>-1124.618168575</v>
          </cell>
          <cell r="AO15">
            <v>-855.04867786499983</v>
          </cell>
          <cell r="AP15">
            <v>-881.36750796499996</v>
          </cell>
          <cell r="AQ15">
            <v>-1202.6230521649998</v>
          </cell>
          <cell r="AR15">
            <v>-1439.670304665</v>
          </cell>
          <cell r="AS15">
            <v>-962.06824495187095</v>
          </cell>
          <cell r="AT15">
            <v>-945.19092519528749</v>
          </cell>
          <cell r="AU15">
            <v>-1237.8039923888732</v>
          </cell>
          <cell r="AV15">
            <v>-1337.1963053021259</v>
          </cell>
          <cell r="AW15">
            <v>-1241.5830713682678</v>
          </cell>
          <cell r="AX15">
            <v>-1304.6416923871179</v>
          </cell>
          <cell r="AY15">
            <v>-1569.9830610855047</v>
          </cell>
          <cell r="AZ15">
            <v>-1681.6946391494666</v>
          </cell>
          <cell r="BA15">
            <v>-1659.4729023832638</v>
          </cell>
          <cell r="BB15">
            <v>-1712.1796444747547</v>
          </cell>
        </row>
        <row r="16">
          <cell r="B16" t="str">
            <v>R&amp;D expense</v>
          </cell>
          <cell r="C16" t="str">
            <v>RD_EXP</v>
          </cell>
          <cell r="D16" t="str">
            <v>CNY</v>
          </cell>
          <cell r="F16">
            <v>-5.5493547517469963</v>
          </cell>
          <cell r="G16">
            <v>-10.17860323</v>
          </cell>
          <cell r="H16">
            <v>-7.8782836300000003</v>
          </cell>
          <cell r="I16">
            <v>-25.226514609999999</v>
          </cell>
          <cell r="J16">
            <v>-28.480361930000001</v>
          </cell>
          <cell r="K16">
            <v>-96.487085690000001</v>
          </cell>
          <cell r="L16">
            <v>-83.80565356999999</v>
          </cell>
          <cell r="M16">
            <v>-80.52173354</v>
          </cell>
          <cell r="N16">
            <v>-126.64832270000001</v>
          </cell>
          <cell r="O16">
            <v>-144.3894033</v>
          </cell>
          <cell r="P16">
            <v>-197.00099911999999</v>
          </cell>
          <cell r="Q16">
            <v>-169.03959716399999</v>
          </cell>
          <cell r="R16">
            <v>-185.71489351252001</v>
          </cell>
          <cell r="S16">
            <v>-202.42923392864685</v>
          </cell>
          <cell r="T16">
            <v>-623.03159638209615</v>
          </cell>
          <cell r="U16">
            <v>-12.380142475</v>
          </cell>
          <cell r="V16">
            <v>-12.380142475</v>
          </cell>
          <cell r="W16">
            <v>-35.863400370000001</v>
          </cell>
          <cell r="X16">
            <v>-35.863400370000001</v>
          </cell>
          <cell r="Y16">
            <v>-6.5733342649999997</v>
          </cell>
          <cell r="Z16">
            <v>-6.5733342649999997</v>
          </cell>
          <cell r="AA16">
            <v>-35.329492519999995</v>
          </cell>
          <cell r="AB16">
            <v>-35.329492519999995</v>
          </cell>
          <cell r="AC16">
            <v>-18.931184375000001</v>
          </cell>
          <cell r="AD16">
            <v>-18.931184375000001</v>
          </cell>
          <cell r="AE16">
            <v>-21.329682395000003</v>
          </cell>
          <cell r="AF16">
            <v>-21.329682395000003</v>
          </cell>
          <cell r="AG16">
            <v>-14.374409550000005</v>
          </cell>
          <cell r="AH16">
            <v>-14.374409550000005</v>
          </cell>
          <cell r="AI16">
            <v>-40.410221299999996</v>
          </cell>
          <cell r="AJ16">
            <v>-57.489282299999999</v>
          </cell>
          <cell r="AK16">
            <v>-24.814761799999999</v>
          </cell>
          <cell r="AL16">
            <v>-28.660009500000001</v>
          </cell>
          <cell r="AM16">
            <v>-33.903844100000001</v>
          </cell>
          <cell r="AN16">
            <v>-57.010787900000004</v>
          </cell>
          <cell r="AO16">
            <v>-34.131365899999999</v>
          </cell>
          <cell r="AP16">
            <v>-46.197639299999999</v>
          </cell>
          <cell r="AQ16">
            <v>-40.941931400000001</v>
          </cell>
          <cell r="AR16">
            <v>-75.73006251999999</v>
          </cell>
          <cell r="AS16">
            <v>-45.791326049999995</v>
          </cell>
          <cell r="AT16">
            <v>-41.577875370000001</v>
          </cell>
          <cell r="AU16">
            <v>-28.65935198</v>
          </cell>
          <cell r="AV16">
            <v>-53.011043763999993</v>
          </cell>
          <cell r="AW16">
            <v>-50.370458655</v>
          </cell>
          <cell r="AX16">
            <v>-46.567220414400005</v>
          </cell>
          <cell r="AY16">
            <v>-31.525287178000003</v>
          </cell>
          <cell r="AZ16">
            <v>-57.251927265119996</v>
          </cell>
          <cell r="BA16">
            <v>-54.903799933950005</v>
          </cell>
          <cell r="BB16">
            <v>-50.758270251696011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CNY</v>
          </cell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CNY</v>
          </cell>
          <cell r="F18">
            <v>-307.2181665</v>
          </cell>
          <cell r="G18">
            <v>-541.64997119999998</v>
          </cell>
          <cell r="H18">
            <v>-1196.0130984999998</v>
          </cell>
          <cell r="I18">
            <v>-2735.3638157</v>
          </cell>
          <cell r="J18">
            <v>-2761.6481969000001</v>
          </cell>
          <cell r="K18">
            <v>-3028.3848150000003</v>
          </cell>
          <cell r="L18">
            <v>-3106.3569447999998</v>
          </cell>
          <cell r="M18">
            <v>-4245.2327468000003</v>
          </cell>
          <cell r="N18">
            <v>-4910.1993458999987</v>
          </cell>
          <cell r="O18">
            <v>-5488.1589591000002</v>
          </cell>
          <cell r="P18">
            <v>-6186.093093120001</v>
          </cell>
          <cell r="Q18">
            <v>-6357.1506873146736</v>
          </cell>
          <cell r="R18">
            <v>-7763.0934862743134</v>
          </cell>
          <cell r="S18">
            <v>-9585.6104320149971</v>
          </cell>
          <cell r="T18">
            <v>-16461.488649849169</v>
          </cell>
          <cell r="U18">
            <v>-612.93717129999993</v>
          </cell>
          <cell r="V18">
            <v>-893.67297999999982</v>
          </cell>
          <cell r="W18">
            <v>-851.32627779999996</v>
          </cell>
          <cell r="X18">
            <v>-670.44838600000003</v>
          </cell>
          <cell r="Y18">
            <v>-617.39870609999991</v>
          </cell>
          <cell r="Z18">
            <v>-768.08527619999995</v>
          </cell>
          <cell r="AA18">
            <v>-868.77169339999989</v>
          </cell>
          <cell r="AB18">
            <v>-852.10126909999997</v>
          </cell>
          <cell r="AC18">
            <v>-853.4705031000002</v>
          </cell>
          <cell r="AD18">
            <v>-1153.7095523</v>
          </cell>
          <cell r="AE18">
            <v>-1178.9700000999999</v>
          </cell>
          <cell r="AF18">
            <v>-1059.0826913000001</v>
          </cell>
          <cell r="AG18">
            <v>-1231.5483226000001</v>
          </cell>
          <cell r="AH18">
            <v>-1183.4809482000001</v>
          </cell>
          <cell r="AI18">
            <v>-1297.5878289</v>
          </cell>
          <cell r="AJ18">
            <v>-1197.5822461</v>
          </cell>
          <cell r="AK18">
            <v>-1134.1192928000003</v>
          </cell>
          <cell r="AL18">
            <v>-1371.1303779000002</v>
          </cell>
          <cell r="AM18">
            <v>-1441.4931482000002</v>
          </cell>
          <cell r="AN18">
            <v>-1541.4161401000001</v>
          </cell>
          <cell r="AO18">
            <v>-1291.7756815999999</v>
          </cell>
          <cell r="AP18">
            <v>-1330.1607851000001</v>
          </cell>
          <cell r="AQ18">
            <v>-1646.1606213999996</v>
          </cell>
          <cell r="AR18">
            <v>-1917.99600502</v>
          </cell>
          <cell r="AS18">
            <v>-1434.3224765800001</v>
          </cell>
          <cell r="AT18">
            <v>-1413.2317061434164</v>
          </cell>
          <cell r="AU18">
            <v>-1692.9262499470024</v>
          </cell>
          <cell r="AV18">
            <v>-1816.670254644255</v>
          </cell>
          <cell r="AW18">
            <v>-1736.8225622161272</v>
          </cell>
          <cell r="AX18">
            <v>-1796.0779449943773</v>
          </cell>
          <cell r="AY18">
            <v>-2046.3773804563641</v>
          </cell>
          <cell r="AZ18">
            <v>-2183.8155986074457</v>
          </cell>
          <cell r="BA18">
            <v>-2185.5550885855382</v>
          </cell>
          <cell r="BB18">
            <v>-2234.116300994775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CNY</v>
          </cell>
          <cell r="F19">
            <v>-240.30513869999999</v>
          </cell>
          <cell r="G19">
            <v>-441.94847540000001</v>
          </cell>
          <cell r="H19">
            <v>-965.60762309999984</v>
          </cell>
          <cell r="I19">
            <v>-2328.0251303999999</v>
          </cell>
          <cell r="J19">
            <v>-2134.7943011000002</v>
          </cell>
          <cell r="K19">
            <v>-2246.0812446000004</v>
          </cell>
          <cell r="L19">
            <v>-2297.0452885</v>
          </cell>
          <cell r="M19">
            <v>-3201.1419470999999</v>
          </cell>
          <cell r="N19">
            <v>-3670.9060277999993</v>
          </cell>
          <cell r="O19">
            <v>-4049.0102246000001</v>
          </cell>
          <cell r="P19">
            <v>-4575.7105417800003</v>
          </cell>
          <cell r="Q19">
            <v>-4651.2990650021575</v>
          </cell>
          <cell r="R19">
            <v>-5983.6173575028761</v>
          </cell>
          <cell r="S19">
            <v>-7700.8968869417013</v>
          </cell>
          <cell r="T19">
            <v>-12225.227772222312</v>
          </cell>
          <cell r="U19">
            <v>-417.36127870000001</v>
          </cell>
          <cell r="V19">
            <v>-698.09708739999985</v>
          </cell>
          <cell r="W19">
            <v>-655.75038519999998</v>
          </cell>
          <cell r="X19">
            <v>-474.87249340000005</v>
          </cell>
          <cell r="Y19">
            <v>-415.07079202499995</v>
          </cell>
          <cell r="Z19">
            <v>-565.75736212499999</v>
          </cell>
          <cell r="AA19">
            <v>-666.44377932499992</v>
          </cell>
          <cell r="AB19">
            <v>-649.773355025</v>
          </cell>
          <cell r="AC19">
            <v>-592.4478031750001</v>
          </cell>
          <cell r="AD19">
            <v>-892.68685237499994</v>
          </cell>
          <cell r="AE19">
            <v>-917.9473001749999</v>
          </cell>
          <cell r="AF19">
            <v>-798.05999137499998</v>
          </cell>
          <cell r="AG19">
            <v>-921.72499307500016</v>
          </cell>
          <cell r="AH19">
            <v>-873.65761867500009</v>
          </cell>
          <cell r="AI19">
            <v>-987.76449937500013</v>
          </cell>
          <cell r="AJ19">
            <v>-887.75891657500006</v>
          </cell>
          <cell r="AK19">
            <v>-774.33210917500014</v>
          </cell>
          <cell r="AL19">
            <v>-1011.3431942750002</v>
          </cell>
          <cell r="AM19">
            <v>-1081.7059645750001</v>
          </cell>
          <cell r="AN19">
            <v>-1181.628956475</v>
          </cell>
          <cell r="AO19">
            <v>-889.18004376499982</v>
          </cell>
          <cell r="AP19">
            <v>-927.56514726499995</v>
          </cell>
          <cell r="AQ19">
            <v>-1243.5649835649997</v>
          </cell>
          <cell r="AR19">
            <v>-1515.4003671850001</v>
          </cell>
          <cell r="AS19">
            <v>-1007.8595710018709</v>
          </cell>
          <cell r="AT19">
            <v>-986.76880056528751</v>
          </cell>
          <cell r="AU19">
            <v>-1266.4633443688733</v>
          </cell>
          <cell r="AV19">
            <v>-1390.207349066126</v>
          </cell>
          <cell r="AW19">
            <v>-1291.9535300232678</v>
          </cell>
          <cell r="AX19">
            <v>-1351.208912801518</v>
          </cell>
          <cell r="AY19">
            <v>-1601.5083482635048</v>
          </cell>
          <cell r="AZ19">
            <v>-1738.9465664145866</v>
          </cell>
          <cell r="BA19">
            <v>-1714.3767023172138</v>
          </cell>
          <cell r="BB19">
            <v>-1762.9379147264508</v>
          </cell>
        </row>
        <row r="20">
          <cell r="B20" t="str">
            <v>EBITDA</v>
          </cell>
          <cell r="C20" t="str">
            <v>EBITDA_CALC</v>
          </cell>
          <cell r="D20" t="str">
            <v>CNY</v>
          </cell>
          <cell r="F20">
            <v>229.98862030000004</v>
          </cell>
          <cell r="G20">
            <v>420.66236649999996</v>
          </cell>
          <cell r="H20">
            <v>781.70434250000005</v>
          </cell>
          <cell r="I20">
            <v>1035.1330535000002</v>
          </cell>
          <cell r="J20">
            <v>1597.2730671999998</v>
          </cell>
          <cell r="K20">
            <v>2333.5838271999996</v>
          </cell>
          <cell r="L20">
            <v>2561.2085136000001</v>
          </cell>
          <cell r="M20">
            <v>3071.4607108</v>
          </cell>
          <cell r="N20">
            <v>4722.8197559</v>
          </cell>
          <cell r="O20">
            <v>4315.3640008999992</v>
          </cell>
          <cell r="P20">
            <v>2884.3033371399988</v>
          </cell>
          <cell r="Q20">
            <v>3122.7198782714468</v>
          </cell>
          <cell r="R20">
            <v>3887.7231307385018</v>
          </cell>
          <cell r="S20">
            <v>4867.1350018296316</v>
          </cell>
          <cell r="T20">
            <v>9421.1327293844479</v>
          </cell>
          <cell r="U20">
            <v>405.15900819999996</v>
          </cell>
          <cell r="V20">
            <v>656.33890610000014</v>
          </cell>
          <cell r="W20">
            <v>645.33228409999992</v>
          </cell>
          <cell r="X20">
            <v>626.7536288</v>
          </cell>
          <cell r="Y20">
            <v>511.52383247500006</v>
          </cell>
          <cell r="Z20">
            <v>799.04822627500005</v>
          </cell>
          <cell r="AA20">
            <v>643.67726837500004</v>
          </cell>
          <cell r="AB20">
            <v>606.95918647500002</v>
          </cell>
          <cell r="AC20">
            <v>585.73540762499977</v>
          </cell>
          <cell r="AD20">
            <v>707.49563052500025</v>
          </cell>
          <cell r="AE20">
            <v>789.45013762500014</v>
          </cell>
          <cell r="AF20">
            <v>988.77953512499994</v>
          </cell>
          <cell r="AG20">
            <v>1068.2098913249999</v>
          </cell>
          <cell r="AH20">
            <v>1203.0231798249999</v>
          </cell>
          <cell r="AI20">
            <v>1228.1401286249998</v>
          </cell>
          <cell r="AJ20">
            <v>1223.4465561249999</v>
          </cell>
          <cell r="AK20">
            <v>1170.5813855249999</v>
          </cell>
          <cell r="AL20">
            <v>1216.9391955249998</v>
          </cell>
          <cell r="AM20">
            <v>1138.4184561249999</v>
          </cell>
          <cell r="AN20">
            <v>789.42496382499985</v>
          </cell>
          <cell r="AO20">
            <v>839.82776773500007</v>
          </cell>
          <cell r="AP20">
            <v>731.07057643500002</v>
          </cell>
          <cell r="AQ20">
            <v>700.98045463500034</v>
          </cell>
          <cell r="AR20">
            <v>612.42453833499985</v>
          </cell>
          <cell r="AS20">
            <v>673.73194985812904</v>
          </cell>
          <cell r="AT20">
            <v>726.01279691101661</v>
          </cell>
          <cell r="AU20">
            <v>839.20042027706518</v>
          </cell>
          <cell r="AV20">
            <v>883.77471122523502</v>
          </cell>
          <cell r="AW20">
            <v>835.53431158073681</v>
          </cell>
          <cell r="AX20">
            <v>907.05899920427305</v>
          </cell>
          <cell r="AY20">
            <v>1037.4406830672958</v>
          </cell>
          <cell r="AZ20">
            <v>1107.689136886195</v>
          </cell>
          <cell r="BA20">
            <v>1088.7414331775647</v>
          </cell>
          <cell r="BB20">
            <v>1155.1449819022446</v>
          </cell>
        </row>
        <row r="21">
          <cell r="B21" t="str">
            <v>Depreciation</v>
          </cell>
          <cell r="C21" t="str">
            <v>DEPREC</v>
          </cell>
          <cell r="D21" t="str">
            <v>CNY</v>
          </cell>
          <cell r="F21">
            <v>-65.989879399999992</v>
          </cell>
          <cell r="G21">
            <v>-90.647748000000007</v>
          </cell>
          <cell r="H21">
            <v>-214.6585279</v>
          </cell>
          <cell r="I21">
            <v>-374.43535070000001</v>
          </cell>
          <cell r="J21">
            <v>-574.58757960000003</v>
          </cell>
          <cell r="K21">
            <v>-701.47277570000006</v>
          </cell>
          <cell r="L21">
            <v>-707.01621510000007</v>
          </cell>
          <cell r="M21">
            <v>-919.79865400000006</v>
          </cell>
          <cell r="N21">
            <v>-1064.066955</v>
          </cell>
          <cell r="O21">
            <v>-1223.3037019999999</v>
          </cell>
          <cell r="P21">
            <v>-1335.5023947300001</v>
          </cell>
          <cell r="Q21">
            <v>-1388.3751145291799</v>
          </cell>
          <cell r="R21">
            <v>-1466.2356787450706</v>
          </cell>
          <cell r="S21">
            <v>-1575.3158299711758</v>
          </cell>
          <cell r="T21">
            <v>-3843.5774782304802</v>
          </cell>
          <cell r="U21">
            <v>-175.36819392500001</v>
          </cell>
          <cell r="V21">
            <v>-175.36819392500001</v>
          </cell>
          <cell r="W21">
            <v>-175.36819392500001</v>
          </cell>
          <cell r="X21">
            <v>-175.36819392500001</v>
          </cell>
          <cell r="Y21">
            <v>-176.75405377500002</v>
          </cell>
          <cell r="Z21">
            <v>-176.75405377500002</v>
          </cell>
          <cell r="AA21">
            <v>-176.75405377500002</v>
          </cell>
          <cell r="AB21">
            <v>-176.75405377500002</v>
          </cell>
          <cell r="AC21">
            <v>-229.94966350000001</v>
          </cell>
          <cell r="AD21">
            <v>-229.94966350000001</v>
          </cell>
          <cell r="AE21">
            <v>-229.94966350000001</v>
          </cell>
          <cell r="AF21">
            <v>-229.94966350000001</v>
          </cell>
          <cell r="AG21">
            <v>-266.01673875</v>
          </cell>
          <cell r="AH21">
            <v>-266.01673875</v>
          </cell>
          <cell r="AI21">
            <v>-266.01673875</v>
          </cell>
          <cell r="AJ21">
            <v>-266.01673875</v>
          </cell>
          <cell r="AK21">
            <v>-305.82592549999998</v>
          </cell>
          <cell r="AL21">
            <v>-305.82592549999998</v>
          </cell>
          <cell r="AM21">
            <v>-305.82592549999998</v>
          </cell>
          <cell r="AN21">
            <v>-305.82592549999998</v>
          </cell>
          <cell r="AO21">
            <v>-333.87559868250003</v>
          </cell>
          <cell r="AP21">
            <v>-333.87559868250003</v>
          </cell>
          <cell r="AQ21">
            <v>-333.87559868250003</v>
          </cell>
          <cell r="AR21">
            <v>-333.87559868250003</v>
          </cell>
          <cell r="AS21">
            <v>-347.09377863229497</v>
          </cell>
          <cell r="AT21">
            <v>-347.09377863229497</v>
          </cell>
          <cell r="AU21">
            <v>-347.09377863229497</v>
          </cell>
          <cell r="AV21">
            <v>-347.09377863229497</v>
          </cell>
          <cell r="AW21">
            <v>-366.55891968626764</v>
          </cell>
          <cell r="AX21">
            <v>-366.55891968626764</v>
          </cell>
          <cell r="AY21">
            <v>-366.55891968626764</v>
          </cell>
          <cell r="AZ21">
            <v>-366.55891968626764</v>
          </cell>
          <cell r="BA21">
            <v>-393.82895749279396</v>
          </cell>
          <cell r="BB21">
            <v>-393.82895749279396</v>
          </cell>
        </row>
        <row r="22">
          <cell r="B22" t="str">
            <v>Amortization</v>
          </cell>
          <cell r="C22" t="str">
            <v>GOODWILL_AMORT</v>
          </cell>
          <cell r="D22" t="str">
            <v>CNY</v>
          </cell>
          <cell r="F22">
            <v>-0.92314839999999998</v>
          </cell>
          <cell r="G22">
            <v>-9.0537478</v>
          </cell>
          <cell r="H22">
            <v>-15.746947499999999</v>
          </cell>
          <cell r="I22">
            <v>-32.903334600000001</v>
          </cell>
          <cell r="J22">
            <v>-52.266316200000006</v>
          </cell>
          <cell r="K22">
            <v>-80.830794699999998</v>
          </cell>
          <cell r="L22">
            <v>-102.2954412</v>
          </cell>
          <cell r="M22">
            <v>-124.29214570000001</v>
          </cell>
          <cell r="N22">
            <v>-175.22636309999999</v>
          </cell>
          <cell r="O22">
            <v>-215.8450325</v>
          </cell>
          <cell r="P22">
            <v>-274.88015661000003</v>
          </cell>
          <cell r="Q22">
            <v>-317.47650778333588</v>
          </cell>
          <cell r="R22">
            <v>-313.24045002636637</v>
          </cell>
          <cell r="S22">
            <v>-309.39771510212154</v>
          </cell>
          <cell r="T22">
            <v>-392.68339939637758</v>
          </cell>
          <cell r="U22">
            <v>-20.207698675</v>
          </cell>
          <cell r="V22">
            <v>-20.207698675</v>
          </cell>
          <cell r="W22">
            <v>-20.207698675</v>
          </cell>
          <cell r="X22">
            <v>-20.207698675</v>
          </cell>
          <cell r="Y22">
            <v>-25.5738603</v>
          </cell>
          <cell r="Z22">
            <v>-25.5738603</v>
          </cell>
          <cell r="AA22">
            <v>-25.5738603</v>
          </cell>
          <cell r="AB22">
            <v>-25.5738603</v>
          </cell>
          <cell r="AC22">
            <v>-31.073036425000002</v>
          </cell>
          <cell r="AD22">
            <v>-31.073036425000002</v>
          </cell>
          <cell r="AE22">
            <v>-31.073036425000002</v>
          </cell>
          <cell r="AF22">
            <v>-31.073036425000002</v>
          </cell>
          <cell r="AG22">
            <v>-43.806590774999997</v>
          </cell>
          <cell r="AH22">
            <v>-43.806590774999997</v>
          </cell>
          <cell r="AI22">
            <v>-43.806590774999997</v>
          </cell>
          <cell r="AJ22">
            <v>-43.806590774999997</v>
          </cell>
          <cell r="AK22">
            <v>-53.961258125000001</v>
          </cell>
          <cell r="AL22">
            <v>-53.961258125000001</v>
          </cell>
          <cell r="AM22">
            <v>-53.961258125000001</v>
          </cell>
          <cell r="AN22">
            <v>-53.961258125000001</v>
          </cell>
          <cell r="AO22">
            <v>-68.720039152500007</v>
          </cell>
          <cell r="AP22">
            <v>-68.720039152500007</v>
          </cell>
          <cell r="AQ22">
            <v>-68.720039152500007</v>
          </cell>
          <cell r="AR22">
            <v>-68.720039152500007</v>
          </cell>
          <cell r="AS22">
            <v>-79.369126945833969</v>
          </cell>
          <cell r="AT22">
            <v>-79.369126945833969</v>
          </cell>
          <cell r="AU22">
            <v>-79.369126945833969</v>
          </cell>
          <cell r="AV22">
            <v>-79.369126945833969</v>
          </cell>
          <cell r="AW22">
            <v>-78.310112506591594</v>
          </cell>
          <cell r="AX22">
            <v>-78.310112506591594</v>
          </cell>
          <cell r="AY22">
            <v>-78.310112506591594</v>
          </cell>
          <cell r="AZ22">
            <v>-78.310112506591594</v>
          </cell>
          <cell r="BA22">
            <v>-77.349428775530384</v>
          </cell>
          <cell r="BB22">
            <v>-77.349428775530384</v>
          </cell>
        </row>
        <row r="23">
          <cell r="B23" t="str">
            <v>EBIT, operating profit</v>
          </cell>
          <cell r="C23" t="str">
            <v>EBIT</v>
          </cell>
          <cell r="D23" t="str">
            <v>CNY</v>
          </cell>
          <cell r="F23">
            <v>163.07559250000003</v>
          </cell>
          <cell r="G23">
            <v>320.96087069999999</v>
          </cell>
          <cell r="H23">
            <v>551.29886710000005</v>
          </cell>
          <cell r="I23">
            <v>627.79436820000012</v>
          </cell>
          <cell r="J23">
            <v>970.41917139999975</v>
          </cell>
          <cell r="K23">
            <v>1551.2802567999995</v>
          </cell>
          <cell r="L23">
            <v>1751.8968573000002</v>
          </cell>
          <cell r="M23">
            <v>2027.3699110999999</v>
          </cell>
          <cell r="N23">
            <v>3483.5264377999997</v>
          </cell>
          <cell r="O23">
            <v>2876.2152663999991</v>
          </cell>
          <cell r="P23">
            <v>1273.9207857999986</v>
          </cell>
          <cell r="Q23">
            <v>1416.8682559589311</v>
          </cell>
          <cell r="R23">
            <v>2108.2470019670645</v>
          </cell>
          <cell r="S23">
            <v>2982.421456756334</v>
          </cell>
          <cell r="T23">
            <v>5184.8718517575908</v>
          </cell>
          <cell r="U23">
            <v>209.58311559999996</v>
          </cell>
          <cell r="V23">
            <v>460.76301350000011</v>
          </cell>
          <cell r="W23">
            <v>449.75639149999989</v>
          </cell>
          <cell r="X23">
            <v>431.17773619999997</v>
          </cell>
          <cell r="Y23">
            <v>309.1959184000001</v>
          </cell>
          <cell r="Z23">
            <v>596.72031220000008</v>
          </cell>
          <cell r="AA23">
            <v>441.34935430000007</v>
          </cell>
          <cell r="AB23">
            <v>404.63127240000006</v>
          </cell>
          <cell r="AC23">
            <v>324.71270769999973</v>
          </cell>
          <cell r="AD23">
            <v>446.47293060000021</v>
          </cell>
          <cell r="AE23">
            <v>528.42743770000004</v>
          </cell>
          <cell r="AF23">
            <v>727.75683519999984</v>
          </cell>
          <cell r="AG23">
            <v>758.38656179999987</v>
          </cell>
          <cell r="AH23">
            <v>893.19985029999987</v>
          </cell>
          <cell r="AI23">
            <v>918.31679909999968</v>
          </cell>
          <cell r="AJ23">
            <v>913.62322659999984</v>
          </cell>
          <cell r="AK23">
            <v>810.79420189999985</v>
          </cell>
          <cell r="AL23">
            <v>857.15201189999982</v>
          </cell>
          <cell r="AM23">
            <v>778.63127249999991</v>
          </cell>
          <cell r="AN23">
            <v>429.63778019999984</v>
          </cell>
          <cell r="AO23">
            <v>437.23212990000002</v>
          </cell>
          <cell r="AP23">
            <v>328.47493859999997</v>
          </cell>
          <cell r="AQ23">
            <v>298.38481680000029</v>
          </cell>
          <cell r="AR23">
            <v>209.8289004999998</v>
          </cell>
          <cell r="AS23">
            <v>247.26904428000012</v>
          </cell>
          <cell r="AT23">
            <v>299.54989133288768</v>
          </cell>
          <cell r="AU23">
            <v>412.73751469893625</v>
          </cell>
          <cell r="AV23">
            <v>457.3118056471061</v>
          </cell>
          <cell r="AW23">
            <v>390.6652793878776</v>
          </cell>
          <cell r="AX23">
            <v>462.18996701141373</v>
          </cell>
          <cell r="AY23">
            <v>592.5716508744365</v>
          </cell>
          <cell r="AZ23">
            <v>662.82010469333568</v>
          </cell>
          <cell r="BA23">
            <v>617.56304690924026</v>
          </cell>
          <cell r="BB23">
            <v>683.96659563392018</v>
          </cell>
        </row>
        <row r="24">
          <cell r="B24" t="str">
            <v>Interest income</v>
          </cell>
          <cell r="C24" t="str">
            <v>INT_INC_IND</v>
          </cell>
          <cell r="D24" t="str">
            <v>CNY</v>
          </cell>
          <cell r="F24">
            <v>0.43054172999999996</v>
          </cell>
          <cell r="G24">
            <v>10.55485831</v>
          </cell>
          <cell r="H24">
            <v>10.70188405</v>
          </cell>
          <cell r="I24">
            <v>23.052956590000001</v>
          </cell>
          <cell r="J24">
            <v>24.194701429999999</v>
          </cell>
          <cell r="K24">
            <v>60.066253279999998</v>
          </cell>
          <cell r="L24">
            <v>60.575701630000005</v>
          </cell>
          <cell r="M24">
            <v>88.308001629999993</v>
          </cell>
          <cell r="N24">
            <v>50.100612299999995</v>
          </cell>
          <cell r="O24">
            <v>46.735041200000005</v>
          </cell>
          <cell r="P24">
            <v>43.291546060000002</v>
          </cell>
          <cell r="Q24">
            <v>69.5495452782</v>
          </cell>
          <cell r="R24">
            <v>75.617105890194566</v>
          </cell>
          <cell r="S24">
            <v>74.48995794180567</v>
          </cell>
          <cell r="T24">
            <v>66.541425875716385</v>
          </cell>
          <cell r="U24">
            <v>10.111515404999999</v>
          </cell>
          <cell r="V24">
            <v>10.111515404999999</v>
          </cell>
          <cell r="W24">
            <v>19.921611235</v>
          </cell>
          <cell r="X24">
            <v>19.921611235</v>
          </cell>
          <cell r="Y24">
            <v>6.6627877350000002</v>
          </cell>
          <cell r="Z24">
            <v>6.6627877350000002</v>
          </cell>
          <cell r="AA24">
            <v>23.62506308</v>
          </cell>
          <cell r="AB24">
            <v>23.625063080000004</v>
          </cell>
          <cell r="AC24">
            <v>25.681294304999998</v>
          </cell>
          <cell r="AD24">
            <v>25.681294304999998</v>
          </cell>
          <cell r="AE24">
            <v>18.472706509999998</v>
          </cell>
          <cell r="AF24">
            <v>18.472706509999998</v>
          </cell>
          <cell r="AG24">
            <v>16.73899205</v>
          </cell>
          <cell r="AH24">
            <v>16.73899205</v>
          </cell>
          <cell r="AI24">
            <v>9.6687265999999994</v>
          </cell>
          <cell r="AJ24">
            <v>6.9539016</v>
          </cell>
          <cell r="AK24">
            <v>12.373345199999999</v>
          </cell>
          <cell r="AL24">
            <v>11.1269484</v>
          </cell>
          <cell r="AM24">
            <v>9.4387387</v>
          </cell>
          <cell r="AN24">
            <v>13.7960089</v>
          </cell>
          <cell r="AO24">
            <v>12.644854199999999</v>
          </cell>
          <cell r="AP24">
            <v>15.028559599999999</v>
          </cell>
          <cell r="AQ24">
            <v>10.1087585</v>
          </cell>
          <cell r="AR24">
            <v>5.5093738399999994</v>
          </cell>
          <cell r="AS24">
            <v>19.07498769</v>
          </cell>
          <cell r="AT24">
            <v>17.38738631955</v>
          </cell>
          <cell r="AU24">
            <v>17.38738631955</v>
          </cell>
          <cell r="AV24">
            <v>15.699784949099993</v>
          </cell>
          <cell r="AW24">
            <v>18.904276472548641</v>
          </cell>
          <cell r="AX24">
            <v>18.904276472548641</v>
          </cell>
          <cell r="AY24">
            <v>18.904276472548641</v>
          </cell>
          <cell r="AZ24">
            <v>18.904276472548641</v>
          </cell>
          <cell r="BA24">
            <v>18.622489485451418</v>
          </cell>
          <cell r="BB24">
            <v>18.622489485451418</v>
          </cell>
        </row>
        <row r="25">
          <cell r="B25" t="str">
            <v>Interest expense</v>
          </cell>
          <cell r="C25" t="str">
            <v>INT_EXP_IND</v>
          </cell>
          <cell r="D25" t="str">
            <v>CNY</v>
          </cell>
          <cell r="F25">
            <v>-12.636381099999999</v>
          </cell>
          <cell r="G25">
            <v>-33.174831910000002</v>
          </cell>
          <cell r="H25">
            <v>-27.828899190000001</v>
          </cell>
          <cell r="I25">
            <v>-117.82846509000001</v>
          </cell>
          <cell r="J25">
            <v>-196.41702599000001</v>
          </cell>
          <cell r="K25">
            <v>-180.48290322999998</v>
          </cell>
          <cell r="L25">
            <v>-83.369135360000001</v>
          </cell>
          <cell r="M25">
            <v>-52.657055060000005</v>
          </cell>
          <cell r="N25">
            <v>-66.234254000000007</v>
          </cell>
          <cell r="O25">
            <v>-106.88215690000001</v>
          </cell>
          <cell r="P25">
            <v>-159.28285736000001</v>
          </cell>
          <cell r="Q25">
            <v>-95.043800000000005</v>
          </cell>
          <cell r="R25">
            <v>-95.043800000000005</v>
          </cell>
          <cell r="S25">
            <v>-95.043800000000005</v>
          </cell>
          <cell r="T25">
            <v>-176.7199638084</v>
          </cell>
          <cell r="U25">
            <v>-42.78233737</v>
          </cell>
          <cell r="V25">
            <v>-42.78233737</v>
          </cell>
          <cell r="W25">
            <v>-47.459114244999995</v>
          </cell>
          <cell r="X25">
            <v>-47.459114244999995</v>
          </cell>
          <cell r="Y25">
            <v>-28.190429465000001</v>
          </cell>
          <cell r="Z25">
            <v>-28.190429465000001</v>
          </cell>
          <cell r="AA25">
            <v>-13.494138215</v>
          </cell>
          <cell r="AB25">
            <v>-13.494138214999992</v>
          </cell>
          <cell r="AC25">
            <v>-13.590041715</v>
          </cell>
          <cell r="AD25">
            <v>-13.590041715</v>
          </cell>
          <cell r="AE25">
            <v>-12.738485815000001</v>
          </cell>
          <cell r="AF25">
            <v>-12.738485815000001</v>
          </cell>
          <cell r="AG25">
            <v>-17.372172225</v>
          </cell>
          <cell r="AH25">
            <v>-17.372172225</v>
          </cell>
          <cell r="AI25">
            <v>-20.742281800000001</v>
          </cell>
          <cell r="AJ25">
            <v>-10.747627699999999</v>
          </cell>
          <cell r="AK25">
            <v>-14.926146699999999</v>
          </cell>
          <cell r="AL25">
            <v>-21.1781121</v>
          </cell>
          <cell r="AM25">
            <v>-23.947139</v>
          </cell>
          <cell r="AN25">
            <v>-46.830759100000002</v>
          </cell>
          <cell r="AO25">
            <v>-47.414031999999999</v>
          </cell>
          <cell r="AP25">
            <v>-47.386902499999998</v>
          </cell>
          <cell r="AQ25">
            <v>-38.8854921</v>
          </cell>
          <cell r="AR25">
            <v>-25.596430719999997</v>
          </cell>
          <cell r="AS25">
            <v>-26.624052450000001</v>
          </cell>
          <cell r="AT25">
            <v>-23.760950000000001</v>
          </cell>
          <cell r="AU25">
            <v>-23.760950000000001</v>
          </cell>
          <cell r="AV25">
            <v>-20.897847549999994</v>
          </cell>
          <cell r="AW25">
            <v>-23.760950000000001</v>
          </cell>
          <cell r="AX25">
            <v>-23.760950000000001</v>
          </cell>
          <cell r="AY25">
            <v>-23.760950000000001</v>
          </cell>
          <cell r="AZ25">
            <v>-23.760950000000001</v>
          </cell>
          <cell r="BA25">
            <v>-23.760950000000001</v>
          </cell>
          <cell r="BB25">
            <v>-23.760950000000001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CNY</v>
          </cell>
          <cell r="F26">
            <v>-12.20583937</v>
          </cell>
          <cell r="G26">
            <v>-22.619973600000002</v>
          </cell>
          <cell r="H26">
            <v>-17.127015140000001</v>
          </cell>
          <cell r="I26">
            <v>-94.775508500000001</v>
          </cell>
          <cell r="J26">
            <v>-172.22232456</v>
          </cell>
          <cell r="K26">
            <v>-120.41664994999998</v>
          </cell>
          <cell r="L26">
            <v>-22.793433729999997</v>
          </cell>
          <cell r="M26">
            <v>35.650946569999988</v>
          </cell>
          <cell r="N26">
            <v>-16.133641700000013</v>
          </cell>
          <cell r="O26">
            <v>-60.147115700000008</v>
          </cell>
          <cell r="P26">
            <v>-115.99131130000001</v>
          </cell>
          <cell r="Q26">
            <v>-25.494254721800004</v>
          </cell>
          <cell r="R26">
            <v>-19.426694109805439</v>
          </cell>
          <cell r="S26">
            <v>-20.553842058194334</v>
          </cell>
          <cell r="T26">
            <v>-110.17853793268361</v>
          </cell>
          <cell r="U26">
            <v>-32.670821965000002</v>
          </cell>
          <cell r="V26">
            <v>-32.670821965000002</v>
          </cell>
          <cell r="W26">
            <v>-27.537503009999995</v>
          </cell>
          <cell r="X26">
            <v>-27.537503009999995</v>
          </cell>
          <cell r="Y26">
            <v>-21.527641729999999</v>
          </cell>
          <cell r="Z26">
            <v>-21.527641729999999</v>
          </cell>
          <cell r="AA26">
            <v>10.130924865000001</v>
          </cell>
          <cell r="AB26">
            <v>10.130924865000011</v>
          </cell>
          <cell r="AC26">
            <v>12.091252589999998</v>
          </cell>
          <cell r="AD26">
            <v>12.091252589999998</v>
          </cell>
          <cell r="AE26">
            <v>5.7342206949999976</v>
          </cell>
          <cell r="AF26">
            <v>5.7342206949999976</v>
          </cell>
          <cell r="AG26">
            <v>-0.63318017499999968</v>
          </cell>
          <cell r="AH26">
            <v>-0.63318017499999968</v>
          </cell>
          <cell r="AI26">
            <v>-11.073555200000001</v>
          </cell>
          <cell r="AJ26">
            <v>-3.7937260999999989</v>
          </cell>
          <cell r="AK26">
            <v>-2.5528014999999993</v>
          </cell>
          <cell r="AL26">
            <v>-10.0511637</v>
          </cell>
          <cell r="AM26">
            <v>-14.5084003</v>
          </cell>
          <cell r="AN26">
            <v>-33.034750200000005</v>
          </cell>
          <cell r="AO26">
            <v>-34.769177800000001</v>
          </cell>
          <cell r="AP26">
            <v>-32.358342899999997</v>
          </cell>
          <cell r="AQ26">
            <v>-28.7767336</v>
          </cell>
          <cell r="AR26">
            <v>-20.087056879999999</v>
          </cell>
          <cell r="AS26">
            <v>-7.5490647600000003</v>
          </cell>
          <cell r="AT26">
            <v>-6.3735636804500011</v>
          </cell>
          <cell r="AU26">
            <v>-6.3735636804500011</v>
          </cell>
          <cell r="AV26">
            <v>-5.1980626009000019</v>
          </cell>
          <cell r="AW26">
            <v>-4.8566735274513597</v>
          </cell>
          <cell r="AX26">
            <v>-4.8566735274513597</v>
          </cell>
          <cell r="AY26">
            <v>-4.8566735274513597</v>
          </cell>
          <cell r="AZ26">
            <v>-4.8566735274513597</v>
          </cell>
          <cell r="BA26">
            <v>-5.1384605145485835</v>
          </cell>
          <cell r="BB26">
            <v>-5.1384605145485835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CNY</v>
          </cell>
          <cell r="F27">
            <v>-6.0003099999999997E-2</v>
          </cell>
          <cell r="G27">
            <v>-1.4458167</v>
          </cell>
          <cell r="H27">
            <v>-0.98084660000000001</v>
          </cell>
          <cell r="I27">
            <v>1.7764107</v>
          </cell>
          <cell r="J27">
            <v>-0.50515600000000005</v>
          </cell>
          <cell r="K27">
            <v>1.5584633999999999</v>
          </cell>
          <cell r="L27">
            <v>3.3589945000000001</v>
          </cell>
          <cell r="M27">
            <v>1.3237926</v>
          </cell>
          <cell r="N27">
            <v>-6.3949099</v>
          </cell>
          <cell r="O27">
            <v>7.0061217000000005</v>
          </cell>
          <cell r="P27">
            <v>9.7118079699999988</v>
          </cell>
          <cell r="Q27">
            <v>-3.7330111499999998</v>
          </cell>
          <cell r="R27">
            <v>0</v>
          </cell>
          <cell r="S27">
            <v>0</v>
          </cell>
          <cell r="T27">
            <v>0</v>
          </cell>
          <cell r="U27">
            <v>-2.7406217000000002</v>
          </cell>
          <cell r="V27">
            <v>0.37791209999999997</v>
          </cell>
          <cell r="W27">
            <v>0.58162980000000009</v>
          </cell>
          <cell r="X27">
            <v>3.3395432999999999</v>
          </cell>
          <cell r="Y27">
            <v>-0.94375319999999996</v>
          </cell>
          <cell r="Z27">
            <v>-0.85154560000000001</v>
          </cell>
          <cell r="AA27">
            <v>0.20392760000000001</v>
          </cell>
          <cell r="AB27">
            <v>4.9503656999999999</v>
          </cell>
          <cell r="AC27">
            <v>-1.0659092999999999</v>
          </cell>
          <cell r="AD27">
            <v>-0.49177909999999997</v>
          </cell>
          <cell r="AE27">
            <v>0.55344159999999998</v>
          </cell>
          <cell r="AF27">
            <v>2.3280393999999998</v>
          </cell>
          <cell r="AG27">
            <v>0.23034770000000002</v>
          </cell>
          <cell r="AH27">
            <v>-1.0467047</v>
          </cell>
          <cell r="AI27">
            <v>-4.3589974000000007</v>
          </cell>
          <cell r="AJ27">
            <v>-1.2195554</v>
          </cell>
          <cell r="AK27">
            <v>-2.8027411</v>
          </cell>
          <cell r="AL27">
            <v>4.6056095999999993</v>
          </cell>
          <cell r="AM27">
            <v>3.5028269999999999</v>
          </cell>
          <cell r="AN27">
            <v>1.7004261000000001</v>
          </cell>
          <cell r="AO27">
            <v>-4.3416898000000002</v>
          </cell>
          <cell r="AP27">
            <v>3.5455396000000001</v>
          </cell>
          <cell r="AQ27">
            <v>1.8741376999999999</v>
          </cell>
          <cell r="AR27">
            <v>8.6338204699999999</v>
          </cell>
          <cell r="AS27">
            <v>-3.7330111499999998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-0.168297</v>
          </cell>
          <cell r="N28">
            <v>-2.8144782000000004</v>
          </cell>
          <cell r="O28">
            <v>1.3782732</v>
          </cell>
          <cell r="P28">
            <v>1.0962039000000001</v>
          </cell>
          <cell r="Q28">
            <v>1.010227E-2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-0.168297</v>
          </cell>
          <cell r="AG28">
            <v>-6.7568299999999998E-2</v>
          </cell>
          <cell r="AH28">
            <v>-9.5662148000000009</v>
          </cell>
          <cell r="AI28">
            <v>0</v>
          </cell>
          <cell r="AJ28">
            <v>6.8193049000000006</v>
          </cell>
          <cell r="AK28">
            <v>6.8620000000000009E-4</v>
          </cell>
          <cell r="AL28">
            <v>7.6303000000000005E-3</v>
          </cell>
          <cell r="AM28">
            <v>1.3429221</v>
          </cell>
          <cell r="AN28">
            <v>2.7034700000000002E-2</v>
          </cell>
          <cell r="AO28">
            <v>-8.401200000000001E-3</v>
          </cell>
          <cell r="AP28">
            <v>5.1284699999999996E-2</v>
          </cell>
          <cell r="AQ28">
            <v>1.0370123</v>
          </cell>
          <cell r="AR28">
            <v>1.6308099999999999E-2</v>
          </cell>
          <cell r="AS28">
            <v>1.010227E-2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CNY</v>
          </cell>
          <cell r="F29">
            <v>53.871362170000005</v>
          </cell>
          <cell r="G29">
            <v>248.02534249999997</v>
          </cell>
          <cell r="H29">
            <v>833.31713864000017</v>
          </cell>
          <cell r="I29">
            <v>479.76770870000018</v>
          </cell>
          <cell r="J29">
            <v>466.29701936000015</v>
          </cell>
          <cell r="K29">
            <v>396.14970525000001</v>
          </cell>
          <cell r="L29">
            <v>368.03433383000038</v>
          </cell>
          <cell r="M29">
            <v>552.56397392999963</v>
          </cell>
          <cell r="N29">
            <v>396.24456830000065</v>
          </cell>
          <cell r="O29">
            <v>423.25066770000063</v>
          </cell>
          <cell r="P29">
            <v>421.98354114</v>
          </cell>
          <cell r="Q29">
            <v>404.22326120000002</v>
          </cell>
          <cell r="R29">
            <v>392</v>
          </cell>
          <cell r="S29">
            <v>417.6</v>
          </cell>
          <cell r="T29">
            <v>455.79999999999995</v>
          </cell>
          <cell r="U29">
            <v>103.14317396500005</v>
          </cell>
          <cell r="V29">
            <v>91.745516665000011</v>
          </cell>
          <cell r="W29">
            <v>54.214297110000018</v>
          </cell>
          <cell r="X29">
            <v>147.04671750999992</v>
          </cell>
          <cell r="Y29">
            <v>207.34331733000002</v>
          </cell>
          <cell r="Z29">
            <v>81.29139432999996</v>
          </cell>
          <cell r="AA29">
            <v>223.449396635</v>
          </cell>
          <cell r="AB29">
            <v>-144.04977446499981</v>
          </cell>
          <cell r="AC29">
            <v>197.78681911000018</v>
          </cell>
          <cell r="AD29">
            <v>170.75266400999982</v>
          </cell>
          <cell r="AE29">
            <v>125.64352780499974</v>
          </cell>
          <cell r="AF29">
            <v>58.380962905000167</v>
          </cell>
          <cell r="AG29">
            <v>97.877959975000039</v>
          </cell>
          <cell r="AH29">
            <v>145.446507475</v>
          </cell>
          <cell r="AI29">
            <v>162.68063340000037</v>
          </cell>
          <cell r="AJ29">
            <v>-9.7605327999998792</v>
          </cell>
          <cell r="AK29">
            <v>306.60935979999999</v>
          </cell>
          <cell r="AL29">
            <v>91.028057899999993</v>
          </cell>
          <cell r="AM29">
            <v>101.97935299999993</v>
          </cell>
          <cell r="AN29">
            <v>-76.366103099999847</v>
          </cell>
          <cell r="AO29">
            <v>295.74852469999996</v>
          </cell>
          <cell r="AP29">
            <v>29.702195699999976</v>
          </cell>
          <cell r="AQ29">
            <v>53.678640499999823</v>
          </cell>
          <cell r="AR29">
            <v>42.854180240000247</v>
          </cell>
          <cell r="AS29">
            <v>206.22326119999997</v>
          </cell>
          <cell r="AT29">
            <v>66</v>
          </cell>
          <cell r="AU29">
            <v>66</v>
          </cell>
          <cell r="AV29">
            <v>66</v>
          </cell>
          <cell r="AW29">
            <v>98</v>
          </cell>
          <cell r="AX29">
            <v>98</v>
          </cell>
          <cell r="AY29">
            <v>98</v>
          </cell>
          <cell r="AZ29">
            <v>98</v>
          </cell>
          <cell r="BA29">
            <v>90.6</v>
          </cell>
          <cell r="BB29">
            <v>109</v>
          </cell>
        </row>
        <row r="30">
          <cell r="B30" t="str">
            <v>Pre-tax profit</v>
          </cell>
          <cell r="C30" t="str">
            <v>PT_PROF</v>
          </cell>
          <cell r="D30" t="str">
            <v>CNY</v>
          </cell>
          <cell r="F30">
            <v>204.68111220000003</v>
          </cell>
          <cell r="G30">
            <v>544.92042289999995</v>
          </cell>
          <cell r="H30">
            <v>1366.5081440000004</v>
          </cell>
          <cell r="I30">
            <v>1014.5629791000003</v>
          </cell>
          <cell r="J30">
            <v>1263.9887101999998</v>
          </cell>
          <cell r="K30">
            <v>1828.5717754999996</v>
          </cell>
          <cell r="L30">
            <v>2100.4967519000006</v>
          </cell>
          <cell r="M30">
            <v>2616.7403271999992</v>
          </cell>
          <cell r="N30">
            <v>3854.4279763</v>
          </cell>
          <cell r="O30">
            <v>3247.7032132999998</v>
          </cell>
          <cell r="P30">
            <v>1590.7210275099987</v>
          </cell>
          <cell r="Q30">
            <v>1791.8743535571311</v>
          </cell>
          <cell r="R30">
            <v>2480.8203078572592</v>
          </cell>
          <cell r="S30">
            <v>3379.4676146981396</v>
          </cell>
          <cell r="T30">
            <v>5530.4933138249071</v>
          </cell>
          <cell r="U30">
            <v>277.31484590000002</v>
          </cell>
          <cell r="V30">
            <v>520.21562030000007</v>
          </cell>
          <cell r="W30">
            <v>477.01481539999992</v>
          </cell>
          <cell r="X30">
            <v>554.02649399999996</v>
          </cell>
          <cell r="Y30">
            <v>494.06784080000011</v>
          </cell>
          <cell r="Z30">
            <v>655.63251920000005</v>
          </cell>
          <cell r="AA30">
            <v>675.13360340000008</v>
          </cell>
          <cell r="AB30">
            <v>275.66278850000026</v>
          </cell>
          <cell r="AC30">
            <v>533.52487009999993</v>
          </cell>
          <cell r="AD30">
            <v>628.82506810000007</v>
          </cell>
          <cell r="AE30">
            <v>660.35862779999979</v>
          </cell>
          <cell r="AF30">
            <v>794.03176119999989</v>
          </cell>
          <cell r="AG30">
            <v>855.79412100000002</v>
          </cell>
          <cell r="AH30">
            <v>1027.4002581</v>
          </cell>
          <cell r="AI30">
            <v>1065.5648799000001</v>
          </cell>
          <cell r="AJ30">
            <v>905.66871720000006</v>
          </cell>
          <cell r="AK30">
            <v>1112.0487052999997</v>
          </cell>
          <cell r="AL30">
            <v>942.74214599999982</v>
          </cell>
          <cell r="AM30">
            <v>870.94797429999994</v>
          </cell>
          <cell r="AN30">
            <v>321.96438769999997</v>
          </cell>
          <cell r="AO30">
            <v>693.86138579999999</v>
          </cell>
          <cell r="AP30">
            <v>329.41561569999988</v>
          </cell>
          <cell r="AQ30">
            <v>326.19787370000012</v>
          </cell>
          <cell r="AR30">
            <v>241.24615243000005</v>
          </cell>
          <cell r="AS30">
            <v>442.22033184000009</v>
          </cell>
          <cell r="AT30">
            <v>359.17632765243769</v>
          </cell>
          <cell r="AU30">
            <v>472.36395101848626</v>
          </cell>
          <cell r="AV30">
            <v>518.11374304620608</v>
          </cell>
          <cell r="AW30">
            <v>483.80860586042627</v>
          </cell>
          <cell r="AX30">
            <v>555.33329348396239</v>
          </cell>
          <cell r="AY30">
            <v>685.71497734698517</v>
          </cell>
          <cell r="AZ30">
            <v>755.96343116588434</v>
          </cell>
          <cell r="BA30">
            <v>703.02458639469171</v>
          </cell>
          <cell r="BB30">
            <v>787.82813511937161</v>
          </cell>
        </row>
        <row r="31">
          <cell r="A31" t="str">
            <v>Additional Income Statement Items</v>
          </cell>
          <cell r="B31"/>
          <cell r="C31"/>
          <cell r="D31"/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CNY</v>
          </cell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</row>
        <row r="33">
          <cell r="B33" t="str">
            <v>Operating lease cost</v>
          </cell>
          <cell r="C33" t="str">
            <v>LEASE_PAY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CNY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CNY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</row>
        <row r="36">
          <cell r="B36" t="str">
            <v>Gross interest charge</v>
          </cell>
          <cell r="C36" t="str">
            <v>NET_INT_CH</v>
          </cell>
          <cell r="D36" t="str">
            <v>CNY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</row>
        <row r="37">
          <cell r="B37" t="str">
            <v>Income from associates (operating)</v>
          </cell>
          <cell r="C37" t="str">
            <v>ASSOCIATE_OP</v>
          </cell>
          <cell r="D37" t="str">
            <v>CNY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</row>
        <row r="38">
          <cell r="B38" t="str">
            <v>Depreciation ROU assets   (applicable to IFRS cos.)</v>
          </cell>
          <cell r="C38" t="str">
            <v>DEPR_ROU_ASSETS</v>
          </cell>
          <cell r="D38" t="str">
            <v>CNY</v>
          </cell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</row>
        <row r="39">
          <cell r="B39" t="str">
            <v>Lease interest charge  (applicable to IFRS cos.)</v>
          </cell>
          <cell r="C39" t="str">
            <v>LEASE_INT_CHG</v>
          </cell>
          <cell r="D39" t="str">
            <v>CNY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</row>
        <row r="40">
          <cell r="B40" t="str">
            <v>Lease standard adopted (US GAAP ASC 842/ IFRS 16)</v>
          </cell>
          <cell r="C40" t="str">
            <v>LEASE_ADOPT</v>
          </cell>
          <cell r="E40" t="str">
            <v>N</v>
          </cell>
        </row>
        <row r="41">
          <cell r="A41" t="str">
            <v>Balance Sheet</v>
          </cell>
          <cell r="B41"/>
          <cell r="C41"/>
          <cell r="D41"/>
        </row>
        <row r="42">
          <cell r="B42" t="str">
            <v>Cash &amp; cash equivalents</v>
          </cell>
          <cell r="C42" t="str">
            <v>CASH_EQ</v>
          </cell>
          <cell r="D42" t="str">
            <v>CNY</v>
          </cell>
          <cell r="F42">
            <v>1018.1271896000001</v>
          </cell>
          <cell r="G42">
            <v>1904.4646859000002</v>
          </cell>
          <cell r="H42">
            <v>1454.0691388</v>
          </cell>
          <cell r="I42">
            <v>1496.8661672000001</v>
          </cell>
          <cell r="J42">
            <v>853.65839449999999</v>
          </cell>
          <cell r="K42">
            <v>3481.2477284000001</v>
          </cell>
          <cell r="L42">
            <v>5218.4520308000001</v>
          </cell>
          <cell r="M42">
            <v>6049.4151142999999</v>
          </cell>
          <cell r="N42">
            <v>4739.8487219999997</v>
          </cell>
          <cell r="O42">
            <v>4405.9277604999997</v>
          </cell>
          <cell r="P42">
            <v>2318.3181759399999</v>
          </cell>
          <cell r="Q42">
            <v>2520.5701963398192</v>
          </cell>
          <cell r="R42">
            <v>2482.9985980601891</v>
          </cell>
          <cell r="S42">
            <v>2971.2976647336254</v>
          </cell>
          <cell r="T42">
            <v>2644.2991580871235</v>
          </cell>
          <cell r="U42">
            <v>4044.7028497017104</v>
          </cell>
          <cell r="V42">
            <v>2722.8243336618657</v>
          </cell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</row>
        <row r="43">
          <cell r="B43" t="str">
            <v>Accounts receivable</v>
          </cell>
          <cell r="C43" t="str">
            <v>DEBTORS</v>
          </cell>
          <cell r="D43" t="str">
            <v>CNY</v>
          </cell>
          <cell r="F43">
            <v>152.65131639999998</v>
          </cell>
          <cell r="G43">
            <v>248.50417640000001</v>
          </cell>
          <cell r="H43">
            <v>479.05590459999996</v>
          </cell>
          <cell r="I43">
            <v>1526.5707795999999</v>
          </cell>
          <cell r="J43">
            <v>1866.5362138999999</v>
          </cell>
          <cell r="K43">
            <v>3230.7358491000005</v>
          </cell>
          <cell r="L43">
            <v>2556.7864291000005</v>
          </cell>
          <cell r="M43">
            <v>3282.1536938000004</v>
          </cell>
          <cell r="N43">
            <v>3872.0944778000003</v>
          </cell>
          <cell r="O43">
            <v>5099.3419817100003</v>
          </cell>
          <cell r="P43">
            <v>3938.46034117</v>
          </cell>
          <cell r="Q43">
            <v>4581.012473376416</v>
          </cell>
          <cell r="R43">
            <v>5695.9995417789914</v>
          </cell>
          <cell r="S43">
            <v>6011.2082450217031</v>
          </cell>
          <cell r="T43">
            <v>8740.081535137735</v>
          </cell>
          <cell r="U43">
            <v>7246.221921881508</v>
          </cell>
          <cell r="V43">
            <v>10651.111273458562</v>
          </cell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</row>
        <row r="44">
          <cell r="B44" t="str">
            <v>Inventory</v>
          </cell>
          <cell r="C44" t="str">
            <v>STOCKS</v>
          </cell>
          <cell r="D44" t="str">
            <v>CNY</v>
          </cell>
          <cell r="F44">
            <v>82.410512699999998</v>
          </cell>
          <cell r="G44">
            <v>310.19880469999998</v>
          </cell>
          <cell r="H44">
            <v>917.80179470000007</v>
          </cell>
          <cell r="I44">
            <v>926.57770649999998</v>
          </cell>
          <cell r="J44">
            <v>1148.4071663</v>
          </cell>
          <cell r="K44">
            <v>1073.8458893</v>
          </cell>
          <cell r="L44">
            <v>1209.2315375000001</v>
          </cell>
          <cell r="M44">
            <v>1168.0935830999999</v>
          </cell>
          <cell r="N44">
            <v>1791.4658264000002</v>
          </cell>
          <cell r="O44">
            <v>2679.6049329000002</v>
          </cell>
          <cell r="P44">
            <v>3141.57187836</v>
          </cell>
          <cell r="Q44">
            <v>2963.951350883744</v>
          </cell>
          <cell r="R44">
            <v>4210.2960817334915</v>
          </cell>
          <cell r="S44">
            <v>4299.3629069278504</v>
          </cell>
          <cell r="T44">
            <v>7821.473607645984</v>
          </cell>
          <cell r="U44">
            <v>7322.7557687300387</v>
          </cell>
          <cell r="V44">
            <v>9684.4222571637692</v>
          </cell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</row>
        <row r="45">
          <cell r="B45" t="str">
            <v>Other current assets</v>
          </cell>
          <cell r="C45" t="str">
            <v>OTH_CUR_ASS</v>
          </cell>
          <cell r="D45" t="str">
            <v>CNY</v>
          </cell>
          <cell r="F45">
            <v>47.496466999999939</v>
          </cell>
          <cell r="G45">
            <v>133.87168079999992</v>
          </cell>
          <cell r="H45">
            <v>818.38835569999992</v>
          </cell>
          <cell r="I45">
            <v>818.26953650000087</v>
          </cell>
          <cell r="J45">
            <v>773.89973449999934</v>
          </cell>
          <cell r="K45">
            <v>1338.5760763999997</v>
          </cell>
          <cell r="L45">
            <v>455.21054359999835</v>
          </cell>
          <cell r="M45">
            <v>1144.1307857999982</v>
          </cell>
          <cell r="N45">
            <v>1094.5050477999994</v>
          </cell>
          <cell r="O45">
            <v>950.58596809000119</v>
          </cell>
          <cell r="P45">
            <v>864.77896398999837</v>
          </cell>
          <cell r="Q45">
            <v>864.76886172000195</v>
          </cell>
          <cell r="R45">
            <v>864.76886172000013</v>
          </cell>
          <cell r="S45">
            <v>864.76886172000377</v>
          </cell>
          <cell r="T45">
            <v>1107.349202819998</v>
          </cell>
          <cell r="U45">
            <v>1107.349202819998</v>
          </cell>
          <cell r="V45">
            <v>1107.3492028200089</v>
          </cell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</row>
        <row r="46">
          <cell r="B46" t="str">
            <v>Total current assets</v>
          </cell>
          <cell r="C46" t="str">
            <v>CUR_ASS</v>
          </cell>
          <cell r="D46" t="str">
            <v>CNY</v>
          </cell>
          <cell r="F46">
            <v>1300.6854857000001</v>
          </cell>
          <cell r="G46">
            <v>2597.0393478000001</v>
          </cell>
          <cell r="H46">
            <v>3669.3151938000001</v>
          </cell>
          <cell r="I46">
            <v>4768.2841898000006</v>
          </cell>
          <cell r="J46">
            <v>4642.5015091999994</v>
          </cell>
          <cell r="K46">
            <v>9124.4055432000005</v>
          </cell>
          <cell r="L46">
            <v>9439.6805409999997</v>
          </cell>
          <cell r="M46">
            <v>11643.793177</v>
          </cell>
          <cell r="N46">
            <v>11497.914074</v>
          </cell>
          <cell r="O46">
            <v>13135.4606432</v>
          </cell>
          <cell r="P46">
            <v>10263.129359459999</v>
          </cell>
          <cell r="Q46">
            <v>10930.302882319982</v>
          </cell>
          <cell r="R46">
            <v>13254.063083292673</v>
          </cell>
          <cell r="S46">
            <v>14146.637678403182</v>
          </cell>
          <cell r="T46">
            <v>20313.203503690842</v>
          </cell>
          <cell r="U46">
            <v>19721.029743133255</v>
          </cell>
          <cell r="V46">
            <v>24165.707067104206</v>
          </cell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</row>
        <row r="47">
          <cell r="B47" t="str">
            <v>Gross fixed assets, PP&amp;E</v>
          </cell>
          <cell r="C47" t="str">
            <v>GR_FIX_ASS</v>
          </cell>
          <cell r="D47" t="str">
            <v>CNY</v>
          </cell>
          <cell r="F47">
            <v>695.39178631000004</v>
          </cell>
          <cell r="G47">
            <v>1304.6142585600001</v>
          </cell>
          <cell r="H47">
            <v>3110.4664292000002</v>
          </cell>
          <cell r="I47">
            <v>5362.3337525999996</v>
          </cell>
          <cell r="J47">
            <v>6586.5420709700002</v>
          </cell>
          <cell r="K47">
            <v>6734.0686715800002</v>
          </cell>
          <cell r="L47">
            <v>8264.1524646399994</v>
          </cell>
          <cell r="M47">
            <v>10053.557608589999</v>
          </cell>
          <cell r="N47">
            <v>12835.9053798</v>
          </cell>
          <cell r="O47">
            <v>14606.041464779999</v>
          </cell>
          <cell r="P47">
            <v>16284.819880609999</v>
          </cell>
          <cell r="Q47">
            <v>18192.766232753998</v>
          </cell>
          <cell r="R47">
            <v>20386.904537719598</v>
          </cell>
          <cell r="S47">
            <v>22910.163588430038</v>
          </cell>
          <cell r="T47">
            <v>34231.747765576081</v>
          </cell>
          <cell r="U47">
            <v>39780.521619312691</v>
          </cell>
          <cell r="V47">
            <v>45884.172858422957</v>
          </cell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</row>
        <row r="48">
          <cell r="B48" t="str">
            <v>Accumulated depreciation</v>
          </cell>
          <cell r="C48" t="str">
            <v>ACC_DDA</v>
          </cell>
          <cell r="D48" t="str">
            <v>CNY</v>
          </cell>
          <cell r="F48">
            <v>-311.75366200999997</v>
          </cell>
          <cell r="G48">
            <v>-406.10453116000002</v>
          </cell>
          <cell r="H48">
            <v>-640.54536039999994</v>
          </cell>
          <cell r="I48">
            <v>-958.14815570000007</v>
          </cell>
          <cell r="J48">
            <v>-1518.9227276700001</v>
          </cell>
          <cell r="K48">
            <v>-2053.2687221800002</v>
          </cell>
          <cell r="L48">
            <v>-2753.2196466400001</v>
          </cell>
          <cell r="M48">
            <v>-3619.15290809</v>
          </cell>
          <cell r="N48">
            <v>-4617.3077730000005</v>
          </cell>
          <cell r="O48">
            <v>-5694.1020374799991</v>
          </cell>
          <cell r="P48">
            <v>-7020.0555702799993</v>
          </cell>
          <cell r="Q48">
            <v>-8408.4306848091801</v>
          </cell>
          <cell r="R48">
            <v>-9874.66636355425</v>
          </cell>
          <cell r="S48">
            <v>-11449.982193525426</v>
          </cell>
          <cell r="T48">
            <v>-17656.675463851359</v>
          </cell>
          <cell r="U48">
            <v>-22131.944985317034</v>
          </cell>
          <cell r="V48">
            <v>-27250.032209175773</v>
          </cell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</row>
        <row r="49">
          <cell r="B49" t="str">
            <v>Net PP&amp;E</v>
          </cell>
          <cell r="C49" t="str">
            <v>NET_FIX_ASS</v>
          </cell>
          <cell r="D49" t="str">
            <v>CNY</v>
          </cell>
          <cell r="F49">
            <v>383.63812430000007</v>
          </cell>
          <cell r="G49">
            <v>898.50972739999997</v>
          </cell>
          <cell r="H49">
            <v>2469.9210688000003</v>
          </cell>
          <cell r="I49">
            <v>4404.1855968999998</v>
          </cell>
          <cell r="J49">
            <v>5067.6193432999999</v>
          </cell>
          <cell r="K49">
            <v>4680.7999493999996</v>
          </cell>
          <cell r="L49">
            <v>5510.9328179999993</v>
          </cell>
          <cell r="M49">
            <v>6434.4047004999993</v>
          </cell>
          <cell r="N49">
            <v>8218.5976068</v>
          </cell>
          <cell r="O49">
            <v>8911.9394272999998</v>
          </cell>
          <cell r="P49">
            <v>9264.7643103299997</v>
          </cell>
          <cell r="Q49">
            <v>9784.3355479448182</v>
          </cell>
          <cell r="R49">
            <v>10512.238174165348</v>
          </cell>
          <cell r="S49">
            <v>11460.181394904612</v>
          </cell>
          <cell r="T49">
            <v>16575.072301724722</v>
          </cell>
          <cell r="U49">
            <v>17648.576633995657</v>
          </cell>
          <cell r="V49">
            <v>18634.140649247183</v>
          </cell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</row>
        <row r="50">
          <cell r="B50" t="str">
            <v>Gross intangibles</v>
          </cell>
          <cell r="C50" t="str">
            <v>GR_INTANG</v>
          </cell>
          <cell r="D50" t="str">
            <v>CNY</v>
          </cell>
          <cell r="F50">
            <v>202.87958128</v>
          </cell>
          <cell r="G50">
            <v>416.46928750000001</v>
          </cell>
          <cell r="H50">
            <v>887.64174349999996</v>
          </cell>
          <cell r="I50">
            <v>1254.81108363</v>
          </cell>
          <cell r="J50">
            <v>1243.6656957799999</v>
          </cell>
          <cell r="K50">
            <v>1291.93808762</v>
          </cell>
          <cell r="L50">
            <v>1705.8784468700001</v>
          </cell>
          <cell r="M50">
            <v>2321.6105787799997</v>
          </cell>
          <cell r="N50">
            <v>2682.8569762899997</v>
          </cell>
          <cell r="O50">
            <v>3758.0882627499996</v>
          </cell>
          <cell r="P50">
            <v>4492.0948201699994</v>
          </cell>
          <cell r="Q50">
            <v>4763.9492998699998</v>
          </cell>
          <cell r="R50">
            <v>5035.8037795700002</v>
          </cell>
          <cell r="S50">
            <v>5307.6582592699997</v>
          </cell>
          <cell r="T50">
            <v>6730.4893619100003</v>
          </cell>
          <cell r="U50">
            <v>7159.1299089000004</v>
          </cell>
          <cell r="V50">
            <v>7587.7704558899995</v>
          </cell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</row>
        <row r="51">
          <cell r="B51" t="str">
            <v>Accumulated amortization</v>
          </cell>
          <cell r="C51" t="str">
            <v>ACC_AMORT</v>
          </cell>
          <cell r="D51" t="str">
            <v>CNY</v>
          </cell>
          <cell r="F51">
            <v>-91.560314079999998</v>
          </cell>
          <cell r="G51">
            <v>0</v>
          </cell>
          <cell r="H51">
            <v>-219.34064499999999</v>
          </cell>
          <cell r="I51">
            <v>-262.68452302999998</v>
          </cell>
          <cell r="J51">
            <v>-4.0864501799999999</v>
          </cell>
          <cell r="K51">
            <v>-31.062806920000003</v>
          </cell>
          <cell r="L51">
            <v>-282.01229917000001</v>
          </cell>
          <cell r="M51">
            <v>-407.34684898</v>
          </cell>
          <cell r="N51">
            <v>-580.84649129000002</v>
          </cell>
          <cell r="O51">
            <v>-797.64934904999996</v>
          </cell>
          <cell r="P51">
            <v>-1072.8963613999999</v>
          </cell>
          <cell r="Q51">
            <v>-1390.3728691833358</v>
          </cell>
          <cell r="R51">
            <v>-1703.6133192097022</v>
          </cell>
          <cell r="S51">
            <v>-2013.0110343118238</v>
          </cell>
          <cell r="T51">
            <v>-2574.5475955639704</v>
          </cell>
          <cell r="U51">
            <v>-2970.6581375970932</v>
          </cell>
          <cell r="V51">
            <v>-3369.8691749259278</v>
          </cell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</row>
        <row r="52">
          <cell r="B52" t="str">
            <v>Net intangible assets</v>
          </cell>
          <cell r="C52" t="str">
            <v>NET_INTANG</v>
          </cell>
          <cell r="D52" t="str">
            <v>CNY</v>
          </cell>
          <cell r="F52">
            <v>111.3192672</v>
          </cell>
          <cell r="G52">
            <v>416.46928750000001</v>
          </cell>
          <cell r="H52">
            <v>668.30109849999997</v>
          </cell>
          <cell r="I52">
            <v>992.12656059999995</v>
          </cell>
          <cell r="J52">
            <v>1239.5792455999999</v>
          </cell>
          <cell r="K52">
            <v>1260.8752807000001</v>
          </cell>
          <cell r="L52">
            <v>1423.8661477000001</v>
          </cell>
          <cell r="M52">
            <v>1914.2637297999997</v>
          </cell>
          <cell r="N52">
            <v>2102.0104849999998</v>
          </cell>
          <cell r="O52">
            <v>2960.4389136999998</v>
          </cell>
          <cell r="P52">
            <v>3419.1984587699994</v>
          </cell>
          <cell r="Q52">
            <v>3373.576430686664</v>
          </cell>
          <cell r="R52">
            <v>3332.1904603602979</v>
          </cell>
          <cell r="S52">
            <v>3294.6472249581757</v>
          </cell>
          <cell r="T52">
            <v>4155.9417663460299</v>
          </cell>
          <cell r="U52">
            <v>4188.4717713029077</v>
          </cell>
          <cell r="V52">
            <v>4217.9012809640717</v>
          </cell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</row>
        <row r="53">
          <cell r="B53" t="str">
            <v>Equity method investments</v>
          </cell>
          <cell r="C53" t="str">
            <v>FIX_ASS_INV</v>
          </cell>
          <cell r="D53" t="str">
            <v>CNY</v>
          </cell>
          <cell r="F53">
            <v>9.9399969000000006</v>
          </cell>
          <cell r="G53">
            <v>58.132859000000003</v>
          </cell>
          <cell r="H53">
            <v>106.90735190000001</v>
          </cell>
          <cell r="I53">
            <v>99.267466299999995</v>
          </cell>
          <cell r="J53">
            <v>596.33900110000002</v>
          </cell>
          <cell r="K53">
            <v>79.353639399999963</v>
          </cell>
          <cell r="L53">
            <v>79.249687899999969</v>
          </cell>
          <cell r="M53">
            <v>93.165574700000008</v>
          </cell>
          <cell r="N53">
            <v>116.1744637</v>
          </cell>
          <cell r="O53">
            <v>124.3339912</v>
          </cell>
          <cell r="P53">
            <v>121.03548503</v>
          </cell>
          <cell r="Q53">
            <v>121.03548503</v>
          </cell>
          <cell r="R53">
            <v>121.03548503</v>
          </cell>
          <cell r="S53">
            <v>121.03548503</v>
          </cell>
          <cell r="T53">
            <v>122.33630236</v>
          </cell>
          <cell r="U53">
            <v>122.33630236</v>
          </cell>
          <cell r="V53">
            <v>122.33630236</v>
          </cell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</row>
        <row r="54">
          <cell r="B54" t="str">
            <v>Investments in securities</v>
          </cell>
          <cell r="C54" t="str">
            <v>INV_SECUR</v>
          </cell>
          <cell r="D54" t="str">
            <v>CNY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22.5</v>
          </cell>
          <cell r="K54">
            <v>433.31397989999999</v>
          </cell>
          <cell r="L54">
            <v>189.8105711</v>
          </cell>
          <cell r="M54">
            <v>187.73047119999998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</row>
        <row r="55">
          <cell r="B55" t="str">
            <v>Other long-term assets</v>
          </cell>
          <cell r="C55" t="str">
            <v>OTH_LT_ASS</v>
          </cell>
          <cell r="D55" t="str">
            <v>CNY</v>
          </cell>
          <cell r="F55">
            <v>256.40654899999981</v>
          </cell>
          <cell r="G55">
            <v>2048.4968192000001</v>
          </cell>
          <cell r="H55">
            <v>2495.3279028000002</v>
          </cell>
          <cell r="I55">
            <v>1379.2844723999999</v>
          </cell>
          <cell r="J55">
            <v>1777.5446704999995</v>
          </cell>
          <cell r="K55">
            <v>1437.8833226000002</v>
          </cell>
          <cell r="L55">
            <v>4136.0236617999999</v>
          </cell>
          <cell r="M55">
            <v>3299.8939780999999</v>
          </cell>
          <cell r="N55">
            <v>3301.9633122999985</v>
          </cell>
          <cell r="O55">
            <v>5657.1557163999978</v>
          </cell>
          <cell r="P55">
            <v>6612.4739987199991</v>
          </cell>
          <cell r="Q55">
            <v>6612.4739987199991</v>
          </cell>
          <cell r="R55">
            <v>6612.4739987199991</v>
          </cell>
          <cell r="S55">
            <v>6612.4739987199991</v>
          </cell>
          <cell r="T55">
            <v>6555.0776725899987</v>
          </cell>
          <cell r="U55">
            <v>6555.0776725899987</v>
          </cell>
          <cell r="V55">
            <v>6555.0776725899987</v>
          </cell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</row>
        <row r="56">
          <cell r="B56" t="str">
            <v>Total assets</v>
          </cell>
          <cell r="C56" t="str">
            <v>TOT_ASSET</v>
          </cell>
          <cell r="D56" t="str">
            <v>CNY</v>
          </cell>
          <cell r="F56">
            <v>2061.9894230999998</v>
          </cell>
          <cell r="G56">
            <v>6018.6480408999996</v>
          </cell>
          <cell r="H56">
            <v>9409.7726157999987</v>
          </cell>
          <cell r="I56">
            <v>11643.148286</v>
          </cell>
          <cell r="J56">
            <v>13346.083769639999</v>
          </cell>
          <cell r="K56">
            <v>17016.631715200001</v>
          </cell>
          <cell r="L56">
            <v>20779.5634274</v>
          </cell>
          <cell r="M56">
            <v>23573.251631299998</v>
          </cell>
          <cell r="N56">
            <v>25236.659941869999</v>
          </cell>
          <cell r="O56">
            <v>30789.328691750001</v>
          </cell>
          <cell r="P56">
            <v>29680.601612310002</v>
          </cell>
          <cell r="Q56">
            <v>30821.724344701463</v>
          </cell>
          <cell r="R56">
            <v>33832.001201568317</v>
          </cell>
          <cell r="S56">
            <v>35634.975782015965</v>
          </cell>
          <cell r="T56">
            <v>47721.631546711593</v>
          </cell>
          <cell r="U56">
            <v>48235.492123381817</v>
          </cell>
          <cell r="V56">
            <v>53695.162972265462</v>
          </cell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</row>
        <row r="57">
          <cell r="B57" t="str">
            <v>Accounts payable</v>
          </cell>
          <cell r="C57" t="str">
            <v>ACC_PAY_GQ</v>
          </cell>
          <cell r="D57" t="str">
            <v>CNY</v>
          </cell>
          <cell r="F57">
            <v>95.040574100000001</v>
          </cell>
          <cell r="G57">
            <v>126.04760280000001</v>
          </cell>
          <cell r="H57">
            <v>65.984962000000024</v>
          </cell>
          <cell r="I57">
            <v>361.85293109999998</v>
          </cell>
          <cell r="J57">
            <v>771.3081092000001</v>
          </cell>
          <cell r="K57">
            <v>814.76850539999998</v>
          </cell>
          <cell r="L57">
            <v>673.75236700000005</v>
          </cell>
          <cell r="M57">
            <v>930.82266000000004</v>
          </cell>
          <cell r="N57">
            <v>905.25553329999991</v>
          </cell>
          <cell r="O57">
            <v>1767.264829</v>
          </cell>
          <cell r="P57">
            <v>2535.7010607200004</v>
          </cell>
          <cell r="Q57">
            <v>2043.4413612128078</v>
          </cell>
          <cell r="R57">
            <v>3620.438190853431</v>
          </cell>
          <cell r="S57">
            <v>3470.9442996976873</v>
          </cell>
          <cell r="T57">
            <v>7240.818709093558</v>
          </cell>
          <cell r="U57">
            <v>6010.3819952354615</v>
          </cell>
          <cell r="V57">
            <v>9918.8762966228242</v>
          </cell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</row>
        <row r="58">
          <cell r="B58" t="str">
            <v>Short-term debt</v>
          </cell>
          <cell r="C58" t="str">
            <v>SHORT_T_DEBT</v>
          </cell>
          <cell r="D58" t="str">
            <v>CNY</v>
          </cell>
          <cell r="F58">
            <v>20</v>
          </cell>
          <cell r="G58">
            <v>0</v>
          </cell>
          <cell r="H58">
            <v>427.358</v>
          </cell>
          <cell r="I58">
            <v>1021.35</v>
          </cell>
          <cell r="J58">
            <v>1936.74306</v>
          </cell>
          <cell r="K58">
            <v>1414.0321114999999</v>
          </cell>
          <cell r="L58">
            <v>735.09104000000002</v>
          </cell>
          <cell r="M58">
            <v>657.71180000000004</v>
          </cell>
          <cell r="N58">
            <v>290</v>
          </cell>
          <cell r="O58">
            <v>3158</v>
          </cell>
          <cell r="P58">
            <v>1196.5895262399999</v>
          </cell>
          <cell r="Q58">
            <v>1342</v>
          </cell>
          <cell r="R58">
            <v>1342</v>
          </cell>
          <cell r="S58">
            <v>1342</v>
          </cell>
          <cell r="T58">
            <v>1040.0837301399999</v>
          </cell>
          <cell r="U58">
            <v>1040.0837301399999</v>
          </cell>
          <cell r="V58">
            <v>540.08373013999994</v>
          </cell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</row>
        <row r="59">
          <cell r="B59" t="str">
            <v>Current lease liabilities (op lease: US GAAP)</v>
          </cell>
          <cell r="C59" t="str">
            <v>ST_LEASE_LIAB</v>
          </cell>
          <cell r="D59" t="str">
            <v>CNY</v>
          </cell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</row>
        <row r="60">
          <cell r="B60" t="str">
            <v>Other current liabilities</v>
          </cell>
          <cell r="C60" t="str">
            <v>OTH_CUR_LIABS</v>
          </cell>
          <cell r="D60" t="str">
            <v>CNY</v>
          </cell>
          <cell r="F60">
            <v>1.8842259999999982</v>
          </cell>
          <cell r="G60">
            <v>38.095537799999974</v>
          </cell>
          <cell r="H60">
            <v>8.2010780999999611</v>
          </cell>
          <cell r="I60">
            <v>5.0119151999997484</v>
          </cell>
          <cell r="J60">
            <v>21.366496699999971</v>
          </cell>
          <cell r="K60">
            <v>18.40833769999972</v>
          </cell>
          <cell r="L60">
            <v>548.90054699999996</v>
          </cell>
          <cell r="M60">
            <v>508.81214079999995</v>
          </cell>
          <cell r="N60">
            <v>402.60720689999994</v>
          </cell>
          <cell r="O60">
            <v>495.10298410000087</v>
          </cell>
          <cell r="P60">
            <v>871.25409848999925</v>
          </cell>
          <cell r="Q60">
            <v>871.25409848999925</v>
          </cell>
          <cell r="R60">
            <v>871.25409848999925</v>
          </cell>
          <cell r="S60">
            <v>871.25409848999925</v>
          </cell>
          <cell r="T60">
            <v>1109.3934860500003</v>
          </cell>
          <cell r="U60">
            <v>1109.3934860500003</v>
          </cell>
          <cell r="V60">
            <v>1109.3934860500003</v>
          </cell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</row>
        <row r="61">
          <cell r="B61" t="str">
            <v>Total current liabilities</v>
          </cell>
          <cell r="C61" t="str">
            <v>SHORT_TERM_LIABS</v>
          </cell>
          <cell r="D61" t="str">
            <v>CNY</v>
          </cell>
          <cell r="F61">
            <v>116.9248001</v>
          </cell>
          <cell r="G61">
            <v>164.14314059999998</v>
          </cell>
          <cell r="H61">
            <v>501.54404010000002</v>
          </cell>
          <cell r="I61">
            <v>1388.2148462999999</v>
          </cell>
          <cell r="J61">
            <v>2729.4176659</v>
          </cell>
          <cell r="K61">
            <v>2247.2089545999997</v>
          </cell>
          <cell r="L61">
            <v>1957.743954</v>
          </cell>
          <cell r="M61">
            <v>2097.3466008</v>
          </cell>
          <cell r="N61">
            <v>1597.8627402</v>
          </cell>
          <cell r="O61">
            <v>5420.3678131000006</v>
          </cell>
          <cell r="P61">
            <v>4603.5446854499996</v>
          </cell>
          <cell r="Q61">
            <v>4256.6954597028071</v>
          </cell>
          <cell r="R61">
            <v>5833.6922893434294</v>
          </cell>
          <cell r="S61">
            <v>5684.1983981876856</v>
          </cell>
          <cell r="T61">
            <v>9390.2959252835572</v>
          </cell>
          <cell r="U61">
            <v>8159.8592114254616</v>
          </cell>
          <cell r="V61">
            <v>11568.353512812824</v>
          </cell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</row>
        <row r="62">
          <cell r="B62" t="str">
            <v>Long-term  debt</v>
          </cell>
          <cell r="C62" t="str">
            <v>LT_DEBT</v>
          </cell>
          <cell r="D62" t="str">
            <v>CNY</v>
          </cell>
          <cell r="F62">
            <v>476</v>
          </cell>
          <cell r="G62">
            <v>396.67</v>
          </cell>
          <cell r="H62">
            <v>1457.0764549999999</v>
          </cell>
          <cell r="I62">
            <v>2429.0321115000002</v>
          </cell>
          <cell r="J62">
            <v>2054.9980515000002</v>
          </cell>
          <cell r="K62">
            <v>1947</v>
          </cell>
          <cell r="L62">
            <v>1199.5458799999999</v>
          </cell>
          <cell r="M62">
            <v>946.85154999999997</v>
          </cell>
          <cell r="N62">
            <v>652</v>
          </cell>
          <cell r="O62">
            <v>302</v>
          </cell>
          <cell r="P62">
            <v>120</v>
          </cell>
          <cell r="Q62">
            <v>558.87599999999998</v>
          </cell>
          <cell r="R62">
            <v>558.87599999999998</v>
          </cell>
          <cell r="S62">
            <v>558.87599999999998</v>
          </cell>
          <cell r="T62">
            <v>1905.249</v>
          </cell>
          <cell r="U62">
            <v>1405.249</v>
          </cell>
          <cell r="V62">
            <v>405.24900000000002</v>
          </cell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</row>
        <row r="63">
          <cell r="B63" t="str">
            <v>Non-current lease liabilities (op lease: US GAAP)</v>
          </cell>
          <cell r="C63" t="str">
            <v>LT_LEASE_LIAB</v>
          </cell>
          <cell r="D63" t="str">
            <v>CNY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</row>
        <row r="64">
          <cell r="B64" t="str">
            <v>Other long-term liabilities</v>
          </cell>
          <cell r="C64" t="str">
            <v>OTH_LT_CRED_GQ</v>
          </cell>
          <cell r="D64" t="str">
            <v>CNY</v>
          </cell>
          <cell r="F64">
            <v>8</v>
          </cell>
          <cell r="G64">
            <v>547.37333330000001</v>
          </cell>
          <cell r="H64">
            <v>1544.1051493000004</v>
          </cell>
          <cell r="I64">
            <v>1532.8835445999998</v>
          </cell>
          <cell r="J64">
            <v>1558.693603579999</v>
          </cell>
          <cell r="K64">
            <v>1362.8593759999999</v>
          </cell>
          <cell r="L64">
            <v>1643.571557</v>
          </cell>
          <cell r="M64">
            <v>3093.2409658000001</v>
          </cell>
          <cell r="N64">
            <v>3214.45601842</v>
          </cell>
          <cell r="O64">
            <v>3818.0811313000004</v>
          </cell>
          <cell r="P64">
            <v>3211.7987874099999</v>
          </cell>
          <cell r="Q64">
            <v>3211.7987874099999</v>
          </cell>
          <cell r="R64">
            <v>3211.7987874099999</v>
          </cell>
          <cell r="S64">
            <v>3211.7987874099999</v>
          </cell>
          <cell r="T64">
            <v>3629.7834545100004</v>
          </cell>
          <cell r="U64">
            <v>3629.7834545100004</v>
          </cell>
          <cell r="V64">
            <v>3629.7834545100004</v>
          </cell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</row>
        <row r="65">
          <cell r="B65" t="str">
            <v>Total long-term liabilities</v>
          </cell>
          <cell r="C65" t="str">
            <v>TOT_LT_LIAB</v>
          </cell>
          <cell r="D65" t="str">
            <v>CNY</v>
          </cell>
          <cell r="F65">
            <v>484</v>
          </cell>
          <cell r="G65">
            <v>944.04333330000009</v>
          </cell>
          <cell r="H65">
            <v>3001.1816043000003</v>
          </cell>
          <cell r="I65">
            <v>3961.9156561</v>
          </cell>
          <cell r="J65">
            <v>3613.6916550799992</v>
          </cell>
          <cell r="K65">
            <v>3309.8593759999999</v>
          </cell>
          <cell r="L65">
            <v>2843.1174369999999</v>
          </cell>
          <cell r="M65">
            <v>4040.0925158</v>
          </cell>
          <cell r="N65">
            <v>3866.45601842</v>
          </cell>
          <cell r="O65">
            <v>4120.0811313000004</v>
          </cell>
          <cell r="P65">
            <v>3331.7987874099999</v>
          </cell>
          <cell r="Q65">
            <v>3770.6747874100001</v>
          </cell>
          <cell r="R65">
            <v>3770.6747874100001</v>
          </cell>
          <cell r="S65">
            <v>3770.6747874100001</v>
          </cell>
          <cell r="T65">
            <v>5535.0324545100002</v>
          </cell>
          <cell r="U65">
            <v>5035.0324545100002</v>
          </cell>
          <cell r="V65">
            <v>4035.0324545100002</v>
          </cell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</row>
        <row r="66">
          <cell r="B66" t="str">
            <v>Total liabilities</v>
          </cell>
          <cell r="C66" t="str">
            <v>TOT_LIAB</v>
          </cell>
          <cell r="D66" t="str">
            <v>CNY</v>
          </cell>
          <cell r="F66">
            <v>600.92480009999997</v>
          </cell>
          <cell r="G66">
            <v>1108.1864739</v>
          </cell>
          <cell r="H66">
            <v>3502.7256444000004</v>
          </cell>
          <cell r="I66">
            <v>5350.1305023999994</v>
          </cell>
          <cell r="J66">
            <v>6343.1093209799992</v>
          </cell>
          <cell r="K66">
            <v>5557.0683305999992</v>
          </cell>
          <cell r="L66">
            <v>4800.8613910000004</v>
          </cell>
          <cell r="M66">
            <v>6137.4391166000005</v>
          </cell>
          <cell r="N66">
            <v>5464.3187586200002</v>
          </cell>
          <cell r="O66">
            <v>9540.448944400001</v>
          </cell>
          <cell r="P66">
            <v>7935.3434728599996</v>
          </cell>
          <cell r="Q66">
            <v>8027.3702471128072</v>
          </cell>
          <cell r="R66">
            <v>9604.3670767534295</v>
          </cell>
          <cell r="S66">
            <v>9454.8731855976857</v>
          </cell>
          <cell r="T66">
            <v>14925.328379793558</v>
          </cell>
          <cell r="U66">
            <v>13194.891665935462</v>
          </cell>
          <cell r="V66">
            <v>15603.385967322825</v>
          </cell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</row>
        <row r="67">
          <cell r="B67" t="str">
            <v>Preferred shares</v>
          </cell>
          <cell r="C67" t="str">
            <v>PREF_SH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</row>
        <row r="68">
          <cell r="B68" t="str">
            <v>Total common equity</v>
          </cell>
          <cell r="C68" t="str">
            <v>ORD_SH_FUND</v>
          </cell>
          <cell r="D68" t="str">
            <v>CNY</v>
          </cell>
          <cell r="F68">
            <v>1461.064623</v>
          </cell>
          <cell r="G68">
            <v>4859.9295780000002</v>
          </cell>
          <cell r="H68">
            <v>5664.8266011000014</v>
          </cell>
          <cell r="I68">
            <v>6041.7160295000003</v>
          </cell>
          <cell r="J68">
            <v>6967.5043581999998</v>
          </cell>
          <cell r="K68">
            <v>11319.486268299999</v>
          </cell>
          <cell r="L68">
            <v>15918.5890695</v>
          </cell>
          <cell r="M68">
            <v>17435.812514699996</v>
          </cell>
          <cell r="N68">
            <v>19769.1657452</v>
          </cell>
          <cell r="O68">
            <v>21248.879747299998</v>
          </cell>
          <cell r="P68">
            <v>21745.258139450001</v>
          </cell>
          <cell r="Q68">
            <v>22794.354097588657</v>
          </cell>
          <cell r="R68">
            <v>24227.634124814889</v>
          </cell>
          <cell r="S68">
            <v>26180.102596418285</v>
          </cell>
          <cell r="T68">
            <v>32796.303166918035</v>
          </cell>
          <cell r="U68">
            <v>35040.600457446359</v>
          </cell>
          <cell r="V68">
            <v>38091.777004942633</v>
          </cell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</row>
        <row r="69">
          <cell r="B69" t="str">
            <v>Minority interest</v>
          </cell>
          <cell r="C69" t="str">
            <v>MINORITIES</v>
          </cell>
          <cell r="D69" t="str">
            <v>CNY</v>
          </cell>
          <cell r="F69">
            <v>0</v>
          </cell>
          <cell r="G69">
            <v>50.531989000000003</v>
          </cell>
          <cell r="H69">
            <v>242.22037030000001</v>
          </cell>
          <cell r="I69">
            <v>251.30175409999998</v>
          </cell>
          <cell r="J69">
            <v>35.470090499999998</v>
          </cell>
          <cell r="K69">
            <v>140.0771163</v>
          </cell>
          <cell r="L69">
            <v>60.112966999999998</v>
          </cell>
          <cell r="M69">
            <v>0</v>
          </cell>
          <cell r="N69">
            <v>3.1754380000000002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</row>
        <row r="70">
          <cell r="B70" t="str">
            <v>Total shareholders' equity</v>
          </cell>
          <cell r="C70" t="str">
            <v>EQ</v>
          </cell>
          <cell r="D70" t="str">
            <v>CNY</v>
          </cell>
          <cell r="F70">
            <v>1461.064623</v>
          </cell>
          <cell r="G70">
            <v>4910.4615670000003</v>
          </cell>
          <cell r="H70">
            <v>5907.046971400001</v>
          </cell>
          <cell r="I70">
            <v>6293.0177836000003</v>
          </cell>
          <cell r="J70">
            <v>7002.9744486999998</v>
          </cell>
          <cell r="K70">
            <v>11459.5633846</v>
          </cell>
          <cell r="L70">
            <v>15978.702036499999</v>
          </cell>
          <cell r="M70">
            <v>17435.812514699996</v>
          </cell>
          <cell r="N70">
            <v>19772.341183199998</v>
          </cell>
          <cell r="O70">
            <v>21248.879747299998</v>
          </cell>
          <cell r="P70">
            <v>21745.258139450001</v>
          </cell>
          <cell r="Q70">
            <v>22794.354097588657</v>
          </cell>
          <cell r="R70">
            <v>24227.634124814889</v>
          </cell>
          <cell r="S70">
            <v>26180.102596418285</v>
          </cell>
          <cell r="T70">
            <v>32796.303166918035</v>
          </cell>
          <cell r="U70">
            <v>35040.600457446359</v>
          </cell>
          <cell r="V70">
            <v>38091.777004942633</v>
          </cell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</row>
        <row r="71">
          <cell r="B71" t="str">
            <v>Total liabilities and equity</v>
          </cell>
          <cell r="C71" t="str">
            <v>TOT_LIAB_EQ</v>
          </cell>
          <cell r="D71" t="str">
            <v>CNY</v>
          </cell>
          <cell r="F71">
            <v>2061.9894230999998</v>
          </cell>
          <cell r="G71">
            <v>6018.6480409000005</v>
          </cell>
          <cell r="H71">
            <v>9409.7726158000005</v>
          </cell>
          <cell r="I71">
            <v>11643.148286</v>
          </cell>
          <cell r="J71">
            <v>13346.083769679999</v>
          </cell>
          <cell r="K71">
            <v>17016.631715199997</v>
          </cell>
          <cell r="L71">
            <v>20779.563427499997</v>
          </cell>
          <cell r="M71">
            <v>23573.251631299994</v>
          </cell>
          <cell r="N71">
            <v>25236.659941819998</v>
          </cell>
          <cell r="O71">
            <v>30789.3286917</v>
          </cell>
          <cell r="P71">
            <v>29680.601612310002</v>
          </cell>
          <cell r="Q71">
            <v>30821.724344701463</v>
          </cell>
          <cell r="R71">
            <v>33832.001201568317</v>
          </cell>
          <cell r="S71">
            <v>35634.975782015972</v>
          </cell>
          <cell r="T71">
            <v>47721.631546711593</v>
          </cell>
          <cell r="U71">
            <v>48235.492123381817</v>
          </cell>
          <cell r="V71">
            <v>53695.162972265462</v>
          </cell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</row>
        <row r="72">
          <cell r="A72" t="str">
            <v>Additional Balance Sheet Items</v>
          </cell>
          <cell r="B72"/>
          <cell r="C72"/>
          <cell r="D72"/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</row>
        <row r="73">
          <cell r="B73" t="str">
            <v>Total US$ debt (in US$)</v>
          </cell>
          <cell r="C73" t="str">
            <v>TOT_USD_DEBT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</row>
        <row r="74">
          <cell r="B74" t="str">
            <v>% US$ debt hedged (principal)</v>
          </cell>
          <cell r="C74" t="str">
            <v>TOT_PCT_USD_DEBT_HEDGED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</row>
        <row r="75">
          <cell r="B75" t="str">
            <v>% Floating debt (local currency debt)</v>
          </cell>
          <cell r="C75" t="str">
            <v>FLOATING_PCT_LOCAL_DEBT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</row>
        <row r="76">
          <cell r="B76" t="str">
            <v>% floating debt hedged (rates)</v>
          </cell>
          <cell r="C76" t="str">
            <v>FLOATING_PCT_LOCAL_DEBT_HEDGED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</row>
        <row r="77">
          <cell r="B77" t="str">
            <v>Net debt</v>
          </cell>
          <cell r="C77" t="str">
            <v>NET_DEBT</v>
          </cell>
          <cell r="D77" t="str">
            <v>CNY</v>
          </cell>
          <cell r="F77">
            <v>-522.12718960000007</v>
          </cell>
          <cell r="G77">
            <v>-1507.7946859000001</v>
          </cell>
          <cell r="H77">
            <v>430.36531619999982</v>
          </cell>
          <cell r="I77">
            <v>1953.5159443000002</v>
          </cell>
          <cell r="J77">
            <v>3138.0827170000002</v>
          </cell>
          <cell r="K77">
            <v>-120.21561689999999</v>
          </cell>
          <cell r="L77">
            <v>-3283.8151108000002</v>
          </cell>
          <cell r="M77">
            <v>-4924.8517642999996</v>
          </cell>
          <cell r="N77">
            <v>-4148.3487219999997</v>
          </cell>
          <cell r="O77">
            <v>-945.92776049999975</v>
          </cell>
          <cell r="P77">
            <v>-1001.7286497</v>
          </cell>
          <cell r="Q77">
            <v>-619.6941963398192</v>
          </cell>
          <cell r="R77">
            <v>-582.12259806018915</v>
          </cell>
          <cell r="S77">
            <v>-1070.4216647336254</v>
          </cell>
          <cell r="T77">
            <v>301.03357205287648</v>
          </cell>
          <cell r="U77">
            <v>-1599.3701195617102</v>
          </cell>
          <cell r="V77">
            <v>-1777.4916035218655</v>
          </cell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</row>
        <row r="78">
          <cell r="B78" t="str">
            <v>Capitalized operating leases (off-balance sheet)</v>
          </cell>
          <cell r="C78" t="str">
            <v>CAP_LEASES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</row>
        <row r="79">
          <cell r="B79" t="str">
            <v>Deferred income taxes</v>
          </cell>
          <cell r="C79" t="str">
            <v>DEF_INC_TAX</v>
          </cell>
          <cell r="D79" t="str">
            <v>CNY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</row>
        <row r="80">
          <cell r="B80" t="str">
            <v>Associates (mkt value) used in EV calculation</v>
          </cell>
          <cell r="C80" t="str">
            <v>MV_ASSOCIATES</v>
          </cell>
          <cell r="D80" t="str">
            <v>CNY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</row>
        <row r="81">
          <cell r="B81" t="str">
            <v>Net debt adjustment</v>
          </cell>
          <cell r="C81" t="str">
            <v>NET_DEBT_ADJ</v>
          </cell>
          <cell r="D81" t="str">
            <v>CNY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-480</v>
          </cell>
          <cell r="N81">
            <v>-350.5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</row>
        <row r="82">
          <cell r="B82" t="str">
            <v>Company borrowing margin</v>
          </cell>
          <cell r="C82" t="str">
            <v>CO_BOR_MARGIN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</row>
        <row r="83">
          <cell r="B83" t="str">
            <v>Unfunded pensions &amp; other provisions</v>
          </cell>
          <cell r="C83" t="str">
            <v>UNF_PENS</v>
          </cell>
          <cell r="D83" t="str">
            <v>CNY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</row>
        <row r="84">
          <cell r="B84" t="str">
            <v>Unfunded pension liabilities (off balance sheet)</v>
          </cell>
          <cell r="C84" t="str">
            <v>UNF_PENS_OFF</v>
          </cell>
          <cell r="D84" t="str">
            <v>CNY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</row>
        <row r="85">
          <cell r="B85" t="str">
            <v>Unfunded pension liabilities &amp; other, used in EV</v>
          </cell>
          <cell r="C85" t="str">
            <v>UNF_PENS_LIAB_OTH</v>
          </cell>
          <cell r="D85" t="str">
            <v>CNY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</row>
        <row r="86">
          <cell r="B86" t="str">
            <v>Adjustment for unfunded pensions &amp; goodwill</v>
          </cell>
          <cell r="C86" t="str">
            <v>ADJ_UNF_PENS_GOOD</v>
          </cell>
          <cell r="D86" t="str">
            <v>CNY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X86"/>
          <cell r="AY86"/>
          <cell r="AZ86"/>
          <cell r="BA86"/>
          <cell r="BB86"/>
        </row>
        <row r="87">
          <cell r="B87" t="str">
            <v>Other GCI adjustments</v>
          </cell>
          <cell r="C87" t="str">
            <v>OTH_GCI_ADJ</v>
          </cell>
          <cell r="D87" t="str">
            <v>CNY</v>
          </cell>
          <cell r="F87">
            <v>522.12718960000007</v>
          </cell>
          <cell r="G87">
            <v>1507.7946859000001</v>
          </cell>
          <cell r="H87">
            <v>0</v>
          </cell>
          <cell r="I87">
            <v>0</v>
          </cell>
          <cell r="J87">
            <v>0</v>
          </cell>
          <cell r="K87">
            <v>120.21561689999999</v>
          </cell>
          <cell r="L87">
            <v>3283.8151108000002</v>
          </cell>
          <cell r="M87">
            <v>4444.8517642999996</v>
          </cell>
          <cell r="N87">
            <v>3797.8487219999997</v>
          </cell>
          <cell r="O87">
            <v>945.92776049999975</v>
          </cell>
          <cell r="P87">
            <v>1001.7286497</v>
          </cell>
          <cell r="Q87">
            <v>619.6941963398192</v>
          </cell>
          <cell r="R87">
            <v>582.12259806018915</v>
          </cell>
          <cell r="S87">
            <v>1070.4216647336254</v>
          </cell>
          <cell r="T87">
            <v>0</v>
          </cell>
          <cell r="U87">
            <v>1599.3701195617102</v>
          </cell>
          <cell r="V87">
            <v>1777.4916035218655</v>
          </cell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</row>
        <row r="88">
          <cell r="B88" t="str">
            <v>GCI inflator</v>
          </cell>
          <cell r="C88" t="str">
            <v>GCI_INFL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  <cell r="AL88"/>
          <cell r="AM88"/>
          <cell r="AN88"/>
          <cell r="AO88"/>
          <cell r="AP88"/>
          <cell r="AQ88"/>
          <cell r="AR88"/>
          <cell r="AS88"/>
          <cell r="AT88"/>
          <cell r="AU88"/>
          <cell r="AV88"/>
          <cell r="AW88"/>
          <cell r="AX88"/>
          <cell r="AY88"/>
          <cell r="AZ88"/>
          <cell r="BA88"/>
          <cell r="BB88"/>
        </row>
        <row r="89">
          <cell r="B89" t="str">
            <v>Minority interest</v>
          </cell>
          <cell r="C89" t="str">
            <v>BAL_MINO_INT</v>
          </cell>
          <cell r="D89" t="str">
            <v>CNY</v>
          </cell>
          <cell r="F89">
            <v>0</v>
          </cell>
          <cell r="G89">
            <v>50.531989000000003</v>
          </cell>
          <cell r="H89">
            <v>242.22037030000001</v>
          </cell>
          <cell r="I89">
            <v>251.30175409999998</v>
          </cell>
          <cell r="J89">
            <v>35.470090499999998</v>
          </cell>
          <cell r="K89">
            <v>140.0771163</v>
          </cell>
          <cell r="L89">
            <v>60.112966999999998</v>
          </cell>
          <cell r="M89">
            <v>0</v>
          </cell>
          <cell r="N89">
            <v>3.1754380000000002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/>
          <cell r="AI89"/>
          <cell r="AJ89"/>
          <cell r="AK89"/>
          <cell r="AL89"/>
          <cell r="AM89"/>
          <cell r="AN89"/>
          <cell r="AO89"/>
          <cell r="AP89"/>
          <cell r="AQ89"/>
          <cell r="AR89"/>
          <cell r="AS89"/>
          <cell r="AT89"/>
          <cell r="AU89"/>
          <cell r="AV89"/>
          <cell r="AW89"/>
          <cell r="AX89"/>
          <cell r="AY89"/>
          <cell r="AZ89"/>
          <cell r="BA89"/>
          <cell r="BB89"/>
        </row>
        <row r="90">
          <cell r="B90" t="str">
            <v>Right-of-use assets (op lease assets under US GAAP)</v>
          </cell>
          <cell r="C90" t="str">
            <v>ROU_ASSET</v>
          </cell>
          <cell r="D90" t="str">
            <v>CNY</v>
          </cell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/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/>
          <cell r="AW90"/>
          <cell r="AX90"/>
          <cell r="AY90"/>
          <cell r="AZ90"/>
          <cell r="BA90"/>
          <cell r="BB90"/>
        </row>
        <row r="91">
          <cell r="A91" t="str">
            <v>Cash Flow Statement</v>
          </cell>
          <cell r="B91"/>
          <cell r="C91"/>
          <cell r="D91"/>
        </row>
        <row r="92">
          <cell r="B92" t="str">
            <v>Minority interest add-back</v>
          </cell>
          <cell r="C92" t="str">
            <v>CF_INC_MINORITY</v>
          </cell>
          <cell r="D92" t="str">
            <v>CNY</v>
          </cell>
          <cell r="F92">
            <v>0</v>
          </cell>
          <cell r="G92">
            <v>11.331989</v>
          </cell>
          <cell r="H92">
            <v>123.87730550000001</v>
          </cell>
          <cell r="I92">
            <v>9.0095080000000003</v>
          </cell>
          <cell r="J92">
            <v>-5.7730055</v>
          </cell>
          <cell r="K92">
            <v>48.134149600000001</v>
          </cell>
          <cell r="L92">
            <v>52.950062899999999</v>
          </cell>
          <cell r="M92">
            <v>2.2327799999999998E-2</v>
          </cell>
          <cell r="N92">
            <v>-0.16727510000000001</v>
          </cell>
          <cell r="O92">
            <v>-0.11334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</row>
        <row r="93">
          <cell r="B93" t="str">
            <v>Depreciation &amp; amortization add-back</v>
          </cell>
          <cell r="C93" t="str">
            <v>DEPR_AMORT</v>
          </cell>
          <cell r="D93" t="str">
            <v>CNY</v>
          </cell>
          <cell r="F93">
            <v>66.913027799999995</v>
          </cell>
          <cell r="G93">
            <v>99.701495800000004</v>
          </cell>
          <cell r="H93">
            <v>230.4054754</v>
          </cell>
          <cell r="I93">
            <v>407.33868530000001</v>
          </cell>
          <cell r="J93">
            <v>626.85389580000003</v>
          </cell>
          <cell r="K93">
            <v>782.30357040000001</v>
          </cell>
          <cell r="L93">
            <v>809.3116563000001</v>
          </cell>
          <cell r="M93">
            <v>1044.0907997000002</v>
          </cell>
          <cell r="N93">
            <v>1239.2933181000001</v>
          </cell>
          <cell r="O93">
            <v>1439.1487345</v>
          </cell>
          <cell r="P93">
            <v>1610.3825513400002</v>
          </cell>
          <cell r="Q93">
            <v>1705.8516223125157</v>
          </cell>
          <cell r="R93">
            <v>1779.4761287714368</v>
          </cell>
          <cell r="S93">
            <v>1884.7135450732974</v>
          </cell>
          <cell r="T93">
            <v>4236.260877626858</v>
          </cell>
          <cell r="U93">
            <v>4871.3800634987983</v>
          </cell>
          <cell r="V93">
            <v>5517.298261187575</v>
          </cell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</row>
        <row r="94">
          <cell r="B94" t="str">
            <v>(Increase)/decrease in working capital</v>
          </cell>
          <cell r="C94" t="str">
            <v>WORK_CAP</v>
          </cell>
          <cell r="D94" t="str">
            <v>CNY</v>
          </cell>
          <cell r="F94">
            <v>-4.9077652</v>
          </cell>
          <cell r="G94">
            <v>-292.63412330000006</v>
          </cell>
          <cell r="H94">
            <v>-898.21735899999999</v>
          </cell>
          <cell r="I94">
            <v>-760.42281769999977</v>
          </cell>
          <cell r="J94">
            <v>-152.33971599999984</v>
          </cell>
          <cell r="K94">
            <v>-1246.1779620000007</v>
          </cell>
          <cell r="L94">
            <v>397.54763339999988</v>
          </cell>
          <cell r="M94">
            <v>-427.15901729999973</v>
          </cell>
          <cell r="N94">
            <v>-1238.8801540000004</v>
          </cell>
          <cell r="O94">
            <v>-1253.3773147099996</v>
          </cell>
          <cell r="P94">
            <v>1467.3509268000009</v>
          </cell>
          <cell r="Q94">
            <v>-957.1913042373526</v>
          </cell>
          <cell r="R94">
            <v>-784.33496961169976</v>
          </cell>
          <cell r="S94">
            <v>-553.7694195928143</v>
          </cell>
          <cell r="T94">
            <v>-1870.7840969265881</v>
          </cell>
          <cell r="U94">
            <v>762.14073831407586</v>
          </cell>
          <cell r="V94">
            <v>-1858.0615386234222</v>
          </cell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</row>
        <row r="95">
          <cell r="B95" t="str">
            <v>Other operating cash flow items</v>
          </cell>
          <cell r="C95" t="str">
            <v>OTH_OP_CF</v>
          </cell>
          <cell r="D95" t="str">
            <v>CNY</v>
          </cell>
          <cell r="F95">
            <v>11.669275999999996</v>
          </cell>
          <cell r="G95">
            <v>64.642551200000071</v>
          </cell>
          <cell r="H95">
            <v>468.42976729999998</v>
          </cell>
          <cell r="I95">
            <v>-61.323568400000283</v>
          </cell>
          <cell r="J95">
            <v>-739.44976090000023</v>
          </cell>
          <cell r="K95">
            <v>-381.3307012999993</v>
          </cell>
          <cell r="L95">
            <v>-563.61563459999979</v>
          </cell>
          <cell r="M95">
            <v>-727.5012703000001</v>
          </cell>
          <cell r="N95">
            <v>-206.42698249999972</v>
          </cell>
          <cell r="O95">
            <v>323.65086860999924</v>
          </cell>
          <cell r="P95">
            <v>-1586.8799062099993</v>
          </cell>
          <cell r="Q95">
            <v>1.010227E-2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</row>
        <row r="96">
          <cell r="B96" t="str">
            <v>Cash flow from operating activities</v>
          </cell>
          <cell r="C96" t="str">
            <v>CF_OPS</v>
          </cell>
          <cell r="D96" t="str">
            <v>CNY</v>
          </cell>
          <cell r="F96">
            <v>253.8256485</v>
          </cell>
          <cell r="G96">
            <v>302.30686760000003</v>
          </cell>
          <cell r="H96">
            <v>860.66619189999994</v>
          </cell>
          <cell r="I96">
            <v>404.6434304</v>
          </cell>
          <cell r="J96">
            <v>765.27914299999998</v>
          </cell>
          <cell r="K96">
            <v>665.25670339999999</v>
          </cell>
          <cell r="L96">
            <v>2390.7483809</v>
          </cell>
          <cell r="M96">
            <v>2056.1051815000001</v>
          </cell>
          <cell r="N96">
            <v>2958.0297955999999</v>
          </cell>
          <cell r="O96">
            <v>3339.4670145999999</v>
          </cell>
          <cell r="P96">
            <v>2789.3202722500005</v>
          </cell>
          <cell r="Q96">
            <v>2273.9826740975532</v>
          </cell>
          <cell r="R96">
            <v>3079.0302177598346</v>
          </cell>
          <cell r="S96">
            <v>4169.6969218269205</v>
          </cell>
          <cell r="T96">
            <v>7066.3960974514421</v>
          </cell>
          <cell r="U96">
            <v>12256.559767859584</v>
          </cell>
          <cell r="V96">
            <v>12663.418678154614</v>
          </cell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</row>
        <row r="97">
          <cell r="B97" t="str">
            <v>Capital expenditures, Capex</v>
          </cell>
          <cell r="C97" t="str">
            <v>CAPEX</v>
          </cell>
          <cell r="D97" t="str">
            <v>CNY</v>
          </cell>
          <cell r="F97">
            <v>-315.20405199999999</v>
          </cell>
          <cell r="G97">
            <v>-2850.9627009000001</v>
          </cell>
          <cell r="H97">
            <v>-3655.3634544000001</v>
          </cell>
          <cell r="I97">
            <v>-1404.6978017000001</v>
          </cell>
          <cell r="J97">
            <v>-950.89803829999994</v>
          </cell>
          <cell r="K97">
            <v>-2047.7245788</v>
          </cell>
          <cell r="L97">
            <v>-2804.4535366999999</v>
          </cell>
          <cell r="M97">
            <v>-1411.7571749000001</v>
          </cell>
          <cell r="N97">
            <v>-3363.4627923000003</v>
          </cell>
          <cell r="O97">
            <v>-5296.4959276</v>
          </cell>
          <cell r="P97">
            <v>-2997.49212562</v>
          </cell>
          <cell r="Q97">
            <v>-2179.8008318440002</v>
          </cell>
          <cell r="R97">
            <v>-2465.9927846655996</v>
          </cell>
          <cell r="S97">
            <v>-2795.1135304104396</v>
          </cell>
          <cell r="T97">
            <v>-5472.9804140232809</v>
          </cell>
          <cell r="U97">
            <v>-5977.4144007266095</v>
          </cell>
          <cell r="V97">
            <v>-6532.2917861002707</v>
          </cell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</row>
        <row r="98">
          <cell r="B98" t="str">
            <v>Acquisitions</v>
          </cell>
          <cell r="C98" t="str">
            <v>ACQ</v>
          </cell>
          <cell r="D98" t="str">
            <v>CNY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-129.97895650000001</v>
          </cell>
          <cell r="K98">
            <v>0</v>
          </cell>
          <cell r="L98">
            <v>0</v>
          </cell>
          <cell r="M98">
            <v>-346.12968339999998</v>
          </cell>
          <cell r="N98">
            <v>-32.579610000000002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</row>
        <row r="99">
          <cell r="B99" t="str">
            <v>Divestitures</v>
          </cell>
          <cell r="C99" t="str">
            <v>DIVEST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37.508425500000001</v>
          </cell>
          <cell r="L99">
            <v>304.48799289999999</v>
          </cell>
          <cell r="M99">
            <v>0</v>
          </cell>
          <cell r="N99">
            <v>0</v>
          </cell>
          <cell r="O99">
            <v>0</v>
          </cell>
          <cell r="P99">
            <v>13.730452080000001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</row>
        <row r="100">
          <cell r="B100" t="str">
            <v>Other investing cash flow items</v>
          </cell>
          <cell r="C100" t="str">
            <v>OTH_INV_CF</v>
          </cell>
          <cell r="D100" t="str">
            <v>CNY</v>
          </cell>
          <cell r="F100">
            <v>-9.8660269000000085</v>
          </cell>
          <cell r="G100">
            <v>555.84927650000009</v>
          </cell>
          <cell r="H100">
            <v>983.77140409999993</v>
          </cell>
          <cell r="I100">
            <v>108.59214620000012</v>
          </cell>
          <cell r="J100">
            <v>-333.65786649999995</v>
          </cell>
          <cell r="K100">
            <v>553.63605970000015</v>
          </cell>
          <cell r="L100">
            <v>11.464978499999575</v>
          </cell>
          <cell r="M100">
            <v>44.012389800000108</v>
          </cell>
          <cell r="N100">
            <v>747.77191380000045</v>
          </cell>
          <cell r="O100">
            <v>370.08841529999972</v>
          </cell>
          <cell r="P100">
            <v>1412.4237373799999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</row>
        <row r="101">
          <cell r="B101" t="str">
            <v>Cash flow from investing</v>
          </cell>
          <cell r="C101" t="str">
            <v>CF_INV</v>
          </cell>
          <cell r="D101" t="str">
            <v>CNY</v>
          </cell>
          <cell r="F101">
            <v>-325.0700789</v>
          </cell>
          <cell r="G101">
            <v>-2295.1134244</v>
          </cell>
          <cell r="H101">
            <v>-2671.5920503000002</v>
          </cell>
          <cell r="I101">
            <v>-1296.1056555</v>
          </cell>
          <cell r="J101">
            <v>-1414.5348612999999</v>
          </cell>
          <cell r="K101">
            <v>-1456.5800936000001</v>
          </cell>
          <cell r="L101">
            <v>-2488.5005653000003</v>
          </cell>
          <cell r="M101">
            <v>-1713.8744684999999</v>
          </cell>
          <cell r="N101">
            <v>-2648.2704885000003</v>
          </cell>
          <cell r="O101">
            <v>-4926.4075123000002</v>
          </cell>
          <cell r="P101">
            <v>-1571.3379361600003</v>
          </cell>
          <cell r="Q101">
            <v>-2179.8008318440002</v>
          </cell>
          <cell r="R101">
            <v>-2465.9927846655996</v>
          </cell>
          <cell r="S101">
            <v>-2795.1135304104396</v>
          </cell>
          <cell r="T101">
            <v>-5472.9804140232809</v>
          </cell>
          <cell r="U101">
            <v>-5977.4144007266095</v>
          </cell>
          <cell r="V101">
            <v>-6532.2917861002707</v>
          </cell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</row>
        <row r="102">
          <cell r="B102" t="str">
            <v>Dividends paid</v>
          </cell>
          <cell r="C102" t="str">
            <v>DIV_PAID</v>
          </cell>
          <cell r="D102" t="str">
            <v>CNY</v>
          </cell>
          <cell r="F102">
            <v>-12.4417708</v>
          </cell>
          <cell r="G102">
            <v>-33.174831900000001</v>
          </cell>
          <cell r="H102">
            <v>-200.61625509999999</v>
          </cell>
          <cell r="I102">
            <v>-631.91781720000006</v>
          </cell>
          <cell r="J102">
            <v>-534.8638694</v>
          </cell>
          <cell r="K102">
            <v>-589.54276240000002</v>
          </cell>
          <cell r="L102">
            <v>-633.7198992000001</v>
          </cell>
          <cell r="M102">
            <v>-736.65661890000001</v>
          </cell>
          <cell r="N102">
            <v>-898.74506579999991</v>
          </cell>
          <cell r="O102">
            <v>-1107.7021665999998</v>
          </cell>
          <cell r="P102">
            <v>-970.56711928999994</v>
          </cell>
          <cell r="Q102">
            <v>-476.21629561373373</v>
          </cell>
          <cell r="R102">
            <v>-650.60903137386504</v>
          </cell>
          <cell r="S102">
            <v>-886.28432474304475</v>
          </cell>
          <cell r="T102">
            <v>-3107.9556425733113</v>
          </cell>
          <cell r="U102">
            <v>-4378.7416755183876</v>
          </cell>
          <cell r="V102">
            <v>-5953.0054080941882</v>
          </cell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</row>
        <row r="103">
          <cell r="B103" t="str">
            <v>Common stock issuance/(repurchase)</v>
          </cell>
          <cell r="C103" t="str">
            <v>SH_REPUR</v>
          </cell>
          <cell r="D103" t="str">
            <v>CNY</v>
          </cell>
          <cell r="F103">
            <v>800.98199999999997</v>
          </cell>
          <cell r="G103">
            <v>2979.6</v>
          </cell>
          <cell r="H103">
            <v>0</v>
          </cell>
          <cell r="I103">
            <v>0</v>
          </cell>
          <cell r="J103">
            <v>182.10356219999994</v>
          </cell>
          <cell r="K103">
            <v>3206.7362697999997</v>
          </cell>
          <cell r="L103">
            <v>3372.1370430999996</v>
          </cell>
          <cell r="M103">
            <v>-21.970142000000124</v>
          </cell>
          <cell r="N103">
            <v>-5.4235499999776948E-2</v>
          </cell>
          <cell r="O103">
            <v>1.8429323000018485</v>
          </cell>
          <cell r="P103">
            <v>0.68455529999846476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</row>
        <row r="104">
          <cell r="B104" t="str">
            <v>Increase/(decrease) in total debt</v>
          </cell>
          <cell r="C104" t="str">
            <v>CHG_LT_DEBT</v>
          </cell>
          <cell r="D104" t="str">
            <v>CNY</v>
          </cell>
          <cell r="F104">
            <v>416</v>
          </cell>
          <cell r="G104">
            <v>-99.329999999999984</v>
          </cell>
          <cell r="H104">
            <v>1487.7644549999998</v>
          </cell>
          <cell r="I104">
            <v>1565.9476565</v>
          </cell>
          <cell r="J104">
            <v>541.35900000000038</v>
          </cell>
          <cell r="K104">
            <v>-630.70900000000051</v>
          </cell>
          <cell r="L104">
            <v>-1426.3951915</v>
          </cell>
          <cell r="M104">
            <v>-330.07357000000002</v>
          </cell>
          <cell r="N104">
            <v>-662.56335000000001</v>
          </cell>
          <cell r="O104">
            <v>2518</v>
          </cell>
          <cell r="P104">
            <v>-2143.4104737600001</v>
          </cell>
          <cell r="Q104">
            <v>584.28647376000004</v>
          </cell>
          <cell r="R104">
            <v>0</v>
          </cell>
          <cell r="S104">
            <v>0</v>
          </cell>
          <cell r="T104">
            <v>0</v>
          </cell>
          <cell r="U104">
            <v>-500</v>
          </cell>
          <cell r="V104">
            <v>-1500</v>
          </cell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str">
            <v>CNY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</row>
        <row r="106">
          <cell r="B106" t="str">
            <v>Other financing cash flow items</v>
          </cell>
          <cell r="C106" t="str">
            <v>OTH_FIN_CF</v>
          </cell>
          <cell r="D106" t="str">
            <v>CNY</v>
          </cell>
          <cell r="F106">
            <v>-223.71999990000006</v>
          </cell>
          <cell r="G106">
            <v>32.048884999999942</v>
          </cell>
          <cell r="H106">
            <v>73.382111400000326</v>
          </cell>
          <cell r="I106">
            <v>0.22941420000017843</v>
          </cell>
          <cell r="J106">
            <v>-182.55074720000059</v>
          </cell>
          <cell r="K106">
            <v>1432.4282167000008</v>
          </cell>
          <cell r="L106">
            <v>522.93453440000042</v>
          </cell>
          <cell r="M106">
            <v>1577.4327013999998</v>
          </cell>
          <cell r="N106">
            <v>-57.963048100000528</v>
          </cell>
          <cell r="O106">
            <v>-159.12122950000162</v>
          </cell>
          <cell r="P106">
            <v>-192.29888289999809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</row>
        <row r="107">
          <cell r="B107" t="str">
            <v>Cash flow from financing</v>
          </cell>
          <cell r="C107" t="str">
            <v>CF_FIN</v>
          </cell>
          <cell r="D107" t="str">
            <v>CNY</v>
          </cell>
          <cell r="F107">
            <v>980.82022929999982</v>
          </cell>
          <cell r="G107">
            <v>2879.1440531000003</v>
          </cell>
          <cell r="H107">
            <v>1360.5303113</v>
          </cell>
          <cell r="I107">
            <v>934.25925350000011</v>
          </cell>
          <cell r="J107">
            <v>6.0479455999997356</v>
          </cell>
          <cell r="K107">
            <v>3418.9127241000001</v>
          </cell>
          <cell r="L107">
            <v>1834.9564867999998</v>
          </cell>
          <cell r="M107">
            <v>488.73237049999966</v>
          </cell>
          <cell r="N107">
            <v>-1619.3256994000003</v>
          </cell>
          <cell r="O107">
            <v>1253.0195362000004</v>
          </cell>
          <cell r="P107">
            <v>-3305.5919206499998</v>
          </cell>
          <cell r="Q107">
            <v>108.0701781462663</v>
          </cell>
          <cell r="R107">
            <v>-650.60903137386504</v>
          </cell>
          <cell r="S107">
            <v>-886.28432474304475</v>
          </cell>
          <cell r="T107">
            <v>-3107.9556425733113</v>
          </cell>
          <cell r="U107">
            <v>-4878.7416755183876</v>
          </cell>
          <cell r="V107">
            <v>-7453.0054080941882</v>
          </cell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</row>
        <row r="108">
          <cell r="B108" t="str">
            <v>Total cash flow</v>
          </cell>
          <cell r="C108" t="str">
            <v>TOT_CF</v>
          </cell>
          <cell r="D108" t="str">
            <v>CNY</v>
          </cell>
          <cell r="F108">
            <v>909.57579889999988</v>
          </cell>
          <cell r="G108">
            <v>886.33749630000034</v>
          </cell>
          <cell r="H108">
            <v>-450.39554710000039</v>
          </cell>
          <cell r="I108">
            <v>42.797028400000045</v>
          </cell>
          <cell r="J108">
            <v>-643.20777270000019</v>
          </cell>
          <cell r="K108">
            <v>2627.5893338999999</v>
          </cell>
          <cell r="L108">
            <v>1737.2043023999995</v>
          </cell>
          <cell r="M108">
            <v>830.96308349999981</v>
          </cell>
          <cell r="N108">
            <v>-1309.5663923000006</v>
          </cell>
          <cell r="O108">
            <v>-333.92096149999998</v>
          </cell>
          <cell r="P108">
            <v>-2087.6095845599993</v>
          </cell>
          <cell r="Q108">
            <v>202.25202039981929</v>
          </cell>
          <cell r="R108">
            <v>-37.571598279630052</v>
          </cell>
          <cell r="S108">
            <v>488.29906667343619</v>
          </cell>
          <cell r="T108">
            <v>-1514.5399591451501</v>
          </cell>
          <cell r="U108">
            <v>1400.4036916145869</v>
          </cell>
          <cell r="V108">
            <v>-1321.8785160398447</v>
          </cell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</row>
        <row r="109">
          <cell r="A109" t="str">
            <v>Additional Cash Flow Items</v>
          </cell>
          <cell r="B109"/>
          <cell r="C109"/>
          <cell r="D109"/>
        </row>
        <row r="110">
          <cell r="B110" t="str">
            <v>Associate and JV add-back</v>
          </cell>
          <cell r="C110" t="str">
            <v>ASSOC_JV_ADDBK</v>
          </cell>
          <cell r="D110" t="str">
            <v>CNY</v>
          </cell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</row>
        <row r="111">
          <cell r="B111" t="str">
            <v>Profit/(loss) on sale of assets</v>
          </cell>
          <cell r="C111" t="str">
            <v>PL_SALE_ASSETS</v>
          </cell>
          <cell r="D111" t="str">
            <v>CNY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</row>
        <row r="112">
          <cell r="B112" t="str">
            <v>Other non-cash adjustments</v>
          </cell>
          <cell r="C112" t="str">
            <v>OTH_NONCASH_ADJ</v>
          </cell>
          <cell r="D112" t="str">
            <v>CNY</v>
          </cell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</row>
        <row r="113">
          <cell r="B113" t="str">
            <v>Other DACF adjustments</v>
          </cell>
          <cell r="C113" t="str">
            <v>OTH_DACF_ADJ</v>
          </cell>
          <cell r="D113" t="str">
            <v>CNY</v>
          </cell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</row>
        <row r="114">
          <cell r="B114" t="str">
            <v>Cash interest expense</v>
          </cell>
          <cell r="C114" t="str">
            <v>CASH_INT_EXP</v>
          </cell>
          <cell r="D114" t="str">
            <v>CNY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</row>
        <row r="115">
          <cell r="B115" t="str">
            <v>Cash tax expense</v>
          </cell>
          <cell r="C115" t="str">
            <v>CASH_TAX_EXP</v>
          </cell>
          <cell r="D115" t="str">
            <v>CNY</v>
          </cell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</row>
        <row r="116">
          <cell r="B116" t="str">
            <v>Dividends received from associates/JVs</v>
          </cell>
          <cell r="C116" t="str">
            <v>DIVDS_ASSOC_JV</v>
          </cell>
          <cell r="D116" t="str">
            <v>CNY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</row>
        <row r="117">
          <cell r="B117" t="str">
            <v>Capex maintenance</v>
          </cell>
          <cell r="C117" t="str">
            <v>CAPEX_MAINTENANCE</v>
          </cell>
          <cell r="D117" t="str">
            <v>CNY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</row>
        <row r="118">
          <cell r="B118" t="str">
            <v>Capex expansion</v>
          </cell>
          <cell r="C118" t="str">
            <v>CAPEX_EXPANSION</v>
          </cell>
          <cell r="D118" t="str">
            <v>CNY</v>
          </cell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</row>
        <row r="119">
          <cell r="B119" t="str">
            <v>Non-PP&amp;E capex</v>
          </cell>
          <cell r="C119" t="str">
            <v>NONPPE_CAPEX</v>
          </cell>
          <cell r="D119" t="str">
            <v>CNY</v>
          </cell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</row>
        <row r="120">
          <cell r="B120" t="str">
            <v>Dividends paid to minorities</v>
          </cell>
          <cell r="C120" t="str">
            <v>DIVDS_PD_MINORITIES</v>
          </cell>
          <cell r="D120" t="str">
            <v>CNY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</row>
        <row r="121">
          <cell r="A121" t="str">
            <v>Other Items</v>
          </cell>
          <cell r="B121"/>
          <cell r="C121"/>
          <cell r="D121"/>
        </row>
        <row r="122">
          <cell r="B122" t="str">
            <v>Number of employees</v>
          </cell>
          <cell r="C122" t="str">
            <v>EMPLOYEES</v>
          </cell>
          <cell r="F122">
            <v>1.0980000000000001</v>
          </cell>
          <cell r="G122">
            <v>3.149</v>
          </cell>
          <cell r="H122">
            <v>5.3520000000000003</v>
          </cell>
          <cell r="I122">
            <v>5.59</v>
          </cell>
          <cell r="J122">
            <v>6.6680000000000001</v>
          </cell>
          <cell r="K122">
            <v>4.74</v>
          </cell>
          <cell r="L122">
            <v>7.1349999999999998</v>
          </cell>
          <cell r="M122">
            <v>7.9859999999999998</v>
          </cell>
          <cell r="N122">
            <v>9.4390000000000001</v>
          </cell>
          <cell r="O122">
            <v>11.404</v>
          </cell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</row>
        <row r="123">
          <cell r="A123" t="str">
            <v>Geographical Breakdown</v>
          </cell>
          <cell r="B123"/>
          <cell r="C123"/>
          <cell r="D123"/>
        </row>
        <row r="124">
          <cell r="B124" t="str">
            <v>Sales - % Canada</v>
          </cell>
          <cell r="C124" t="str">
            <v>SALES_CANADA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</row>
        <row r="125">
          <cell r="B125" t="str">
            <v>Sales - % United States</v>
          </cell>
          <cell r="C125" t="str">
            <v>SALES_US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</row>
        <row r="126">
          <cell r="B126" t="str">
            <v>Sales - % Other North Americas</v>
          </cell>
          <cell r="C126" t="str">
            <v>SALES_OTH_NO_AMER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</row>
        <row r="127">
          <cell r="B127" t="str">
            <v>Sales - % Argentina</v>
          </cell>
          <cell r="C127" t="str">
            <v>SALES_ARGENTINA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</row>
        <row r="128">
          <cell r="B128" t="str">
            <v>Sales - % Brazil</v>
          </cell>
          <cell r="C128" t="str">
            <v>SALES_BRAZIL</v>
          </cell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</row>
        <row r="129">
          <cell r="B129" t="str">
            <v>Sales - % Chile</v>
          </cell>
          <cell r="C129" t="str">
            <v>SALES_CHILE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  <cell r="AM129"/>
          <cell r="AN129"/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</row>
        <row r="130">
          <cell r="B130" t="str">
            <v>Sales - % Colombia</v>
          </cell>
          <cell r="C130" t="str">
            <v>SALES_COLOMBIA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</row>
        <row r="131">
          <cell r="B131" t="str">
            <v>Sales - % Mexico</v>
          </cell>
          <cell r="C131" t="str">
            <v>SALES_MEXICO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</row>
        <row r="132">
          <cell r="B132" t="str">
            <v>Sales - % Venezuela</v>
          </cell>
          <cell r="C132" t="str">
            <v>SALES_VENEZUELA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</row>
        <row r="133">
          <cell r="B133" t="str">
            <v>Sales - % Other Latin Americas</v>
          </cell>
          <cell r="C133" t="str">
            <v>SALES_OTH_LATAM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</row>
        <row r="134">
          <cell r="B134" t="str">
            <v>Sales - % Austria</v>
          </cell>
          <cell r="C134" t="str">
            <v>SALES_AUSTRIA</v>
          </cell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</row>
        <row r="135">
          <cell r="B135" t="str">
            <v>Sales - % Belgium</v>
          </cell>
          <cell r="C135" t="str">
            <v>SALES_BEL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</row>
        <row r="136">
          <cell r="B136" t="str">
            <v>Sales - % France</v>
          </cell>
          <cell r="C136" t="str">
            <v>SALES_FRA</v>
          </cell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</row>
        <row r="137">
          <cell r="B137" t="str">
            <v>Sales - % Germany</v>
          </cell>
          <cell r="C137" t="str">
            <v>SALES_GER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</row>
        <row r="138">
          <cell r="B138" t="str">
            <v>Sales - % Greece</v>
          </cell>
          <cell r="C138" t="str">
            <v>SALES_GRE</v>
          </cell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</row>
        <row r="139">
          <cell r="B139" t="str">
            <v>Sales - % Ireland</v>
          </cell>
          <cell r="C139" t="str">
            <v>SALES_IRE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</row>
        <row r="140">
          <cell r="B140" t="str">
            <v>Sales - % Italy</v>
          </cell>
          <cell r="C140" t="str">
            <v>SALES_ITA</v>
          </cell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</row>
        <row r="141">
          <cell r="B141" t="str">
            <v>Sales - % Netherlands</v>
          </cell>
          <cell r="C141" t="str">
            <v>SALES_NETH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</row>
        <row r="142">
          <cell r="B142" t="str">
            <v>Sales - % Norway</v>
          </cell>
          <cell r="C142" t="str">
            <v>SALES_NOR</v>
          </cell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</row>
        <row r="143">
          <cell r="B143" t="str">
            <v>Sales - % Portugal</v>
          </cell>
          <cell r="C143" t="str">
            <v>SALES_POR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</row>
        <row r="144">
          <cell r="B144" t="str">
            <v>Sales - % Spain</v>
          </cell>
          <cell r="C144" t="str">
            <v>SALES_SPA</v>
          </cell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</row>
        <row r="145">
          <cell r="B145" t="str">
            <v>Sales - % Sweden</v>
          </cell>
          <cell r="C145" t="str">
            <v>SALES_SWE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</row>
        <row r="146">
          <cell r="B146" t="str">
            <v>Sales - % Switzerland</v>
          </cell>
          <cell r="C146" t="str">
            <v>SALES_SWIT</v>
          </cell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</row>
        <row r="147">
          <cell r="B147" t="str">
            <v>Sales - % UK</v>
          </cell>
          <cell r="C147" t="str">
            <v>SALES_UK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</row>
        <row r="148">
          <cell r="B148" t="str">
            <v>Sales - % Other Western Europe</v>
          </cell>
          <cell r="C148" t="str">
            <v>SALES_OTH_WEST_EURO</v>
          </cell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</row>
        <row r="149">
          <cell r="B149" t="str">
            <v>Sales - % Poland</v>
          </cell>
          <cell r="C149" t="str">
            <v>SALES_POLAND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</row>
        <row r="150">
          <cell r="B150" t="str">
            <v>Sales - % Russia</v>
          </cell>
          <cell r="C150" t="str">
            <v>SALES_RUSSIA</v>
          </cell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</row>
        <row r="151">
          <cell r="B151" t="str">
            <v>Sales - % Turkey</v>
          </cell>
          <cell r="C151" t="str">
            <v>SALES_TURKEY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</row>
        <row r="152">
          <cell r="B152" t="str">
            <v>Sales - % Other CEE</v>
          </cell>
          <cell r="C152" t="str">
            <v>SALES_OTH_CEE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</row>
        <row r="153">
          <cell r="B153" t="str">
            <v>Sales - % Saudi Arabia</v>
          </cell>
          <cell r="C153" t="str">
            <v>SALES_SAUDI_ARABIA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</row>
        <row r="154">
          <cell r="B154" t="str">
            <v>Sales - % United Arab Emirates</v>
          </cell>
          <cell r="C154" t="str">
            <v>SALES_UAE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</row>
        <row r="155">
          <cell r="B155" t="str">
            <v>Sales - % Other Middle East</v>
          </cell>
          <cell r="C155" t="str">
            <v>SALES_OTH_ME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</row>
        <row r="156">
          <cell r="B156" t="str">
            <v>Sales - % Nigeria</v>
          </cell>
          <cell r="C156" t="str">
            <v>SALES_NIGERIA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</row>
        <row r="157">
          <cell r="B157" t="str">
            <v>Sales - % South Africa</v>
          </cell>
          <cell r="C157" t="str">
            <v>SALES_SO_AFRICA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</row>
        <row r="158">
          <cell r="B158" t="str">
            <v>Sales - % Other Africa</v>
          </cell>
          <cell r="C158" t="str">
            <v>SALES_OTH_AFRICA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</row>
        <row r="159">
          <cell r="B159" t="str">
            <v>Sales - % Hong Kong</v>
          </cell>
          <cell r="C159" t="str">
            <v>SALES_HONG_KONG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</row>
        <row r="160">
          <cell r="B160" t="str">
            <v>Sales - % Japan</v>
          </cell>
          <cell r="C160" t="str">
            <v>SALES_JAPAN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</row>
        <row r="161">
          <cell r="B161" t="str">
            <v>Sales - % Singapore</v>
          </cell>
          <cell r="C161" t="str">
            <v>SALES_SINGAPORE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</row>
        <row r="162">
          <cell r="B162" t="str">
            <v>Sales - % South Korea</v>
          </cell>
          <cell r="C162" t="str">
            <v>SALES_SK</v>
          </cell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</row>
        <row r="163">
          <cell r="B163" t="str">
            <v>Sales - % Taiwan</v>
          </cell>
          <cell r="C163" t="str">
            <v>SALES_TAIWAN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</row>
        <row r="164">
          <cell r="B164" t="str">
            <v>Sales - % Other Developed Asia</v>
          </cell>
          <cell r="C164" t="str">
            <v>SALES_OTH_DEV_ASIA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</row>
        <row r="165">
          <cell r="B165" t="str">
            <v>Sales - % China</v>
          </cell>
          <cell r="C165" t="str">
            <v>SALES_CHINA</v>
          </cell>
          <cell r="F165">
            <v>0.99190313495102111</v>
          </cell>
          <cell r="G165">
            <v>0.99384783144122002</v>
          </cell>
          <cell r="H165">
            <v>0.99680494250030349</v>
          </cell>
          <cell r="I165">
            <v>0.98533888160954064</v>
          </cell>
          <cell r="J165">
            <v>0.94368983006978047</v>
          </cell>
          <cell r="K165">
            <v>0.87546011482105424</v>
          </cell>
          <cell r="L165">
            <v>0.86548430363652118</v>
          </cell>
          <cell r="M165">
            <v>0.82773626210180618</v>
          </cell>
          <cell r="N165">
            <v>0.830277567994123</v>
          </cell>
          <cell r="O165">
            <v>0.85290407457511241</v>
          </cell>
          <cell r="P165">
            <v>0.85290407457511241</v>
          </cell>
          <cell r="Q165">
            <v>0.88280490248669685</v>
          </cell>
          <cell r="R165">
            <v>0.88280490248669685</v>
          </cell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</row>
        <row r="166">
          <cell r="B166" t="str">
            <v>Sales - % India</v>
          </cell>
          <cell r="C166" t="str">
            <v>SALES_INDIA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</row>
        <row r="167">
          <cell r="B167" t="str">
            <v>Sales - % Indonesia</v>
          </cell>
          <cell r="C167" t="str">
            <v>SALES_INDONESIA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</row>
        <row r="168">
          <cell r="B168" t="str">
            <v>Sales - % Thailand</v>
          </cell>
          <cell r="C168" t="str">
            <v>SALES_THAILAND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</row>
        <row r="169">
          <cell r="B169" t="str">
            <v>Sales - % Other Emerging Asia</v>
          </cell>
          <cell r="C169" t="str">
            <v>SALES_OTH_EMERG_ASIA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</row>
        <row r="170">
          <cell r="B170" t="str">
            <v>Sales - % Australia</v>
          </cell>
          <cell r="C170" t="str">
            <v>SALES_AUSTRA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</row>
        <row r="171">
          <cell r="B171" t="str">
            <v>Sales - % New Zealand</v>
          </cell>
          <cell r="C171" t="str">
            <v>SALES_NZ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</row>
        <row r="172">
          <cell r="B172" t="str">
            <v>Sales - % Others</v>
          </cell>
          <cell r="C172" t="str">
            <v>SALES_OTHER</v>
          </cell>
          <cell r="F172">
            <v>8.0968650489788851E-3</v>
          </cell>
          <cell r="G172">
            <v>6.1521685587799801E-3</v>
          </cell>
          <cell r="H172">
            <v>3.1950574996965075E-3</v>
          </cell>
          <cell r="I172">
            <v>1.466111839045936E-2</v>
          </cell>
          <cell r="J172">
            <v>5.6310169930219534E-2</v>
          </cell>
          <cell r="K172">
            <v>0.12453988517894576</v>
          </cell>
          <cell r="L172">
            <v>0.13451569636347882</v>
          </cell>
          <cell r="M172">
            <v>0.17226373789819382</v>
          </cell>
          <cell r="N172">
            <v>0.169722432005877</v>
          </cell>
          <cell r="O172">
            <v>0.14709592542488759</v>
          </cell>
          <cell r="P172">
            <v>0.14709592542488759</v>
          </cell>
          <cell r="Q172">
            <v>0.11719509751330315</v>
          </cell>
          <cell r="R172">
            <v>0.11719509751330315</v>
          </cell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</row>
        <row r="173">
          <cell r="B173" t="str">
            <v>% of CoGS from U.S. (GS estimate)</v>
          </cell>
          <cell r="C173" t="str">
            <v>COGS_PCT_US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</row>
        <row r="174">
          <cell r="B174" t="str">
            <v>% of CoGS from non-U.S. (GS estimate)</v>
          </cell>
          <cell r="C174" t="str">
            <v>COGS_PCT_ROW</v>
          </cell>
          <cell r="F174">
            <v>1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</row>
        <row r="175">
          <cell r="B175" t="str">
            <v>% of SG&amp;A from U.S. (GS estimate)</v>
          </cell>
          <cell r="C175" t="str">
            <v>SGA_PCT_US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</row>
        <row r="176">
          <cell r="B176" t="str">
            <v>% of SG&amp;A from non-U.S. (GS estimate)</v>
          </cell>
          <cell r="C176" t="str">
            <v>SGA_PCT_ROW</v>
          </cell>
          <cell r="F176">
            <v>1</v>
          </cell>
          <cell r="G176">
            <v>1</v>
          </cell>
          <cell r="H176">
            <v>1</v>
          </cell>
          <cell r="I176">
            <v>1</v>
          </cell>
          <cell r="J176">
            <v>1</v>
          </cell>
          <cell r="K176">
            <v>1</v>
          </cell>
          <cell r="L176">
            <v>1</v>
          </cell>
          <cell r="M176">
            <v>1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</row>
        <row r="177">
          <cell r="B177" t="str">
            <v>Sales -% Consumer (C)</v>
          </cell>
          <cell r="C177" t="str">
            <v>SALES_CONS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</row>
        <row r="178">
          <cell r="B178" t="str">
            <v>Sales -% Industry (I)</v>
          </cell>
          <cell r="C178" t="str">
            <v>SALES_IND</v>
          </cell>
          <cell r="F178">
            <v>1</v>
          </cell>
          <cell r="G178">
            <v>1</v>
          </cell>
          <cell r="H178">
            <v>1</v>
          </cell>
          <cell r="I178">
            <v>1</v>
          </cell>
          <cell r="J178">
            <v>1</v>
          </cell>
          <cell r="K178">
            <v>1</v>
          </cell>
          <cell r="L178">
            <v>1</v>
          </cell>
          <cell r="M178">
            <v>1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</row>
        <row r="179">
          <cell r="B179" t="str">
            <v>Sales -% Government (G)</v>
          </cell>
          <cell r="C179" t="str">
            <v>SALES_GOV</v>
          </cell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</row>
        <row r="180">
          <cell r="B180" t="str">
            <v>Sales - % Industry Sub-Segment: Financial Services</v>
          </cell>
          <cell r="C180" t="str">
            <v>SALES_FINAN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</row>
        <row r="181">
          <cell r="B181" t="str">
            <v>Sales - % Industry Sub-Segment: Oil &amp; Gas</v>
          </cell>
          <cell r="C181" t="str">
            <v>SALES_OIL_GAS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</row>
        <row r="182">
          <cell r="A182" t="str">
            <v>Commodities Exposure - Expense</v>
          </cell>
          <cell r="B182"/>
          <cell r="C182"/>
          <cell r="D182"/>
        </row>
        <row r="183">
          <cell r="B183" t="str">
            <v>Expense - % Oil/Petrol/Fuel</v>
          </cell>
          <cell r="C183" t="str">
            <v>EXP_OIL_PETRO_FUEL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</row>
        <row r="184">
          <cell r="B184" t="str">
            <v>Expense - % Oil derivatives/NGLs/plastics</v>
          </cell>
          <cell r="C184" t="str">
            <v>EXP_OIL_DERIV_NGLS_PLASTICS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</row>
        <row r="185">
          <cell r="B185" t="str">
            <v>Expense - % Gold</v>
          </cell>
          <cell r="C185" t="str">
            <v>EXP_GOLD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</row>
        <row r="186">
          <cell r="B186" t="str">
            <v>Expense - % Copper</v>
          </cell>
          <cell r="C186" t="str">
            <v>EXP_COPPER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</row>
        <row r="187">
          <cell r="B187" t="str">
            <v>Expense - % Silver</v>
          </cell>
          <cell r="C187" t="str">
            <v>EXP_SILVER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</row>
        <row r="188">
          <cell r="B188" t="str">
            <v>Expense - % Platinum</v>
          </cell>
          <cell r="C188" t="str">
            <v>EXP_PLATINUM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</row>
        <row r="189">
          <cell r="B189" t="str">
            <v>Expense - % Palladium</v>
          </cell>
          <cell r="C189" t="str">
            <v>EXP_PALLADIUM</v>
          </cell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</row>
        <row r="190">
          <cell r="B190" t="str">
            <v>Expense - % Aluminium</v>
          </cell>
          <cell r="C190" t="str">
            <v>EXP_ALUMINIUM</v>
          </cell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</row>
        <row r="191">
          <cell r="B191" t="str">
            <v>Expense - % Nickel</v>
          </cell>
          <cell r="C191" t="str">
            <v>EXP_NICKEL</v>
          </cell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</row>
        <row r="192">
          <cell r="B192" t="str">
            <v>Expense - % Zinc</v>
          </cell>
          <cell r="C192" t="str">
            <v>EXP_ZINC</v>
          </cell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  <cell r="AL192"/>
          <cell r="AM192"/>
          <cell r="AN192"/>
          <cell r="AO192"/>
          <cell r="AP192"/>
          <cell r="AQ192"/>
          <cell r="AR192"/>
          <cell r="AS192"/>
          <cell r="AT192"/>
          <cell r="AU192"/>
          <cell r="AV192"/>
          <cell r="AW192"/>
          <cell r="AX192"/>
          <cell r="AY192"/>
          <cell r="AZ192"/>
          <cell r="BA192"/>
          <cell r="BB192"/>
        </row>
        <row r="193">
          <cell r="B193" t="str">
            <v>Expense - % Paper/pulp</v>
          </cell>
          <cell r="C193" t="str">
            <v>EXP_PAPER_PULP</v>
          </cell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/>
          <cell r="T193"/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  <cell r="AG193"/>
          <cell r="AH193"/>
          <cell r="AI193"/>
          <cell r="AJ193"/>
          <cell r="AK193"/>
          <cell r="AL193"/>
          <cell r="AM193"/>
          <cell r="AN193"/>
          <cell r="AO193"/>
          <cell r="AP193"/>
          <cell r="AQ193"/>
          <cell r="AR193"/>
          <cell r="AS193"/>
          <cell r="AT193"/>
          <cell r="AU193"/>
          <cell r="AV193"/>
          <cell r="AW193"/>
          <cell r="AX193"/>
          <cell r="AY193"/>
          <cell r="AZ193"/>
          <cell r="BA193"/>
          <cell r="BB193"/>
        </row>
        <row r="194">
          <cell r="B194" t="str">
            <v>Expense - % Glass</v>
          </cell>
          <cell r="C194" t="str">
            <v>EXP_GLASS</v>
          </cell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</row>
        <row r="195">
          <cell r="B195" t="str">
            <v>Expense - % Water</v>
          </cell>
          <cell r="C195" t="str">
            <v>EXP_WATER</v>
          </cell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</row>
        <row r="196">
          <cell r="B196" t="str">
            <v>Expense - % Other commodity</v>
          </cell>
          <cell r="C196" t="str">
            <v>EXP_OTH_COMMODITY</v>
          </cell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  <cell r="AM196"/>
          <cell r="AN196"/>
          <cell r="AO196"/>
          <cell r="AP196"/>
          <cell r="AQ196"/>
          <cell r="AR196"/>
          <cell r="AS196"/>
          <cell r="AT196"/>
          <cell r="AU196"/>
          <cell r="AV196"/>
          <cell r="AW196"/>
          <cell r="AX196"/>
          <cell r="AY196"/>
          <cell r="AZ196"/>
          <cell r="BA196"/>
          <cell r="BB196"/>
        </row>
        <row r="197">
          <cell r="B197" t="str">
            <v>Expense - % Other (Non-Commodity) cost</v>
          </cell>
          <cell r="C197" t="str">
            <v>EXP_OTH_COST</v>
          </cell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X197"/>
          <cell r="AY197"/>
          <cell r="AZ197"/>
          <cell r="BA197"/>
          <cell r="BB197"/>
        </row>
        <row r="198">
          <cell r="A198" t="str">
            <v>FX Exposure - Sales</v>
          </cell>
          <cell r="B198"/>
          <cell r="C198"/>
          <cell r="D198"/>
        </row>
        <row r="199">
          <cell r="B199" t="str">
            <v>Sales - % FX: British Pounds/Pence</v>
          </cell>
          <cell r="C199" t="str">
            <v>SALES_FX_GPB</v>
          </cell>
          <cell r="F199"/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/>
          <cell r="AE199"/>
          <cell r="AF199"/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/>
          <cell r="AR199"/>
          <cell r="AS199"/>
          <cell r="AT199"/>
          <cell r="AU199"/>
          <cell r="AV199"/>
          <cell r="AW199"/>
          <cell r="AX199"/>
          <cell r="AY199"/>
          <cell r="AZ199"/>
          <cell r="BA199"/>
          <cell r="BB199"/>
        </row>
        <row r="200">
          <cell r="B200" t="str">
            <v>Sales - % FX: Euro</v>
          </cell>
          <cell r="C200" t="str">
            <v>SALES_FX_EUR</v>
          </cell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/>
          <cell r="AR200"/>
          <cell r="AS200"/>
          <cell r="AT200"/>
          <cell r="AU200"/>
          <cell r="AV200"/>
          <cell r="AW200"/>
          <cell r="AX200"/>
          <cell r="AY200"/>
          <cell r="AZ200"/>
          <cell r="BA200"/>
          <cell r="BB200"/>
        </row>
        <row r="201">
          <cell r="B201" t="str">
            <v>Sales - % FX: New Russian Ruble</v>
          </cell>
          <cell r="C201" t="str">
            <v>SALES_FX_RUB</v>
          </cell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</row>
        <row r="202">
          <cell r="B202" t="str">
            <v>Sales - % FX: U.S. Dollar</v>
          </cell>
          <cell r="C202" t="str">
            <v>SALES_FX_USD</v>
          </cell>
          <cell r="F202">
            <v>0.75</v>
          </cell>
          <cell r="G202">
            <v>0.75</v>
          </cell>
          <cell r="H202">
            <v>0.75</v>
          </cell>
          <cell r="I202">
            <v>0.75</v>
          </cell>
          <cell r="J202">
            <v>0.75</v>
          </cell>
          <cell r="K202">
            <v>0.75</v>
          </cell>
          <cell r="L202">
            <v>0.75</v>
          </cell>
          <cell r="M202">
            <v>0.75</v>
          </cell>
          <cell r="N202">
            <v>0.75</v>
          </cell>
          <cell r="O202">
            <v>0.75</v>
          </cell>
          <cell r="P202">
            <v>0.75</v>
          </cell>
          <cell r="Q202">
            <v>0.75</v>
          </cell>
          <cell r="R202">
            <v>0.75</v>
          </cell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</row>
        <row r="203">
          <cell r="B203" t="str">
            <v>Sales - % FX: Brazilian Real</v>
          </cell>
          <cell r="C203" t="str">
            <v>SALES_FX_BRL</v>
          </cell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</row>
        <row r="204">
          <cell r="B204" t="str">
            <v>Sales - % FX: Japanese Yen</v>
          </cell>
          <cell r="C204" t="str">
            <v>SALES_FX_YEN</v>
          </cell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X204"/>
          <cell r="AY204"/>
          <cell r="AZ204"/>
          <cell r="BA204"/>
          <cell r="BB204"/>
        </row>
        <row r="205">
          <cell r="B205" t="str">
            <v>Sales - % FX: Chinese Renminbi</v>
          </cell>
          <cell r="C205" t="str">
            <v>SALES_FX_CNY</v>
          </cell>
          <cell r="F205">
            <v>0.25</v>
          </cell>
          <cell r="G205">
            <v>0.25</v>
          </cell>
          <cell r="H205">
            <v>0.25</v>
          </cell>
          <cell r="I205">
            <v>0.25</v>
          </cell>
          <cell r="J205">
            <v>0.25</v>
          </cell>
          <cell r="K205">
            <v>0.25</v>
          </cell>
          <cell r="L205">
            <v>0.25</v>
          </cell>
          <cell r="M205">
            <v>0.25</v>
          </cell>
          <cell r="N205">
            <v>0.25</v>
          </cell>
          <cell r="O205">
            <v>0.25</v>
          </cell>
          <cell r="P205">
            <v>0.25</v>
          </cell>
          <cell r="Q205">
            <v>0.25</v>
          </cell>
          <cell r="R205">
            <v>0.25</v>
          </cell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/>
          <cell r="AD205"/>
          <cell r="AE205"/>
          <cell r="AF205"/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/>
          <cell r="AR205"/>
          <cell r="AS205"/>
          <cell r="AT205"/>
          <cell r="AU205"/>
          <cell r="AV205"/>
          <cell r="AW205"/>
          <cell r="AX205"/>
          <cell r="AY205"/>
          <cell r="AZ205"/>
          <cell r="BA205"/>
          <cell r="BB205"/>
        </row>
        <row r="206">
          <cell r="B206" t="str">
            <v>Sales - % FX: Indian Rupee</v>
          </cell>
          <cell r="C206" t="str">
            <v>SALES_FX_INR</v>
          </cell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/>
          <cell r="AA206"/>
          <cell r="AB206"/>
          <cell r="AC206"/>
          <cell r="AD206"/>
          <cell r="AE206"/>
          <cell r="AF206"/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/>
          <cell r="AR206"/>
          <cell r="AS206"/>
          <cell r="AT206"/>
          <cell r="AU206"/>
          <cell r="AV206"/>
          <cell r="AW206"/>
          <cell r="AX206"/>
          <cell r="AY206"/>
          <cell r="AZ206"/>
          <cell r="BA206"/>
          <cell r="BB206"/>
        </row>
        <row r="207">
          <cell r="B207" t="str">
            <v>Sales - % FX: South Korean Won</v>
          </cell>
          <cell r="C207" t="str">
            <v>SALES_FX_KRW</v>
          </cell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</row>
        <row r="208">
          <cell r="B208" t="str">
            <v>Sales - % FX: Taiwan Dollar</v>
          </cell>
          <cell r="C208" t="str">
            <v>SALES_FX_TWD</v>
          </cell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</row>
        <row r="209">
          <cell r="B209" t="str">
            <v>Sales - % FX: Other Currency</v>
          </cell>
          <cell r="C209" t="str">
            <v>SALES_FX_OTH</v>
          </cell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</row>
        <row r="210">
          <cell r="A210" t="str">
            <v>Items to be removed</v>
          </cell>
          <cell r="B210"/>
          <cell r="C210"/>
          <cell r="D210"/>
        </row>
        <row r="211">
          <cell r="B211" t="str">
            <v>Sales - Total % Americas</v>
          </cell>
          <cell r="C211" t="str">
            <v>SALES_TOT_AM</v>
          </cell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X211"/>
          <cell r="AY211"/>
          <cell r="AZ211"/>
          <cell r="BA211"/>
          <cell r="BB211"/>
        </row>
        <row r="212">
          <cell r="B212" t="str">
            <v>Sales - % Other Americas</v>
          </cell>
          <cell r="C212" t="str">
            <v>SALES_OTH_AM</v>
          </cell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  <cell r="BA212"/>
          <cell r="BB212"/>
        </row>
        <row r="213">
          <cell r="B213" t="str">
            <v>Sales - Total % EMEA</v>
          </cell>
          <cell r="C213" t="str">
            <v>SALES_TOT_EMEA</v>
          </cell>
          <cell r="F213"/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  <cell r="AA213"/>
          <cell r="AB213"/>
          <cell r="AC213"/>
          <cell r="AD213"/>
          <cell r="AE213"/>
          <cell r="AF213"/>
          <cell r="AG213"/>
          <cell r="AH213"/>
          <cell r="AI213"/>
          <cell r="AJ213"/>
          <cell r="AK213"/>
          <cell r="AL213"/>
          <cell r="AM213"/>
          <cell r="AN213"/>
          <cell r="AO213"/>
          <cell r="AP213"/>
          <cell r="AQ213"/>
          <cell r="AR213"/>
          <cell r="AS213"/>
          <cell r="AT213"/>
          <cell r="AU213"/>
          <cell r="AV213"/>
          <cell r="AW213"/>
          <cell r="AX213"/>
          <cell r="AY213"/>
          <cell r="AZ213"/>
          <cell r="BA213"/>
          <cell r="BB213"/>
        </row>
        <row r="214">
          <cell r="B214" t="str">
            <v>Sales - % Western Europe-Ex UK</v>
          </cell>
          <cell r="C214" t="str">
            <v>SALES_EU_EX_UK</v>
          </cell>
          <cell r="F214"/>
          <cell r="G214"/>
          <cell r="H214"/>
          <cell r="I214"/>
          <cell r="J214"/>
          <cell r="K214"/>
          <cell r="L214"/>
          <cell r="M214"/>
          <cell r="N214"/>
          <cell r="O214"/>
          <cell r="P214"/>
          <cell r="Q214"/>
          <cell r="R214"/>
          <cell r="S214"/>
          <cell r="T214"/>
          <cell r="U214"/>
          <cell r="V214"/>
          <cell r="W214"/>
          <cell r="X214"/>
          <cell r="Y214"/>
          <cell r="Z214"/>
          <cell r="AA214"/>
          <cell r="AB214"/>
          <cell r="AC214"/>
          <cell r="AD214"/>
          <cell r="AE214"/>
          <cell r="AF214"/>
          <cell r="AG214"/>
          <cell r="AH214"/>
          <cell r="AI214"/>
          <cell r="AJ214"/>
          <cell r="AK214"/>
          <cell r="AL214"/>
          <cell r="AM214"/>
          <cell r="AN214"/>
          <cell r="AO214"/>
          <cell r="AP214"/>
          <cell r="AQ214"/>
          <cell r="AR214"/>
          <cell r="AS214"/>
          <cell r="AT214"/>
          <cell r="AU214"/>
          <cell r="AV214"/>
          <cell r="AW214"/>
          <cell r="AX214"/>
          <cell r="AY214"/>
          <cell r="AZ214"/>
          <cell r="BA214"/>
          <cell r="BB214"/>
        </row>
        <row r="215">
          <cell r="B215" t="str">
            <v>Sales - % Central &amp; Eastern Europe</v>
          </cell>
          <cell r="C215" t="str">
            <v>SALES_CEE</v>
          </cell>
          <cell r="F215"/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/>
        </row>
        <row r="216">
          <cell r="B216" t="str">
            <v>Sales - % Middle East</v>
          </cell>
          <cell r="C216" t="str">
            <v>SALES_ME</v>
          </cell>
          <cell r="F216"/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/>
          <cell r="AU216"/>
          <cell r="AV216"/>
          <cell r="AW216"/>
          <cell r="AX216"/>
          <cell r="AY216"/>
          <cell r="AZ216"/>
          <cell r="BA216"/>
          <cell r="BB216"/>
        </row>
        <row r="217">
          <cell r="B217" t="str">
            <v>Sales - % Total Africa</v>
          </cell>
          <cell r="C217" t="str">
            <v>SALES_TOT_AFRICA</v>
          </cell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</row>
        <row r="218">
          <cell r="B218" t="str">
            <v>Sales - % Other EMEA</v>
          </cell>
          <cell r="C218" t="str">
            <v>SALES_OTH_EMEA</v>
          </cell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</row>
        <row r="219">
          <cell r="B219" t="str">
            <v>Sales - Total % Asia (incl Australia &amp; New Zealand)</v>
          </cell>
          <cell r="C219" t="str">
            <v>SALES_TOT_ASIA</v>
          </cell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</row>
        <row r="220">
          <cell r="B220" t="str">
            <v>Sales - % Other Asia</v>
          </cell>
          <cell r="C220" t="str">
            <v>SALES_OTH_AEJ</v>
          </cell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</row>
        <row r="221">
          <cell r="A221" t="str">
            <v>Security: Sanan</v>
          </cell>
          <cell r="B221"/>
          <cell r="C221"/>
          <cell r="D221"/>
        </row>
        <row r="222">
          <cell r="A222" t="str">
            <v>Reference Data</v>
          </cell>
          <cell r="B222"/>
          <cell r="C222"/>
          <cell r="D222"/>
        </row>
        <row r="223">
          <cell r="B223" t="str">
            <v>Ticker</v>
          </cell>
          <cell r="C223" t="str">
            <v>Ticker</v>
          </cell>
          <cell r="E223" t="str">
            <v>600703.SS</v>
          </cell>
        </row>
        <row r="224">
          <cell r="B224" t="str">
            <v>Security Name</v>
          </cell>
          <cell r="C224" t="str">
            <v>Security Name</v>
          </cell>
          <cell r="E224" t="str">
            <v>Sanan</v>
          </cell>
        </row>
        <row r="225">
          <cell r="B225" t="str">
            <v>Interim Type</v>
          </cell>
          <cell r="C225" t="str">
            <v>Interim Type</v>
          </cell>
          <cell r="E225" t="str">
            <v>Q</v>
          </cell>
        </row>
        <row r="226">
          <cell r="B226" t="str">
            <v>Publishing Currency</v>
          </cell>
          <cell r="C226" t="str">
            <v>PUB_CURRENCY_ISO</v>
          </cell>
          <cell r="E226" t="str">
            <v>CNY</v>
          </cell>
        </row>
        <row r="227">
          <cell r="B227" t="str">
            <v>Pricing Currency</v>
          </cell>
          <cell r="C227" t="str">
            <v>PRICE_CURRENCY_ISO</v>
          </cell>
          <cell r="E227" t="str">
            <v>CNY</v>
          </cell>
        </row>
        <row r="228">
          <cell r="B228" t="str">
            <v>Reporting Currency</v>
          </cell>
          <cell r="C228" t="str">
            <v>CURRENCY_ISO</v>
          </cell>
          <cell r="E228" t="str">
            <v>CNY</v>
          </cell>
        </row>
        <row r="229">
          <cell r="A229" t="str">
            <v>General Information</v>
          </cell>
          <cell r="B229"/>
          <cell r="C229"/>
          <cell r="D229"/>
        </row>
        <row r="230">
          <cell r="B230" t="str">
            <v>Asia ex. Japan Investment List</v>
          </cell>
          <cell r="C230" t="str">
            <v>AEJ_LIST</v>
          </cell>
          <cell r="E230" t="str">
            <v>Buy</v>
          </cell>
        </row>
        <row r="231">
          <cell r="B231" t="str">
            <v>Asia ex. Japan Conviction List</v>
          </cell>
          <cell r="C231" t="str">
            <v>AEJ_CONVICTION</v>
          </cell>
          <cell r="E231"/>
        </row>
        <row r="232">
          <cell r="B232" t="str">
            <v>Legal rating</v>
          </cell>
          <cell r="C232" t="str">
            <v>LEGAL_RATING</v>
          </cell>
          <cell r="E232"/>
        </row>
        <row r="233">
          <cell r="B233" t="str">
            <v>Target price</v>
          </cell>
          <cell r="C233" t="str">
            <v>TARGET_PRICE</v>
          </cell>
          <cell r="D233" t="str">
            <v>CNY</v>
          </cell>
          <cell r="E233">
            <v>32.9</v>
          </cell>
        </row>
        <row r="234">
          <cell r="B234" t="str">
            <v>Target price period</v>
          </cell>
          <cell r="C234" t="str">
            <v>TP_PERIOD</v>
          </cell>
          <cell r="E234" t="str">
            <v>12 months</v>
          </cell>
        </row>
        <row r="235">
          <cell r="B235" t="str">
            <v>Fundamental value</v>
          </cell>
          <cell r="C235" t="str">
            <v>TARGET_PRICE_FUNDAMENTAL</v>
          </cell>
          <cell r="D235" t="str">
            <v>CNY</v>
          </cell>
          <cell r="E235"/>
        </row>
        <row r="236">
          <cell r="B236" t="str">
            <v>M&amp;A value</v>
          </cell>
          <cell r="C236" t="str">
            <v>TARGET_PRICE_MA</v>
          </cell>
          <cell r="D236" t="str">
            <v>CNY</v>
          </cell>
          <cell r="E236"/>
        </row>
        <row r="237">
          <cell r="B237" t="str">
            <v>Current shares outstanding (mn)</v>
          </cell>
          <cell r="C237" t="str">
            <v>NUM_SH</v>
          </cell>
          <cell r="E237">
            <v>4078.4249279999999</v>
          </cell>
        </row>
        <row r="238">
          <cell r="B238" t="str">
            <v>Free float</v>
          </cell>
          <cell r="C238" t="str">
            <v>FREE_FLOAT</v>
          </cell>
          <cell r="E238"/>
        </row>
        <row r="239">
          <cell r="B239" t="str">
            <v>Foreign ownership</v>
          </cell>
          <cell r="C239" t="str">
            <v>FOREIGN_HOLDNG</v>
          </cell>
          <cell r="E239"/>
        </row>
        <row r="240">
          <cell r="B240" t="str">
            <v>Catalyst 1 date</v>
          </cell>
          <cell r="C240" t="str">
            <v>CATALYST1_DATE</v>
          </cell>
          <cell r="E240"/>
        </row>
        <row r="241">
          <cell r="B241" t="str">
            <v>Catalyst 1 description</v>
          </cell>
          <cell r="C241" t="str">
            <v>CATALYST1_EVENT</v>
          </cell>
          <cell r="E241"/>
        </row>
        <row r="242">
          <cell r="B242" t="str">
            <v>Catalyst 2 date</v>
          </cell>
          <cell r="C242" t="str">
            <v>CATALYST2_DATE</v>
          </cell>
          <cell r="E242"/>
        </row>
        <row r="243">
          <cell r="B243" t="str">
            <v>Catalyst 2 description</v>
          </cell>
          <cell r="C243" t="str">
            <v>CATALYST2_EVENT</v>
          </cell>
          <cell r="E243"/>
        </row>
        <row r="244">
          <cell r="B244" t="str">
            <v>Catalyst 3 date</v>
          </cell>
          <cell r="C244" t="str">
            <v>CATALYST3_DATE</v>
          </cell>
          <cell r="E244"/>
        </row>
        <row r="245">
          <cell r="B245" t="str">
            <v>Catalyst 3 description</v>
          </cell>
          <cell r="C245" t="str">
            <v>CATALYST3_EVENT</v>
          </cell>
          <cell r="E245"/>
        </row>
        <row r="246">
          <cell r="B246" t="str">
            <v>Catalyst 4 date</v>
          </cell>
          <cell r="C246" t="str">
            <v>CATALYST4_DATE</v>
          </cell>
          <cell r="E246"/>
        </row>
        <row r="247">
          <cell r="B247" t="str">
            <v>Catalyst 4 description</v>
          </cell>
          <cell r="C247" t="str">
            <v>CATALYST4_EVENT</v>
          </cell>
          <cell r="E247"/>
        </row>
        <row r="248">
          <cell r="B248" t="str">
            <v>Catalyst 5 date</v>
          </cell>
          <cell r="C248" t="str">
            <v>CATALYST5_DATE</v>
          </cell>
          <cell r="E248"/>
        </row>
        <row r="249">
          <cell r="B249" t="str">
            <v>Catalyst 5 description</v>
          </cell>
          <cell r="C249" t="str">
            <v>CATALYST5_EVENT</v>
          </cell>
          <cell r="E249"/>
        </row>
        <row r="250">
          <cell r="B250" t="str">
            <v>Target price multiple</v>
          </cell>
          <cell r="C250" t="str">
            <v>PRI_TARG_MULT</v>
          </cell>
          <cell r="E250">
            <v>0</v>
          </cell>
        </row>
        <row r="251">
          <cell r="B251" t="str">
            <v>Target price methodology</v>
          </cell>
          <cell r="C251" t="str">
            <v>PRI_TARG_METH</v>
          </cell>
          <cell r="E251" t="str">
            <v>2020 PE</v>
          </cell>
        </row>
        <row r="252">
          <cell r="A252" t="str">
            <v>Publishing Items</v>
          </cell>
          <cell r="B252"/>
          <cell r="C252"/>
          <cell r="D252"/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  <cell r="AM252"/>
          <cell r="AN252"/>
          <cell r="AO252"/>
          <cell r="AP252"/>
          <cell r="AQ252"/>
          <cell r="AR252"/>
          <cell r="AS252"/>
          <cell r="AT252"/>
          <cell r="AU252"/>
          <cell r="AV252"/>
          <cell r="AW252"/>
          <cell r="AX252"/>
          <cell r="AY252"/>
          <cell r="AZ252"/>
          <cell r="BA252"/>
          <cell r="BB252"/>
        </row>
        <row r="253">
          <cell r="B253" t="str">
            <v>Book value per share, BVPS (Pub)</v>
          </cell>
          <cell r="C253" t="str">
            <v>BVPS_PUB</v>
          </cell>
          <cell r="D253" t="str">
            <v>CNY</v>
          </cell>
          <cell r="F253">
            <v>5.2615909802154954</v>
          </cell>
          <cell r="G253">
            <v>7.4042542060635448</v>
          </cell>
          <cell r="H253">
            <v>3.9229726857536584</v>
          </cell>
          <cell r="I253">
            <v>4.1839739550379473</v>
          </cell>
          <cell r="J253">
            <v>4.8250954900862384</v>
          </cell>
          <cell r="K253">
            <v>4.730081389386303</v>
          </cell>
          <cell r="L253">
            <v>6.2449948107025683</v>
          </cell>
          <cell r="M253">
            <v>4.2751338623389259</v>
          </cell>
          <cell r="N253">
            <v>4.8472550296259858</v>
          </cell>
          <cell r="O253">
            <v>5.210070093829124</v>
          </cell>
          <cell r="P253">
            <v>5.3317784496069072</v>
          </cell>
          <cell r="Q253">
            <v>5.589009115037622</v>
          </cell>
          <cell r="R253">
            <v>5.9404389077956541</v>
          </cell>
          <cell r="S253">
            <v>6.4191699145132048</v>
          </cell>
          <cell r="T253">
            <v>7.3216798881444012</v>
          </cell>
          <cell r="U253">
            <v>7.8227127713765983</v>
          </cell>
          <cell r="V253">
            <v>8.5038791165369787</v>
          </cell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</row>
        <row r="254">
          <cell r="B254" t="str">
            <v>DPS, dividend per share (Pub)</v>
          </cell>
          <cell r="C254" t="str">
            <v>DPS_PUB</v>
          </cell>
          <cell r="D254" t="str">
            <v>CNY</v>
          </cell>
          <cell r="F254">
            <v>0</v>
          </cell>
          <cell r="G254" t="str">
            <v>0.20</v>
          </cell>
          <cell r="H254">
            <v>0.3</v>
          </cell>
          <cell r="I254">
            <v>0.2</v>
          </cell>
          <cell r="J254">
            <v>0.22</v>
          </cell>
          <cell r="K254">
            <v>0.2</v>
          </cell>
          <cell r="L254">
            <v>0.25</v>
          </cell>
          <cell r="M254">
            <v>0.2</v>
          </cell>
          <cell r="N254">
            <v>0.25</v>
          </cell>
          <cell r="O254">
            <v>0.2</v>
          </cell>
          <cell r="P254">
            <v>0.1</v>
          </cell>
          <cell r="Q254">
            <v>0.11676475698849341</v>
          </cell>
          <cell r="R254">
            <v>0.15952458188139659</v>
          </cell>
          <cell r="S254">
            <v>0.2173104422391969</v>
          </cell>
          <cell r="T254">
            <v>0.69384211402300922</v>
          </cell>
          <cell r="U254">
            <v>0.97754142281992584</v>
          </cell>
          <cell r="V254">
            <v>1.3289912508926833</v>
          </cell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</row>
        <row r="255">
          <cell r="B255" t="str">
            <v>Special dividend per share</v>
          </cell>
          <cell r="C255" t="str">
            <v>DPS_SPECIAL_PUB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</row>
        <row r="256">
          <cell r="B256" t="str">
            <v>EBITDA (Pub)</v>
          </cell>
          <cell r="C256" t="str">
            <v>EBITDA_PUB</v>
          </cell>
          <cell r="D256" t="str">
            <v>CNY</v>
          </cell>
          <cell r="F256">
            <v>229.98862030000004</v>
          </cell>
          <cell r="G256">
            <v>420.66236649999996</v>
          </cell>
          <cell r="H256">
            <v>781.70434250000005</v>
          </cell>
          <cell r="I256">
            <v>1035.1330535000002</v>
          </cell>
          <cell r="J256">
            <v>1597.2730671999998</v>
          </cell>
          <cell r="K256">
            <v>2333.5838271999996</v>
          </cell>
          <cell r="L256">
            <v>2561.2085136000001</v>
          </cell>
          <cell r="M256">
            <v>3071.4607108</v>
          </cell>
          <cell r="N256">
            <v>4722.8197559</v>
          </cell>
          <cell r="O256">
            <v>4315.3640008999992</v>
          </cell>
          <cell r="P256">
            <v>2884.3033371399988</v>
          </cell>
          <cell r="Q256">
            <v>3122.7198782714468</v>
          </cell>
          <cell r="R256">
            <v>3887.7231307385018</v>
          </cell>
          <cell r="S256">
            <v>4867.1350018296316</v>
          </cell>
          <cell r="T256">
            <v>9421.1327293844479</v>
          </cell>
          <cell r="U256">
            <v>405.15900819999996</v>
          </cell>
          <cell r="V256">
            <v>656.33890610000014</v>
          </cell>
          <cell r="W256">
            <v>645.33228409999992</v>
          </cell>
          <cell r="X256">
            <v>626.7536288</v>
          </cell>
          <cell r="Y256">
            <v>511.52383247500006</v>
          </cell>
          <cell r="Z256">
            <v>799.04822627500005</v>
          </cell>
          <cell r="AA256">
            <v>643.67726837500004</v>
          </cell>
          <cell r="AB256">
            <v>606.95918647500002</v>
          </cell>
          <cell r="AC256">
            <v>585.73540762499977</v>
          </cell>
          <cell r="AD256">
            <v>707.49563052500025</v>
          </cell>
          <cell r="AE256">
            <v>789.45013762500014</v>
          </cell>
          <cell r="AF256">
            <v>988.77953512499994</v>
          </cell>
          <cell r="AG256">
            <v>1068.2098913249999</v>
          </cell>
          <cell r="AH256">
            <v>1203.0231798249999</v>
          </cell>
          <cell r="AI256">
            <v>1228.1401286249998</v>
          </cell>
          <cell r="AJ256">
            <v>1223.4465561249999</v>
          </cell>
          <cell r="AK256">
            <v>1170.5813855249999</v>
          </cell>
          <cell r="AL256">
            <v>1216.9391955249998</v>
          </cell>
          <cell r="AM256">
            <v>1138.4184561249999</v>
          </cell>
          <cell r="AN256">
            <v>789.42496382499985</v>
          </cell>
          <cell r="AO256">
            <v>839.82776773500007</v>
          </cell>
          <cell r="AP256">
            <v>731.07057643500002</v>
          </cell>
          <cell r="AQ256">
            <v>700.98045463500034</v>
          </cell>
          <cell r="AR256">
            <v>612.42453833499985</v>
          </cell>
          <cell r="AS256">
            <v>673.73194985812904</v>
          </cell>
          <cell r="AT256">
            <v>726.01279691101661</v>
          </cell>
          <cell r="AU256">
            <v>839.20042027706518</v>
          </cell>
          <cell r="AV256">
            <v>883.77471122523502</v>
          </cell>
          <cell r="AW256">
            <v>835.53431158073681</v>
          </cell>
          <cell r="AX256">
            <v>907.05899920427305</v>
          </cell>
          <cell r="AY256">
            <v>1037.4406830672958</v>
          </cell>
          <cell r="AZ256">
            <v>1107.689136886195</v>
          </cell>
          <cell r="BA256">
            <v>1088.7414331775647</v>
          </cell>
          <cell r="BB256">
            <v>1155.1449819022446</v>
          </cell>
        </row>
        <row r="257">
          <cell r="B257" t="str">
            <v>EPS (Pub)</v>
          </cell>
          <cell r="C257" t="str">
            <v>EPS_PUB</v>
          </cell>
          <cell r="D257" t="str">
            <v>CNY</v>
          </cell>
          <cell r="F257">
            <v>0.71000000000000008</v>
          </cell>
          <cell r="G257">
            <v>0.72000000017172905</v>
          </cell>
          <cell r="H257">
            <v>0.65000000000000024</v>
          </cell>
          <cell r="I257">
            <v>0.56000000000000028</v>
          </cell>
          <cell r="J257">
            <v>0.71999999993050101</v>
          </cell>
          <cell r="K257">
            <v>0.60999999999999976</v>
          </cell>
          <cell r="L257">
            <v>0.71000000000000019</v>
          </cell>
          <cell r="M257">
            <v>0.5299999999999998</v>
          </cell>
          <cell r="N257">
            <v>0.78</v>
          </cell>
          <cell r="O257">
            <v>0.69</v>
          </cell>
          <cell r="P257">
            <v>0.32000000002464452</v>
          </cell>
          <cell r="Q257">
            <v>0.37399542241920858</v>
          </cell>
          <cell r="R257">
            <v>0.51095437463942894</v>
          </cell>
          <cell r="S257">
            <v>0.69604144895674713</v>
          </cell>
          <cell r="T257">
            <v>1.0494666500084369</v>
          </cell>
          <cell r="U257">
            <v>9.5120438898148058E-2</v>
          </cell>
          <cell r="V257">
            <v>0.18265647862691126</v>
          </cell>
          <cell r="W257">
            <v>0.16010255679658272</v>
          </cell>
          <cell r="X257">
            <v>0.17212052572007216</v>
          </cell>
          <cell r="Y257">
            <v>0.14846106439343951</v>
          </cell>
          <cell r="Z257">
            <v>0.23030759865138134</v>
          </cell>
          <cell r="AA257">
            <v>0.2273654991481007</v>
          </cell>
          <cell r="AB257">
            <v>0.1038658378070786</v>
          </cell>
          <cell r="AC257">
            <v>0.11183218174451952</v>
          </cell>
          <cell r="AD257">
            <v>0.12454541558971449</v>
          </cell>
          <cell r="AE257">
            <v>0.12950118009555608</v>
          </cell>
          <cell r="AF257">
            <v>0.16412122254574818</v>
          </cell>
          <cell r="AG257">
            <v>0.17032518327730448</v>
          </cell>
          <cell r="AH257">
            <v>0.20308796458025566</v>
          </cell>
          <cell r="AI257">
            <v>0.2126660683483709</v>
          </cell>
          <cell r="AJ257">
            <v>0.19392078376941835</v>
          </cell>
          <cell r="AK257">
            <v>0.23607155009899206</v>
          </cell>
          <cell r="AL257">
            <v>0.21567553073265866</v>
          </cell>
          <cell r="AM257">
            <v>0.18058204165861724</v>
          </cell>
          <cell r="AN257">
            <v>5.7670877509731926E-2</v>
          </cell>
          <cell r="AO257">
            <v>0.15307790550116943</v>
          </cell>
          <cell r="AP257">
            <v>6.4550009314327486E-2</v>
          </cell>
          <cell r="AQ257">
            <v>6.6382939282738321E-2</v>
          </cell>
          <cell r="AR257">
            <v>3.5989145955982974E-2</v>
          </cell>
          <cell r="AS257">
            <v>9.6018164468712294E-2</v>
          </cell>
          <cell r="AT257">
            <v>7.3976625916711655E-2</v>
          </cell>
          <cell r="AU257">
            <v>9.7288959797062244E-2</v>
          </cell>
          <cell r="AV257">
            <v>0.10671167223672214</v>
          </cell>
          <cell r="AW257">
            <v>9.9646122240148807E-2</v>
          </cell>
          <cell r="AX257">
            <v>0.11437748021888523</v>
          </cell>
          <cell r="AY257">
            <v>0.14123113484742497</v>
          </cell>
          <cell r="AZ257">
            <v>0.15569963733296963</v>
          </cell>
          <cell r="BA257">
            <v>0.14479625419049544</v>
          </cell>
          <cell r="BB257">
            <v>0.16226255115226484</v>
          </cell>
        </row>
        <row r="258">
          <cell r="B258" t="str">
            <v>EV adjustment (Pub)</v>
          </cell>
          <cell r="C258" t="str">
            <v>EV_ADJ_PUB</v>
          </cell>
          <cell r="D258" t="str">
            <v>CNY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  <cell r="BA258"/>
          <cell r="BB258"/>
        </row>
        <row r="259">
          <cell r="B259" t="str">
            <v>Net debt (Pub)</v>
          </cell>
          <cell r="C259" t="str">
            <v>NET_DEBT_PUB</v>
          </cell>
          <cell r="D259" t="str">
            <v>CNY</v>
          </cell>
          <cell r="F259">
            <v>-522.12718960000007</v>
          </cell>
          <cell r="G259">
            <v>-1507.7946859000001</v>
          </cell>
          <cell r="H259">
            <v>430.36531619999982</v>
          </cell>
          <cell r="I259">
            <v>1953.5159443000002</v>
          </cell>
          <cell r="J259">
            <v>3138.0827170000002</v>
          </cell>
          <cell r="K259">
            <v>-120.21561689999999</v>
          </cell>
          <cell r="L259">
            <v>-3283.8151108000002</v>
          </cell>
          <cell r="M259">
            <v>-4924.8517642999996</v>
          </cell>
          <cell r="N259">
            <v>-4148.3487219999997</v>
          </cell>
          <cell r="O259">
            <v>-945.92776049999975</v>
          </cell>
          <cell r="P259">
            <v>-1001.7286497</v>
          </cell>
          <cell r="Q259">
            <v>-619.6941963398192</v>
          </cell>
          <cell r="R259">
            <v>-582.12259806018915</v>
          </cell>
          <cell r="S259">
            <v>-1070.4216647336254</v>
          </cell>
          <cell r="T259">
            <v>301.03357205287648</v>
          </cell>
          <cell r="U259">
            <v>-1599.3701195617102</v>
          </cell>
          <cell r="V259">
            <v>-1777.4916035218655</v>
          </cell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</row>
        <row r="260">
          <cell r="B260" t="str">
            <v>Net Debt (ex leases) (Pub)</v>
          </cell>
          <cell r="C260" t="str">
            <v>NET_DEBT_EX_LEASES_PUB</v>
          </cell>
          <cell r="D260" t="str">
            <v>CNY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</row>
        <row r="261">
          <cell r="B261" t="str">
            <v>Consensus equivalent net debt</v>
          </cell>
          <cell r="C261" t="str">
            <v>CEEE_NDEBT</v>
          </cell>
          <cell r="D261" t="str">
            <v>CNY</v>
          </cell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</row>
        <row r="262">
          <cell r="B262" t="str">
            <v>Net income (Pub)</v>
          </cell>
          <cell r="C262" t="str">
            <v>NI_PUB</v>
          </cell>
          <cell r="D262" t="str">
            <v>CNY</v>
          </cell>
          <cell r="F262">
            <v>180.15110990000002</v>
          </cell>
          <cell r="G262">
            <v>419.2649550999999</v>
          </cell>
          <cell r="H262">
            <v>936.17100270000026</v>
          </cell>
          <cell r="I262">
            <v>810.04162320000034</v>
          </cell>
          <cell r="J262">
            <v>1035.9877294</v>
          </cell>
          <cell r="K262">
            <v>1462.3276466999996</v>
          </cell>
          <cell r="L262">
            <v>1694.5546629000005</v>
          </cell>
          <cell r="M262">
            <v>2166.6523415999986</v>
          </cell>
          <cell r="N262">
            <v>3164.2108891000007</v>
          </cell>
          <cell r="O262">
            <v>2830.1580662000001</v>
          </cell>
          <cell r="P262">
            <v>1298.4667003199986</v>
          </cell>
          <cell r="Q262">
            <v>1525.3122537523902</v>
          </cell>
          <cell r="R262">
            <v>2083.889058600098</v>
          </cell>
          <cell r="S262">
            <v>2838.7527963464372</v>
          </cell>
          <cell r="T262">
            <v>4700.9193167511703</v>
          </cell>
          <cell r="U262">
            <v>228.02827479999999</v>
          </cell>
          <cell r="V262">
            <v>437.87478440000012</v>
          </cell>
          <cell r="W262">
            <v>383.80720509999986</v>
          </cell>
          <cell r="X262">
            <v>412.61738259999993</v>
          </cell>
          <cell r="Y262">
            <v>354.33153370000019</v>
          </cell>
          <cell r="Z262">
            <v>549.67438750000008</v>
          </cell>
          <cell r="AA262">
            <v>542.65248840000004</v>
          </cell>
          <cell r="AB262">
            <v>247.8962533000003</v>
          </cell>
          <cell r="AC262">
            <v>457.17256309999993</v>
          </cell>
          <cell r="AD262">
            <v>509.14455910000004</v>
          </cell>
          <cell r="AE262">
            <v>529.40383979999967</v>
          </cell>
          <cell r="AF262">
            <v>670.93137949999993</v>
          </cell>
          <cell r="AG262">
            <v>690.95487120000007</v>
          </cell>
          <cell r="AH262">
            <v>823.86301149999997</v>
          </cell>
          <cell r="AI262">
            <v>862.71831950000001</v>
          </cell>
          <cell r="AJ262">
            <v>786.67468670000005</v>
          </cell>
          <cell r="AK262">
            <v>968.28956779999953</v>
          </cell>
          <cell r="AL262">
            <v>884.63165639999988</v>
          </cell>
          <cell r="AM262">
            <v>740.68945200000007</v>
          </cell>
          <cell r="AN262">
            <v>236.54739009999994</v>
          </cell>
          <cell r="AO262">
            <v>621.14550889999998</v>
          </cell>
          <cell r="AP262">
            <v>261.92511739999986</v>
          </cell>
          <cell r="AQ262">
            <v>269.3626129000001</v>
          </cell>
          <cell r="AR262">
            <v>146.03346124000007</v>
          </cell>
          <cell r="AS262">
            <v>391.6028755100001</v>
          </cell>
          <cell r="AT262">
            <v>301.70811522804763</v>
          </cell>
          <cell r="AU262">
            <v>396.78571885552844</v>
          </cell>
          <cell r="AV262">
            <v>435.21554415881309</v>
          </cell>
          <cell r="AW262">
            <v>406.39922892275808</v>
          </cell>
          <cell r="AX262">
            <v>466.47996652652841</v>
          </cell>
          <cell r="AY262">
            <v>576.00058097146746</v>
          </cell>
          <cell r="AZ262">
            <v>635.00928217934279</v>
          </cell>
          <cell r="BA262">
            <v>590.54065257154105</v>
          </cell>
          <cell r="BB262">
            <v>661.77563350027208</v>
          </cell>
        </row>
        <row r="263">
          <cell r="B263" t="str">
            <v>EBIT, operating profit (Pub)</v>
          </cell>
          <cell r="C263" t="str">
            <v>EBIT_PUB</v>
          </cell>
          <cell r="D263" t="str">
            <v>CNY</v>
          </cell>
          <cell r="F263">
            <v>163.07559250000003</v>
          </cell>
          <cell r="G263">
            <v>320.96087069999999</v>
          </cell>
          <cell r="H263">
            <v>551.29886710000005</v>
          </cell>
          <cell r="I263">
            <v>627.79436820000012</v>
          </cell>
          <cell r="J263">
            <v>970.41917139999975</v>
          </cell>
          <cell r="K263">
            <v>1551.2802567999995</v>
          </cell>
          <cell r="L263">
            <v>1751.8968573000002</v>
          </cell>
          <cell r="M263">
            <v>2027.3699110999999</v>
          </cell>
          <cell r="N263">
            <v>3483.5264377999997</v>
          </cell>
          <cell r="O263">
            <v>2876.2152663999991</v>
          </cell>
          <cell r="P263">
            <v>1273.9207857999986</v>
          </cell>
          <cell r="Q263">
            <v>1416.8682559589311</v>
          </cell>
          <cell r="R263">
            <v>2108.2470019670645</v>
          </cell>
          <cell r="S263">
            <v>2982.421456756334</v>
          </cell>
          <cell r="T263">
            <v>5184.8718517575908</v>
          </cell>
          <cell r="U263">
            <v>209.58311559999996</v>
          </cell>
          <cell r="V263">
            <v>460.76301350000011</v>
          </cell>
          <cell r="W263">
            <v>449.75639149999989</v>
          </cell>
          <cell r="X263">
            <v>431.17773619999997</v>
          </cell>
          <cell r="Y263">
            <v>309.1959184000001</v>
          </cell>
          <cell r="Z263">
            <v>596.72031220000008</v>
          </cell>
          <cell r="AA263">
            <v>441.34935430000007</v>
          </cell>
          <cell r="AB263">
            <v>404.63127240000006</v>
          </cell>
          <cell r="AC263">
            <v>324.71270769999973</v>
          </cell>
          <cell r="AD263">
            <v>446.47293060000021</v>
          </cell>
          <cell r="AE263">
            <v>528.42743770000004</v>
          </cell>
          <cell r="AF263">
            <v>727.75683519999984</v>
          </cell>
          <cell r="AG263">
            <v>758.38656179999987</v>
          </cell>
          <cell r="AH263">
            <v>893.19985029999987</v>
          </cell>
          <cell r="AI263">
            <v>918.31679909999968</v>
          </cell>
          <cell r="AJ263">
            <v>913.62322659999984</v>
          </cell>
          <cell r="AK263">
            <v>810.79420189999985</v>
          </cell>
          <cell r="AL263">
            <v>857.15201189999982</v>
          </cell>
          <cell r="AM263">
            <v>778.63127249999991</v>
          </cell>
          <cell r="AN263">
            <v>429.63778019999984</v>
          </cell>
          <cell r="AO263">
            <v>437.23212990000002</v>
          </cell>
          <cell r="AP263">
            <v>328.47493859999997</v>
          </cell>
          <cell r="AQ263">
            <v>298.38481680000029</v>
          </cell>
          <cell r="AR263">
            <v>209.8289004999998</v>
          </cell>
          <cell r="AS263">
            <v>247.26904428000012</v>
          </cell>
          <cell r="AT263">
            <v>299.54989133288768</v>
          </cell>
          <cell r="AU263">
            <v>412.73751469893625</v>
          </cell>
          <cell r="AV263">
            <v>457.3118056471061</v>
          </cell>
          <cell r="AW263">
            <v>390.6652793878776</v>
          </cell>
          <cell r="AX263">
            <v>462.18996701141373</v>
          </cell>
          <cell r="AY263">
            <v>592.5716508744365</v>
          </cell>
          <cell r="AZ263">
            <v>662.82010469333568</v>
          </cell>
          <cell r="BA263">
            <v>617.56304690924026</v>
          </cell>
          <cell r="BB263">
            <v>683.96659563392018</v>
          </cell>
        </row>
        <row r="264">
          <cell r="B264" t="str">
            <v>Pre-tax profit (Pub)</v>
          </cell>
          <cell r="C264" t="str">
            <v>PTP_PUB</v>
          </cell>
          <cell r="D264" t="str">
            <v>CNY</v>
          </cell>
          <cell r="F264">
            <v>204.68111220000003</v>
          </cell>
          <cell r="G264">
            <v>544.92042289999995</v>
          </cell>
          <cell r="H264">
            <v>1366.5081440000004</v>
          </cell>
          <cell r="I264">
            <v>1014.5629791000003</v>
          </cell>
          <cell r="J264">
            <v>1263.9887101999998</v>
          </cell>
          <cell r="K264">
            <v>1828.5717754999996</v>
          </cell>
          <cell r="L264">
            <v>2100.4967519000006</v>
          </cell>
          <cell r="M264">
            <v>2616.7403271999992</v>
          </cell>
          <cell r="N264">
            <v>3854.4279763</v>
          </cell>
          <cell r="O264">
            <v>3247.7032132999998</v>
          </cell>
          <cell r="P264">
            <v>1590.7210275099987</v>
          </cell>
          <cell r="Q264">
            <v>1791.8743535571311</v>
          </cell>
          <cell r="R264">
            <v>2480.8203078572592</v>
          </cell>
          <cell r="S264">
            <v>3379.4676146981396</v>
          </cell>
          <cell r="T264">
            <v>5530.4933138249071</v>
          </cell>
          <cell r="U264">
            <v>277.31484590000002</v>
          </cell>
          <cell r="V264">
            <v>520.21562030000007</v>
          </cell>
          <cell r="W264">
            <v>477.01481539999992</v>
          </cell>
          <cell r="X264">
            <v>554.02649399999996</v>
          </cell>
          <cell r="Y264">
            <v>494.06784080000011</v>
          </cell>
          <cell r="Z264">
            <v>655.63251920000005</v>
          </cell>
          <cell r="AA264">
            <v>675.13360340000008</v>
          </cell>
          <cell r="AB264">
            <v>275.66278850000026</v>
          </cell>
          <cell r="AC264">
            <v>533.52487009999993</v>
          </cell>
          <cell r="AD264">
            <v>628.82506810000007</v>
          </cell>
          <cell r="AE264">
            <v>660.35862779999979</v>
          </cell>
          <cell r="AF264">
            <v>794.03176119999989</v>
          </cell>
          <cell r="AG264">
            <v>855.79412100000002</v>
          </cell>
          <cell r="AH264">
            <v>1027.4002581</v>
          </cell>
          <cell r="AI264">
            <v>1065.5648799000001</v>
          </cell>
          <cell r="AJ264">
            <v>905.66871720000006</v>
          </cell>
          <cell r="AK264">
            <v>1112.0487052999997</v>
          </cell>
          <cell r="AL264">
            <v>942.74214599999982</v>
          </cell>
          <cell r="AM264">
            <v>870.94797429999994</v>
          </cell>
          <cell r="AN264">
            <v>321.96438769999997</v>
          </cell>
          <cell r="AO264">
            <v>693.86138579999999</v>
          </cell>
          <cell r="AP264">
            <v>329.41561569999988</v>
          </cell>
          <cell r="AQ264">
            <v>326.19787370000012</v>
          </cell>
          <cell r="AR264">
            <v>241.24615243000005</v>
          </cell>
          <cell r="AS264">
            <v>442.22033184000009</v>
          </cell>
          <cell r="AT264">
            <v>359.17632765243769</v>
          </cell>
          <cell r="AU264">
            <v>472.36395101848626</v>
          </cell>
          <cell r="AV264">
            <v>518.11374304620608</v>
          </cell>
          <cell r="AW264">
            <v>483.80860586042627</v>
          </cell>
          <cell r="AX264">
            <v>555.33329348396239</v>
          </cell>
          <cell r="AY264">
            <v>685.71497734698517</v>
          </cell>
          <cell r="AZ264">
            <v>755.96343116588434</v>
          </cell>
          <cell r="BA264">
            <v>703.02458639469171</v>
          </cell>
          <cell r="BB264">
            <v>787.82813511937161</v>
          </cell>
        </row>
        <row r="265">
          <cell r="B265" t="str">
            <v>Sales, revenue (Pub)</v>
          </cell>
          <cell r="C265" t="str">
            <v>REVS_PUB</v>
          </cell>
          <cell r="D265" t="str">
            <v>CNY</v>
          </cell>
          <cell r="F265">
            <v>470.29375900000002</v>
          </cell>
          <cell r="G265">
            <v>862.61084189999997</v>
          </cell>
          <cell r="H265">
            <v>1747.3119655999999</v>
          </cell>
          <cell r="I265">
            <v>3363.1581839</v>
          </cell>
          <cell r="J265">
            <v>3732.0673683</v>
          </cell>
          <cell r="K265">
            <v>4579.6650718000001</v>
          </cell>
          <cell r="L265">
            <v>4858.2538021</v>
          </cell>
          <cell r="M265">
            <v>6272.6026578999999</v>
          </cell>
          <cell r="N265">
            <v>8393.7257836999997</v>
          </cell>
          <cell r="O265">
            <v>8364.3742254999997</v>
          </cell>
          <cell r="P265">
            <v>7460.0138789199991</v>
          </cell>
          <cell r="Q265">
            <v>7774.0189432736042</v>
          </cell>
          <cell r="R265">
            <v>9871.3404882413779</v>
          </cell>
          <cell r="S265">
            <v>12568.031888771333</v>
          </cell>
          <cell r="T265">
            <v>21646.360501606759</v>
          </cell>
          <cell r="U265">
            <v>822.52028689999997</v>
          </cell>
          <cell r="V265">
            <v>1354.4359935</v>
          </cell>
          <cell r="W265">
            <v>1301.0826692999999</v>
          </cell>
          <cell r="X265">
            <v>1101.6261222000001</v>
          </cell>
          <cell r="Y265">
            <v>926.59462450000001</v>
          </cell>
          <cell r="Z265">
            <v>1364.8055884</v>
          </cell>
          <cell r="AA265">
            <v>1310.1210477</v>
          </cell>
          <cell r="AB265">
            <v>1256.7325415</v>
          </cell>
          <cell r="AC265">
            <v>1178.1832107999999</v>
          </cell>
          <cell r="AD265">
            <v>1600.1824829000002</v>
          </cell>
          <cell r="AE265">
            <v>1707.3974378</v>
          </cell>
          <cell r="AF265">
            <v>1786.8395264999999</v>
          </cell>
          <cell r="AG265">
            <v>1989.9348844000001</v>
          </cell>
          <cell r="AH265">
            <v>2076.6807985</v>
          </cell>
          <cell r="AI265">
            <v>2215.9046279999998</v>
          </cell>
          <cell r="AJ265">
            <v>2111.2054727</v>
          </cell>
          <cell r="AK265">
            <v>1944.9134947</v>
          </cell>
          <cell r="AL265">
            <v>2228.2823898000001</v>
          </cell>
          <cell r="AM265">
            <v>2220.1244207</v>
          </cell>
          <cell r="AN265">
            <v>1971.0539202999998</v>
          </cell>
          <cell r="AO265">
            <v>1729.0078114999999</v>
          </cell>
          <cell r="AP265">
            <v>1658.6357237</v>
          </cell>
          <cell r="AQ265">
            <v>1944.5454382</v>
          </cell>
          <cell r="AR265">
            <v>2127.8249055199999</v>
          </cell>
          <cell r="AS265">
            <v>1681.5915208599999</v>
          </cell>
          <cell r="AT265">
            <v>1712.7815974763041</v>
          </cell>
          <cell r="AU265">
            <v>2105.6637646459385</v>
          </cell>
          <cell r="AV265">
            <v>2273.982060291361</v>
          </cell>
          <cell r="AW265">
            <v>2127.4878416040046</v>
          </cell>
          <cell r="AX265">
            <v>2258.267912005791</v>
          </cell>
          <cell r="AY265">
            <v>2638.9490313308006</v>
          </cell>
          <cell r="AZ265">
            <v>2846.6357033007816</v>
          </cell>
          <cell r="BA265">
            <v>2803.1181354947785</v>
          </cell>
          <cell r="BB265">
            <v>2918.0828966286954</v>
          </cell>
        </row>
        <row r="266">
          <cell r="B266" t="str">
            <v>Total shareholders' equity (Pub)</v>
          </cell>
          <cell r="C266" t="str">
            <v>EQ_PUB</v>
          </cell>
          <cell r="D266" t="str">
            <v>CNY</v>
          </cell>
          <cell r="F266">
            <v>1461.064623</v>
          </cell>
          <cell r="G266">
            <v>4910.4615670000003</v>
          </cell>
          <cell r="H266">
            <v>5907.046971400001</v>
          </cell>
          <cell r="I266">
            <v>6293.0177836000003</v>
          </cell>
          <cell r="J266">
            <v>7002.9744486999998</v>
          </cell>
          <cell r="K266">
            <v>11459.5633846</v>
          </cell>
          <cell r="L266">
            <v>15978.702036499999</v>
          </cell>
          <cell r="M266">
            <v>17435.812514699996</v>
          </cell>
          <cell r="N266">
            <v>19772.341183199998</v>
          </cell>
          <cell r="O266">
            <v>21248.879747299998</v>
          </cell>
          <cell r="P266">
            <v>21745.258139450001</v>
          </cell>
          <cell r="Q266">
            <v>22794.354097588657</v>
          </cell>
          <cell r="R266">
            <v>24227.634124814889</v>
          </cell>
          <cell r="S266">
            <v>26180.102596418285</v>
          </cell>
          <cell r="T266">
            <v>32796.303166918035</v>
          </cell>
          <cell r="U266">
            <v>35040.600457446359</v>
          </cell>
          <cell r="V266">
            <v>38091.777004942633</v>
          </cell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  <cell r="AM266"/>
          <cell r="AN266"/>
          <cell r="AO266"/>
          <cell r="AP266"/>
          <cell r="AQ266"/>
          <cell r="AR266"/>
          <cell r="AS266"/>
          <cell r="AT266"/>
          <cell r="AU266"/>
          <cell r="AV266"/>
          <cell r="AW266"/>
          <cell r="AX266"/>
          <cell r="AY266"/>
          <cell r="AZ266"/>
          <cell r="BA266"/>
          <cell r="BB266"/>
        </row>
        <row r="267">
          <cell r="B267" t="str">
            <v>EPS (consensus)</v>
          </cell>
          <cell r="C267" t="str">
            <v>EPS_CONS_PUB</v>
          </cell>
          <cell r="D267" t="str">
            <v>CNY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/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</row>
        <row r="268">
          <cell r="A268" t="str">
            <v>Income Statement</v>
          </cell>
          <cell r="B268"/>
          <cell r="C268"/>
          <cell r="D268"/>
        </row>
        <row r="269">
          <cell r="B269" t="str">
            <v>Provision for income tax</v>
          </cell>
          <cell r="C269" t="str">
            <v>PROV_INC_TAX</v>
          </cell>
          <cell r="D269" t="str">
            <v>CNY</v>
          </cell>
          <cell r="F269">
            <v>-24.5300023</v>
          </cell>
          <cell r="G269">
            <v>-114.32347890000001</v>
          </cell>
          <cell r="H269">
            <v>-306.45983580000001</v>
          </cell>
          <cell r="I269">
            <v>-195.51184789999999</v>
          </cell>
          <cell r="J269">
            <v>-233.7739862</v>
          </cell>
          <cell r="K269">
            <v>-318.1099792</v>
          </cell>
          <cell r="L269">
            <v>-352.99202610000003</v>
          </cell>
          <cell r="M269">
            <v>-450.0656578</v>
          </cell>
          <cell r="N269">
            <v>-690.38436229999991</v>
          </cell>
          <cell r="O269">
            <v>-417.6584871</v>
          </cell>
          <cell r="P269">
            <v>-292.25432709</v>
          </cell>
          <cell r="Q269">
            <v>-266.56209980474085</v>
          </cell>
          <cell r="R269">
            <v>-396.93124925716137</v>
          </cell>
          <cell r="S269">
            <v>-540.71481835170243</v>
          </cell>
          <cell r="T269">
            <v>-829.57399707373645</v>
          </cell>
          <cell r="U269">
            <v>-51.720294899999999</v>
          </cell>
          <cell r="V269">
            <v>-83.966618400000002</v>
          </cell>
          <cell r="W269">
            <v>-93.722854499999997</v>
          </cell>
          <cell r="X269">
            <v>-88.700211400000001</v>
          </cell>
          <cell r="Y269">
            <v>-100.2789583</v>
          </cell>
          <cell r="Z269">
            <v>-105.75763140000001</v>
          </cell>
          <cell r="AA269">
            <v>-132.2528647</v>
          </cell>
          <cell r="AB269">
            <v>-14.702571700000021</v>
          </cell>
          <cell r="AC269">
            <v>-76.318070200000008</v>
          </cell>
          <cell r="AD269">
            <v>-119.680509</v>
          </cell>
          <cell r="AE269">
            <v>-130.95478800000001</v>
          </cell>
          <cell r="AF269">
            <v>-123.1122907</v>
          </cell>
          <cell r="AG269">
            <v>-164.83924969999998</v>
          </cell>
          <cell r="AH269">
            <v>-203.54953659999998</v>
          </cell>
          <cell r="AI269">
            <v>-202.9009135</v>
          </cell>
          <cell r="AJ269">
            <v>-119.09466259999999</v>
          </cell>
          <cell r="AK269">
            <v>-143.81745880000003</v>
          </cell>
          <cell r="AL269">
            <v>-58.050179200000002</v>
          </cell>
          <cell r="AM269">
            <v>-130.37385159999999</v>
          </cell>
          <cell r="AN269">
            <v>-85.416997499999994</v>
          </cell>
          <cell r="AO269">
            <v>-72.715876900000012</v>
          </cell>
          <cell r="AP269">
            <v>-67.490498200000005</v>
          </cell>
          <cell r="AQ269">
            <v>-56.8352608</v>
          </cell>
          <cell r="AR269">
            <v>-95.212691190000001</v>
          </cell>
          <cell r="AS269">
            <v>-50.617456329999996</v>
          </cell>
          <cell r="AT269">
            <v>-57.468212424390053</v>
          </cell>
          <cell r="AU269">
            <v>-75.578232162957804</v>
          </cell>
          <cell r="AV269">
            <v>-82.898198887392979</v>
          </cell>
          <cell r="AW269">
            <v>-77.409376937668185</v>
          </cell>
          <cell r="AX269">
            <v>-88.853326957434007</v>
          </cell>
          <cell r="AY269">
            <v>-109.71439637551767</v>
          </cell>
          <cell r="AZ269">
            <v>-120.9541489865415</v>
          </cell>
          <cell r="BA269">
            <v>-112.48393382315069</v>
          </cell>
          <cell r="BB269">
            <v>-126.0525016190995</v>
          </cell>
        </row>
        <row r="270">
          <cell r="B270" t="str">
            <v>Minority interest</v>
          </cell>
          <cell r="C270" t="str">
            <v>INC_MINORITY</v>
          </cell>
          <cell r="D270" t="str">
            <v>CNY</v>
          </cell>
          <cell r="F270">
            <v>0</v>
          </cell>
          <cell r="G270">
            <v>-11.331989</v>
          </cell>
          <cell r="H270">
            <v>-123.87730550000001</v>
          </cell>
          <cell r="I270">
            <v>-9.0095080000000003</v>
          </cell>
          <cell r="J270">
            <v>5.7730055</v>
          </cell>
          <cell r="K270">
            <v>-48.134149600000001</v>
          </cell>
          <cell r="L270">
            <v>-52.950062899999999</v>
          </cell>
          <cell r="M270">
            <v>-2.2327799999999998E-2</v>
          </cell>
          <cell r="N270">
            <v>0.16727510000000001</v>
          </cell>
          <cell r="O270">
            <v>0.11334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2.4337237000000003</v>
          </cell>
          <cell r="V270">
            <v>1.6257826000000002</v>
          </cell>
          <cell r="W270">
            <v>0.51524420000000004</v>
          </cell>
          <cell r="X270">
            <v>-52.708900100000001</v>
          </cell>
          <cell r="Y270">
            <v>-39.457348799999998</v>
          </cell>
          <cell r="Z270">
            <v>-0.20050020000000002</v>
          </cell>
          <cell r="AA270">
            <v>-0.22825029999999999</v>
          </cell>
          <cell r="AB270">
            <v>-13.063963599999999</v>
          </cell>
          <cell r="AC270">
            <v>-3.4236800000000005E-2</v>
          </cell>
          <cell r="AD270">
            <v>0</v>
          </cell>
          <cell r="AE270">
            <v>0</v>
          </cell>
          <cell r="AF270">
            <v>1.1908999999999999E-2</v>
          </cell>
          <cell r="AG270">
            <v>0</v>
          </cell>
          <cell r="AH270">
            <v>1.2290000000000001E-2</v>
          </cell>
          <cell r="AI270">
            <v>5.4353100000000001E-2</v>
          </cell>
          <cell r="AJ270">
            <v>0.1006321</v>
          </cell>
          <cell r="AK270">
            <v>5.8321199999999997E-2</v>
          </cell>
          <cell r="AL270">
            <v>-6.0310300000000004E-2</v>
          </cell>
          <cell r="AM270">
            <v>0.11532919999999999</v>
          </cell>
          <cell r="AN270">
            <v>-1.0000000000000001E-7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</row>
        <row r="271">
          <cell r="B271" t="str">
            <v>Net income (pre-preferred dividends)</v>
          </cell>
          <cell r="C271" t="str">
            <v>NI_PRE_PREF</v>
          </cell>
          <cell r="D271" t="str">
            <v>CNY</v>
          </cell>
          <cell r="F271">
            <v>180.15110990000002</v>
          </cell>
          <cell r="G271">
            <v>419.26495499999993</v>
          </cell>
          <cell r="H271">
            <v>936.17100270000037</v>
          </cell>
          <cell r="I271">
            <v>810.04162320000034</v>
          </cell>
          <cell r="J271">
            <v>1035.9877294999999</v>
          </cell>
          <cell r="K271">
            <v>1462.3276466999996</v>
          </cell>
          <cell r="L271">
            <v>1694.5546629000005</v>
          </cell>
          <cell r="M271">
            <v>2166.6523415999991</v>
          </cell>
          <cell r="N271">
            <v>3164.2108890999998</v>
          </cell>
          <cell r="O271">
            <v>2830.1580661999997</v>
          </cell>
          <cell r="P271">
            <v>1298.4667004199987</v>
          </cell>
          <cell r="Q271">
            <v>1525.3122537523902</v>
          </cell>
          <cell r="R271">
            <v>2083.889058600098</v>
          </cell>
          <cell r="S271">
            <v>2838.7527963464372</v>
          </cell>
          <cell r="T271">
            <v>4700.9193167511703</v>
          </cell>
          <cell r="U271">
            <v>228.02827470000003</v>
          </cell>
          <cell r="V271">
            <v>437.87478450000003</v>
          </cell>
          <cell r="W271">
            <v>383.80720509999992</v>
          </cell>
          <cell r="X271">
            <v>412.61738249999996</v>
          </cell>
          <cell r="Y271">
            <v>354.33153370000014</v>
          </cell>
          <cell r="Z271">
            <v>549.67438760000005</v>
          </cell>
          <cell r="AA271">
            <v>542.65248840000004</v>
          </cell>
          <cell r="AB271">
            <v>247.89625320000025</v>
          </cell>
          <cell r="AC271">
            <v>457.17256309999993</v>
          </cell>
          <cell r="AD271">
            <v>509.14455910000004</v>
          </cell>
          <cell r="AE271">
            <v>529.40383979999979</v>
          </cell>
          <cell r="AF271">
            <v>670.93137949999993</v>
          </cell>
          <cell r="AG271">
            <v>690.95487130000004</v>
          </cell>
          <cell r="AH271">
            <v>823.86301149999997</v>
          </cell>
          <cell r="AI271">
            <v>862.71831950000001</v>
          </cell>
          <cell r="AJ271">
            <v>786.67468670000005</v>
          </cell>
          <cell r="AK271">
            <v>968.28956769999968</v>
          </cell>
          <cell r="AL271">
            <v>884.63165649999985</v>
          </cell>
          <cell r="AM271">
            <v>740.68945189999999</v>
          </cell>
          <cell r="AN271">
            <v>236.54739009999997</v>
          </cell>
          <cell r="AO271">
            <v>621.14550889999998</v>
          </cell>
          <cell r="AP271">
            <v>261.92511749999989</v>
          </cell>
          <cell r="AQ271">
            <v>269.3626129000001</v>
          </cell>
          <cell r="AR271">
            <v>146.03346124000007</v>
          </cell>
          <cell r="AS271">
            <v>391.6028755100001</v>
          </cell>
          <cell r="AT271">
            <v>301.70811522804763</v>
          </cell>
          <cell r="AU271">
            <v>396.78571885552844</v>
          </cell>
          <cell r="AV271">
            <v>435.21554415881309</v>
          </cell>
          <cell r="AW271">
            <v>406.39922892275808</v>
          </cell>
          <cell r="AX271">
            <v>466.47996652652841</v>
          </cell>
          <cell r="AY271">
            <v>576.00058097146746</v>
          </cell>
          <cell r="AZ271">
            <v>635.00928217934279</v>
          </cell>
          <cell r="BA271">
            <v>590.54065257154105</v>
          </cell>
          <cell r="BB271">
            <v>661.77563350027208</v>
          </cell>
        </row>
        <row r="272">
          <cell r="B272" t="str">
            <v>Preferred dividends</v>
          </cell>
          <cell r="C272" t="str">
            <v>PREF_DIV</v>
          </cell>
          <cell r="D272" t="str">
            <v>CNY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</row>
        <row r="273">
          <cell r="B273" t="str">
            <v>Net income (pre-exceptionals)</v>
          </cell>
          <cell r="C273" t="str">
            <v>NET_EARNING</v>
          </cell>
          <cell r="D273" t="str">
            <v>CNY</v>
          </cell>
          <cell r="F273">
            <v>180.15110990000002</v>
          </cell>
          <cell r="G273">
            <v>419.26495499999993</v>
          </cell>
          <cell r="H273">
            <v>936.17100270000037</v>
          </cell>
          <cell r="I273">
            <v>810.04162320000034</v>
          </cell>
          <cell r="J273">
            <v>1035.9877294999999</v>
          </cell>
          <cell r="K273">
            <v>1462.3276466999996</v>
          </cell>
          <cell r="L273">
            <v>1694.5546629000005</v>
          </cell>
          <cell r="M273">
            <v>2166.6523415999991</v>
          </cell>
          <cell r="N273">
            <v>3164.2108890999998</v>
          </cell>
          <cell r="O273">
            <v>2830.1580661999997</v>
          </cell>
          <cell r="P273">
            <v>1298.4667004199987</v>
          </cell>
          <cell r="Q273">
            <v>1525.3122537523902</v>
          </cell>
          <cell r="R273">
            <v>2083.889058600098</v>
          </cell>
          <cell r="S273">
            <v>2838.7527963464372</v>
          </cell>
          <cell r="T273">
            <v>4700.9193167511703</v>
          </cell>
          <cell r="U273">
            <v>228.02827470000003</v>
          </cell>
          <cell r="V273">
            <v>437.87478450000003</v>
          </cell>
          <cell r="W273">
            <v>383.80720509999992</v>
          </cell>
          <cell r="X273">
            <v>412.61738249999996</v>
          </cell>
          <cell r="Y273">
            <v>354.33153370000014</v>
          </cell>
          <cell r="Z273">
            <v>549.67438760000005</v>
          </cell>
          <cell r="AA273">
            <v>542.65248840000004</v>
          </cell>
          <cell r="AB273">
            <v>247.89625320000025</v>
          </cell>
          <cell r="AC273">
            <v>457.17256309999993</v>
          </cell>
          <cell r="AD273">
            <v>509.14455910000004</v>
          </cell>
          <cell r="AE273">
            <v>529.40383979999979</v>
          </cell>
          <cell r="AF273">
            <v>670.93137949999993</v>
          </cell>
          <cell r="AG273">
            <v>690.95487130000004</v>
          </cell>
          <cell r="AH273">
            <v>823.86301149999997</v>
          </cell>
          <cell r="AI273">
            <v>862.71831950000001</v>
          </cell>
          <cell r="AJ273">
            <v>786.67468670000005</v>
          </cell>
          <cell r="AK273">
            <v>968.28956769999968</v>
          </cell>
          <cell r="AL273">
            <v>884.63165649999985</v>
          </cell>
          <cell r="AM273">
            <v>740.68945189999999</v>
          </cell>
          <cell r="AN273">
            <v>236.54739009999997</v>
          </cell>
          <cell r="AO273">
            <v>621.14550889999998</v>
          </cell>
          <cell r="AP273">
            <v>261.92511749999989</v>
          </cell>
          <cell r="AQ273">
            <v>269.3626129000001</v>
          </cell>
          <cell r="AR273">
            <v>146.03346124000007</v>
          </cell>
          <cell r="AS273">
            <v>391.6028755100001</v>
          </cell>
          <cell r="AT273">
            <v>301.70811522804763</v>
          </cell>
          <cell r="AU273">
            <v>396.78571885552844</v>
          </cell>
          <cell r="AV273">
            <v>435.21554415881309</v>
          </cell>
          <cell r="AW273">
            <v>406.39922892275808</v>
          </cell>
          <cell r="AX273">
            <v>466.47996652652841</v>
          </cell>
          <cell r="AY273">
            <v>576.00058097146746</v>
          </cell>
          <cell r="AZ273">
            <v>635.00928217934279</v>
          </cell>
          <cell r="BA273">
            <v>590.54065257154105</v>
          </cell>
          <cell r="BB273">
            <v>661.77563350027208</v>
          </cell>
        </row>
        <row r="274">
          <cell r="B274" t="str">
            <v>Post-tax exceptionals</v>
          </cell>
          <cell r="C274" t="str">
            <v>TAX_EXC</v>
          </cell>
          <cell r="D274" t="str">
            <v>CNY</v>
          </cell>
          <cell r="F274">
            <v>7.1054273576010019E-15</v>
          </cell>
          <cell r="G274">
            <v>9.9999972746900312E-8</v>
          </cell>
          <cell r="H274">
            <v>-1.4210854715202004E-13</v>
          </cell>
          <cell r="I274">
            <v>1.0658141036401503E-14</v>
          </cell>
          <cell r="J274">
            <v>-9.999994787790456E-8</v>
          </cell>
          <cell r="K274">
            <v>0</v>
          </cell>
          <cell r="L274">
            <v>9.2370555648813024E-14</v>
          </cell>
          <cell r="M274">
            <v>-3.1329452920836331E-13</v>
          </cell>
          <cell r="N274">
            <v>6.9866334939661101E-13</v>
          </cell>
          <cell r="O274">
            <v>5.7465143754598103E-13</v>
          </cell>
          <cell r="P274">
            <v>-1.0000003669574653E-7</v>
          </cell>
          <cell r="Q274">
            <v>-1.4210854715202004E-14</v>
          </cell>
          <cell r="R274">
            <v>0</v>
          </cell>
          <cell r="S274">
            <v>0</v>
          </cell>
          <cell r="T274">
            <v>0</v>
          </cell>
          <cell r="U274">
            <v>9.9999964309205325E-8</v>
          </cell>
          <cell r="V274">
            <v>-9.9999930780469981E-8</v>
          </cell>
          <cell r="W274">
            <v>-5.4733995114020217E-14</v>
          </cell>
          <cell r="X274">
            <v>9.9999958536045597E-8</v>
          </cell>
          <cell r="Y274">
            <v>3.5527136788005009E-14</v>
          </cell>
          <cell r="Z274">
            <v>-9.9999972302811102E-8</v>
          </cell>
          <cell r="AA274">
            <v>4.1772141301521515E-14</v>
          </cell>
          <cell r="AB274">
            <v>1.0000004557753073E-7</v>
          </cell>
          <cell r="AC274">
            <v>-1.2038980923279041E-14</v>
          </cell>
          <cell r="AD274">
            <v>2.8421709430404007E-14</v>
          </cell>
          <cell r="AE274">
            <v>-1.1368683772161603E-13</v>
          </cell>
          <cell r="AF274">
            <v>-4.5467102305352114E-14</v>
          </cell>
          <cell r="AG274">
            <v>-9.9999965641472954E-8</v>
          </cell>
          <cell r="AH274">
            <v>2.1182708365152791E-14</v>
          </cell>
          <cell r="AI274">
            <v>4.2479908479720052E-14</v>
          </cell>
          <cell r="AJ274">
            <v>1.5654144647214707E-14</v>
          </cell>
          <cell r="AK274">
            <v>9.999985731840022E-8</v>
          </cell>
          <cell r="AL274">
            <v>-9.9999996470978569E-8</v>
          </cell>
          <cell r="AM274">
            <v>1.0000003167198734E-7</v>
          </cell>
          <cell r="AN274">
            <v>-2.0147672339204671E-14</v>
          </cell>
          <cell r="AO274">
            <v>0</v>
          </cell>
          <cell r="AP274">
            <v>-1.0000003669574653E-7</v>
          </cell>
          <cell r="AQ274">
            <v>1.4210854715202004E-14</v>
          </cell>
          <cell r="AR274">
            <v>-1.4210854715202004E-14</v>
          </cell>
          <cell r="AS274">
            <v>-1.4210854715202004E-14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</row>
        <row r="275">
          <cell r="B275" t="str">
            <v>Net income (post-exceptionals)</v>
          </cell>
          <cell r="C275" t="str">
            <v>NET_INC</v>
          </cell>
          <cell r="D275" t="str">
            <v>CNY</v>
          </cell>
          <cell r="F275">
            <v>180.15110990000002</v>
          </cell>
          <cell r="G275">
            <v>419.2649550999999</v>
          </cell>
          <cell r="H275">
            <v>936.17100270000026</v>
          </cell>
          <cell r="I275">
            <v>810.04162320000034</v>
          </cell>
          <cell r="J275">
            <v>1035.9877294</v>
          </cell>
          <cell r="K275">
            <v>1462.3276466999996</v>
          </cell>
          <cell r="L275">
            <v>1694.5546629000005</v>
          </cell>
          <cell r="M275">
            <v>2166.6523415999986</v>
          </cell>
          <cell r="N275">
            <v>3164.2108891000007</v>
          </cell>
          <cell r="O275">
            <v>2830.1580662000001</v>
          </cell>
          <cell r="P275">
            <v>1298.4667003199986</v>
          </cell>
          <cell r="Q275">
            <v>1525.3122537523902</v>
          </cell>
          <cell r="R275">
            <v>2083.889058600098</v>
          </cell>
          <cell r="S275">
            <v>2838.7527963464372</v>
          </cell>
          <cell r="T275">
            <v>4700.9193167511703</v>
          </cell>
          <cell r="U275">
            <v>228.02827479999999</v>
          </cell>
          <cell r="V275">
            <v>437.87478440000012</v>
          </cell>
          <cell r="W275">
            <v>383.80720509999986</v>
          </cell>
          <cell r="X275">
            <v>412.61738259999993</v>
          </cell>
          <cell r="Y275">
            <v>354.33153370000019</v>
          </cell>
          <cell r="Z275">
            <v>549.67438750000008</v>
          </cell>
          <cell r="AA275">
            <v>542.65248840000004</v>
          </cell>
          <cell r="AB275">
            <v>247.8962533000003</v>
          </cell>
          <cell r="AC275">
            <v>457.17256309999993</v>
          </cell>
          <cell r="AD275">
            <v>509.14455910000004</v>
          </cell>
          <cell r="AE275">
            <v>529.40383979999967</v>
          </cell>
          <cell r="AF275">
            <v>670.93137949999993</v>
          </cell>
          <cell r="AG275">
            <v>690.95487120000007</v>
          </cell>
          <cell r="AH275">
            <v>823.86301149999997</v>
          </cell>
          <cell r="AI275">
            <v>862.71831950000001</v>
          </cell>
          <cell r="AJ275">
            <v>786.67468670000005</v>
          </cell>
          <cell r="AK275">
            <v>968.28956779999953</v>
          </cell>
          <cell r="AL275">
            <v>884.63165639999988</v>
          </cell>
          <cell r="AM275">
            <v>740.68945200000007</v>
          </cell>
          <cell r="AN275">
            <v>236.54739009999994</v>
          </cell>
          <cell r="AO275">
            <v>621.14550889999998</v>
          </cell>
          <cell r="AP275">
            <v>261.92511739999986</v>
          </cell>
          <cell r="AQ275">
            <v>269.3626129000001</v>
          </cell>
          <cell r="AR275">
            <v>146.03346124000007</v>
          </cell>
          <cell r="AS275">
            <v>391.6028755100001</v>
          </cell>
          <cell r="AT275">
            <v>301.70811522804763</v>
          </cell>
          <cell r="AU275">
            <v>396.78571885552844</v>
          </cell>
          <cell r="AV275">
            <v>435.21554415881309</v>
          </cell>
          <cell r="AW275">
            <v>406.39922892275808</v>
          </cell>
          <cell r="AX275">
            <v>466.47996652652841</v>
          </cell>
          <cell r="AY275">
            <v>576.00058097146746</v>
          </cell>
          <cell r="AZ275">
            <v>635.00928217934279</v>
          </cell>
          <cell r="BA275">
            <v>590.54065257154105</v>
          </cell>
          <cell r="BB275">
            <v>661.77563350027208</v>
          </cell>
        </row>
        <row r="276">
          <cell r="B276" t="str">
            <v>EPS (pre-exceptionals, basic)</v>
          </cell>
          <cell r="C276" t="str">
            <v>EPS</v>
          </cell>
          <cell r="D276" t="str">
            <v>CNY</v>
          </cell>
          <cell r="F276">
            <v>0.71000000000000008</v>
          </cell>
          <cell r="G276">
            <v>0.72000000017172905</v>
          </cell>
          <cell r="H276">
            <v>0.65000000000000024</v>
          </cell>
          <cell r="I276">
            <v>0.56000000000000028</v>
          </cell>
          <cell r="J276">
            <v>0.71999999993050101</v>
          </cell>
          <cell r="K276">
            <v>0.60999999999999976</v>
          </cell>
          <cell r="L276">
            <v>0.71000000000000019</v>
          </cell>
          <cell r="M276">
            <v>0.5299999999999998</v>
          </cell>
          <cell r="N276">
            <v>0.78</v>
          </cell>
          <cell r="O276">
            <v>0.69</v>
          </cell>
          <cell r="P276">
            <v>0.32000000002464452</v>
          </cell>
          <cell r="Q276">
            <v>0.37399542241920858</v>
          </cell>
          <cell r="R276">
            <v>0.51095437463942894</v>
          </cell>
          <cell r="S276">
            <v>0.69604144895674713</v>
          </cell>
          <cell r="T276">
            <v>1.0494666500084369</v>
          </cell>
          <cell r="U276">
            <v>9.5120438898148058E-2</v>
          </cell>
          <cell r="V276">
            <v>0.18265647862691126</v>
          </cell>
          <cell r="W276">
            <v>0.16010255679658272</v>
          </cell>
          <cell r="X276">
            <v>0.17212052572007216</v>
          </cell>
          <cell r="Y276">
            <v>0.14846106439343951</v>
          </cell>
          <cell r="Z276">
            <v>0.23030759865138134</v>
          </cell>
          <cell r="AA276">
            <v>0.2273654991481007</v>
          </cell>
          <cell r="AB276">
            <v>0.1038658378070786</v>
          </cell>
          <cell r="AC276">
            <v>0.11183218174451952</v>
          </cell>
          <cell r="AD276">
            <v>0.12454541558971449</v>
          </cell>
          <cell r="AE276">
            <v>0.12950118009555608</v>
          </cell>
          <cell r="AF276">
            <v>0.16412122254574818</v>
          </cell>
          <cell r="AG276">
            <v>0.17032518327730448</v>
          </cell>
          <cell r="AH276">
            <v>0.20308796458025566</v>
          </cell>
          <cell r="AI276">
            <v>0.2126660683483709</v>
          </cell>
          <cell r="AJ276">
            <v>0.19392078376941835</v>
          </cell>
          <cell r="AK276">
            <v>0.23607155009899206</v>
          </cell>
          <cell r="AL276">
            <v>0.21567553073265866</v>
          </cell>
          <cell r="AM276">
            <v>0.18058204165861724</v>
          </cell>
          <cell r="AN276">
            <v>5.7670877509731926E-2</v>
          </cell>
          <cell r="AO276">
            <v>0.15307790550116943</v>
          </cell>
          <cell r="AP276">
            <v>6.4550009314327486E-2</v>
          </cell>
          <cell r="AQ276">
            <v>6.6382939282738321E-2</v>
          </cell>
          <cell r="AR276">
            <v>3.5989145955982974E-2</v>
          </cell>
          <cell r="AS276">
            <v>9.6018164468712294E-2</v>
          </cell>
          <cell r="AT276">
            <v>7.3976625916711655E-2</v>
          </cell>
          <cell r="AU276">
            <v>9.7288959797062244E-2</v>
          </cell>
          <cell r="AV276">
            <v>0.10671167223672214</v>
          </cell>
          <cell r="AW276">
            <v>9.9646122240148807E-2</v>
          </cell>
          <cell r="AX276">
            <v>0.11437748021888523</v>
          </cell>
          <cell r="AY276">
            <v>0.14123113484742497</v>
          </cell>
          <cell r="AZ276">
            <v>0.15569963733296963</v>
          </cell>
          <cell r="BA276">
            <v>0.14479625419049544</v>
          </cell>
          <cell r="BB276">
            <v>0.16226255115226484</v>
          </cell>
        </row>
        <row r="277">
          <cell r="B277" t="str">
            <v>EPS (pre-exceptionals, diluted)</v>
          </cell>
          <cell r="C277" t="str">
            <v>EPS_FUL_DIL</v>
          </cell>
          <cell r="D277" t="str">
            <v>CNY</v>
          </cell>
          <cell r="F277">
            <v>0.71000000000000008</v>
          </cell>
          <cell r="G277">
            <v>0.72000000017172905</v>
          </cell>
          <cell r="H277">
            <v>0.65000000000000024</v>
          </cell>
          <cell r="I277">
            <v>0.56000000000000028</v>
          </cell>
          <cell r="J277">
            <v>0.71999999993050101</v>
          </cell>
          <cell r="K277">
            <v>0.60999999999999976</v>
          </cell>
          <cell r="L277">
            <v>0.71000000000000019</v>
          </cell>
          <cell r="M277">
            <v>0.5299999999999998</v>
          </cell>
          <cell r="N277">
            <v>0.78</v>
          </cell>
          <cell r="O277">
            <v>0.69</v>
          </cell>
          <cell r="P277">
            <v>0.32000000002464452</v>
          </cell>
          <cell r="Q277">
            <v>0.37399542241920858</v>
          </cell>
          <cell r="R277">
            <v>0.51095437463942894</v>
          </cell>
          <cell r="S277">
            <v>0.69604144895674713</v>
          </cell>
          <cell r="T277">
            <v>1.0494666500084369</v>
          </cell>
          <cell r="U277">
            <v>9.5120438898148058E-2</v>
          </cell>
          <cell r="V277">
            <v>0.18265647862691126</v>
          </cell>
          <cell r="W277">
            <v>0.16010255679658272</v>
          </cell>
          <cell r="X277">
            <v>0.17212052572007216</v>
          </cell>
          <cell r="Y277">
            <v>0.14846106439343951</v>
          </cell>
          <cell r="Z277">
            <v>0.23030759865138134</v>
          </cell>
          <cell r="AA277">
            <v>0.2273654991481007</v>
          </cell>
          <cell r="AB277">
            <v>0.1038658378070786</v>
          </cell>
          <cell r="AC277">
            <v>0.11183218174451952</v>
          </cell>
          <cell r="AD277">
            <v>0.12454541558971449</v>
          </cell>
          <cell r="AE277">
            <v>0.12950118009555608</v>
          </cell>
          <cell r="AF277">
            <v>0.16412122254574818</v>
          </cell>
          <cell r="AG277">
            <v>0.17032518327730448</v>
          </cell>
          <cell r="AH277">
            <v>0.20308796458025566</v>
          </cell>
          <cell r="AI277">
            <v>0.2126660683483709</v>
          </cell>
          <cell r="AJ277">
            <v>0.19392078376941835</v>
          </cell>
          <cell r="AK277">
            <v>0.23607155009899206</v>
          </cell>
          <cell r="AL277">
            <v>0.21567553073265866</v>
          </cell>
          <cell r="AM277">
            <v>0.18058204165861724</v>
          </cell>
          <cell r="AN277">
            <v>5.7670877509731926E-2</v>
          </cell>
          <cell r="AO277">
            <v>0.15307790550116943</v>
          </cell>
          <cell r="AP277">
            <v>6.4550009314327486E-2</v>
          </cell>
          <cell r="AQ277">
            <v>6.6382939282738321E-2</v>
          </cell>
          <cell r="AR277">
            <v>3.5989145955982974E-2</v>
          </cell>
          <cell r="AS277">
            <v>9.6018164468712294E-2</v>
          </cell>
          <cell r="AT277">
            <v>7.3976625916711655E-2</v>
          </cell>
          <cell r="AU277">
            <v>9.7288959797062244E-2</v>
          </cell>
          <cell r="AV277">
            <v>0.10671167223672214</v>
          </cell>
          <cell r="AW277">
            <v>9.9646122240148807E-2</v>
          </cell>
          <cell r="AX277">
            <v>0.11437748021888523</v>
          </cell>
          <cell r="AY277">
            <v>0.14123113484742497</v>
          </cell>
          <cell r="AZ277">
            <v>0.15569963733296963</v>
          </cell>
          <cell r="BA277">
            <v>0.14479625419049544</v>
          </cell>
          <cell r="BB277">
            <v>0.16226255115226484</v>
          </cell>
        </row>
        <row r="278">
          <cell r="B278" t="str">
            <v>EPS (post-exceptionals, basic)</v>
          </cell>
          <cell r="C278" t="str">
            <v>EPS_POST_BASIC</v>
          </cell>
          <cell r="D278" t="str">
            <v>CNY</v>
          </cell>
          <cell r="F278">
            <v>0.71000000000000008</v>
          </cell>
          <cell r="G278">
            <v>0.72000000034345812</v>
          </cell>
          <cell r="H278">
            <v>0.65000000000000013</v>
          </cell>
          <cell r="I278">
            <v>0.56000000000000028</v>
          </cell>
          <cell r="J278">
            <v>0.71999999986100227</v>
          </cell>
          <cell r="K278">
            <v>0.60999999999999976</v>
          </cell>
          <cell r="L278">
            <v>0.71000000000000019</v>
          </cell>
          <cell r="M278">
            <v>0.52999999999999969</v>
          </cell>
          <cell r="N278">
            <v>0.78000000000000025</v>
          </cell>
          <cell r="O278">
            <v>0.69000000000000006</v>
          </cell>
          <cell r="P278">
            <v>0.32000000000000006</v>
          </cell>
          <cell r="Q278">
            <v>0.37399542241920858</v>
          </cell>
          <cell r="R278">
            <v>0.51095437463942894</v>
          </cell>
          <cell r="S278">
            <v>0.69604144895674713</v>
          </cell>
          <cell r="T278">
            <v>1.0494666500084369</v>
          </cell>
          <cell r="U278">
            <v>9.512043893986237E-2</v>
          </cell>
          <cell r="V278">
            <v>0.18265647858519699</v>
          </cell>
          <cell r="W278">
            <v>0.16010255679658272</v>
          </cell>
          <cell r="X278">
            <v>0.17212052576178646</v>
          </cell>
          <cell r="Y278">
            <v>0.14846106439343953</v>
          </cell>
          <cell r="Z278">
            <v>0.23030759860948244</v>
          </cell>
          <cell r="AA278">
            <v>0.2273654991481007</v>
          </cell>
          <cell r="AB278">
            <v>0.10386583784897754</v>
          </cell>
          <cell r="AC278">
            <v>0.11183218174451952</v>
          </cell>
          <cell r="AD278">
            <v>0.12454541558971449</v>
          </cell>
          <cell r="AE278">
            <v>0.12950118009555606</v>
          </cell>
          <cell r="AF278">
            <v>0.16412122254574818</v>
          </cell>
          <cell r="AG278">
            <v>0.17032518325265381</v>
          </cell>
          <cell r="AH278">
            <v>0.20308796458025566</v>
          </cell>
          <cell r="AI278">
            <v>0.2126660683483709</v>
          </cell>
          <cell r="AJ278">
            <v>0.19392078376941835</v>
          </cell>
          <cell r="AK278">
            <v>0.23607155012337228</v>
          </cell>
          <cell r="AL278">
            <v>0.21567553070827838</v>
          </cell>
          <cell r="AM278">
            <v>0.18058204168299752</v>
          </cell>
          <cell r="AN278">
            <v>5.7670877509731919E-2</v>
          </cell>
          <cell r="AO278">
            <v>0.15307790550116943</v>
          </cell>
          <cell r="AP278">
            <v>6.4550009289683019E-2</v>
          </cell>
          <cell r="AQ278">
            <v>6.6382939282738321E-2</v>
          </cell>
          <cell r="AR278">
            <v>3.5989145955982974E-2</v>
          </cell>
          <cell r="AS278">
            <v>9.6018164468712294E-2</v>
          </cell>
          <cell r="AT278">
            <v>7.3976625916711655E-2</v>
          </cell>
          <cell r="AU278">
            <v>9.7288959797062244E-2</v>
          </cell>
          <cell r="AV278">
            <v>0.10671167223672214</v>
          </cell>
          <cell r="AW278">
            <v>9.9646122240148807E-2</v>
          </cell>
          <cell r="AX278">
            <v>0.11437748021888523</v>
          </cell>
          <cell r="AY278">
            <v>0.14123113484742497</v>
          </cell>
          <cell r="AZ278">
            <v>0.15569963733296963</v>
          </cell>
          <cell r="BA278">
            <v>0.14479625419049544</v>
          </cell>
          <cell r="BB278">
            <v>0.16226255115226484</v>
          </cell>
        </row>
        <row r="279">
          <cell r="B279" t="str">
            <v>EPS (post-exceptionals, diluted)</v>
          </cell>
          <cell r="C279" t="str">
            <v>FULLY_DIL_EPS</v>
          </cell>
          <cell r="D279" t="str">
            <v>CNY</v>
          </cell>
          <cell r="F279">
            <v>0.71000000000000008</v>
          </cell>
          <cell r="G279">
            <v>0.72000000034345812</v>
          </cell>
          <cell r="H279">
            <v>0.65000000000000013</v>
          </cell>
          <cell r="I279">
            <v>0.56000000000000028</v>
          </cell>
          <cell r="J279">
            <v>0.71999999986100227</v>
          </cell>
          <cell r="K279">
            <v>0.60999999999999976</v>
          </cell>
          <cell r="L279">
            <v>0.71000000000000019</v>
          </cell>
          <cell r="M279">
            <v>0.52999999999999969</v>
          </cell>
          <cell r="N279">
            <v>0.78000000000000025</v>
          </cell>
          <cell r="O279">
            <v>0.69000000000000006</v>
          </cell>
          <cell r="P279">
            <v>0.32000000000000006</v>
          </cell>
          <cell r="Q279">
            <v>0.37399542241920858</v>
          </cell>
          <cell r="R279">
            <v>0.51095437463942894</v>
          </cell>
          <cell r="S279">
            <v>0.69604144895674713</v>
          </cell>
          <cell r="T279">
            <v>1.0494666500084369</v>
          </cell>
          <cell r="U279">
            <v>9.512043893986237E-2</v>
          </cell>
          <cell r="V279">
            <v>0.18265647858519699</v>
          </cell>
          <cell r="W279">
            <v>0.16010255679658272</v>
          </cell>
          <cell r="X279">
            <v>0.17212052576178646</v>
          </cell>
          <cell r="Y279">
            <v>0.14846106439343953</v>
          </cell>
          <cell r="Z279">
            <v>0.23030759860948244</v>
          </cell>
          <cell r="AA279">
            <v>0.2273654991481007</v>
          </cell>
          <cell r="AB279">
            <v>0.10386583784897754</v>
          </cell>
          <cell r="AC279">
            <v>0.11183218174451952</v>
          </cell>
          <cell r="AD279">
            <v>0.12454541558971449</v>
          </cell>
          <cell r="AE279">
            <v>0.12950118009555606</v>
          </cell>
          <cell r="AF279">
            <v>0.16412122254574818</v>
          </cell>
          <cell r="AG279">
            <v>0.17032518325265381</v>
          </cell>
          <cell r="AH279">
            <v>0.20308796458025566</v>
          </cell>
          <cell r="AI279">
            <v>0.2126660683483709</v>
          </cell>
          <cell r="AJ279">
            <v>0.19392078376941835</v>
          </cell>
          <cell r="AK279">
            <v>0.23607155012337228</v>
          </cell>
          <cell r="AL279">
            <v>0.21567553070827838</v>
          </cell>
          <cell r="AM279">
            <v>0.18058204168299752</v>
          </cell>
          <cell r="AN279">
            <v>5.7670877509731919E-2</v>
          </cell>
          <cell r="AO279">
            <v>0.15307790550116943</v>
          </cell>
          <cell r="AP279">
            <v>6.4550009289683019E-2</v>
          </cell>
          <cell r="AQ279">
            <v>6.6382939282738321E-2</v>
          </cell>
          <cell r="AR279">
            <v>3.5989145955982974E-2</v>
          </cell>
          <cell r="AS279">
            <v>9.6018164468712294E-2</v>
          </cell>
          <cell r="AT279">
            <v>7.3976625916711655E-2</v>
          </cell>
          <cell r="AU279">
            <v>9.7288959797062244E-2</v>
          </cell>
          <cell r="AV279">
            <v>0.10671167223672214</v>
          </cell>
          <cell r="AW279">
            <v>9.9646122240148807E-2</v>
          </cell>
          <cell r="AX279">
            <v>0.11437748021888523</v>
          </cell>
          <cell r="AY279">
            <v>0.14123113484742497</v>
          </cell>
          <cell r="AZ279">
            <v>0.15569963733296963</v>
          </cell>
          <cell r="BA279">
            <v>0.14479625419049544</v>
          </cell>
          <cell r="BB279">
            <v>0.16226255115226484</v>
          </cell>
        </row>
        <row r="280">
          <cell r="B280" t="str">
            <v>Common dividends paid</v>
          </cell>
          <cell r="C280" t="str">
            <v>COMMON_DIV_PAID</v>
          </cell>
          <cell r="D280" t="str">
            <v>CNY</v>
          </cell>
          <cell r="F280">
            <v>-12.4417708</v>
          </cell>
          <cell r="G280">
            <v>-33.174831900000001</v>
          </cell>
          <cell r="H280">
            <v>-200.61625509999999</v>
          </cell>
          <cell r="I280">
            <v>-631.91781720000006</v>
          </cell>
          <cell r="J280">
            <v>-534.8638694</v>
          </cell>
          <cell r="K280">
            <v>-589.54276240000002</v>
          </cell>
          <cell r="L280">
            <v>-633.7198992000001</v>
          </cell>
          <cell r="M280">
            <v>-736.65661890000001</v>
          </cell>
          <cell r="N280">
            <v>-898.74506579999991</v>
          </cell>
          <cell r="O280">
            <v>-1107.7021665999998</v>
          </cell>
          <cell r="P280">
            <v>-970.56711928999994</v>
          </cell>
          <cell r="Q280">
            <v>-476.21629561373373</v>
          </cell>
          <cell r="R280">
            <v>-650.60903137386504</v>
          </cell>
          <cell r="S280">
            <v>-886.28432474304475</v>
          </cell>
          <cell r="T280">
            <v>-3107.9556425733113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</row>
        <row r="281">
          <cell r="B281" t="str">
            <v>DPS, dividend per share</v>
          </cell>
          <cell r="C281" t="str">
            <v>DPS</v>
          </cell>
          <cell r="D281" t="str">
            <v>CNY</v>
          </cell>
          <cell r="F281">
            <v>0</v>
          </cell>
          <cell r="G281" t="str">
            <v>0.20</v>
          </cell>
          <cell r="H281">
            <v>0.3</v>
          </cell>
          <cell r="I281">
            <v>0.2</v>
          </cell>
          <cell r="J281">
            <v>0.22</v>
          </cell>
          <cell r="K281">
            <v>0.2</v>
          </cell>
          <cell r="L281">
            <v>0.25</v>
          </cell>
          <cell r="M281">
            <v>0.2</v>
          </cell>
          <cell r="N281">
            <v>0.25</v>
          </cell>
          <cell r="O281">
            <v>0.2</v>
          </cell>
          <cell r="P281">
            <v>0.1</v>
          </cell>
          <cell r="Q281">
            <v>0.11676475698849341</v>
          </cell>
          <cell r="R281">
            <v>0.15952458188139659</v>
          </cell>
          <cell r="S281">
            <v>0.2173104422391969</v>
          </cell>
          <cell r="T281">
            <v>0.69384211402300922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</row>
        <row r="282">
          <cell r="B282" t="str">
            <v>Weighted average shares outstanding, basic</v>
          </cell>
          <cell r="C282" t="str">
            <v>SH</v>
          </cell>
          <cell r="F282">
            <v>253.7339576056338</v>
          </cell>
          <cell r="G282">
            <v>582.31243736111105</v>
          </cell>
          <cell r="H282">
            <v>1440.2630810769231</v>
          </cell>
          <cell r="I282">
            <v>1446.5028985714284</v>
          </cell>
          <cell r="J282">
            <v>1438.8718466666667</v>
          </cell>
          <cell r="K282">
            <v>2397.258437213115</v>
          </cell>
          <cell r="L282">
            <v>2386.6967083098593</v>
          </cell>
          <cell r="M282">
            <v>4088.0232860377355</v>
          </cell>
          <cell r="N282">
            <v>4056.6806270512816</v>
          </cell>
          <cell r="O282">
            <v>4101.6783568115943</v>
          </cell>
          <cell r="P282">
            <v>4057.7084384999948</v>
          </cell>
          <cell r="Q282">
            <v>4078.4249279999999</v>
          </cell>
          <cell r="R282">
            <v>4078.4249279999999</v>
          </cell>
          <cell r="S282">
            <v>4078.4249279999999</v>
          </cell>
          <cell r="T282">
            <v>4479.341308</v>
          </cell>
          <cell r="U282">
            <v>2397.258437213115</v>
          </cell>
          <cell r="V282">
            <v>2397.258437213115</v>
          </cell>
          <cell r="W282">
            <v>2397.258437213115</v>
          </cell>
          <cell r="X282">
            <v>2397.258437213115</v>
          </cell>
          <cell r="Y282">
            <v>2386.6967083098593</v>
          </cell>
          <cell r="Z282">
            <v>2386.6967083098593</v>
          </cell>
          <cell r="AA282">
            <v>2386.6967083098593</v>
          </cell>
          <cell r="AB282">
            <v>2386.6967083098593</v>
          </cell>
          <cell r="AC282">
            <v>4088.0232860377355</v>
          </cell>
          <cell r="AD282">
            <v>4088.0232860377355</v>
          </cell>
          <cell r="AE282">
            <v>4088.0232860377355</v>
          </cell>
          <cell r="AF282">
            <v>4088.0232860377355</v>
          </cell>
          <cell r="AG282">
            <v>4056.6806270512816</v>
          </cell>
          <cell r="AH282">
            <v>4056.6806270512816</v>
          </cell>
          <cell r="AI282">
            <v>4056.6806270512816</v>
          </cell>
          <cell r="AJ282">
            <v>4056.6806270512816</v>
          </cell>
          <cell r="AK282">
            <v>4101.6783568115943</v>
          </cell>
          <cell r="AL282">
            <v>4101.6783568115943</v>
          </cell>
          <cell r="AM282">
            <v>4101.6783568115943</v>
          </cell>
          <cell r="AN282">
            <v>4101.6783568115943</v>
          </cell>
          <cell r="AO282">
            <v>4057.7084384999948</v>
          </cell>
          <cell r="AP282">
            <v>4057.7084384999948</v>
          </cell>
          <cell r="AQ282">
            <v>4057.7084384999948</v>
          </cell>
          <cell r="AR282">
            <v>4057.7084384999948</v>
          </cell>
          <cell r="AS282">
            <v>4078.4249279999999</v>
          </cell>
          <cell r="AT282">
            <v>4078.4249279999999</v>
          </cell>
          <cell r="AU282">
            <v>4078.4249279999999</v>
          </cell>
          <cell r="AV282">
            <v>4078.4249279999999</v>
          </cell>
          <cell r="AW282">
            <v>4078.4249279999999</v>
          </cell>
          <cell r="AX282">
            <v>4078.4249279999999</v>
          </cell>
          <cell r="AY282">
            <v>4078.4249279999999</v>
          </cell>
          <cell r="AZ282">
            <v>4078.4249279999999</v>
          </cell>
          <cell r="BA282">
            <v>4078.4249279999999</v>
          </cell>
          <cell r="BB282">
            <v>4078.4249279999999</v>
          </cell>
        </row>
        <row r="283">
          <cell r="B283" t="str">
            <v>Diluted average shares outstanding (mn)</v>
          </cell>
          <cell r="C283" t="str">
            <v>DILUTE_SHARES</v>
          </cell>
          <cell r="F283">
            <v>253.7339576056338</v>
          </cell>
          <cell r="G283">
            <v>582.31243736111105</v>
          </cell>
          <cell r="H283">
            <v>1440.2630810769231</v>
          </cell>
          <cell r="I283">
            <v>1446.5028985714284</v>
          </cell>
          <cell r="J283">
            <v>1438.8718466666667</v>
          </cell>
          <cell r="K283">
            <v>2397.258437213115</v>
          </cell>
          <cell r="L283">
            <v>2386.6967083098593</v>
          </cell>
          <cell r="M283">
            <v>4088.0232860377355</v>
          </cell>
          <cell r="N283">
            <v>4056.6806270512816</v>
          </cell>
          <cell r="O283">
            <v>4101.6783568115943</v>
          </cell>
          <cell r="P283">
            <v>4057.7084384999948</v>
          </cell>
          <cell r="Q283">
            <v>4078.4249279999999</v>
          </cell>
          <cell r="R283">
            <v>4078.4249279999999</v>
          </cell>
          <cell r="S283">
            <v>4078.4249279999999</v>
          </cell>
          <cell r="T283">
            <v>4479.341308</v>
          </cell>
          <cell r="U283">
            <v>2397.258437213115</v>
          </cell>
          <cell r="V283">
            <v>2397.258437213115</v>
          </cell>
          <cell r="W283">
            <v>2397.258437213115</v>
          </cell>
          <cell r="X283">
            <v>2397.258437213115</v>
          </cell>
          <cell r="Y283">
            <v>2386.6967083098593</v>
          </cell>
          <cell r="Z283">
            <v>2386.6967083098593</v>
          </cell>
          <cell r="AA283">
            <v>2386.6967083098593</v>
          </cell>
          <cell r="AB283">
            <v>2386.6967083098593</v>
          </cell>
          <cell r="AC283">
            <v>4088.0232860377355</v>
          </cell>
          <cell r="AD283">
            <v>4088.0232860377355</v>
          </cell>
          <cell r="AE283">
            <v>4088.0232860377355</v>
          </cell>
          <cell r="AF283">
            <v>4088.0232860377355</v>
          </cell>
          <cell r="AG283">
            <v>4056.6806270512816</v>
          </cell>
          <cell r="AH283">
            <v>4056.6806270512816</v>
          </cell>
          <cell r="AI283">
            <v>4056.6806270512816</v>
          </cell>
          <cell r="AJ283">
            <v>4056.6806270512816</v>
          </cell>
          <cell r="AK283">
            <v>4101.6783568115943</v>
          </cell>
          <cell r="AL283">
            <v>4101.6783568115943</v>
          </cell>
          <cell r="AM283">
            <v>4101.6783568115943</v>
          </cell>
          <cell r="AN283">
            <v>4101.6783568115943</v>
          </cell>
          <cell r="AO283">
            <v>4057.7084384999948</v>
          </cell>
          <cell r="AP283">
            <v>4057.7084384999948</v>
          </cell>
          <cell r="AQ283">
            <v>4057.7084384999948</v>
          </cell>
          <cell r="AR283">
            <v>4057.7084384999948</v>
          </cell>
          <cell r="AS283">
            <v>4078.4249279999999</v>
          </cell>
          <cell r="AT283">
            <v>4078.4249279999999</v>
          </cell>
          <cell r="AU283">
            <v>4078.4249279999999</v>
          </cell>
          <cell r="AV283">
            <v>4078.4249279999999</v>
          </cell>
          <cell r="AW283">
            <v>4078.4249279999999</v>
          </cell>
          <cell r="AX283">
            <v>4078.4249279999999</v>
          </cell>
          <cell r="AY283">
            <v>4078.4249279999999</v>
          </cell>
          <cell r="AZ283">
            <v>4078.4249279999999</v>
          </cell>
          <cell r="BA283">
            <v>4078.4249279999999</v>
          </cell>
          <cell r="BB283">
            <v>4078.4249279999999</v>
          </cell>
        </row>
        <row r="284">
          <cell r="B284" t="str">
            <v>Period-end shares outstanding</v>
          </cell>
          <cell r="C284" t="str">
            <v>NON_OP_ADD</v>
          </cell>
          <cell r="F284">
            <v>277.68494900000002</v>
          </cell>
          <cell r="G284">
            <v>656.36989800000003</v>
          </cell>
          <cell r="H284">
            <v>1444.013776</v>
          </cell>
          <cell r="I284">
            <v>1444.013776</v>
          </cell>
          <cell r="J284">
            <v>1444.013776</v>
          </cell>
          <cell r="K284">
            <v>2393.084883</v>
          </cell>
          <cell r="L284">
            <v>2549.0155800000002</v>
          </cell>
          <cell r="M284">
            <v>4078.4249279999999</v>
          </cell>
          <cell r="N284">
            <v>4078.4249279999999</v>
          </cell>
          <cell r="O284">
            <v>4078.4249279999999</v>
          </cell>
          <cell r="P284">
            <v>4078.4249279999999</v>
          </cell>
          <cell r="Q284">
            <v>4078.4249279999999</v>
          </cell>
          <cell r="R284">
            <v>4078.4249279999999</v>
          </cell>
          <cell r="S284">
            <v>4078.4249279999999</v>
          </cell>
          <cell r="T284">
            <v>4479.341308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</row>
        <row r="285">
          <cell r="A285" t="str">
            <v>Additional Income Statement Items</v>
          </cell>
          <cell r="B285"/>
          <cell r="C285"/>
          <cell r="D285"/>
        </row>
        <row r="286">
          <cell r="B286" t="str">
            <v>Marginal tax rate</v>
          </cell>
          <cell r="C286" t="str">
            <v>MARGIN_TAX_RATE</v>
          </cell>
          <cell r="F286">
            <v>0.11984497268136302</v>
          </cell>
          <cell r="G286">
            <v>0.20979848450455282</v>
          </cell>
          <cell r="H286">
            <v>0.2242649172239401</v>
          </cell>
          <cell r="I286">
            <v>0.19270548199327647</v>
          </cell>
          <cell r="J286">
            <v>0.18494942582438897</v>
          </cell>
          <cell r="K286">
            <v>0.17396636186896017</v>
          </cell>
          <cell r="L286">
            <v>0.16805168862113298</v>
          </cell>
          <cell r="M286">
            <v>0.17199477270317665</v>
          </cell>
          <cell r="N286">
            <v>0.17911460962431158</v>
          </cell>
          <cell r="O286">
            <v>0.12860118664464296</v>
          </cell>
          <cell r="P286">
            <v>0.18372443818604331</v>
          </cell>
          <cell r="Q286">
            <v>0.14876160221590112</v>
          </cell>
          <cell r="R286">
            <v>0.15999999999999998</v>
          </cell>
          <cell r="S286">
            <v>0.16</v>
          </cell>
          <cell r="T286">
            <v>0.15000000000000002</v>
          </cell>
          <cell r="U286">
            <v>0.18650388056992229</v>
          </cell>
          <cell r="V286">
            <v>0.1614073378872741</v>
          </cell>
          <cell r="W286">
            <v>0.19647786918611501</v>
          </cell>
          <cell r="X286">
            <v>0.16010102830930684</v>
          </cell>
          <cell r="Y286">
            <v>0.20296596948635076</v>
          </cell>
          <cell r="Z286">
            <v>0.16130626273548024</v>
          </cell>
          <cell r="AA286">
            <v>0.19589139695309085</v>
          </cell>
          <cell r="AB286">
            <v>5.3335351427020797E-2</v>
          </cell>
          <cell r="AC286">
            <v>0.14304500966505179</v>
          </cell>
          <cell r="AD286">
            <v>0.19032401071670951</v>
          </cell>
          <cell r="AE286">
            <v>0.19830858943462118</v>
          </cell>
          <cell r="AF286">
            <v>0.15504706072959037</v>
          </cell>
          <cell r="AG286">
            <v>0.19261554345265242</v>
          </cell>
          <cell r="AH286">
            <v>0.19812097086332237</v>
          </cell>
          <cell r="AI286">
            <v>0.19041629217269401</v>
          </cell>
          <cell r="AJ286">
            <v>0.1314991457010877</v>
          </cell>
          <cell r="AK286">
            <v>0.12932658265287225</v>
          </cell>
          <cell r="AL286">
            <v>6.1575882065211071E-2</v>
          </cell>
          <cell r="AM286">
            <v>0.14969189371475872</v>
          </cell>
          <cell r="AN286">
            <v>0.26529951995681539</v>
          </cell>
          <cell r="AO286">
            <v>0.10479885231855197</v>
          </cell>
          <cell r="AP286">
            <v>0.20487947438856041</v>
          </cell>
          <cell r="AQ286">
            <v>0.17423553426430566</v>
          </cell>
          <cell r="AR286">
            <v>0.39467029932270908</v>
          </cell>
          <cell r="AS286">
            <v>0.11446207396071045</v>
          </cell>
          <cell r="AT286">
            <v>0.16</v>
          </cell>
          <cell r="AU286">
            <v>0.16</v>
          </cell>
          <cell r="AV286">
            <v>0.16</v>
          </cell>
          <cell r="AW286">
            <v>0.16</v>
          </cell>
          <cell r="AX286">
            <v>0.16</v>
          </cell>
          <cell r="AY286">
            <v>0.16</v>
          </cell>
          <cell r="AZ286">
            <v>0.16</v>
          </cell>
          <cell r="BA286">
            <v>0.16</v>
          </cell>
          <cell r="BB286">
            <v>0.16</v>
          </cell>
        </row>
        <row r="287">
          <cell r="B287" t="str">
            <v>Net income (consensus) (Pub)</v>
          </cell>
          <cell r="C287" t="str">
            <v>NI_CONS</v>
          </cell>
          <cell r="D287" t="str">
            <v>CNY</v>
          </cell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</row>
        <row r="288">
          <cell r="A288" t="str">
            <v>Balance Sheet</v>
          </cell>
          <cell r="B288"/>
          <cell r="C288"/>
          <cell r="D288"/>
        </row>
        <row r="289">
          <cell r="B289" t="str">
            <v>BVPS, book value per share</v>
          </cell>
          <cell r="C289" t="str">
            <v>BVPS</v>
          </cell>
          <cell r="D289" t="str">
            <v>CNY</v>
          </cell>
          <cell r="F289">
            <v>5.2615909802154954</v>
          </cell>
          <cell r="G289">
            <v>7.4042542060635448</v>
          </cell>
          <cell r="H289">
            <v>3.9229726857536584</v>
          </cell>
          <cell r="I289">
            <v>4.1839739550379473</v>
          </cell>
          <cell r="J289">
            <v>4.8250954900862384</v>
          </cell>
          <cell r="K289">
            <v>4.730081389386303</v>
          </cell>
          <cell r="L289">
            <v>6.2449948107025683</v>
          </cell>
          <cell r="M289">
            <v>4.2751338623389259</v>
          </cell>
          <cell r="N289">
            <v>4.8472550296259858</v>
          </cell>
          <cell r="O289">
            <v>5.210070093829124</v>
          </cell>
          <cell r="P289">
            <v>5.3317784496069072</v>
          </cell>
          <cell r="Q289">
            <v>5.589009115037622</v>
          </cell>
          <cell r="R289">
            <v>5.9404389077956541</v>
          </cell>
          <cell r="S289">
            <v>6.4191699145132048</v>
          </cell>
          <cell r="T289">
            <v>7.3216798881444012</v>
          </cell>
          <cell r="U289">
            <v>7.8227127713765983</v>
          </cell>
          <cell r="V289">
            <v>8.5038791165369787</v>
          </cell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  <cell r="AM289"/>
          <cell r="AN289"/>
          <cell r="AO289"/>
          <cell r="AP289"/>
          <cell r="AQ289"/>
          <cell r="AR289"/>
          <cell r="AS289"/>
          <cell r="AT289"/>
          <cell r="AU289"/>
          <cell r="AV289"/>
          <cell r="AW289"/>
          <cell r="AX289"/>
          <cell r="AY289"/>
          <cell r="AZ289"/>
          <cell r="BA289"/>
          <cell r="BB289"/>
        </row>
        <row r="290">
          <cell r="A290" t="str">
            <v>Cash Flow Statement</v>
          </cell>
          <cell r="B290"/>
          <cell r="C290"/>
          <cell r="D290"/>
        </row>
        <row r="291">
          <cell r="B291" t="str">
            <v>Net income (pre-preferred dividends)</v>
          </cell>
          <cell r="C291" t="str">
            <v>CF_NI_PRE_PREF</v>
          </cell>
          <cell r="D291" t="str">
            <v>CNY</v>
          </cell>
          <cell r="F291">
            <v>180.15110989999999</v>
          </cell>
          <cell r="G291">
            <v>419.26495489999996</v>
          </cell>
          <cell r="H291">
            <v>936.17100270000003</v>
          </cell>
          <cell r="I291">
            <v>810.0416232</v>
          </cell>
          <cell r="J291">
            <v>1035.9877296</v>
          </cell>
          <cell r="K291">
            <v>1462.3276467000001</v>
          </cell>
          <cell r="L291">
            <v>1694.5546629</v>
          </cell>
          <cell r="M291">
            <v>2166.6523416</v>
          </cell>
          <cell r="N291">
            <v>3164.2108890999998</v>
          </cell>
          <cell r="O291">
            <v>2830.1580661999997</v>
          </cell>
          <cell r="P291">
            <v>1298.4667003199984</v>
          </cell>
          <cell r="Q291">
            <v>1525.3122537523898</v>
          </cell>
          <cell r="R291">
            <v>2083.8890586000975</v>
          </cell>
          <cell r="S291">
            <v>2838.7527963464377</v>
          </cell>
          <cell r="T291">
            <v>4700.9193167511721</v>
          </cell>
          <cell r="U291">
            <v>6623.0389660467099</v>
          </cell>
          <cell r="V291">
            <v>9004.1819555904603</v>
          </cell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</row>
        <row r="292">
          <cell r="A292" t="str">
            <v>Other Items</v>
          </cell>
          <cell r="B292"/>
          <cell r="C292"/>
          <cell r="D292"/>
        </row>
        <row r="293">
          <cell r="B293" t="str">
            <v>Beta</v>
          </cell>
          <cell r="C293" t="str">
            <v>BETA_ANALYST</v>
          </cell>
          <cell r="E293"/>
        </row>
        <row r="294">
          <cell r="B294" t="str">
            <v>Market equity risk premium</v>
          </cell>
          <cell r="C294" t="str">
            <v>MKT_EQ_RISK_PREM</v>
          </cell>
          <cell r="E294"/>
        </row>
        <row r="295">
          <cell r="B295" t="str">
            <v>Risk-free rate</v>
          </cell>
          <cell r="C295" t="str">
            <v>RISK_FR_RATE</v>
          </cell>
          <cell r="E295"/>
        </row>
      </sheetData>
      <sheetData sheetId="18" refreshError="1"/>
      <sheetData sheetId="19" refreshError="1"/>
      <sheetData sheetId="20">
        <row r="1">
          <cell r="A1" t="str">
            <v>Issuer: Sanan</v>
          </cell>
          <cell r="C1">
            <v>4022162080</v>
          </cell>
          <cell r="F1">
            <v>2009</v>
          </cell>
          <cell r="G1">
            <v>2010</v>
          </cell>
          <cell r="H1">
            <v>2011</v>
          </cell>
          <cell r="I1">
            <v>2012</v>
          </cell>
          <cell r="J1">
            <v>2013</v>
          </cell>
          <cell r="K1">
            <v>2014</v>
          </cell>
          <cell r="L1">
            <v>2015</v>
          </cell>
          <cell r="M1">
            <v>2016</v>
          </cell>
          <cell r="N1">
            <v>2017</v>
          </cell>
          <cell r="O1">
            <v>2018</v>
          </cell>
          <cell r="P1">
            <v>2019</v>
          </cell>
          <cell r="Q1">
            <v>2020</v>
          </cell>
          <cell r="R1">
            <v>2021</v>
          </cell>
          <cell r="S1">
            <v>2022</v>
          </cell>
          <cell r="T1">
            <v>2023</v>
          </cell>
          <cell r="U1" t="str">
            <v>2014 Q1</v>
          </cell>
          <cell r="V1" t="str">
            <v>2014 Q2</v>
          </cell>
          <cell r="W1" t="str">
            <v>2014 Q3</v>
          </cell>
          <cell r="X1" t="str">
            <v>2014 Q4</v>
          </cell>
          <cell r="Y1" t="str">
            <v>2015 Q1</v>
          </cell>
          <cell r="Z1" t="str">
            <v>2015 Q2</v>
          </cell>
          <cell r="AA1" t="str">
            <v>2015 Q3</v>
          </cell>
          <cell r="AB1" t="str">
            <v>2015 Q4</v>
          </cell>
          <cell r="AC1" t="str">
            <v>2016 Q1</v>
          </cell>
          <cell r="AD1" t="str">
            <v>2016 Q2</v>
          </cell>
          <cell r="AE1" t="str">
            <v>2016 Q3</v>
          </cell>
          <cell r="AF1" t="str">
            <v>2016 Q4</v>
          </cell>
          <cell r="AG1" t="str">
            <v>2017 Q1</v>
          </cell>
          <cell r="AH1" t="str">
            <v>2017 Q2</v>
          </cell>
          <cell r="AI1" t="str">
            <v>2017 Q3</v>
          </cell>
          <cell r="AJ1" t="str">
            <v>2017 Q4</v>
          </cell>
          <cell r="AK1" t="str">
            <v>2018 Q1</v>
          </cell>
          <cell r="AL1" t="str">
            <v>2018 Q2</v>
          </cell>
          <cell r="AM1" t="str">
            <v>2018 Q3</v>
          </cell>
          <cell r="AN1" t="str">
            <v>2018 Q4</v>
          </cell>
          <cell r="AO1" t="str">
            <v>2019 Q1</v>
          </cell>
          <cell r="AP1" t="str">
            <v>2019 Q2</v>
          </cell>
          <cell r="AQ1" t="str">
            <v>2019 Q3</v>
          </cell>
          <cell r="AR1" t="str">
            <v>2019 Q4</v>
          </cell>
          <cell r="AS1" t="str">
            <v>2020 Q1</v>
          </cell>
          <cell r="AT1" t="str">
            <v>2020 Q2</v>
          </cell>
          <cell r="AU1" t="str">
            <v>2020 Q3</v>
          </cell>
          <cell r="AV1" t="str">
            <v>2020 Q4</v>
          </cell>
          <cell r="AW1" t="str">
            <v>2021 Q1</v>
          </cell>
          <cell r="AX1" t="str">
            <v>2021 Q2</v>
          </cell>
          <cell r="AY1" t="str">
            <v>2021 Q3</v>
          </cell>
          <cell r="AZ1" t="str">
            <v>2021 Q4</v>
          </cell>
          <cell r="BA1" t="str">
            <v>2022 Q1</v>
          </cell>
          <cell r="BB1" t="str">
            <v>2022 Q2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Estimate</v>
          </cell>
          <cell r="S2" t="str">
            <v>Estimate</v>
          </cell>
          <cell r="T2" t="str">
            <v>Estimate</v>
          </cell>
          <cell r="U2" t="str">
            <v>Estimate</v>
          </cell>
          <cell r="V2" t="str">
            <v>Estimate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Actual</v>
          </cell>
          <cell r="AY2" t="str">
            <v>Actual</v>
          </cell>
          <cell r="AZ2" t="str">
            <v>Actual</v>
          </cell>
          <cell r="BA2" t="str">
            <v>Estimate</v>
          </cell>
          <cell r="BB2" t="str">
            <v>Estimate</v>
          </cell>
        </row>
        <row r="3">
          <cell r="F3">
            <v>40178</v>
          </cell>
          <cell r="G3">
            <v>40543</v>
          </cell>
          <cell r="H3">
            <v>40908</v>
          </cell>
          <cell r="I3">
            <v>41274</v>
          </cell>
          <cell r="J3">
            <v>41639</v>
          </cell>
          <cell r="K3">
            <v>42004</v>
          </cell>
          <cell r="L3">
            <v>42369</v>
          </cell>
          <cell r="M3">
            <v>42735</v>
          </cell>
          <cell r="N3">
            <v>43100</v>
          </cell>
          <cell r="O3">
            <v>43465</v>
          </cell>
          <cell r="P3">
            <v>43830</v>
          </cell>
          <cell r="Q3">
            <v>44196</v>
          </cell>
          <cell r="R3">
            <v>44561</v>
          </cell>
          <cell r="S3">
            <v>44926</v>
          </cell>
          <cell r="T3">
            <v>45291</v>
          </cell>
          <cell r="U3">
            <v>45657</v>
          </cell>
          <cell r="V3">
            <v>46022</v>
          </cell>
          <cell r="X3">
            <v>41729</v>
          </cell>
          <cell r="Y3">
            <v>41820</v>
          </cell>
          <cell r="Z3">
            <v>41912</v>
          </cell>
          <cell r="AA3">
            <v>42004</v>
          </cell>
          <cell r="AB3">
            <v>42094</v>
          </cell>
          <cell r="AC3">
            <v>42185</v>
          </cell>
          <cell r="AD3">
            <v>42277</v>
          </cell>
          <cell r="AE3">
            <v>42369</v>
          </cell>
          <cell r="AF3">
            <v>42460</v>
          </cell>
          <cell r="AG3">
            <v>42551</v>
          </cell>
          <cell r="AH3">
            <v>42643</v>
          </cell>
          <cell r="AI3">
            <v>42735</v>
          </cell>
          <cell r="AJ3">
            <v>42825</v>
          </cell>
          <cell r="AK3">
            <v>42916</v>
          </cell>
          <cell r="AL3">
            <v>43008</v>
          </cell>
          <cell r="AM3">
            <v>43100</v>
          </cell>
          <cell r="AN3">
            <v>43190</v>
          </cell>
          <cell r="AO3">
            <v>43281</v>
          </cell>
          <cell r="AP3">
            <v>43373</v>
          </cell>
          <cell r="AQ3">
            <v>43465</v>
          </cell>
          <cell r="AR3">
            <v>43555</v>
          </cell>
          <cell r="AS3">
            <v>43646</v>
          </cell>
          <cell r="AT3">
            <v>43738</v>
          </cell>
          <cell r="AU3">
            <v>43830</v>
          </cell>
          <cell r="AV3">
            <v>43921</v>
          </cell>
          <cell r="AW3">
            <v>44012</v>
          </cell>
          <cell r="AX3">
            <v>44104</v>
          </cell>
          <cell r="AY3">
            <v>44196</v>
          </cell>
          <cell r="AZ3">
            <v>44286</v>
          </cell>
          <cell r="BA3">
            <v>44651</v>
          </cell>
          <cell r="BB3">
            <v>44742</v>
          </cell>
        </row>
        <row r="4">
          <cell r="A4" t="str">
            <v>Issuer: Sanan</v>
          </cell>
          <cell r="B4" t="str">
            <v>15U50A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Sanan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>
            <v>0</v>
          </cell>
          <cell r="F11">
            <v>470.29375900000002</v>
          </cell>
          <cell r="G11">
            <v>862.61084189999997</v>
          </cell>
          <cell r="H11">
            <v>1747.3119655999999</v>
          </cell>
          <cell r="I11">
            <v>3363.1581839</v>
          </cell>
          <cell r="J11">
            <v>3732.0673683</v>
          </cell>
          <cell r="K11">
            <v>4579.6650718000001</v>
          </cell>
          <cell r="L11">
            <v>4858.2538021</v>
          </cell>
          <cell r="M11">
            <v>6272.6026578999999</v>
          </cell>
          <cell r="N11">
            <v>8393.7257836999997</v>
          </cell>
          <cell r="O11">
            <v>8364.3742254999997</v>
          </cell>
          <cell r="P11">
            <v>7460.01387892</v>
          </cell>
          <cell r="Q11">
            <v>8453.8827654300003</v>
          </cell>
          <cell r="R11">
            <v>13499.5122284881</v>
          </cell>
          <cell r="S11">
            <v>17636.4389562916</v>
          </cell>
          <cell r="T11">
            <v>22800.121875035202</v>
          </cell>
          <cell r="U11">
            <v>28849.511444476098</v>
          </cell>
          <cell r="V11">
            <v>35176.3732853033</v>
          </cell>
          <cell r="X11">
            <v>822.52028689999997</v>
          </cell>
          <cell r="Y11">
            <v>1354.4359935</v>
          </cell>
          <cell r="Z11">
            <v>1301.0826692999999</v>
          </cell>
          <cell r="AA11">
            <v>1101.6261222000001</v>
          </cell>
          <cell r="AB11">
            <v>926.59462450000001</v>
          </cell>
          <cell r="AC11">
            <v>1364.8055884</v>
          </cell>
          <cell r="AD11">
            <v>1310.1210477</v>
          </cell>
          <cell r="AE11">
            <v>1256.7325415</v>
          </cell>
          <cell r="AF11">
            <v>1178.1832108000001</v>
          </cell>
          <cell r="AG11">
            <v>1600.1824829</v>
          </cell>
          <cell r="AH11">
            <v>1707.3974378</v>
          </cell>
          <cell r="AI11">
            <v>1786.8395264999999</v>
          </cell>
          <cell r="AJ11">
            <v>1989.9348844000001</v>
          </cell>
          <cell r="AK11">
            <v>2076.6807985</v>
          </cell>
          <cell r="AL11">
            <v>2215.9046279999998</v>
          </cell>
          <cell r="AM11">
            <v>2111.2054727</v>
          </cell>
          <cell r="AN11">
            <v>1944.9134947</v>
          </cell>
          <cell r="AO11">
            <v>2228.2823898000001</v>
          </cell>
          <cell r="AP11">
            <v>2220.1244207</v>
          </cell>
          <cell r="AQ11">
            <v>1971.0539203000001</v>
          </cell>
          <cell r="AR11">
            <v>1729.0078114999999</v>
          </cell>
          <cell r="AS11">
            <v>1658.6357237</v>
          </cell>
          <cell r="AT11">
            <v>1944.5454382</v>
          </cell>
          <cell r="AU11">
            <v>2127.8249055199999</v>
          </cell>
          <cell r="AV11">
            <v>1681.5915208599999</v>
          </cell>
          <cell r="AW11">
            <v>1885.9875200500001</v>
          </cell>
          <cell r="AX11">
            <v>2332.7411741199999</v>
          </cell>
          <cell r="AY11">
            <v>2553.5625504</v>
          </cell>
          <cell r="AZ11">
            <v>2717.38021918</v>
          </cell>
          <cell r="BA11">
            <v>3396.8635912700001</v>
          </cell>
          <cell r="BB11">
            <v>3537.31892878906</v>
          </cell>
        </row>
        <row r="12">
          <cell r="B12" t="str">
            <v>Compensation &amp; benfits expense</v>
          </cell>
          <cell r="C12" t="str">
            <v>PERSONNEL</v>
          </cell>
          <cell r="D12">
            <v>0</v>
          </cell>
        </row>
        <row r="13">
          <cell r="B13" t="str">
            <v>Cost of goods sold, COGS</v>
          </cell>
          <cell r="C13" t="str">
            <v>COST_GD_SD</v>
          </cell>
          <cell r="D13">
            <v>0</v>
          </cell>
          <cell r="F13">
            <v>-272.70852230000003</v>
          </cell>
          <cell r="G13">
            <v>-453.83767269999998</v>
          </cell>
          <cell r="H13">
            <v>-1008.0777811</v>
          </cell>
          <cell r="I13">
            <v>-2463.3452074000002</v>
          </cell>
          <cell r="J13">
            <v>-2379.3854405000002</v>
          </cell>
          <cell r="K13">
            <v>-2516.7399439000001</v>
          </cell>
          <cell r="L13">
            <v>-2616.5503998999998</v>
          </cell>
          <cell r="M13">
            <v>-3660.2877635999998</v>
          </cell>
          <cell r="N13">
            <v>-4298.4037269999999</v>
          </cell>
          <cell r="O13">
            <v>-4624.8075140000001</v>
          </cell>
          <cell r="P13">
            <v>-5268.9029608299998</v>
          </cell>
          <cell r="Q13">
            <v>-6385.2492829700004</v>
          </cell>
          <cell r="R13">
            <v>-10096.5416853196</v>
          </cell>
          <cell r="S13">
            <v>-11752.6619183516</v>
          </cell>
          <cell r="T13">
            <v>-14626.7198660293</v>
          </cell>
          <cell r="U13">
            <v>-18028.092025039001</v>
          </cell>
          <cell r="V13">
            <v>-21375.423704864901</v>
          </cell>
          <cell r="X13">
            <v>-495.02286550000002</v>
          </cell>
          <cell r="Y13">
            <v>-784.94321030000003</v>
          </cell>
          <cell r="Z13">
            <v>-723.63428759999999</v>
          </cell>
          <cell r="AA13">
            <v>-513.13958060000004</v>
          </cell>
          <cell r="AB13">
            <v>-478.03324570000001</v>
          </cell>
          <cell r="AC13">
            <v>-709.6233575</v>
          </cell>
          <cell r="AD13">
            <v>-754.02980279999997</v>
          </cell>
          <cell r="AE13">
            <v>-674.86399389999997</v>
          </cell>
          <cell r="AF13">
            <v>-717.67455710000002</v>
          </cell>
          <cell r="AG13">
            <v>-1014.6599179999999</v>
          </cell>
          <cell r="AH13">
            <v>-1037.1282917999999</v>
          </cell>
          <cell r="AI13">
            <v>-890.82499670000004</v>
          </cell>
          <cell r="AJ13">
            <v>-1078.3575119</v>
          </cell>
          <cell r="AK13">
            <v>-1025.6894830000001</v>
          </cell>
          <cell r="AL13">
            <v>-1141.3811270000001</v>
          </cell>
          <cell r="AM13">
            <v>-1052.9756050000001</v>
          </cell>
          <cell r="AN13">
            <v>-950.48157019999996</v>
          </cell>
          <cell r="AO13">
            <v>-1182.6793591999999</v>
          </cell>
          <cell r="AP13">
            <v>-1233.0844903</v>
          </cell>
          <cell r="AQ13">
            <v>-1258.5620942999999</v>
          </cell>
          <cell r="AR13">
            <v>-1090.3502607999999</v>
          </cell>
          <cell r="AS13">
            <v>-1105.938791</v>
          </cell>
          <cell r="AT13">
            <v>-1409.4027005999999</v>
          </cell>
          <cell r="AU13">
            <v>-1663.2112084299999</v>
          </cell>
          <cell r="AV13">
            <v>-1206.6392690099999</v>
          </cell>
          <cell r="AW13">
            <v>-1269.1245853200001</v>
          </cell>
          <cell r="AX13">
            <v>-1695.7303580600001</v>
          </cell>
          <cell r="AY13">
            <v>-2213.7550705799999</v>
          </cell>
          <cell r="AZ13">
            <v>-2097.1132989799999</v>
          </cell>
          <cell r="BA13">
            <v>-2666.0007114</v>
          </cell>
          <cell r="BB13">
            <v>-2615.1035411317498</v>
          </cell>
        </row>
        <row r="14">
          <cell r="B14" t="str">
            <v>SG&amp;A, selling, general and admin. expense</v>
          </cell>
          <cell r="C14" t="str">
            <v>SEL_GL_AD</v>
          </cell>
          <cell r="D14">
            <v>0</v>
          </cell>
          <cell r="F14">
            <v>-28.960289448253</v>
          </cell>
          <cell r="G14">
            <v>-77.633695270000004</v>
          </cell>
          <cell r="H14">
            <v>-180.05703377</v>
          </cell>
          <cell r="I14">
            <v>-246.79209369</v>
          </cell>
          <cell r="J14">
            <v>-353.78239446999999</v>
          </cell>
          <cell r="K14">
            <v>-415.15778540999997</v>
          </cell>
          <cell r="L14">
            <v>-406.00089133</v>
          </cell>
          <cell r="M14">
            <v>-504.42324966000001</v>
          </cell>
          <cell r="N14">
            <v>-485.14729620000003</v>
          </cell>
          <cell r="O14">
            <v>-718.96204179999995</v>
          </cell>
          <cell r="P14">
            <v>-720.18913316999999</v>
          </cell>
          <cell r="Q14">
            <v>-926.92700329000002</v>
          </cell>
          <cell r="R14">
            <v>-1138.29542815487</v>
          </cell>
          <cell r="S14">
            <v>-1218.17283324306</v>
          </cell>
          <cell r="T14">
            <v>-1326.7540407837801</v>
          </cell>
          <cell r="U14">
            <v>-1437.0218349286499</v>
          </cell>
          <cell r="V14">
            <v>-1540.93732054715</v>
          </cell>
          <cell r="X14">
            <v>90.041729274999994</v>
          </cell>
          <cell r="Y14">
            <v>99.226265374999997</v>
          </cell>
          <cell r="Z14">
            <v>103.74730277</v>
          </cell>
          <cell r="AA14">
            <v>74.13048757</v>
          </cell>
          <cell r="AB14">
            <v>69.535787940000006</v>
          </cell>
          <cell r="AC14">
            <v>150.43932964000001</v>
          </cell>
          <cell r="AD14">
            <v>122.91551599500001</v>
          </cell>
          <cell r="AE14">
            <v>60.420131394999999</v>
          </cell>
          <cell r="AF14">
            <v>144.15793830000001</v>
          </cell>
          <cell r="AG14">
            <v>140.90424999999999</v>
          </cell>
          <cell r="AH14">
            <v>140.51067402000001</v>
          </cell>
          <cell r="AI14">
            <v>114.09468772</v>
          </cell>
          <cell r="AJ14">
            <v>171.006928375</v>
          </cell>
          <cell r="AK14">
            <v>166.40627387500001</v>
          </cell>
          <cell r="AL14">
            <v>194.026848925</v>
          </cell>
          <cell r="AM14">
            <v>222.70597072499999</v>
          </cell>
          <cell r="AN14">
            <v>170.74372096499999</v>
          </cell>
          <cell r="AO14">
            <v>169.77567256500001</v>
          </cell>
          <cell r="AP14">
            <v>215.502871685</v>
          </cell>
          <cell r="AQ14">
            <v>164.164427585</v>
          </cell>
          <cell r="AR14">
            <v>239.46796738</v>
          </cell>
          <cell r="AS14">
            <v>228.73766748</v>
          </cell>
          <cell r="AT14">
            <v>202.61326399000001</v>
          </cell>
          <cell r="AU14">
            <v>219.37451931999999</v>
          </cell>
          <cell r="AV14">
            <v>212.94263505000001</v>
          </cell>
          <cell r="AW14">
            <v>211.27790886</v>
          </cell>
          <cell r="AX14">
            <v>291.99369237500002</v>
          </cell>
          <cell r="AY14">
            <v>133.354573695</v>
          </cell>
          <cell r="AZ14">
            <v>432.28374519773303</v>
          </cell>
          <cell r="BA14">
            <v>439.60731452773302</v>
          </cell>
          <cell r="BB14">
            <v>480.65982183465599</v>
          </cell>
        </row>
        <row r="15">
          <cell r="B15" t="str">
            <v>Total operating expense</v>
          </cell>
          <cell r="C15" t="str">
            <v>OP_COST</v>
          </cell>
          <cell r="D15">
            <v>0</v>
          </cell>
          <cell r="F15">
            <v>-301.66881174825301</v>
          </cell>
          <cell r="G15">
            <v>-531.47136796999996</v>
          </cell>
          <cell r="H15">
            <v>-1188.1348148699999</v>
          </cell>
          <cell r="I15">
            <v>-2710.1373010900002</v>
          </cell>
          <cell r="J15">
            <v>-2733.1678349700001</v>
          </cell>
          <cell r="K15">
            <v>-2931.8977293100002</v>
          </cell>
          <cell r="L15">
            <v>-3022.5512912300001</v>
          </cell>
          <cell r="M15">
            <v>-4164.7110132600001</v>
          </cell>
          <cell r="N15">
            <v>-4783.5510231999997</v>
          </cell>
          <cell r="O15">
            <v>-5343.7695557999996</v>
          </cell>
          <cell r="P15">
            <v>-5989.0920939999996</v>
          </cell>
          <cell r="Q15">
            <v>-7312.1762862599999</v>
          </cell>
          <cell r="R15">
            <v>-11234.837113474499</v>
          </cell>
          <cell r="S15">
            <v>-12970.834751594601</v>
          </cell>
          <cell r="T15">
            <v>-15953.4739068131</v>
          </cell>
          <cell r="U15">
            <v>-19465.1138599677</v>
          </cell>
          <cell r="V15">
            <v>-22916.361025411999</v>
          </cell>
          <cell r="X15">
            <v>-404.981136225</v>
          </cell>
          <cell r="Y15">
            <v>-685.71694492500001</v>
          </cell>
          <cell r="Z15">
            <v>-619.88698482999996</v>
          </cell>
          <cell r="AA15">
            <v>-439.00909302999997</v>
          </cell>
          <cell r="AB15">
            <v>-408.49745775999997</v>
          </cell>
          <cell r="AC15">
            <v>-559.18402786000001</v>
          </cell>
          <cell r="AD15">
            <v>-631.11428680500001</v>
          </cell>
          <cell r="AE15">
            <v>-614.44386250499997</v>
          </cell>
          <cell r="AF15">
            <v>-573.51661879999995</v>
          </cell>
          <cell r="AG15">
            <v>-873.75566800000001</v>
          </cell>
          <cell r="AH15">
            <v>-896.61761778000005</v>
          </cell>
          <cell r="AI15">
            <v>-776.73030898000002</v>
          </cell>
          <cell r="AJ15">
            <v>-907.35058352500005</v>
          </cell>
          <cell r="AK15">
            <v>-859.28320912499998</v>
          </cell>
          <cell r="AL15">
            <v>-947.35427807500002</v>
          </cell>
          <cell r="AM15">
            <v>-830.26963427500004</v>
          </cell>
          <cell r="AN15">
            <v>-779.737849235</v>
          </cell>
          <cell r="AO15">
            <v>-1012.903686635</v>
          </cell>
          <cell r="AP15">
            <v>-1017.581618615</v>
          </cell>
          <cell r="AQ15">
            <v>-1094.397666715</v>
          </cell>
          <cell r="AR15">
            <v>-850.88229342</v>
          </cell>
          <cell r="AS15">
            <v>-877.20112352000001</v>
          </cell>
          <cell r="AT15">
            <v>-1206.7894366099999</v>
          </cell>
          <cell r="AU15">
            <v>-1443.83668911</v>
          </cell>
          <cell r="AV15">
            <v>-993.69663395999999</v>
          </cell>
          <cell r="AW15">
            <v>-1057.84667646</v>
          </cell>
          <cell r="AX15">
            <v>-1403.7366656849999</v>
          </cell>
          <cell r="AY15">
            <v>-2080.4004968849999</v>
          </cell>
          <cell r="AZ15">
            <v>-1664.8295537822701</v>
          </cell>
          <cell r="BA15">
            <v>-2226.3933968722699</v>
          </cell>
          <cell r="BB15">
            <v>-2134.44371929709</v>
          </cell>
        </row>
        <row r="16">
          <cell r="B16" t="str">
            <v>R&amp;D expense</v>
          </cell>
          <cell r="C16" t="str">
            <v>RD_EXP</v>
          </cell>
          <cell r="D16">
            <v>0</v>
          </cell>
          <cell r="F16">
            <v>-5.5493547517469999</v>
          </cell>
          <cell r="G16">
            <v>-10.17860323</v>
          </cell>
          <cell r="H16">
            <v>-7.8782836300000003</v>
          </cell>
          <cell r="I16">
            <v>-25.226514609999999</v>
          </cell>
          <cell r="J16">
            <v>-28.480361930000001</v>
          </cell>
          <cell r="K16">
            <v>-96.487085690000001</v>
          </cell>
          <cell r="L16">
            <v>-83.805653570000004</v>
          </cell>
          <cell r="M16">
            <v>-80.52173354</v>
          </cell>
          <cell r="N16">
            <v>-126.64832269999999</v>
          </cell>
          <cell r="O16">
            <v>-144.3894033</v>
          </cell>
          <cell r="P16">
            <v>-197.00099911999999</v>
          </cell>
          <cell r="Q16">
            <v>-405.69344252000002</v>
          </cell>
          <cell r="R16">
            <v>-454.61811561399998</v>
          </cell>
          <cell r="S16">
            <v>-500.07992717539997</v>
          </cell>
          <cell r="T16">
            <v>-540.08632134943196</v>
          </cell>
          <cell r="U16">
            <v>-577.89236384389199</v>
          </cell>
          <cell r="V16">
            <v>-612.56590567452599</v>
          </cell>
          <cell r="X16">
            <v>-12.380142475</v>
          </cell>
          <cell r="Y16">
            <v>-12.380142475</v>
          </cell>
          <cell r="Z16">
            <v>-35.863400370000001</v>
          </cell>
          <cell r="AA16">
            <v>-35.863400370000001</v>
          </cell>
          <cell r="AB16">
            <v>-6.5733342649999997</v>
          </cell>
          <cell r="AC16">
            <v>-6.5733342649999997</v>
          </cell>
          <cell r="AD16">
            <v>-35.329492520000002</v>
          </cell>
          <cell r="AE16">
            <v>-35.329492520000002</v>
          </cell>
          <cell r="AF16">
            <v>-18.931184375000001</v>
          </cell>
          <cell r="AG16">
            <v>-18.931184375000001</v>
          </cell>
          <cell r="AH16">
            <v>-21.329682394999999</v>
          </cell>
          <cell r="AI16">
            <v>-21.329682394999999</v>
          </cell>
          <cell r="AJ16">
            <v>-14.374409549999999</v>
          </cell>
          <cell r="AK16">
            <v>-14.374409549999999</v>
          </cell>
          <cell r="AL16">
            <v>-40.410221300000003</v>
          </cell>
          <cell r="AM16">
            <v>-57.489282299999999</v>
          </cell>
          <cell r="AN16">
            <v>-24.814761799999999</v>
          </cell>
          <cell r="AO16">
            <v>-28.660009500000001</v>
          </cell>
          <cell r="AP16">
            <v>-33.903844100000001</v>
          </cell>
          <cell r="AQ16">
            <v>-57.010787899999997</v>
          </cell>
          <cell r="AR16">
            <v>-34.131365899999999</v>
          </cell>
          <cell r="AS16">
            <v>-46.197639299999999</v>
          </cell>
          <cell r="AT16">
            <v>-40.941931400000001</v>
          </cell>
          <cell r="AU16">
            <v>-75.730062520000004</v>
          </cell>
          <cell r="AV16">
            <v>-45.791326050000002</v>
          </cell>
          <cell r="AW16">
            <v>-96.867267229999996</v>
          </cell>
          <cell r="AX16">
            <v>-103.13896453</v>
          </cell>
          <cell r="AY16">
            <v>-159.89588470999999</v>
          </cell>
          <cell r="AZ16">
            <v>-85.698293250000006</v>
          </cell>
          <cell r="BA16">
            <v>-79.581488199999995</v>
          </cell>
          <cell r="BB16">
            <v>-113.45286098299999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>
            <v>0</v>
          </cell>
        </row>
        <row r="18">
          <cell r="B18" t="str">
            <v>Total operating expense (incl. D&amp;A)</v>
          </cell>
          <cell r="C18" t="str">
            <v>TOT_OPS_EXP_DDA</v>
          </cell>
          <cell r="D18">
            <v>0</v>
          </cell>
          <cell r="F18">
            <v>-307.2181665</v>
          </cell>
          <cell r="G18">
            <v>-541.64997119999998</v>
          </cell>
          <cell r="H18">
            <v>-1196.0130985000001</v>
          </cell>
          <cell r="I18">
            <v>-2735.3638157</v>
          </cell>
          <cell r="J18">
            <v>-2761.6481969000001</v>
          </cell>
          <cell r="K18">
            <v>-3028.3848149999999</v>
          </cell>
          <cell r="L18">
            <v>-3106.3569447999998</v>
          </cell>
          <cell r="M18">
            <v>-4245.2327468000003</v>
          </cell>
          <cell r="N18">
            <v>-4910.1993458999996</v>
          </cell>
          <cell r="O18">
            <v>-5488.1589591000002</v>
          </cell>
          <cell r="P18">
            <v>-6186.09309312</v>
          </cell>
          <cell r="Q18">
            <v>-7717.8697287799996</v>
          </cell>
          <cell r="R18">
            <v>-11689.4552290885</v>
          </cell>
          <cell r="S18">
            <v>-13470.914678769999</v>
          </cell>
          <cell r="T18">
            <v>-16493.560228162602</v>
          </cell>
          <cell r="U18">
            <v>-20043.006223811601</v>
          </cell>
          <cell r="V18">
            <v>-23528.926931086498</v>
          </cell>
          <cell r="X18">
            <v>-612.93717130000005</v>
          </cell>
          <cell r="Y18">
            <v>-893.67298000000005</v>
          </cell>
          <cell r="Z18">
            <v>-851.32627779999996</v>
          </cell>
          <cell r="AA18">
            <v>-670.44838600000003</v>
          </cell>
          <cell r="AB18">
            <v>-617.39870610000003</v>
          </cell>
          <cell r="AC18">
            <v>-768.08527619999995</v>
          </cell>
          <cell r="AD18">
            <v>-868.7716934</v>
          </cell>
          <cell r="AE18">
            <v>-852.10126909999997</v>
          </cell>
          <cell r="AF18">
            <v>-853.47050309999997</v>
          </cell>
          <cell r="AG18">
            <v>-1153.7095523</v>
          </cell>
          <cell r="AH18">
            <v>-1178.9700001000001</v>
          </cell>
          <cell r="AI18">
            <v>-1059.0826913000001</v>
          </cell>
          <cell r="AJ18">
            <v>-1231.5483225999999</v>
          </cell>
          <cell r="AK18">
            <v>-1183.4809482000001</v>
          </cell>
          <cell r="AL18">
            <v>-1297.5878289</v>
          </cell>
          <cell r="AM18">
            <v>-1197.5822461</v>
          </cell>
          <cell r="AN18">
            <v>-1134.1192928</v>
          </cell>
          <cell r="AO18">
            <v>-1371.1303779</v>
          </cell>
          <cell r="AP18">
            <v>-1441.4931482</v>
          </cell>
          <cell r="AQ18">
            <v>-1541.4161400999999</v>
          </cell>
          <cell r="AR18">
            <v>-1291.7756816000001</v>
          </cell>
          <cell r="AS18">
            <v>-1330.1607851000001</v>
          </cell>
          <cell r="AT18">
            <v>-1646.1606214000001</v>
          </cell>
          <cell r="AU18">
            <v>-1917.99600502</v>
          </cell>
          <cell r="AV18">
            <v>-1434.3224765800001</v>
          </cell>
          <cell r="AW18">
            <v>-1549.54846026</v>
          </cell>
          <cell r="AX18">
            <v>-2000.2890202799999</v>
          </cell>
          <cell r="AY18">
            <v>-2733.7097716600001</v>
          </cell>
          <cell r="AZ18">
            <v>-2450.6169338700001</v>
          </cell>
          <cell r="BA18">
            <v>-3006.06397191</v>
          </cell>
          <cell r="BB18">
            <v>-2947.98566711783</v>
          </cell>
        </row>
        <row r="19">
          <cell r="B19" t="str">
            <v>Total operating expense (excl. D&amp;A)</v>
          </cell>
          <cell r="C19" t="str">
            <v>TOT_OPS_EXP</v>
          </cell>
          <cell r="D19">
            <v>0</v>
          </cell>
          <cell r="F19">
            <v>-240.30513869999999</v>
          </cell>
          <cell r="G19">
            <v>-441.94847540000001</v>
          </cell>
          <cell r="H19">
            <v>-965.60762309999996</v>
          </cell>
          <cell r="I19">
            <v>-2328.0251303999999</v>
          </cell>
          <cell r="J19">
            <v>-2134.7943011000002</v>
          </cell>
          <cell r="K19">
            <v>-2246.0812446</v>
          </cell>
          <cell r="L19">
            <v>-2297.0452885</v>
          </cell>
          <cell r="M19">
            <v>-3201.1419470999999</v>
          </cell>
          <cell r="N19">
            <v>-3670.9060278000002</v>
          </cell>
          <cell r="O19">
            <v>-4049.0102246000001</v>
          </cell>
          <cell r="P19">
            <v>-4575.7105417800003</v>
          </cell>
          <cell r="Q19">
            <v>-5941.3739155100002</v>
          </cell>
          <cell r="R19">
            <v>-8889.0988817375292</v>
          </cell>
          <cell r="S19">
            <v>-10039.0961398525</v>
          </cell>
          <cell r="T19">
            <v>-12257.299350535701</v>
          </cell>
          <cell r="U19">
            <v>-15171.6261603128</v>
          </cell>
          <cell r="V19">
            <v>-18011.628669899001</v>
          </cell>
          <cell r="X19">
            <v>-417.36127870000001</v>
          </cell>
          <cell r="Y19">
            <v>-698.09708739999996</v>
          </cell>
          <cell r="Z19">
            <v>-655.75038519999998</v>
          </cell>
          <cell r="AA19">
            <v>-474.8724934</v>
          </cell>
          <cell r="AB19">
            <v>-415.070792025</v>
          </cell>
          <cell r="AC19">
            <v>-565.75736212499999</v>
          </cell>
          <cell r="AD19">
            <v>-666.44377932500004</v>
          </cell>
          <cell r="AE19">
            <v>-649.773355025</v>
          </cell>
          <cell r="AF19">
            <v>-592.44780317499999</v>
          </cell>
          <cell r="AG19">
            <v>-892.68685237499994</v>
          </cell>
          <cell r="AH19">
            <v>-917.94730017500001</v>
          </cell>
          <cell r="AI19">
            <v>-798.05999137499998</v>
          </cell>
          <cell r="AJ19">
            <v>-921.72499307500004</v>
          </cell>
          <cell r="AK19">
            <v>-873.65761867499998</v>
          </cell>
          <cell r="AL19">
            <v>-987.76449937500001</v>
          </cell>
          <cell r="AM19">
            <v>-887.75891657499994</v>
          </cell>
          <cell r="AN19">
            <v>-804.55261103500004</v>
          </cell>
          <cell r="AO19">
            <v>-1041.5636961350001</v>
          </cell>
          <cell r="AP19">
            <v>-1051.485462715</v>
          </cell>
          <cell r="AQ19">
            <v>-1151.408454615</v>
          </cell>
          <cell r="AR19">
            <v>-885.01365931999999</v>
          </cell>
          <cell r="AS19">
            <v>-923.39876282</v>
          </cell>
          <cell r="AT19">
            <v>-1247.7313680100001</v>
          </cell>
          <cell r="AU19">
            <v>-1519.56675163</v>
          </cell>
          <cell r="AV19">
            <v>-1039.4879600100001</v>
          </cell>
          <cell r="AW19">
            <v>-1154.71394369</v>
          </cell>
          <cell r="AX19">
            <v>-1506.875630215</v>
          </cell>
          <cell r="AY19">
            <v>-2240.2963815950002</v>
          </cell>
          <cell r="AZ19">
            <v>-1750.5278470322701</v>
          </cell>
          <cell r="BA19">
            <v>-2305.9748850722699</v>
          </cell>
          <cell r="BB19">
            <v>-2247.8965802800899</v>
          </cell>
        </row>
        <row r="20">
          <cell r="B20" t="str">
            <v>EBITDA</v>
          </cell>
          <cell r="C20" t="str">
            <v>EBITDA_CALC</v>
          </cell>
          <cell r="D20">
            <v>0</v>
          </cell>
          <cell r="F20">
            <v>229.98862030000001</v>
          </cell>
          <cell r="G20">
            <v>420.66236650000002</v>
          </cell>
          <cell r="H20">
            <v>781.70434250000005</v>
          </cell>
          <cell r="I20">
            <v>1035.1330535</v>
          </cell>
          <cell r="J20">
            <v>1597.2730672</v>
          </cell>
          <cell r="K20">
            <v>2333.5838272000001</v>
          </cell>
          <cell r="L20">
            <v>2561.2085136000001</v>
          </cell>
          <cell r="M20">
            <v>3071.4607108</v>
          </cell>
          <cell r="N20">
            <v>4722.8197559</v>
          </cell>
          <cell r="O20">
            <v>4315.3640009000001</v>
          </cell>
          <cell r="P20">
            <v>2884.3033371400002</v>
          </cell>
          <cell r="Q20">
            <v>2512.5088499200001</v>
          </cell>
          <cell r="R20">
            <v>4610.4133467506099</v>
          </cell>
          <cell r="S20">
            <v>7597.3428164391298</v>
          </cell>
          <cell r="T20">
            <v>10542.822524499499</v>
          </cell>
          <cell r="U20">
            <v>13677.8852841633</v>
          </cell>
          <cell r="V20">
            <v>17164.744615404401</v>
          </cell>
          <cell r="X20">
            <v>405.15900820000002</v>
          </cell>
          <cell r="Y20">
            <v>656.33890610000003</v>
          </cell>
          <cell r="Z20">
            <v>645.33228410000004</v>
          </cell>
          <cell r="AA20">
            <v>626.7536288</v>
          </cell>
          <cell r="AB20">
            <v>511.52383247500001</v>
          </cell>
          <cell r="AC20">
            <v>799.04822627500005</v>
          </cell>
          <cell r="AD20">
            <v>643.67726837500004</v>
          </cell>
          <cell r="AE20">
            <v>606.95918647500002</v>
          </cell>
          <cell r="AF20">
            <v>585.73540762499999</v>
          </cell>
          <cell r="AG20">
            <v>707.49563052500002</v>
          </cell>
          <cell r="AH20">
            <v>789.45013762500002</v>
          </cell>
          <cell r="AI20">
            <v>988.77953512500005</v>
          </cell>
          <cell r="AJ20">
            <v>1068.2098913249999</v>
          </cell>
          <cell r="AK20">
            <v>1203.0231798249999</v>
          </cell>
          <cell r="AL20">
            <v>1228.140128625</v>
          </cell>
          <cell r="AM20">
            <v>1223.4465561249999</v>
          </cell>
          <cell r="AN20">
            <v>1140.3608836650001</v>
          </cell>
          <cell r="AO20">
            <v>1186.718693665</v>
          </cell>
          <cell r="AP20">
            <v>1168.6389579849999</v>
          </cell>
          <cell r="AQ20">
            <v>819.64546568499998</v>
          </cell>
          <cell r="AR20">
            <v>843.99415218000001</v>
          </cell>
          <cell r="AS20">
            <v>735.23696087999997</v>
          </cell>
          <cell r="AT20">
            <v>696.81407019000005</v>
          </cell>
          <cell r="AU20">
            <v>608.25815389000002</v>
          </cell>
          <cell r="AV20">
            <v>642.10356085000001</v>
          </cell>
          <cell r="AW20">
            <v>731.27357635999999</v>
          </cell>
          <cell r="AX20">
            <v>825.86554390499998</v>
          </cell>
          <cell r="AY20">
            <v>313.26616880500001</v>
          </cell>
          <cell r="AZ20">
            <v>966.85237214773304</v>
          </cell>
          <cell r="BA20">
            <v>1090.88870619773</v>
          </cell>
          <cell r="BB20">
            <v>1289.4223485089601</v>
          </cell>
        </row>
        <row r="21">
          <cell r="B21" t="str">
            <v>Depreciation</v>
          </cell>
          <cell r="C21" t="str">
            <v>DEPREC</v>
          </cell>
          <cell r="D21">
            <v>0</v>
          </cell>
          <cell r="F21">
            <v>-65.989879400000007</v>
          </cell>
          <cell r="G21">
            <v>-90.647748000000007</v>
          </cell>
          <cell r="H21">
            <v>-214.6585279</v>
          </cell>
          <cell r="I21">
            <v>-374.43535070000001</v>
          </cell>
          <cell r="J21">
            <v>-574.58757960000003</v>
          </cell>
          <cell r="K21">
            <v>-701.47277570000006</v>
          </cell>
          <cell r="L21">
            <v>-707.01621509999995</v>
          </cell>
          <cell r="M21">
            <v>-919.79865400000006</v>
          </cell>
          <cell r="N21">
            <v>-1064.066955</v>
          </cell>
          <cell r="O21">
            <v>-1223.3037019999999</v>
          </cell>
          <cell r="P21">
            <v>-1335.5023947300001</v>
          </cell>
          <cell r="Q21">
            <v>-1450.60564662</v>
          </cell>
          <cell r="R21">
            <v>-2415.6484542839999</v>
          </cell>
          <cell r="S21">
            <v>-3042.9233428668799</v>
          </cell>
          <cell r="T21">
            <v>-3843.5774782304802</v>
          </cell>
          <cell r="U21">
            <v>-4475.2695214656796</v>
          </cell>
          <cell r="V21">
            <v>-5118.0872238587399</v>
          </cell>
          <cell r="X21">
            <v>-175.36819392500001</v>
          </cell>
          <cell r="Y21">
            <v>-175.36819392500001</v>
          </cell>
          <cell r="Z21">
            <v>-175.36819392500001</v>
          </cell>
          <cell r="AA21">
            <v>-175.36819392500001</v>
          </cell>
          <cell r="AB21">
            <v>-176.75405377499999</v>
          </cell>
          <cell r="AC21">
            <v>-176.75405377499999</v>
          </cell>
          <cell r="AD21">
            <v>-176.75405377499999</v>
          </cell>
          <cell r="AE21">
            <v>-176.75405377499999</v>
          </cell>
          <cell r="AF21">
            <v>-229.94966350000001</v>
          </cell>
          <cell r="AG21">
            <v>-229.94966350000001</v>
          </cell>
          <cell r="AH21">
            <v>-229.94966350000001</v>
          </cell>
          <cell r="AI21">
            <v>-229.94966350000001</v>
          </cell>
          <cell r="AJ21">
            <v>-266.01673875</v>
          </cell>
          <cell r="AK21">
            <v>-266.01673875</v>
          </cell>
          <cell r="AL21">
            <v>-266.01673875</v>
          </cell>
          <cell r="AM21">
            <v>-266.01673875</v>
          </cell>
          <cell r="AN21">
            <v>-279.48901562999998</v>
          </cell>
          <cell r="AO21">
            <v>-279.48901562999998</v>
          </cell>
          <cell r="AP21">
            <v>-332.16283536999998</v>
          </cell>
          <cell r="AQ21">
            <v>-332.16283536999998</v>
          </cell>
          <cell r="AR21">
            <v>-340.73510336999999</v>
          </cell>
          <cell r="AS21">
            <v>-340.73510336999999</v>
          </cell>
          <cell r="AT21">
            <v>-327.01609399500001</v>
          </cell>
          <cell r="AU21">
            <v>-327.01609399500001</v>
          </cell>
          <cell r="AV21">
            <v>-315.04841508999999</v>
          </cell>
          <cell r="AW21">
            <v>-315.04841508999999</v>
          </cell>
          <cell r="AX21">
            <v>-410.25440822000002</v>
          </cell>
          <cell r="AY21">
            <v>-410.25440822000002</v>
          </cell>
          <cell r="AZ21">
            <v>-603.91211357099996</v>
          </cell>
          <cell r="BA21">
            <v>-603.91211357099996</v>
          </cell>
          <cell r="BB21">
            <v>-603.91211357099996</v>
          </cell>
        </row>
        <row r="22">
          <cell r="B22" t="str">
            <v>Amortization</v>
          </cell>
          <cell r="C22" t="str">
            <v>GOODWILL_AMORT</v>
          </cell>
          <cell r="D22">
            <v>0</v>
          </cell>
          <cell r="F22">
            <v>-0.92314839999999998</v>
          </cell>
          <cell r="G22">
            <v>-9.0537478</v>
          </cell>
          <cell r="H22">
            <v>-15.746947499999999</v>
          </cell>
          <cell r="I22">
            <v>-32.903334600000001</v>
          </cell>
          <cell r="J22">
            <v>-52.266316199999999</v>
          </cell>
          <cell r="K22">
            <v>-80.830794699999998</v>
          </cell>
          <cell r="L22">
            <v>-102.2954412</v>
          </cell>
          <cell r="M22">
            <v>-124.29214570000001</v>
          </cell>
          <cell r="N22">
            <v>-175.22636309999999</v>
          </cell>
          <cell r="O22">
            <v>-215.8450325</v>
          </cell>
          <cell r="P22">
            <v>-274.88015660999997</v>
          </cell>
          <cell r="Q22">
            <v>-325.89016665000003</v>
          </cell>
          <cell r="R22">
            <v>-384.707893066932</v>
          </cell>
          <cell r="S22">
            <v>-388.89519605065999</v>
          </cell>
          <cell r="T22">
            <v>-392.68339939637798</v>
          </cell>
          <cell r="U22">
            <v>-396.11054203312301</v>
          </cell>
          <cell r="V22">
            <v>-399.211037328835</v>
          </cell>
          <cell r="X22">
            <v>-20.207698675</v>
          </cell>
          <cell r="Y22">
            <v>-20.207698675</v>
          </cell>
          <cell r="Z22">
            <v>-20.207698675</v>
          </cell>
          <cell r="AA22">
            <v>-20.207698675</v>
          </cell>
          <cell r="AB22">
            <v>-25.5738603</v>
          </cell>
          <cell r="AC22">
            <v>-25.5738603</v>
          </cell>
          <cell r="AD22">
            <v>-25.5738603</v>
          </cell>
          <cell r="AE22">
            <v>-25.5738603</v>
          </cell>
          <cell r="AF22">
            <v>-31.073036425000002</v>
          </cell>
          <cell r="AG22">
            <v>-31.073036425000002</v>
          </cell>
          <cell r="AH22">
            <v>-31.073036425000002</v>
          </cell>
          <cell r="AI22">
            <v>-31.073036425000002</v>
          </cell>
          <cell r="AJ22">
            <v>-43.806590774999997</v>
          </cell>
          <cell r="AK22">
            <v>-43.806590774999997</v>
          </cell>
          <cell r="AL22">
            <v>-43.806590774999997</v>
          </cell>
          <cell r="AM22">
            <v>-43.806590774999997</v>
          </cell>
          <cell r="AN22">
            <v>-50.077666135000001</v>
          </cell>
          <cell r="AO22">
            <v>-50.077666135000001</v>
          </cell>
          <cell r="AP22">
            <v>-57.844850115</v>
          </cell>
          <cell r="AQ22">
            <v>-57.844850115</v>
          </cell>
          <cell r="AR22">
            <v>-66.026918910000006</v>
          </cell>
          <cell r="AS22">
            <v>-66.026918910000006</v>
          </cell>
          <cell r="AT22">
            <v>-71.413159394999994</v>
          </cell>
          <cell r="AU22">
            <v>-71.413159394999994</v>
          </cell>
          <cell r="AV22">
            <v>-79.786101479999999</v>
          </cell>
          <cell r="AW22">
            <v>-79.786101479999999</v>
          </cell>
          <cell r="AX22">
            <v>-83.158981845</v>
          </cell>
          <cell r="AY22">
            <v>-83.158981845</v>
          </cell>
          <cell r="AZ22">
            <v>-96.176973266733</v>
          </cell>
          <cell r="BA22">
            <v>-96.176973266733</v>
          </cell>
          <cell r="BB22">
            <v>-96.176973266733</v>
          </cell>
        </row>
        <row r="23">
          <cell r="B23" t="str">
            <v>EBIT, operating profit</v>
          </cell>
          <cell r="C23" t="str">
            <v>EBIT</v>
          </cell>
          <cell r="D23">
            <v>0</v>
          </cell>
          <cell r="F23">
            <v>163.0755925</v>
          </cell>
          <cell r="G23">
            <v>320.96087069999999</v>
          </cell>
          <cell r="H23">
            <v>551.29886710000005</v>
          </cell>
          <cell r="I23">
            <v>627.79436820000001</v>
          </cell>
          <cell r="J23">
            <v>970.41917139999998</v>
          </cell>
          <cell r="K23">
            <v>1551.2802568</v>
          </cell>
          <cell r="L23">
            <v>1751.8968573</v>
          </cell>
          <cell r="M23">
            <v>2027.3699111000001</v>
          </cell>
          <cell r="N23">
            <v>3483.5264378000002</v>
          </cell>
          <cell r="O23">
            <v>2876.2152664</v>
          </cell>
          <cell r="P23">
            <v>1273.9207858</v>
          </cell>
          <cell r="Q23">
            <v>736.01303664999898</v>
          </cell>
          <cell r="R23">
            <v>1810.0569993996801</v>
          </cell>
          <cell r="S23">
            <v>4165.5242775215902</v>
          </cell>
          <cell r="T23">
            <v>6306.5616468726303</v>
          </cell>
          <cell r="U23">
            <v>8806.5052206644996</v>
          </cell>
          <cell r="V23">
            <v>11647.4463542168</v>
          </cell>
          <cell r="X23">
            <v>209.58311560000001</v>
          </cell>
          <cell r="Y23">
            <v>460.7630135</v>
          </cell>
          <cell r="Z23">
            <v>449.75639150000001</v>
          </cell>
          <cell r="AA23">
            <v>431.17773620000003</v>
          </cell>
          <cell r="AB23">
            <v>309.19591839999998</v>
          </cell>
          <cell r="AC23">
            <v>596.72031219999997</v>
          </cell>
          <cell r="AD23">
            <v>441.34935430000002</v>
          </cell>
          <cell r="AE23">
            <v>404.6312724</v>
          </cell>
          <cell r="AF23">
            <v>324.71270770000001</v>
          </cell>
          <cell r="AG23">
            <v>446.47293059999998</v>
          </cell>
          <cell r="AH23">
            <v>528.42743770000004</v>
          </cell>
          <cell r="AI23">
            <v>727.75683519999995</v>
          </cell>
          <cell r="AJ23">
            <v>758.38656179999998</v>
          </cell>
          <cell r="AK23">
            <v>893.19985029999998</v>
          </cell>
          <cell r="AL23">
            <v>918.31679910000003</v>
          </cell>
          <cell r="AM23">
            <v>913.62322659999995</v>
          </cell>
          <cell r="AN23">
            <v>810.79420189999996</v>
          </cell>
          <cell r="AO23">
            <v>857.15201190000005</v>
          </cell>
          <cell r="AP23">
            <v>778.63127250000002</v>
          </cell>
          <cell r="AQ23">
            <v>429.63778020000001</v>
          </cell>
          <cell r="AR23">
            <v>437.23212990000002</v>
          </cell>
          <cell r="AS23">
            <v>328.47493859999997</v>
          </cell>
          <cell r="AT23">
            <v>298.38481680000001</v>
          </cell>
          <cell r="AU23">
            <v>209.8289005</v>
          </cell>
          <cell r="AV23">
            <v>247.26904428</v>
          </cell>
          <cell r="AW23">
            <v>336.43905978999999</v>
          </cell>
          <cell r="AX23">
            <v>332.45215383999999</v>
          </cell>
          <cell r="AY23">
            <v>-180.14722126000001</v>
          </cell>
          <cell r="AZ23">
            <v>266.76328531000001</v>
          </cell>
          <cell r="BA23">
            <v>390.79961936000001</v>
          </cell>
          <cell r="BB23">
            <v>589.33326167123005</v>
          </cell>
        </row>
        <row r="24">
          <cell r="B24" t="str">
            <v>Interest income</v>
          </cell>
          <cell r="C24" t="str">
            <v>INT_INC_IND</v>
          </cell>
          <cell r="D24">
            <v>0</v>
          </cell>
          <cell r="F24">
            <v>0.43054173000000001</v>
          </cell>
          <cell r="G24">
            <v>10.55485831</v>
          </cell>
          <cell r="H24">
            <v>10.70188405</v>
          </cell>
          <cell r="I24">
            <v>23.052956590000001</v>
          </cell>
          <cell r="J24">
            <v>24.194701429999999</v>
          </cell>
          <cell r="K24">
            <v>60.066253279999998</v>
          </cell>
          <cell r="L24">
            <v>60.575701629999998</v>
          </cell>
          <cell r="M24">
            <v>88.308001630000007</v>
          </cell>
          <cell r="N24">
            <v>50.100612300000002</v>
          </cell>
          <cell r="O24">
            <v>46.735041199999998</v>
          </cell>
          <cell r="P24">
            <v>43.291546060000002</v>
          </cell>
          <cell r="Q24">
            <v>39.825108419999999</v>
          </cell>
          <cell r="R24">
            <v>60.099312155741998</v>
          </cell>
          <cell r="S24">
            <v>23.719848842406002</v>
          </cell>
          <cell r="T24">
            <v>37.127538962907998</v>
          </cell>
          <cell r="U24">
            <v>23.011683289339999</v>
          </cell>
          <cell r="V24">
            <v>43.793734509094001</v>
          </cell>
          <cell r="X24">
            <v>10.111515405</v>
          </cell>
          <cell r="Y24">
            <v>10.111515405</v>
          </cell>
          <cell r="Z24">
            <v>19.921611235</v>
          </cell>
          <cell r="AA24">
            <v>19.921611235</v>
          </cell>
          <cell r="AB24">
            <v>6.6627877350000002</v>
          </cell>
          <cell r="AC24">
            <v>6.6627877350000002</v>
          </cell>
          <cell r="AD24">
            <v>23.62506308</v>
          </cell>
          <cell r="AE24">
            <v>23.62506308</v>
          </cell>
          <cell r="AF24">
            <v>25.681294305000002</v>
          </cell>
          <cell r="AG24">
            <v>25.681294305000002</v>
          </cell>
          <cell r="AH24">
            <v>18.472706509999998</v>
          </cell>
          <cell r="AI24">
            <v>18.472706509999998</v>
          </cell>
          <cell r="AJ24">
            <v>16.73899205</v>
          </cell>
          <cell r="AK24">
            <v>16.73899205</v>
          </cell>
          <cell r="AL24">
            <v>9.6687265999999994</v>
          </cell>
          <cell r="AM24">
            <v>6.9539016</v>
          </cell>
          <cell r="AN24">
            <v>12.373345199999999</v>
          </cell>
          <cell r="AO24">
            <v>11.1269484</v>
          </cell>
          <cell r="AP24">
            <v>9.4387387</v>
          </cell>
          <cell r="AQ24">
            <v>13.7960089</v>
          </cell>
          <cell r="AR24">
            <v>12.644854199999999</v>
          </cell>
          <cell r="AS24">
            <v>15.028559599999999</v>
          </cell>
          <cell r="AT24">
            <v>10.1087585</v>
          </cell>
          <cell r="AU24">
            <v>5.5093738400000003</v>
          </cell>
          <cell r="AV24">
            <v>19.07498769</v>
          </cell>
          <cell r="AW24">
            <v>3.0039549700000001</v>
          </cell>
          <cell r="AX24">
            <v>8.8730828800000001</v>
          </cell>
          <cell r="AY24">
            <v>8.8730828800000001</v>
          </cell>
          <cell r="AZ24">
            <v>13.761293520000001</v>
          </cell>
          <cell r="BA24">
            <v>9.3679517499999996</v>
          </cell>
          <cell r="BB24">
            <v>15.024828038935</v>
          </cell>
        </row>
        <row r="25">
          <cell r="B25" t="str">
            <v>Interest expense</v>
          </cell>
          <cell r="C25" t="str">
            <v>INT_EXP_IND</v>
          </cell>
          <cell r="D25">
            <v>0</v>
          </cell>
          <cell r="F25">
            <v>-12.636381099999999</v>
          </cell>
          <cell r="G25">
            <v>-33.174831910000002</v>
          </cell>
          <cell r="H25">
            <v>-27.828899190000001</v>
          </cell>
          <cell r="I25">
            <v>-117.82846508999999</v>
          </cell>
          <cell r="J25">
            <v>-196.41702599000001</v>
          </cell>
          <cell r="K25">
            <v>-180.48290323000001</v>
          </cell>
          <cell r="L25">
            <v>-83.369135360000001</v>
          </cell>
          <cell r="M25">
            <v>-52.657055059999998</v>
          </cell>
          <cell r="N25">
            <v>-66.234254000000007</v>
          </cell>
          <cell r="O25">
            <v>-106.8821569</v>
          </cell>
          <cell r="P25">
            <v>-159.28285736000001</v>
          </cell>
          <cell r="Q25">
            <v>-107.98893916999999</v>
          </cell>
          <cell r="R25">
            <v>-122.266636507</v>
          </cell>
          <cell r="S25">
            <v>-122.266636507</v>
          </cell>
          <cell r="T25">
            <v>-147.26663650699999</v>
          </cell>
          <cell r="U25">
            <v>-147.26663650699999</v>
          </cell>
          <cell r="V25">
            <v>-122.266636507</v>
          </cell>
          <cell r="X25">
            <v>-42.78233737</v>
          </cell>
          <cell r="Y25">
            <v>-42.78233737</v>
          </cell>
          <cell r="Z25">
            <v>-47.459114245000002</v>
          </cell>
          <cell r="AA25">
            <v>-47.459114245000002</v>
          </cell>
          <cell r="AB25">
            <v>-28.190429465000001</v>
          </cell>
          <cell r="AC25">
            <v>-28.190429465000001</v>
          </cell>
          <cell r="AD25">
            <v>-13.494138215</v>
          </cell>
          <cell r="AE25">
            <v>-13.494138215</v>
          </cell>
          <cell r="AF25">
            <v>-13.590041715</v>
          </cell>
          <cell r="AG25">
            <v>-13.590041715</v>
          </cell>
          <cell r="AH25">
            <v>-12.738485815000001</v>
          </cell>
          <cell r="AI25">
            <v>-12.738485815000001</v>
          </cell>
          <cell r="AJ25">
            <v>-17.372172225</v>
          </cell>
          <cell r="AK25">
            <v>-17.372172225</v>
          </cell>
          <cell r="AL25">
            <v>-20.742281800000001</v>
          </cell>
          <cell r="AM25">
            <v>-10.747627700000001</v>
          </cell>
          <cell r="AN25">
            <v>-14.9261467</v>
          </cell>
          <cell r="AO25">
            <v>-21.1781121</v>
          </cell>
          <cell r="AP25">
            <v>-23.947139</v>
          </cell>
          <cell r="AQ25">
            <v>-46.830759100000002</v>
          </cell>
          <cell r="AR25">
            <v>-47.414031999999999</v>
          </cell>
          <cell r="AS25">
            <v>-47.386902499999998</v>
          </cell>
          <cell r="AT25">
            <v>-38.8854921</v>
          </cell>
          <cell r="AU25">
            <v>-25.596430720000001</v>
          </cell>
          <cell r="AV25">
            <v>-26.624052450000001</v>
          </cell>
          <cell r="AW25">
            <v>-27.89309299</v>
          </cell>
          <cell r="AX25">
            <v>-28.486300369999999</v>
          </cell>
          <cell r="AY25">
            <v>-24.98549336</v>
          </cell>
          <cell r="AZ25">
            <v>-27.55255893</v>
          </cell>
          <cell r="BA25">
            <v>-39.274202350000003</v>
          </cell>
          <cell r="BB25">
            <v>-30.56665912675</v>
          </cell>
        </row>
        <row r="26">
          <cell r="B26" t="str">
            <v>Net interest income/(expense)</v>
          </cell>
          <cell r="C26" t="str">
            <v>NET_INT_EXP</v>
          </cell>
          <cell r="D26">
            <v>0</v>
          </cell>
          <cell r="F26">
            <v>-12.20583937</v>
          </cell>
          <cell r="G26">
            <v>-22.619973600000002</v>
          </cell>
          <cell r="H26">
            <v>-17.127015140000001</v>
          </cell>
          <cell r="I26">
            <v>-94.775508500000001</v>
          </cell>
          <cell r="J26">
            <v>-172.22232456</v>
          </cell>
          <cell r="K26">
            <v>-120.41664994999999</v>
          </cell>
          <cell r="L26">
            <v>-22.79343373</v>
          </cell>
          <cell r="M26">
            <v>35.650946570000002</v>
          </cell>
          <cell r="N26">
            <v>-16.133641699999998</v>
          </cell>
          <cell r="O26">
            <v>-60.147115700000001</v>
          </cell>
          <cell r="P26">
            <v>-115.99131130000001</v>
          </cell>
          <cell r="Q26">
            <v>-68.163830750000002</v>
          </cell>
          <cell r="R26">
            <v>-62.167324351258003</v>
          </cell>
          <cell r="S26">
            <v>-98.546787664594007</v>
          </cell>
          <cell r="T26">
            <v>-110.139097544092</v>
          </cell>
          <cell r="U26">
            <v>-124.25495321766</v>
          </cell>
          <cell r="V26">
            <v>-78.472901997904998</v>
          </cell>
          <cell r="X26">
            <v>-32.670821965000002</v>
          </cell>
          <cell r="Y26">
            <v>-32.670821965000002</v>
          </cell>
          <cell r="Z26">
            <v>-27.537503009999998</v>
          </cell>
          <cell r="AA26">
            <v>-27.537503009999998</v>
          </cell>
          <cell r="AB26">
            <v>-21.527641729999999</v>
          </cell>
          <cell r="AC26">
            <v>-21.527641729999999</v>
          </cell>
          <cell r="AD26">
            <v>10.130924865000001</v>
          </cell>
          <cell r="AE26">
            <v>10.130924865000001</v>
          </cell>
          <cell r="AF26">
            <v>12.09125259</v>
          </cell>
          <cell r="AG26">
            <v>12.09125259</v>
          </cell>
          <cell r="AH26">
            <v>5.7342206950000003</v>
          </cell>
          <cell r="AI26">
            <v>5.7342206950000003</v>
          </cell>
          <cell r="AJ26">
            <v>-0.63318017500000001</v>
          </cell>
          <cell r="AK26">
            <v>-0.63318017500000001</v>
          </cell>
          <cell r="AL26">
            <v>-11.073555199999999</v>
          </cell>
          <cell r="AM26">
            <v>-3.7937261000000002</v>
          </cell>
          <cell r="AN26">
            <v>-2.5528015000000002</v>
          </cell>
          <cell r="AO26">
            <v>-10.0511637</v>
          </cell>
          <cell r="AP26">
            <v>-14.5084003</v>
          </cell>
          <cell r="AQ26">
            <v>-33.034750199999998</v>
          </cell>
          <cell r="AR26">
            <v>-34.769177800000001</v>
          </cell>
          <cell r="AS26">
            <v>-32.358342899999997</v>
          </cell>
          <cell r="AT26">
            <v>-28.7767336</v>
          </cell>
          <cell r="AU26">
            <v>-20.087056879999999</v>
          </cell>
          <cell r="AV26">
            <v>-7.5490647600000003</v>
          </cell>
          <cell r="AW26">
            <v>-24.889138020000001</v>
          </cell>
          <cell r="AX26">
            <v>-19.61321749</v>
          </cell>
          <cell r="AY26">
            <v>-16.112410480000001</v>
          </cell>
          <cell r="AZ26">
            <v>-13.791265409999999</v>
          </cell>
          <cell r="BA26">
            <v>-29.9062506</v>
          </cell>
          <cell r="BB26">
            <v>-15.541831087815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>
            <v>0</v>
          </cell>
          <cell r="F27">
            <v>-6.0003099999999997E-2</v>
          </cell>
          <cell r="G27">
            <v>-1.4458167</v>
          </cell>
          <cell r="H27">
            <v>-0.98084660000000001</v>
          </cell>
          <cell r="I27">
            <v>1.7764107</v>
          </cell>
          <cell r="J27">
            <v>-0.50515600000000005</v>
          </cell>
          <cell r="K27">
            <v>1.5584633999999999</v>
          </cell>
          <cell r="L27">
            <v>3.3589945000000001</v>
          </cell>
          <cell r="M27">
            <v>1.3237926</v>
          </cell>
          <cell r="N27">
            <v>-6.3949099</v>
          </cell>
          <cell r="O27">
            <v>7.0061216999999996</v>
          </cell>
          <cell r="P27">
            <v>9.7118079700000006</v>
          </cell>
          <cell r="Q27">
            <v>0.40211206999999999</v>
          </cell>
          <cell r="R27">
            <v>10.41673857</v>
          </cell>
          <cell r="X27">
            <v>-2.7406217000000002</v>
          </cell>
          <cell r="Y27">
            <v>0.37791209999999997</v>
          </cell>
          <cell r="Z27">
            <v>0.58162979999999997</v>
          </cell>
          <cell r="AA27">
            <v>3.3395432999999999</v>
          </cell>
          <cell r="AB27">
            <v>-0.94375319999999996</v>
          </cell>
          <cell r="AC27">
            <v>-0.85154560000000001</v>
          </cell>
          <cell r="AD27">
            <v>0.20392759999999999</v>
          </cell>
          <cell r="AE27">
            <v>4.9503656999999999</v>
          </cell>
          <cell r="AF27">
            <v>-1.0659092999999999</v>
          </cell>
          <cell r="AG27">
            <v>-0.49177910000000002</v>
          </cell>
          <cell r="AH27">
            <v>0.55344159999999998</v>
          </cell>
          <cell r="AI27">
            <v>2.3280394000000002</v>
          </cell>
          <cell r="AJ27">
            <v>0.23034769999999999</v>
          </cell>
          <cell r="AK27">
            <v>-1.0467047</v>
          </cell>
          <cell r="AL27">
            <v>-4.3589973999999998</v>
          </cell>
          <cell r="AM27">
            <v>-1.2195554</v>
          </cell>
          <cell r="AN27">
            <v>-2.8027411</v>
          </cell>
          <cell r="AO27">
            <v>4.6056096000000002</v>
          </cell>
          <cell r="AP27">
            <v>3.5028269999999999</v>
          </cell>
          <cell r="AQ27">
            <v>1.7004261000000001</v>
          </cell>
          <cell r="AR27">
            <v>-4.3416898000000002</v>
          </cell>
          <cell r="AS27">
            <v>3.5455396000000001</v>
          </cell>
          <cell r="AT27">
            <v>1.8741376999999999</v>
          </cell>
          <cell r="AU27">
            <v>8.6338204699999999</v>
          </cell>
          <cell r="AV27">
            <v>-3.7330111499999998</v>
          </cell>
          <cell r="AW27">
            <v>4.28662147</v>
          </cell>
          <cell r="AX27">
            <v>1.963502E-2</v>
          </cell>
          <cell r="AY27">
            <v>-0.17113327</v>
          </cell>
          <cell r="AZ27">
            <v>4.5611253600000001</v>
          </cell>
          <cell r="BA27">
            <v>5.8556132099999996</v>
          </cell>
          <cell r="BB27">
            <v>6.2876909599999999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>
            <v>0</v>
          </cell>
          <cell r="M28">
            <v>-0.168297</v>
          </cell>
          <cell r="N28">
            <v>-2.8144781999999999</v>
          </cell>
          <cell r="O28">
            <v>1.3782732</v>
          </cell>
          <cell r="P28">
            <v>1.0962038999999999</v>
          </cell>
          <cell r="Q28">
            <v>10.10265796</v>
          </cell>
          <cell r="R28">
            <v>16.29627911</v>
          </cell>
          <cell r="AI28">
            <v>-0.168297</v>
          </cell>
          <cell r="AJ28">
            <v>-6.7568299999999998E-2</v>
          </cell>
          <cell r="AK28">
            <v>-9.5662147999999991</v>
          </cell>
          <cell r="AM28">
            <v>6.8193048999999997</v>
          </cell>
          <cell r="AN28">
            <v>6.8619999999999998E-4</v>
          </cell>
          <cell r="AO28">
            <v>7.6302999999999996E-3</v>
          </cell>
          <cell r="AP28">
            <v>1.3429221</v>
          </cell>
          <cell r="AQ28">
            <v>2.7034699999999998E-2</v>
          </cell>
          <cell r="AR28">
            <v>-8.4011999999999993E-3</v>
          </cell>
          <cell r="AS28">
            <v>5.1284700000000003E-2</v>
          </cell>
          <cell r="AT28">
            <v>1.0370123</v>
          </cell>
          <cell r="AU28">
            <v>1.6308099999999999E-2</v>
          </cell>
          <cell r="AV28">
            <v>1.010227E-2</v>
          </cell>
          <cell r="AW28">
            <v>4.0612740699999996</v>
          </cell>
          <cell r="AX28">
            <v>-5.0280000000000004E-3</v>
          </cell>
          <cell r="AY28">
            <v>6.0363101199999996</v>
          </cell>
          <cell r="AZ28">
            <v>0.18700973000000001</v>
          </cell>
          <cell r="BA28">
            <v>16.109269380000001</v>
          </cell>
          <cell r="BB28">
            <v>-1.3439105099999999</v>
          </cell>
        </row>
        <row r="29">
          <cell r="B29" t="str">
            <v>Other non-ops income/(expense)</v>
          </cell>
          <cell r="C29" t="str">
            <v>OTH_COST_INC</v>
          </cell>
          <cell r="D29">
            <v>0</v>
          </cell>
          <cell r="F29">
            <v>53.871362169999998</v>
          </cell>
          <cell r="G29">
            <v>248.02534249999999</v>
          </cell>
          <cell r="H29">
            <v>833.31713864000005</v>
          </cell>
          <cell r="I29">
            <v>479.76770870000001</v>
          </cell>
          <cell r="J29">
            <v>466.29701935999998</v>
          </cell>
          <cell r="K29">
            <v>396.14970525000001</v>
          </cell>
          <cell r="L29">
            <v>368.03433382999998</v>
          </cell>
          <cell r="M29">
            <v>552.56397392999997</v>
          </cell>
          <cell r="N29">
            <v>396.24456830000099</v>
          </cell>
          <cell r="O29">
            <v>423.25066770000097</v>
          </cell>
          <cell r="P29">
            <v>421.98354114</v>
          </cell>
          <cell r="Q29">
            <v>482.28072331999999</v>
          </cell>
          <cell r="R29">
            <v>452.78719775000002</v>
          </cell>
          <cell r="S29">
            <v>404</v>
          </cell>
          <cell r="T29">
            <v>455.8</v>
          </cell>
          <cell r="U29">
            <v>469.01</v>
          </cell>
          <cell r="V29">
            <v>443.55950000000001</v>
          </cell>
          <cell r="X29">
            <v>103.143173965</v>
          </cell>
          <cell r="Y29">
            <v>91.745516664999997</v>
          </cell>
          <cell r="Z29">
            <v>54.214297109999997</v>
          </cell>
          <cell r="AA29">
            <v>147.04671751000001</v>
          </cell>
          <cell r="AB29">
            <v>207.34331732999999</v>
          </cell>
          <cell r="AC29">
            <v>81.291394330000003</v>
          </cell>
          <cell r="AD29">
            <v>223.449396635</v>
          </cell>
          <cell r="AE29">
            <v>-144.04977446500001</v>
          </cell>
          <cell r="AF29">
            <v>197.78681911000001</v>
          </cell>
          <cell r="AG29">
            <v>170.75266400999999</v>
          </cell>
          <cell r="AH29">
            <v>125.64352780500001</v>
          </cell>
          <cell r="AI29">
            <v>58.380962904999997</v>
          </cell>
          <cell r="AJ29">
            <v>97.877959974999996</v>
          </cell>
          <cell r="AK29">
            <v>145.446507475</v>
          </cell>
          <cell r="AL29">
            <v>162.6806334</v>
          </cell>
          <cell r="AM29">
            <v>-9.7605328</v>
          </cell>
          <cell r="AN29">
            <v>306.60935979999999</v>
          </cell>
          <cell r="AO29">
            <v>91.028057899999993</v>
          </cell>
          <cell r="AP29">
            <v>101.979353</v>
          </cell>
          <cell r="AQ29">
            <v>-76.366103100000004</v>
          </cell>
          <cell r="AR29">
            <v>295.74852470000002</v>
          </cell>
          <cell r="AS29">
            <v>29.702195700000001</v>
          </cell>
          <cell r="AT29">
            <v>53.6786405</v>
          </cell>
          <cell r="AU29">
            <v>42.854180239999998</v>
          </cell>
          <cell r="AV29">
            <v>206.2232612</v>
          </cell>
          <cell r="AW29">
            <v>-18.772015679999999</v>
          </cell>
          <cell r="AX29">
            <v>52.968232100000002</v>
          </cell>
          <cell r="AY29">
            <v>241.86124520000001</v>
          </cell>
          <cell r="AZ29">
            <v>350.79535315999999</v>
          </cell>
          <cell r="BA29">
            <v>61.991844589999999</v>
          </cell>
          <cell r="BB29">
            <v>20</v>
          </cell>
        </row>
        <row r="30">
          <cell r="B30" t="str">
            <v>Pre-tax profit</v>
          </cell>
          <cell r="C30" t="str">
            <v>PT_PROF</v>
          </cell>
          <cell r="D30">
            <v>0</v>
          </cell>
          <cell r="F30">
            <v>204.6811122</v>
          </cell>
          <cell r="G30">
            <v>544.92042289999995</v>
          </cell>
          <cell r="H30">
            <v>1366.5081439999999</v>
          </cell>
          <cell r="I30">
            <v>1014.5629791</v>
          </cell>
          <cell r="J30">
            <v>1263.9887102</v>
          </cell>
          <cell r="K30">
            <v>1828.5717755000001</v>
          </cell>
          <cell r="L30">
            <v>2100.4967519000002</v>
          </cell>
          <cell r="M30">
            <v>2616.7403272000001</v>
          </cell>
          <cell r="N30">
            <v>3854.4279763</v>
          </cell>
          <cell r="O30">
            <v>3247.7032132999998</v>
          </cell>
          <cell r="P30">
            <v>1590.7210275100001</v>
          </cell>
          <cell r="Q30">
            <v>1160.63469925</v>
          </cell>
          <cell r="R30">
            <v>2227.3898904784201</v>
          </cell>
          <cell r="S30">
            <v>4470.9774898570004</v>
          </cell>
          <cell r="T30">
            <v>6652.2225493285396</v>
          </cell>
          <cell r="U30">
            <v>9151.2602674468399</v>
          </cell>
          <cell r="V30">
            <v>12012.5329522189</v>
          </cell>
          <cell r="X30">
            <v>277.31484590000002</v>
          </cell>
          <cell r="Y30">
            <v>520.21562029999996</v>
          </cell>
          <cell r="Z30">
            <v>477.01481539999997</v>
          </cell>
          <cell r="AA30">
            <v>554.02649399999996</v>
          </cell>
          <cell r="AB30">
            <v>494.0678408</v>
          </cell>
          <cell r="AC30">
            <v>655.63251920000005</v>
          </cell>
          <cell r="AD30">
            <v>675.13360339999997</v>
          </cell>
          <cell r="AE30">
            <v>275.66278849999998</v>
          </cell>
          <cell r="AF30">
            <v>533.52487010000004</v>
          </cell>
          <cell r="AG30">
            <v>628.82506809999995</v>
          </cell>
          <cell r="AH30">
            <v>660.35862780000002</v>
          </cell>
          <cell r="AI30">
            <v>794.03176120000001</v>
          </cell>
          <cell r="AJ30">
            <v>855.79412100000002</v>
          </cell>
          <cell r="AK30">
            <v>1027.4002581</v>
          </cell>
          <cell r="AL30">
            <v>1065.5648799000001</v>
          </cell>
          <cell r="AM30">
            <v>905.66871719999995</v>
          </cell>
          <cell r="AN30">
            <v>1112.0487052999999</v>
          </cell>
          <cell r="AO30">
            <v>942.74214600000005</v>
          </cell>
          <cell r="AP30">
            <v>870.94797430000006</v>
          </cell>
          <cell r="AQ30">
            <v>321.96438769999997</v>
          </cell>
          <cell r="AR30">
            <v>693.86138579999999</v>
          </cell>
          <cell r="AS30">
            <v>329.41561569999999</v>
          </cell>
          <cell r="AT30">
            <v>326.1978737</v>
          </cell>
          <cell r="AU30">
            <v>241.24615243</v>
          </cell>
          <cell r="AV30">
            <v>442.22033183999997</v>
          </cell>
          <cell r="AW30">
            <v>301.12580163000001</v>
          </cell>
          <cell r="AX30">
            <v>365.82177546999998</v>
          </cell>
          <cell r="AY30">
            <v>51.46679031</v>
          </cell>
          <cell r="AZ30">
            <v>608.51550814999996</v>
          </cell>
          <cell r="BA30">
            <v>444.85009594000002</v>
          </cell>
          <cell r="BB30">
            <v>593.79143058341594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>
            <v>0</v>
          </cell>
        </row>
        <row r="33">
          <cell r="B33" t="str">
            <v>Operating lease cost</v>
          </cell>
          <cell r="C33" t="str">
            <v>LEASE_PAY</v>
          </cell>
          <cell r="D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>
            <v>0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>
            <v>0</v>
          </cell>
        </row>
        <row r="36">
          <cell r="B36" t="str">
            <v>Gross interest charge</v>
          </cell>
          <cell r="C36" t="str">
            <v>NET_INT_CH</v>
          </cell>
          <cell r="D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>
            <v>0</v>
          </cell>
        </row>
        <row r="38">
          <cell r="B38" t="str">
            <v>Depreciation ROU assets   (applicable to IFRS cos.)</v>
          </cell>
          <cell r="C38" t="str">
            <v>DEPR_ROU_ASSETS</v>
          </cell>
          <cell r="D38">
            <v>0</v>
          </cell>
        </row>
        <row r="39">
          <cell r="B39" t="str">
            <v>Lease interest charge  (applicable to IFRS cos.)</v>
          </cell>
          <cell r="C39" t="str">
            <v>LEASE_INT_CHG</v>
          </cell>
          <cell r="D39">
            <v>0</v>
          </cell>
        </row>
        <row r="40">
          <cell r="B40" t="str">
            <v>Lease standard adopted (US GAAP ASC 842/ IFRS 16)</v>
          </cell>
          <cell r="C40" t="str">
            <v>LEASE_ADOPT</v>
          </cell>
          <cell r="E40" t="str">
            <v>N</v>
          </cell>
        </row>
        <row r="41">
          <cell r="A41" t="str">
            <v>Balance Sheet</v>
          </cell>
        </row>
        <row r="42">
          <cell r="B42" t="str">
            <v>Cash &amp; cash equivalents</v>
          </cell>
          <cell r="C42" t="str">
            <v>CASH_EQ</v>
          </cell>
          <cell r="D42">
            <v>0</v>
          </cell>
          <cell r="F42">
            <v>1018.1271896</v>
          </cell>
          <cell r="G42">
            <v>1904.4646858999999</v>
          </cell>
          <cell r="H42">
            <v>1454.0691388</v>
          </cell>
          <cell r="I42">
            <v>1496.8661672000001</v>
          </cell>
          <cell r="J42">
            <v>853.65839449999999</v>
          </cell>
          <cell r="K42">
            <v>3481.2477284000001</v>
          </cell>
          <cell r="L42">
            <v>5218.4520308000001</v>
          </cell>
          <cell r="M42">
            <v>6049.4151142999999</v>
          </cell>
          <cell r="N42">
            <v>4739.8487219999997</v>
          </cell>
          <cell r="O42">
            <v>4405.9277604999997</v>
          </cell>
          <cell r="P42">
            <v>2318.3181759399999</v>
          </cell>
          <cell r="Q42">
            <v>7126.4900515999998</v>
          </cell>
          <cell r="R42">
            <v>2812.6655819756102</v>
          </cell>
          <cell r="S42">
            <v>4402.5302049031197</v>
          </cell>
          <cell r="T42">
            <v>2728.6923285757198</v>
          </cell>
          <cell r="U42">
            <v>5192.9980911047396</v>
          </cell>
          <cell r="V42">
            <v>3813.6588346419999</v>
          </cell>
        </row>
        <row r="43">
          <cell r="B43" t="str">
            <v>Accounts receivable</v>
          </cell>
          <cell r="C43" t="str">
            <v>DEBTORS</v>
          </cell>
          <cell r="D43">
            <v>0</v>
          </cell>
          <cell r="F43">
            <v>152.65131640000001</v>
          </cell>
          <cell r="G43">
            <v>248.50417640000001</v>
          </cell>
          <cell r="H43">
            <v>479.05590460000002</v>
          </cell>
          <cell r="I43">
            <v>1526.5707795999999</v>
          </cell>
          <cell r="J43">
            <v>1866.5362138999999</v>
          </cell>
          <cell r="K43">
            <v>3230.7358491</v>
          </cell>
          <cell r="L43">
            <v>2556.7864291000001</v>
          </cell>
          <cell r="M43">
            <v>3282.1536937999999</v>
          </cell>
          <cell r="N43">
            <v>3872.0944777999998</v>
          </cell>
          <cell r="O43">
            <v>5099.3419817100003</v>
          </cell>
          <cell r="P43">
            <v>3938.46034117</v>
          </cell>
          <cell r="Q43">
            <v>3772.39851477</v>
          </cell>
          <cell r="R43">
            <v>7323.0909880969602</v>
          </cell>
          <cell r="S43">
            <v>5723.0419384749202</v>
          </cell>
          <cell r="T43">
            <v>9268.8190204523198</v>
          </cell>
          <cell r="U43">
            <v>7329.5300297941803</v>
          </cell>
          <cell r="V43">
            <v>10981.4588036514</v>
          </cell>
        </row>
        <row r="44">
          <cell r="B44" t="str">
            <v>Inventory</v>
          </cell>
          <cell r="C44" t="str">
            <v>STOCKS</v>
          </cell>
          <cell r="D44">
            <v>0</v>
          </cell>
          <cell r="F44">
            <v>82.410512699999998</v>
          </cell>
          <cell r="G44">
            <v>310.19880469999998</v>
          </cell>
          <cell r="H44">
            <v>917.80179469999996</v>
          </cell>
          <cell r="I44">
            <v>926.57770649999998</v>
          </cell>
          <cell r="J44">
            <v>1148.4071663</v>
          </cell>
          <cell r="K44">
            <v>1073.8458893</v>
          </cell>
          <cell r="L44">
            <v>1209.2315375000001</v>
          </cell>
          <cell r="M44">
            <v>1168.0935830999999</v>
          </cell>
          <cell r="N44">
            <v>1791.4658264</v>
          </cell>
          <cell r="O44">
            <v>2679.6049329000002</v>
          </cell>
          <cell r="P44">
            <v>3141.57187836</v>
          </cell>
          <cell r="Q44">
            <v>4162.2997894099999</v>
          </cell>
          <cell r="R44">
            <v>6902.4034273785901</v>
          </cell>
          <cell r="S44">
            <v>5011.2538597175198</v>
          </cell>
          <cell r="T44">
            <v>8212.9038273775004</v>
          </cell>
          <cell r="U44">
            <v>6802.2741879974601</v>
          </cell>
          <cell r="V44">
            <v>9829.5623385275303</v>
          </cell>
        </row>
        <row r="45">
          <cell r="B45" t="str">
            <v>Other current assets</v>
          </cell>
          <cell r="C45" t="str">
            <v>OTH_CUR_ASS</v>
          </cell>
          <cell r="D45">
            <v>0</v>
          </cell>
          <cell r="F45">
            <v>47.496467000000003</v>
          </cell>
          <cell r="G45">
            <v>133.87168080000001</v>
          </cell>
          <cell r="H45">
            <v>818.38835570000003</v>
          </cell>
          <cell r="I45">
            <v>818.26953650000098</v>
          </cell>
          <cell r="J45">
            <v>773.899734499999</v>
          </cell>
          <cell r="K45">
            <v>1338.5760763999999</v>
          </cell>
          <cell r="L45">
            <v>455.210543599998</v>
          </cell>
          <cell r="M45">
            <v>1144.1307858</v>
          </cell>
          <cell r="N45">
            <v>1094.5050478000001</v>
          </cell>
          <cell r="O45">
            <v>950.58596809000096</v>
          </cell>
          <cell r="P45">
            <v>864.77896398999803</v>
          </cell>
          <cell r="Q45">
            <v>1122.3015714200001</v>
          </cell>
          <cell r="R45">
            <v>1106.00529231</v>
          </cell>
          <cell r="S45">
            <v>1106.00529231</v>
          </cell>
          <cell r="T45">
            <v>1106.00529231001</v>
          </cell>
          <cell r="U45">
            <v>1106.00529231001</v>
          </cell>
          <cell r="V45">
            <v>1106.00529231</v>
          </cell>
        </row>
        <row r="46">
          <cell r="B46" t="str">
            <v>Total current assets</v>
          </cell>
          <cell r="C46" t="str">
            <v>CUR_ASS</v>
          </cell>
          <cell r="D46">
            <v>0</v>
          </cell>
          <cell r="F46">
            <v>1300.6854857000001</v>
          </cell>
          <cell r="G46">
            <v>2597.0393478000001</v>
          </cell>
          <cell r="H46">
            <v>3669.3151938000001</v>
          </cell>
          <cell r="I46">
            <v>4768.2841897999997</v>
          </cell>
          <cell r="J46">
            <v>4642.5015092000003</v>
          </cell>
          <cell r="K46">
            <v>9124.4055432000005</v>
          </cell>
          <cell r="L46">
            <v>9439.6805409999997</v>
          </cell>
          <cell r="M46">
            <v>11643.793177</v>
          </cell>
          <cell r="N46">
            <v>11497.914074</v>
          </cell>
          <cell r="O46">
            <v>13135.4606432</v>
          </cell>
          <cell r="P46">
            <v>10263.129359459999</v>
          </cell>
          <cell r="Q46">
            <v>16183.4899272</v>
          </cell>
          <cell r="R46">
            <v>18144.1652897612</v>
          </cell>
          <cell r="S46">
            <v>16242.8312954056</v>
          </cell>
          <cell r="T46">
            <v>21316.4204687155</v>
          </cell>
          <cell r="U46">
            <v>20430.807601206401</v>
          </cell>
          <cell r="V46">
            <v>25730.6852691309</v>
          </cell>
        </row>
        <row r="47">
          <cell r="B47" t="str">
            <v>Gross fixed assets, PP&amp;E</v>
          </cell>
          <cell r="C47" t="str">
            <v>GR_FIX_ASS</v>
          </cell>
          <cell r="D47">
            <v>0</v>
          </cell>
          <cell r="F47">
            <v>695.39178631000004</v>
          </cell>
          <cell r="G47">
            <v>1304.6142585600001</v>
          </cell>
          <cell r="H47">
            <v>3110.4664292000002</v>
          </cell>
          <cell r="I47">
            <v>5362.3337525999996</v>
          </cell>
          <cell r="J47">
            <v>6586.5420709700002</v>
          </cell>
          <cell r="K47">
            <v>6734.0686715800002</v>
          </cell>
          <cell r="L47">
            <v>8264.1524646399994</v>
          </cell>
          <cell r="M47">
            <v>10053.557608589999</v>
          </cell>
          <cell r="N47">
            <v>12835.9053798</v>
          </cell>
          <cell r="O47">
            <v>14606.041464780001</v>
          </cell>
          <cell r="P47">
            <v>16284.819880610001</v>
          </cell>
          <cell r="Q47">
            <v>20432.768459890001</v>
          </cell>
          <cell r="R47">
            <v>24601.644383057999</v>
          </cell>
          <cell r="S47">
            <v>29187.407898542799</v>
          </cell>
          <cell r="T47">
            <v>34231.747765576103</v>
          </cell>
          <cell r="U47">
            <v>39780.521619312698</v>
          </cell>
          <cell r="V47">
            <v>45884.172858423</v>
          </cell>
        </row>
        <row r="48">
          <cell r="B48" t="str">
            <v>Accumulated depreciation</v>
          </cell>
          <cell r="C48" t="str">
            <v>ACC_DDA</v>
          </cell>
          <cell r="D48">
            <v>0</v>
          </cell>
          <cell r="F48">
            <v>-311.75366201000003</v>
          </cell>
          <cell r="G48">
            <v>-406.10453116000002</v>
          </cell>
          <cell r="H48">
            <v>-640.54536040000005</v>
          </cell>
          <cell r="I48">
            <v>-958.14815569999996</v>
          </cell>
          <cell r="J48">
            <v>-1518.9227276700001</v>
          </cell>
          <cell r="K48">
            <v>-2053.2687221800002</v>
          </cell>
          <cell r="L48">
            <v>-2753.2196466400001</v>
          </cell>
          <cell r="M48">
            <v>-3619.15290809</v>
          </cell>
          <cell r="N48">
            <v>-4617.3077730000005</v>
          </cell>
          <cell r="O48">
            <v>-5694.10203748</v>
          </cell>
          <cell r="P48">
            <v>-7020.0555702800002</v>
          </cell>
          <cell r="Q48">
            <v>-8354.5261884699994</v>
          </cell>
          <cell r="R48">
            <v>-10770.174642754</v>
          </cell>
          <cell r="S48">
            <v>-13813.0979856209</v>
          </cell>
          <cell r="T48">
            <v>-17656.675463851399</v>
          </cell>
          <cell r="U48">
            <v>-22131.944985317001</v>
          </cell>
          <cell r="V48">
            <v>-27250.032209175799</v>
          </cell>
        </row>
        <row r="49">
          <cell r="B49" t="str">
            <v>Net PP&amp;E</v>
          </cell>
          <cell r="C49" t="str">
            <v>NET_FIX_ASS</v>
          </cell>
          <cell r="D49">
            <v>0</v>
          </cell>
          <cell r="F49">
            <v>383.63812430000002</v>
          </cell>
          <cell r="G49">
            <v>898.50972739999997</v>
          </cell>
          <cell r="H49">
            <v>2469.9210687999998</v>
          </cell>
          <cell r="I49">
            <v>4404.1855968999998</v>
          </cell>
          <cell r="J49">
            <v>5067.6193432999999</v>
          </cell>
          <cell r="K49">
            <v>4680.7999493999996</v>
          </cell>
          <cell r="L49">
            <v>5510.9328180000002</v>
          </cell>
          <cell r="M49">
            <v>6434.4047005000002</v>
          </cell>
          <cell r="N49">
            <v>8218.5976068</v>
          </cell>
          <cell r="O49">
            <v>8911.9394272999998</v>
          </cell>
          <cell r="P49">
            <v>9264.7643103299997</v>
          </cell>
          <cell r="Q49">
            <v>12078.24227142</v>
          </cell>
          <cell r="R49">
            <v>13831.469740304001</v>
          </cell>
          <cell r="S49">
            <v>15374.309912921901</v>
          </cell>
          <cell r="T49">
            <v>16575.0723017247</v>
          </cell>
          <cell r="U49">
            <v>17648.576633995701</v>
          </cell>
          <cell r="V49">
            <v>18634.140649247202</v>
          </cell>
        </row>
        <row r="50">
          <cell r="B50" t="str">
            <v>Gross intangibles</v>
          </cell>
          <cell r="C50" t="str">
            <v>GR_INTANG</v>
          </cell>
          <cell r="D50">
            <v>0</v>
          </cell>
          <cell r="F50">
            <v>202.87958128</v>
          </cell>
          <cell r="G50">
            <v>416.46928750000001</v>
          </cell>
          <cell r="H50">
            <v>887.64174349999996</v>
          </cell>
          <cell r="I50">
            <v>1254.81108363</v>
          </cell>
          <cell r="J50">
            <v>1243.6656957800001</v>
          </cell>
          <cell r="K50">
            <v>1291.93808762</v>
          </cell>
          <cell r="L50">
            <v>1705.8784468700001</v>
          </cell>
          <cell r="M50">
            <v>2321.6105787800002</v>
          </cell>
          <cell r="N50">
            <v>2682.8569762900001</v>
          </cell>
          <cell r="O50">
            <v>3758.08826275</v>
          </cell>
          <cell r="P50">
            <v>4492.0948201700003</v>
          </cell>
          <cell r="Q50">
            <v>5444.5677209400001</v>
          </cell>
          <cell r="R50">
            <v>5873.2082679300001</v>
          </cell>
          <cell r="S50">
            <v>6301.8488149200002</v>
          </cell>
          <cell r="T50">
            <v>6730.4893619100003</v>
          </cell>
          <cell r="U50">
            <v>7159.1299089000004</v>
          </cell>
          <cell r="V50">
            <v>7587.7704558900004</v>
          </cell>
        </row>
        <row r="51">
          <cell r="B51" t="str">
            <v>Accumulated amortization</v>
          </cell>
          <cell r="C51" t="str">
            <v>ACC_AMORT</v>
          </cell>
          <cell r="D51">
            <v>0</v>
          </cell>
          <cell r="F51">
            <v>-91.560314079999998</v>
          </cell>
          <cell r="H51">
            <v>-219.34064499999999</v>
          </cell>
          <cell r="I51">
            <v>-262.68452302999998</v>
          </cell>
          <cell r="J51">
            <v>-4.0864501799999999</v>
          </cell>
          <cell r="K51">
            <v>-31.06280692</v>
          </cell>
          <cell r="L51">
            <v>-282.01229917000001</v>
          </cell>
          <cell r="M51">
            <v>-407.34684898</v>
          </cell>
          <cell r="N51">
            <v>-580.84649129000002</v>
          </cell>
          <cell r="O51">
            <v>-797.64934904999996</v>
          </cell>
          <cell r="P51">
            <v>-1072.8963613999999</v>
          </cell>
          <cell r="Q51">
            <v>-1408.26110705</v>
          </cell>
          <cell r="R51">
            <v>-1792.9690001169299</v>
          </cell>
          <cell r="S51">
            <v>-2181.8641961675899</v>
          </cell>
          <cell r="T51">
            <v>-2574.5475955639699</v>
          </cell>
          <cell r="U51">
            <v>-2970.65813759709</v>
          </cell>
          <cell r="V51">
            <v>-3369.8691749259301</v>
          </cell>
        </row>
        <row r="52">
          <cell r="B52" t="str">
            <v>Net intangible assets</v>
          </cell>
          <cell r="C52" t="str">
            <v>NET_INTANG</v>
          </cell>
          <cell r="D52">
            <v>0</v>
          </cell>
          <cell r="F52">
            <v>111.3192672</v>
          </cell>
          <cell r="G52">
            <v>416.46928750000001</v>
          </cell>
          <cell r="H52">
            <v>668.30109849999997</v>
          </cell>
          <cell r="I52">
            <v>992.12656059999995</v>
          </cell>
          <cell r="J52">
            <v>1239.5792455999999</v>
          </cell>
          <cell r="K52">
            <v>1260.8752807000001</v>
          </cell>
          <cell r="L52">
            <v>1423.8661477000001</v>
          </cell>
          <cell r="M52">
            <v>1914.2637298</v>
          </cell>
          <cell r="N52">
            <v>2102.0104849999998</v>
          </cell>
          <cell r="O52">
            <v>2960.4389136999998</v>
          </cell>
          <cell r="P52">
            <v>3419.1984587699999</v>
          </cell>
          <cell r="Q52">
            <v>4036.3066138899999</v>
          </cell>
          <cell r="R52">
            <v>4080.23926781307</v>
          </cell>
          <cell r="S52">
            <v>4119.9846187524099</v>
          </cell>
          <cell r="T52">
            <v>4155.9417663460299</v>
          </cell>
          <cell r="U52">
            <v>4188.4717713029104</v>
          </cell>
          <cell r="V52">
            <v>4217.9012809640699</v>
          </cell>
        </row>
        <row r="53">
          <cell r="B53" t="str">
            <v>Equity method investments</v>
          </cell>
          <cell r="C53" t="str">
            <v>FIX_ASS_INV</v>
          </cell>
          <cell r="D53">
            <v>0</v>
          </cell>
          <cell r="F53">
            <v>9.9399969000000006</v>
          </cell>
          <cell r="G53">
            <v>58.132859000000003</v>
          </cell>
          <cell r="H53">
            <v>106.90735189999999</v>
          </cell>
          <cell r="I53">
            <v>99.267466299999995</v>
          </cell>
          <cell r="J53">
            <v>596.33900110000002</v>
          </cell>
          <cell r="K53">
            <v>79.353639400000006</v>
          </cell>
          <cell r="L53">
            <v>79.249687899999998</v>
          </cell>
          <cell r="M53">
            <v>93.165574699999993</v>
          </cell>
          <cell r="N53">
            <v>116.1744637</v>
          </cell>
          <cell r="O53">
            <v>124.3339912</v>
          </cell>
          <cell r="P53">
            <v>121.03548503</v>
          </cell>
          <cell r="Q53">
            <v>122.33630236</v>
          </cell>
          <cell r="R53">
            <v>122.33630236</v>
          </cell>
          <cell r="S53">
            <v>122.33630236</v>
          </cell>
          <cell r="T53">
            <v>122.33630236</v>
          </cell>
          <cell r="U53">
            <v>122.33630236</v>
          </cell>
          <cell r="V53">
            <v>122.33630236</v>
          </cell>
        </row>
        <row r="54">
          <cell r="B54" t="str">
            <v>Investments in securities</v>
          </cell>
          <cell r="C54" t="str">
            <v>INV_SECUR</v>
          </cell>
          <cell r="D54">
            <v>0</v>
          </cell>
          <cell r="J54">
            <v>22.5</v>
          </cell>
          <cell r="K54">
            <v>433.31397989999999</v>
          </cell>
          <cell r="L54">
            <v>189.8105711</v>
          </cell>
          <cell r="M54">
            <v>187.73047120000001</v>
          </cell>
        </row>
        <row r="55">
          <cell r="B55" t="str">
            <v>Other long-term assets</v>
          </cell>
          <cell r="C55" t="str">
            <v>OTH_LT_ASS</v>
          </cell>
          <cell r="D55">
            <v>0</v>
          </cell>
          <cell r="F55">
            <v>256.40654899999998</v>
          </cell>
          <cell r="G55">
            <v>2048.4968192000001</v>
          </cell>
          <cell r="H55">
            <v>2495.3279028000002</v>
          </cell>
          <cell r="I55">
            <v>1379.2844723999999</v>
          </cell>
          <cell r="J55">
            <v>1777.5446704999999</v>
          </cell>
          <cell r="K55">
            <v>1437.8833225999999</v>
          </cell>
          <cell r="L55">
            <v>4136.0236617999999</v>
          </cell>
          <cell r="M55">
            <v>3299.8939780999999</v>
          </cell>
          <cell r="N55">
            <v>3301.9633122999999</v>
          </cell>
          <cell r="O55">
            <v>5657.1557163999996</v>
          </cell>
          <cell r="P55">
            <v>6612.4739987200001</v>
          </cell>
          <cell r="Q55">
            <v>6555.0776725899996</v>
          </cell>
          <cell r="R55">
            <v>6555.0776725899996</v>
          </cell>
          <cell r="S55">
            <v>6555.0776725899996</v>
          </cell>
          <cell r="T55">
            <v>6555.0776725899996</v>
          </cell>
          <cell r="U55">
            <v>6555.0776725899996</v>
          </cell>
          <cell r="V55">
            <v>6555.0776725899996</v>
          </cell>
        </row>
        <row r="56">
          <cell r="B56" t="str">
            <v>Total assets</v>
          </cell>
          <cell r="C56" t="str">
            <v>TOT_ASSET</v>
          </cell>
          <cell r="D56">
            <v>0</v>
          </cell>
          <cell r="F56">
            <v>2061.9894230999998</v>
          </cell>
          <cell r="G56">
            <v>6018.6480408999996</v>
          </cell>
          <cell r="H56">
            <v>9409.7726158000005</v>
          </cell>
          <cell r="I56">
            <v>11643.148286</v>
          </cell>
          <cell r="J56">
            <v>13346.083769639999</v>
          </cell>
          <cell r="K56">
            <v>17016.631715200001</v>
          </cell>
          <cell r="L56">
            <v>20779.5634274</v>
          </cell>
          <cell r="M56">
            <v>23573.251631300001</v>
          </cell>
          <cell r="N56">
            <v>25236.659941869999</v>
          </cell>
          <cell r="O56">
            <v>30789.328691750001</v>
          </cell>
          <cell r="P56">
            <v>29680.601612310002</v>
          </cell>
          <cell r="Q56">
            <v>38975.452787460003</v>
          </cell>
          <cell r="R56">
            <v>42733.288272828198</v>
          </cell>
          <cell r="S56">
            <v>42414.539802029904</v>
          </cell>
          <cell r="T56">
            <v>48724.848511736302</v>
          </cell>
          <cell r="U56">
            <v>48945.269981455</v>
          </cell>
          <cell r="V56">
            <v>55260.141174292199</v>
          </cell>
        </row>
        <row r="57">
          <cell r="B57" t="str">
            <v>Accounts payable</v>
          </cell>
          <cell r="C57" t="str">
            <v>ACC_PAY_GQ</v>
          </cell>
          <cell r="D57">
            <v>0</v>
          </cell>
          <cell r="F57">
            <v>95.040574100000001</v>
          </cell>
          <cell r="G57">
            <v>126.04760280000001</v>
          </cell>
          <cell r="H57">
            <v>65.984961999999996</v>
          </cell>
          <cell r="I57">
            <v>361.85293109999998</v>
          </cell>
          <cell r="J57">
            <v>771.30810919999999</v>
          </cell>
          <cell r="K57">
            <v>814.76850539999998</v>
          </cell>
          <cell r="L57">
            <v>673.75236700000005</v>
          </cell>
          <cell r="M57">
            <v>930.82266000000004</v>
          </cell>
          <cell r="N57">
            <v>905.25553330000002</v>
          </cell>
          <cell r="O57">
            <v>1767.264829</v>
          </cell>
          <cell r="P57">
            <v>2535.70106072</v>
          </cell>
          <cell r="Q57">
            <v>2118.8796531500002</v>
          </cell>
          <cell r="R57">
            <v>5239.14798601441</v>
          </cell>
          <cell r="S57">
            <v>3132.6111887017801</v>
          </cell>
          <cell r="T57">
            <v>7526.8613711990602</v>
          </cell>
          <cell r="U57">
            <v>5611.4193922540298</v>
          </cell>
          <cell r="V57">
            <v>9966.2866501954395</v>
          </cell>
        </row>
        <row r="58">
          <cell r="B58" t="str">
            <v>Short-term debt</v>
          </cell>
          <cell r="C58" t="str">
            <v>SHORT_T_DEBT</v>
          </cell>
          <cell r="D58">
            <v>0</v>
          </cell>
          <cell r="F58">
            <v>20</v>
          </cell>
          <cell r="H58">
            <v>427.358</v>
          </cell>
          <cell r="I58">
            <v>1021.35</v>
          </cell>
          <cell r="J58">
            <v>1936.74306</v>
          </cell>
          <cell r="K58">
            <v>1414.0321114999999</v>
          </cell>
          <cell r="L58">
            <v>735.09104000000002</v>
          </cell>
          <cell r="M58">
            <v>657.71180000000004</v>
          </cell>
          <cell r="N58">
            <v>290</v>
          </cell>
          <cell r="O58">
            <v>3158</v>
          </cell>
          <cell r="P58">
            <v>1196.5895262399999</v>
          </cell>
          <cell r="Q58">
            <v>1540.0837301399999</v>
          </cell>
          <cell r="R58">
            <v>1540.0837301399999</v>
          </cell>
          <cell r="S58">
            <v>1540.0837301399999</v>
          </cell>
          <cell r="T58">
            <v>1040.0837301399999</v>
          </cell>
          <cell r="U58">
            <v>1040.0837301399999</v>
          </cell>
          <cell r="V58">
            <v>540.08373013999994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>
            <v>0</v>
          </cell>
        </row>
        <row r="60">
          <cell r="B60" t="str">
            <v>Other current liabilities</v>
          </cell>
          <cell r="C60" t="str">
            <v>OTH_CUR_LIABS</v>
          </cell>
          <cell r="D60">
            <v>0</v>
          </cell>
          <cell r="F60">
            <v>1.884226</v>
          </cell>
          <cell r="G60">
            <v>38.095537800000002</v>
          </cell>
          <cell r="H60">
            <v>8.2010781000000001</v>
          </cell>
          <cell r="I60">
            <v>5.0119151999999998</v>
          </cell>
          <cell r="J60">
            <v>21.366496699999999</v>
          </cell>
          <cell r="K60">
            <v>18.408337700000001</v>
          </cell>
          <cell r="L60">
            <v>548.90054699999996</v>
          </cell>
          <cell r="M60">
            <v>508.81214080000001</v>
          </cell>
          <cell r="N60">
            <v>402.60720689999999</v>
          </cell>
          <cell r="O60">
            <v>495.10298410000098</v>
          </cell>
          <cell r="P60">
            <v>871.25409848999902</v>
          </cell>
          <cell r="Q60">
            <v>1109.3934860500001</v>
          </cell>
          <cell r="R60">
            <v>1109.3934860500001</v>
          </cell>
          <cell r="S60">
            <v>1109.3934860500001</v>
          </cell>
          <cell r="T60">
            <v>1109.3934860500001</v>
          </cell>
          <cell r="U60">
            <v>1109.3934860500001</v>
          </cell>
          <cell r="V60">
            <v>1109.3934860500001</v>
          </cell>
        </row>
        <row r="61">
          <cell r="B61" t="str">
            <v>Total current liabilities</v>
          </cell>
          <cell r="C61" t="str">
            <v>SHORT_TERM_LIABS</v>
          </cell>
          <cell r="D61">
            <v>0</v>
          </cell>
          <cell r="F61">
            <v>116.9248001</v>
          </cell>
          <cell r="G61">
            <v>164.14314060000001</v>
          </cell>
          <cell r="H61">
            <v>501.54404010000002</v>
          </cell>
          <cell r="I61">
            <v>1388.2148463000001</v>
          </cell>
          <cell r="J61">
            <v>2729.4176659</v>
          </cell>
          <cell r="K61">
            <v>2247.2089546000002</v>
          </cell>
          <cell r="L61">
            <v>1957.743954</v>
          </cell>
          <cell r="M61">
            <v>2097.3466008</v>
          </cell>
          <cell r="N61">
            <v>1597.8627402</v>
          </cell>
          <cell r="O61">
            <v>5420.3678130999997</v>
          </cell>
          <cell r="P61">
            <v>4603.5446854499996</v>
          </cell>
          <cell r="Q61">
            <v>4768.3568693400002</v>
          </cell>
          <cell r="R61">
            <v>7888.62520220441</v>
          </cell>
          <cell r="S61">
            <v>5782.0884048917796</v>
          </cell>
          <cell r="T61">
            <v>9676.3385873890602</v>
          </cell>
          <cell r="U61">
            <v>7760.8966084440299</v>
          </cell>
          <cell r="V61">
            <v>11615.7638663854</v>
          </cell>
        </row>
        <row r="62">
          <cell r="B62" t="str">
            <v>Long-term  debt</v>
          </cell>
          <cell r="C62" t="str">
            <v>LT_DEBT</v>
          </cell>
          <cell r="D62">
            <v>0</v>
          </cell>
          <cell r="F62">
            <v>476</v>
          </cell>
          <cell r="G62">
            <v>396.67</v>
          </cell>
          <cell r="H62">
            <v>1457.0764549999999</v>
          </cell>
          <cell r="I62">
            <v>2429.0321115000002</v>
          </cell>
          <cell r="J62">
            <v>2054.9980515000002</v>
          </cell>
          <cell r="K62">
            <v>1947</v>
          </cell>
          <cell r="L62">
            <v>1199.5458799999999</v>
          </cell>
          <cell r="M62">
            <v>946.85154999999997</v>
          </cell>
          <cell r="N62">
            <v>652</v>
          </cell>
          <cell r="O62">
            <v>302</v>
          </cell>
          <cell r="P62">
            <v>120</v>
          </cell>
          <cell r="Q62">
            <v>905.24900000000002</v>
          </cell>
          <cell r="R62">
            <v>905.24900000000002</v>
          </cell>
          <cell r="S62">
            <v>1405.249</v>
          </cell>
          <cell r="T62">
            <v>1905.249</v>
          </cell>
          <cell r="U62">
            <v>1405.249</v>
          </cell>
          <cell r="V62">
            <v>405.24900000000002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>
            <v>0</v>
          </cell>
        </row>
        <row r="64">
          <cell r="B64" t="str">
            <v>Other long-term liabilities</v>
          </cell>
          <cell r="C64" t="str">
            <v>OTH_LT_CRED_GQ</v>
          </cell>
          <cell r="D64">
            <v>0</v>
          </cell>
          <cell r="F64">
            <v>8</v>
          </cell>
          <cell r="G64">
            <v>547.37333330000001</v>
          </cell>
          <cell r="H64">
            <v>1544.1051493</v>
          </cell>
          <cell r="I64">
            <v>1532.8835446000001</v>
          </cell>
          <cell r="J64">
            <v>1558.6936035799999</v>
          </cell>
          <cell r="K64">
            <v>1362.8593760000001</v>
          </cell>
          <cell r="L64">
            <v>1643.571557</v>
          </cell>
          <cell r="M64">
            <v>3093.2409658000001</v>
          </cell>
          <cell r="N64">
            <v>3214.45601842</v>
          </cell>
          <cell r="O64">
            <v>3818.0811312999999</v>
          </cell>
          <cell r="P64">
            <v>3211.7987874099999</v>
          </cell>
          <cell r="Q64">
            <v>3629.78345451</v>
          </cell>
          <cell r="R64">
            <v>3629.78345451</v>
          </cell>
          <cell r="S64">
            <v>3629.78345451</v>
          </cell>
          <cell r="T64">
            <v>3629.78345451</v>
          </cell>
          <cell r="U64">
            <v>3629.78345451</v>
          </cell>
          <cell r="V64">
            <v>3629.78345451</v>
          </cell>
        </row>
        <row r="65">
          <cell r="B65" t="str">
            <v>Total long-term liabilities</v>
          </cell>
          <cell r="C65" t="str">
            <v>TOT_LT_LIAB</v>
          </cell>
          <cell r="D65">
            <v>0</v>
          </cell>
          <cell r="F65">
            <v>484</v>
          </cell>
          <cell r="G65">
            <v>944.04333329999997</v>
          </cell>
          <cell r="H65">
            <v>3001.1816042999999</v>
          </cell>
          <cell r="I65">
            <v>3961.9156561</v>
          </cell>
          <cell r="J65">
            <v>3613.6916550800001</v>
          </cell>
          <cell r="K65">
            <v>3309.8593759999999</v>
          </cell>
          <cell r="L65">
            <v>2843.1174369999999</v>
          </cell>
          <cell r="M65">
            <v>4040.0925158</v>
          </cell>
          <cell r="N65">
            <v>3866.45601842</v>
          </cell>
          <cell r="O65">
            <v>4120.0811313000004</v>
          </cell>
          <cell r="P65">
            <v>3331.7987874099999</v>
          </cell>
          <cell r="Q65">
            <v>4535.0324545100002</v>
          </cell>
          <cell r="R65">
            <v>4535.0324545100002</v>
          </cell>
          <cell r="S65">
            <v>5035.0324545100002</v>
          </cell>
          <cell r="T65">
            <v>5535.0324545100002</v>
          </cell>
          <cell r="U65">
            <v>5035.0324545100002</v>
          </cell>
          <cell r="V65">
            <v>4035.0324545100002</v>
          </cell>
        </row>
        <row r="66">
          <cell r="B66" t="str">
            <v>Total liabilities</v>
          </cell>
          <cell r="C66" t="str">
            <v>TOT_LIAB</v>
          </cell>
          <cell r="D66">
            <v>0</v>
          </cell>
          <cell r="F66">
            <v>600.92480009999997</v>
          </cell>
          <cell r="G66">
            <v>1108.1864739</v>
          </cell>
          <cell r="H66">
            <v>3502.7256444</v>
          </cell>
          <cell r="I66">
            <v>5350.1305024000003</v>
          </cell>
          <cell r="J66">
            <v>6343.1093209800001</v>
          </cell>
          <cell r="K66">
            <v>5557.0683306000001</v>
          </cell>
          <cell r="L66">
            <v>4800.8613910000004</v>
          </cell>
          <cell r="M66">
            <v>6137.4391165999996</v>
          </cell>
          <cell r="N66">
            <v>5464.3187586200002</v>
          </cell>
          <cell r="O66">
            <v>9540.4489443999992</v>
          </cell>
          <cell r="P66">
            <v>7935.3434728599996</v>
          </cell>
          <cell r="Q66">
            <v>9303.3893238500004</v>
          </cell>
          <cell r="R66">
            <v>12423.6576567144</v>
          </cell>
          <cell r="S66">
            <v>10817.120859401801</v>
          </cell>
          <cell r="T66">
            <v>15211.3710418991</v>
          </cell>
          <cell r="U66">
            <v>12795.929062953999</v>
          </cell>
          <cell r="V66">
            <v>15650.796320895401</v>
          </cell>
        </row>
        <row r="67">
          <cell r="B67" t="str">
            <v>Preferred shares</v>
          </cell>
          <cell r="C67" t="str">
            <v>PREF_SH</v>
          </cell>
          <cell r="D67">
            <v>0</v>
          </cell>
        </row>
        <row r="68">
          <cell r="B68" t="str">
            <v>Total common equity</v>
          </cell>
          <cell r="C68" t="str">
            <v>ORD_SH_FUND</v>
          </cell>
          <cell r="D68">
            <v>0</v>
          </cell>
          <cell r="F68">
            <v>1461.064623</v>
          </cell>
          <cell r="G68">
            <v>4859.9295780000002</v>
          </cell>
          <cell r="H68">
            <v>5664.8266010999996</v>
          </cell>
          <cell r="I68">
            <v>6041.7160295000003</v>
          </cell>
          <cell r="J68">
            <v>6967.5043581999998</v>
          </cell>
          <cell r="K68">
            <v>11319.486268299999</v>
          </cell>
          <cell r="L68">
            <v>15918.5890695</v>
          </cell>
          <cell r="M68">
            <v>17435.812514699999</v>
          </cell>
          <cell r="N68">
            <v>19769.1657452</v>
          </cell>
          <cell r="O68">
            <v>21248.879747300001</v>
          </cell>
          <cell r="P68">
            <v>21745.258139450001</v>
          </cell>
          <cell r="Q68">
            <v>29672.06346361</v>
          </cell>
          <cell r="R68">
            <v>30309.630616113802</v>
          </cell>
          <cell r="S68">
            <v>31597.418942628101</v>
          </cell>
          <cell r="T68">
            <v>33513.477469837198</v>
          </cell>
          <cell r="U68">
            <v>36149.3409185009</v>
          </cell>
          <cell r="V68">
            <v>39609.344853396702</v>
          </cell>
        </row>
        <row r="69">
          <cell r="B69" t="str">
            <v>Minority interest</v>
          </cell>
          <cell r="C69" t="str">
            <v>MINORITIES</v>
          </cell>
          <cell r="D69">
            <v>0</v>
          </cell>
          <cell r="G69">
            <v>50.531989000000003</v>
          </cell>
          <cell r="H69">
            <v>242.22037030000001</v>
          </cell>
          <cell r="I69">
            <v>251.30175410000001</v>
          </cell>
          <cell r="J69">
            <v>35.470090499999998</v>
          </cell>
          <cell r="K69">
            <v>140.0771163</v>
          </cell>
          <cell r="L69">
            <v>60.112966999999998</v>
          </cell>
          <cell r="N69">
            <v>3.1754380000000002</v>
          </cell>
        </row>
        <row r="70">
          <cell r="B70" t="str">
            <v>Total shareholders' equity</v>
          </cell>
          <cell r="C70" t="str">
            <v>EQ</v>
          </cell>
          <cell r="D70">
            <v>0</v>
          </cell>
          <cell r="F70">
            <v>1461.064623</v>
          </cell>
          <cell r="G70">
            <v>4910.4615670000003</v>
          </cell>
          <cell r="H70">
            <v>5907.0469714000001</v>
          </cell>
          <cell r="I70">
            <v>6293.0177836000003</v>
          </cell>
          <cell r="J70">
            <v>7002.9744486999998</v>
          </cell>
          <cell r="K70">
            <v>11459.5633846</v>
          </cell>
          <cell r="L70">
            <v>15978.702036500001</v>
          </cell>
          <cell r="M70">
            <v>17435.812514699999</v>
          </cell>
          <cell r="N70">
            <v>19772.341183199998</v>
          </cell>
          <cell r="O70">
            <v>21248.879747300001</v>
          </cell>
          <cell r="P70">
            <v>21745.258139450001</v>
          </cell>
          <cell r="Q70">
            <v>29672.06346361</v>
          </cell>
          <cell r="R70">
            <v>30309.630616113802</v>
          </cell>
          <cell r="S70">
            <v>31597.418942628101</v>
          </cell>
          <cell r="T70">
            <v>33513.477469837198</v>
          </cell>
          <cell r="U70">
            <v>36149.3409185009</v>
          </cell>
          <cell r="V70">
            <v>39609.344853396702</v>
          </cell>
        </row>
        <row r="71">
          <cell r="B71" t="str">
            <v>Total liabilities and equity</v>
          </cell>
          <cell r="C71" t="str">
            <v>TOT_LIAB_EQ</v>
          </cell>
          <cell r="D71">
            <v>0</v>
          </cell>
          <cell r="F71">
            <v>2061.9894230999998</v>
          </cell>
          <cell r="G71">
            <v>6018.6480408999996</v>
          </cell>
          <cell r="H71">
            <v>9409.7726158000005</v>
          </cell>
          <cell r="I71">
            <v>11643.148286</v>
          </cell>
          <cell r="J71">
            <v>13346.083769680001</v>
          </cell>
          <cell r="K71">
            <v>17016.631715200001</v>
          </cell>
          <cell r="L71">
            <v>20779.563427500001</v>
          </cell>
          <cell r="M71">
            <v>23573.251631300001</v>
          </cell>
          <cell r="N71">
            <v>25236.659941819998</v>
          </cell>
          <cell r="O71">
            <v>30789.3286917</v>
          </cell>
          <cell r="P71">
            <v>29680.601612310002</v>
          </cell>
          <cell r="Q71">
            <v>38975.452787460003</v>
          </cell>
          <cell r="R71">
            <v>42733.288272828198</v>
          </cell>
          <cell r="S71">
            <v>42414.539802029904</v>
          </cell>
          <cell r="T71">
            <v>48724.848511736302</v>
          </cell>
          <cell r="U71">
            <v>48945.269981455</v>
          </cell>
          <cell r="V71">
            <v>55260.141174292199</v>
          </cell>
        </row>
        <row r="72">
          <cell r="A72" t="str">
            <v>Additional Balance Sheet Items</v>
          </cell>
        </row>
        <row r="73">
          <cell r="B73" t="str">
            <v>Total US$ debt (in US$)</v>
          </cell>
          <cell r="C73" t="str">
            <v>TOT_USD_DEBT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B74" t="str">
            <v>% US$ debt hedged (principal)</v>
          </cell>
          <cell r="C74" t="str">
            <v>TOT_PCT_USD_DEBT_HEDGED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B75" t="str">
            <v>% Floating debt (local currency debt)</v>
          </cell>
          <cell r="C75" t="str">
            <v>FLOATING_PCT_LOCAL_DEBT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B76" t="str">
            <v>% floating debt hedged (rates)</v>
          </cell>
          <cell r="C76" t="str">
            <v>FLOATING_PCT_LOCAL_DEBT_HEDGED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B77" t="str">
            <v>Net debt</v>
          </cell>
          <cell r="C77" t="str">
            <v>NET_DEBT</v>
          </cell>
          <cell r="D77">
            <v>0</v>
          </cell>
          <cell r="F77">
            <v>-522.12718959999995</v>
          </cell>
          <cell r="G77">
            <v>-1507.7946859000001</v>
          </cell>
          <cell r="H77">
            <v>430.3653162</v>
          </cell>
          <cell r="I77">
            <v>1953.5159443</v>
          </cell>
          <cell r="J77">
            <v>3138.0827169999998</v>
          </cell>
          <cell r="K77">
            <v>-120.2156169</v>
          </cell>
          <cell r="L77">
            <v>-3283.8151108000002</v>
          </cell>
          <cell r="M77">
            <v>-4924.8517642999996</v>
          </cell>
          <cell r="N77">
            <v>-4148.3487219999997</v>
          </cell>
          <cell r="O77">
            <v>-945.92776049999998</v>
          </cell>
          <cell r="P77">
            <v>-1001.7286497</v>
          </cell>
          <cell r="Q77">
            <v>-4681.1573214600003</v>
          </cell>
          <cell r="R77">
            <v>-367.33285183560702</v>
          </cell>
          <cell r="S77">
            <v>-1457.19747476312</v>
          </cell>
          <cell r="T77">
            <v>216.64040156427899</v>
          </cell>
          <cell r="U77">
            <v>-2747.6653609647401</v>
          </cell>
          <cell r="V77">
            <v>-2868.3261045019999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>
            <v>0</v>
          </cell>
        </row>
        <row r="79">
          <cell r="B79" t="str">
            <v>Deferred income taxes</v>
          </cell>
          <cell r="C79" t="str">
            <v>DEF_INC_TAX</v>
          </cell>
          <cell r="D79">
            <v>0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>
            <v>0</v>
          </cell>
        </row>
        <row r="81">
          <cell r="B81" t="str">
            <v>Net debt adjustment</v>
          </cell>
          <cell r="C81" t="str">
            <v>NET_DEBT_ADJ</v>
          </cell>
          <cell r="D81">
            <v>0</v>
          </cell>
          <cell r="M81">
            <v>-480</v>
          </cell>
          <cell r="N81">
            <v>-350.5</v>
          </cell>
        </row>
        <row r="82">
          <cell r="B82" t="str">
            <v>Company borrowing margin</v>
          </cell>
          <cell r="C82" t="str">
            <v>CO_BOR_MARGIN</v>
          </cell>
        </row>
        <row r="83">
          <cell r="B83" t="str">
            <v>Unfunded pensions &amp; other provisions</v>
          </cell>
          <cell r="C83" t="str">
            <v>UNF_PENS</v>
          </cell>
          <cell r="D83">
            <v>0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>
            <v>0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>
            <v>0</v>
          </cell>
        </row>
        <row r="87">
          <cell r="B87" t="str">
            <v>Other GCI adjustments</v>
          </cell>
          <cell r="C87" t="str">
            <v>OTH_GCI_ADJ</v>
          </cell>
          <cell r="D87">
            <v>0</v>
          </cell>
          <cell r="F87">
            <v>522.12718959999995</v>
          </cell>
          <cell r="G87">
            <v>1507.7946859000001</v>
          </cell>
          <cell r="K87">
            <v>120.2156169</v>
          </cell>
          <cell r="L87">
            <v>3283.8151108000002</v>
          </cell>
          <cell r="M87">
            <v>4444.8517642999996</v>
          </cell>
          <cell r="N87">
            <v>3797.8487220000002</v>
          </cell>
          <cell r="O87">
            <v>945.92776049999998</v>
          </cell>
          <cell r="P87">
            <v>1001.7286497</v>
          </cell>
          <cell r="Q87">
            <v>4681.1573214600003</v>
          </cell>
          <cell r="R87">
            <v>367.33285183560702</v>
          </cell>
          <cell r="S87">
            <v>1457.19747476312</v>
          </cell>
          <cell r="T87">
            <v>0</v>
          </cell>
          <cell r="U87">
            <v>2747.6653609647401</v>
          </cell>
          <cell r="V87">
            <v>2868.3261045019999</v>
          </cell>
        </row>
        <row r="88">
          <cell r="B88" t="str">
            <v>GCI inflator</v>
          </cell>
          <cell r="C88" t="str">
            <v>GCI_INFL</v>
          </cell>
        </row>
        <row r="89">
          <cell r="B89" t="str">
            <v>Minority interest</v>
          </cell>
          <cell r="C89" t="str">
            <v>BAL_MINO_INT</v>
          </cell>
          <cell r="D89">
            <v>0</v>
          </cell>
          <cell r="G89">
            <v>50.531989000000003</v>
          </cell>
          <cell r="H89">
            <v>242.22037030000001</v>
          </cell>
          <cell r="I89">
            <v>251.30175410000001</v>
          </cell>
          <cell r="J89">
            <v>35.470090499999998</v>
          </cell>
          <cell r="K89">
            <v>140.0771163</v>
          </cell>
          <cell r="L89">
            <v>60.112966999999998</v>
          </cell>
          <cell r="N89">
            <v>3.1754380000000002</v>
          </cell>
        </row>
        <row r="90">
          <cell r="B90" t="str">
            <v>Right-of-use assets (op lease assets under US GAAP)</v>
          </cell>
          <cell r="C90" t="str">
            <v>ROU_ASSET</v>
          </cell>
          <cell r="D90">
            <v>0</v>
          </cell>
        </row>
        <row r="91">
          <cell r="A91" t="str">
            <v>Cash Flow Statement</v>
          </cell>
        </row>
        <row r="92">
          <cell r="B92" t="str">
            <v>Minority interest add-back</v>
          </cell>
          <cell r="C92" t="str">
            <v>CF_INC_MINORITY</v>
          </cell>
          <cell r="D92">
            <v>0</v>
          </cell>
          <cell r="G92">
            <v>11.331989</v>
          </cell>
          <cell r="H92">
            <v>123.87730550000001</v>
          </cell>
          <cell r="I92">
            <v>9.0095080000000003</v>
          </cell>
          <cell r="J92">
            <v>-5.7730055</v>
          </cell>
          <cell r="K92">
            <v>48.134149600000001</v>
          </cell>
          <cell r="L92">
            <v>52.950062899999999</v>
          </cell>
          <cell r="M92">
            <v>2.2327799999999998E-2</v>
          </cell>
          <cell r="N92">
            <v>-0.16727510000000001</v>
          </cell>
          <cell r="O92">
            <v>-0.11334</v>
          </cell>
        </row>
        <row r="93">
          <cell r="B93" t="str">
            <v>Depreciation &amp; amortization add-back</v>
          </cell>
          <cell r="C93" t="str">
            <v>DEPR_AMORT</v>
          </cell>
          <cell r="D93">
            <v>0</v>
          </cell>
          <cell r="F93">
            <v>66.913027799999995</v>
          </cell>
          <cell r="G93">
            <v>99.701495800000004</v>
          </cell>
          <cell r="H93">
            <v>230.4054754</v>
          </cell>
          <cell r="I93">
            <v>407.33868530000001</v>
          </cell>
          <cell r="J93">
            <v>626.85389580000003</v>
          </cell>
          <cell r="K93">
            <v>782.30357040000001</v>
          </cell>
          <cell r="L93">
            <v>809.31165629999998</v>
          </cell>
          <cell r="M93">
            <v>1044.0907996999999</v>
          </cell>
          <cell r="N93">
            <v>1239.2933181000001</v>
          </cell>
          <cell r="O93">
            <v>1439.1487345</v>
          </cell>
          <cell r="P93">
            <v>1610.38255134</v>
          </cell>
          <cell r="Q93">
            <v>1776.4958132700001</v>
          </cell>
          <cell r="R93">
            <v>2800.3563473509298</v>
          </cell>
          <cell r="S93">
            <v>3431.8185389175401</v>
          </cell>
          <cell r="T93">
            <v>4236.2608776268598</v>
          </cell>
          <cell r="U93">
            <v>4871.3800634988002</v>
          </cell>
          <cell r="V93">
            <v>5517.2982611875796</v>
          </cell>
        </row>
        <row r="94">
          <cell r="B94" t="str">
            <v>(Increase)/decrease in working capital</v>
          </cell>
          <cell r="C94" t="str">
            <v>WORK_CAP</v>
          </cell>
          <cell r="D94">
            <v>0</v>
          </cell>
          <cell r="F94">
            <v>-4.9077652</v>
          </cell>
          <cell r="G94">
            <v>-292.6341233</v>
          </cell>
          <cell r="H94">
            <v>-898.21735899999999</v>
          </cell>
          <cell r="I94">
            <v>-760.4228177</v>
          </cell>
          <cell r="J94">
            <v>-152.33971600000001</v>
          </cell>
          <cell r="K94">
            <v>-1246.177962</v>
          </cell>
          <cell r="L94">
            <v>397.5476334</v>
          </cell>
          <cell r="M94">
            <v>-427.15901730000002</v>
          </cell>
          <cell r="N94">
            <v>-1238.8801539999999</v>
          </cell>
          <cell r="O94">
            <v>-1253.3773147100001</v>
          </cell>
          <cell r="P94">
            <v>1467.3509268</v>
          </cell>
          <cell r="Q94">
            <v>-1271.4874922199999</v>
          </cell>
          <cell r="R94">
            <v>-3170.5277784311402</v>
          </cell>
          <cell r="S94">
            <v>1384.6618199704701</v>
          </cell>
          <cell r="T94">
            <v>-2353.17686714008</v>
          </cell>
          <cell r="U94">
            <v>1434.4766510931399</v>
          </cell>
          <cell r="V94">
            <v>-2324.3496664458698</v>
          </cell>
        </row>
        <row r="95">
          <cell r="B95" t="str">
            <v>Other operating cash flow items</v>
          </cell>
          <cell r="C95" t="str">
            <v>OTH_OP_CF</v>
          </cell>
          <cell r="D95">
            <v>0</v>
          </cell>
          <cell r="F95">
            <v>11.669276</v>
          </cell>
          <cell r="G95">
            <v>64.6425512</v>
          </cell>
          <cell r="H95">
            <v>468.42976729999998</v>
          </cell>
          <cell r="I95">
            <v>-61.323568399999999</v>
          </cell>
          <cell r="J95">
            <v>-739.4497609</v>
          </cell>
          <cell r="K95">
            <v>-381.33070129999902</v>
          </cell>
          <cell r="L95">
            <v>-563.61563460000002</v>
          </cell>
          <cell r="M95">
            <v>-727.50127029999999</v>
          </cell>
          <cell r="N95">
            <v>-206.42698250000001</v>
          </cell>
          <cell r="O95">
            <v>323.65086860999901</v>
          </cell>
          <cell r="P95">
            <v>-1586.8799062099999</v>
          </cell>
          <cell r="Q95">
            <v>413.25351603000001</v>
          </cell>
          <cell r="R95">
            <v>16.29627911</v>
          </cell>
        </row>
        <row r="96">
          <cell r="B96" t="str">
            <v>Cash flow from operating activities</v>
          </cell>
          <cell r="C96" t="str">
            <v>CF_OPS</v>
          </cell>
          <cell r="D96">
            <v>0</v>
          </cell>
          <cell r="F96">
            <v>253.8256485</v>
          </cell>
          <cell r="G96">
            <v>302.30686759999998</v>
          </cell>
          <cell r="H96">
            <v>860.66619189999994</v>
          </cell>
          <cell r="I96">
            <v>404.6434304</v>
          </cell>
          <cell r="J96">
            <v>765.27914299999998</v>
          </cell>
          <cell r="K96">
            <v>665.25670339999999</v>
          </cell>
          <cell r="L96">
            <v>2390.7483809</v>
          </cell>
          <cell r="M96">
            <v>2056.1051815000001</v>
          </cell>
          <cell r="N96">
            <v>2958.0297955999999</v>
          </cell>
          <cell r="O96">
            <v>3339.4670145999999</v>
          </cell>
          <cell r="P96">
            <v>2789.32027225</v>
          </cell>
          <cell r="Q96">
            <v>1934.5418858999999</v>
          </cell>
          <cell r="R96">
            <v>1527.61894077995</v>
          </cell>
          <cell r="S96">
            <v>8616.8112252664505</v>
          </cell>
          <cell r="T96">
            <v>7537.47317741603</v>
          </cell>
          <cell r="U96">
            <v>14084.4279419218</v>
          </cell>
          <cell r="V96">
            <v>13403.6016041278</v>
          </cell>
        </row>
        <row r="97">
          <cell r="B97" t="str">
            <v>Capital expenditures, Capex</v>
          </cell>
          <cell r="C97" t="str">
            <v>CAPEX</v>
          </cell>
          <cell r="D97">
            <v>0</v>
          </cell>
          <cell r="F97">
            <v>-315.20405199999999</v>
          </cell>
          <cell r="G97">
            <v>-2850.9627009000001</v>
          </cell>
          <cell r="H97">
            <v>-3655.3634544000001</v>
          </cell>
          <cell r="I97">
            <v>-1404.6978016999999</v>
          </cell>
          <cell r="J97">
            <v>-950.89803830000005</v>
          </cell>
          <cell r="K97">
            <v>-2047.7245788</v>
          </cell>
          <cell r="L97">
            <v>-2804.4535366999999</v>
          </cell>
          <cell r="M97">
            <v>-1411.7571749000001</v>
          </cell>
          <cell r="N97">
            <v>-3363.4627922999998</v>
          </cell>
          <cell r="O97">
            <v>-5296.4959276</v>
          </cell>
          <cell r="P97">
            <v>-2997.49212562</v>
          </cell>
          <cell r="Q97">
            <v>-4218.5277498699998</v>
          </cell>
          <cell r="R97">
            <v>-4597.5164701579997</v>
          </cell>
          <cell r="S97">
            <v>-5014.4040624748004</v>
          </cell>
          <cell r="T97">
            <v>-5472.98041402328</v>
          </cell>
          <cell r="U97">
            <v>-5977.4144007266104</v>
          </cell>
          <cell r="V97">
            <v>-6532.2917861002697</v>
          </cell>
        </row>
        <row r="98">
          <cell r="B98" t="str">
            <v>Acquisitions</v>
          </cell>
          <cell r="C98" t="str">
            <v>ACQ</v>
          </cell>
          <cell r="D98">
            <v>0</v>
          </cell>
          <cell r="J98">
            <v>-129.97895650000001</v>
          </cell>
          <cell r="M98">
            <v>-346.12968339999998</v>
          </cell>
          <cell r="N98">
            <v>-32.579610000000002</v>
          </cell>
          <cell r="Q98">
            <v>-361.44700687</v>
          </cell>
        </row>
        <row r="99">
          <cell r="B99" t="str">
            <v>Divestitures</v>
          </cell>
          <cell r="C99" t="str">
            <v>DIVEST</v>
          </cell>
          <cell r="D99">
            <v>0</v>
          </cell>
          <cell r="K99">
            <v>37.508425500000001</v>
          </cell>
          <cell r="L99">
            <v>304.48799289999999</v>
          </cell>
          <cell r="P99">
            <v>13.730452079999999</v>
          </cell>
        </row>
        <row r="100">
          <cell r="B100" t="str">
            <v>Other investing cash flow items</v>
          </cell>
          <cell r="C100" t="str">
            <v>OTH_INV_CF</v>
          </cell>
          <cell r="D100">
            <v>0</v>
          </cell>
          <cell r="F100">
            <v>-9.8660268999999996</v>
          </cell>
          <cell r="G100">
            <v>555.84927649999997</v>
          </cell>
          <cell r="H100">
            <v>983.77140410000004</v>
          </cell>
          <cell r="I100">
            <v>108.5921462</v>
          </cell>
          <cell r="J100">
            <v>-333.65786650000001</v>
          </cell>
          <cell r="K100">
            <v>553.63605970000003</v>
          </cell>
          <cell r="L100">
            <v>11.464978500000001</v>
          </cell>
          <cell r="M100">
            <v>44.012389800000001</v>
          </cell>
          <cell r="N100">
            <v>747.77191379999999</v>
          </cell>
          <cell r="O100">
            <v>370.08841530000001</v>
          </cell>
          <cell r="P100">
            <v>1412.4237373799999</v>
          </cell>
          <cell r="Q100">
            <v>4.7985869799990004</v>
          </cell>
        </row>
        <row r="101">
          <cell r="B101" t="str">
            <v>Cash flow from investing</v>
          </cell>
          <cell r="C101" t="str">
            <v>CF_INV</v>
          </cell>
          <cell r="D101">
            <v>0</v>
          </cell>
          <cell r="F101">
            <v>-325.0700789</v>
          </cell>
          <cell r="G101">
            <v>-2295.1134244</v>
          </cell>
          <cell r="H101">
            <v>-2671.5920503000002</v>
          </cell>
          <cell r="I101">
            <v>-1296.1056555</v>
          </cell>
          <cell r="J101">
            <v>-1414.5348613000001</v>
          </cell>
          <cell r="K101">
            <v>-1456.5800936000001</v>
          </cell>
          <cell r="L101">
            <v>-2488.5005652999998</v>
          </cell>
          <cell r="M101">
            <v>-1713.8744684999999</v>
          </cell>
          <cell r="N101">
            <v>-2648.2704884999998</v>
          </cell>
          <cell r="O101">
            <v>-4926.4075123000002</v>
          </cell>
          <cell r="P101">
            <v>-1571.33793616</v>
          </cell>
          <cell r="Q101">
            <v>-4575.1761697600004</v>
          </cell>
          <cell r="R101">
            <v>-4597.5164701579997</v>
          </cell>
          <cell r="S101">
            <v>-5014.4040624748004</v>
          </cell>
          <cell r="T101">
            <v>-5472.98041402328</v>
          </cell>
          <cell r="U101">
            <v>-5977.4144007266104</v>
          </cell>
          <cell r="V101">
            <v>-6532.2917861002697</v>
          </cell>
        </row>
        <row r="102">
          <cell r="B102" t="str">
            <v>Dividends paid</v>
          </cell>
          <cell r="C102" t="str">
            <v>DIV_PAID</v>
          </cell>
          <cell r="D102">
            <v>0</v>
          </cell>
          <cell r="F102">
            <v>-12.4417708</v>
          </cell>
          <cell r="G102">
            <v>-33.174831900000001</v>
          </cell>
          <cell r="H102">
            <v>-200.61625509999999</v>
          </cell>
          <cell r="I102">
            <v>-631.91781719999994</v>
          </cell>
          <cell r="J102">
            <v>-534.8638694</v>
          </cell>
          <cell r="K102">
            <v>-589.54276240000002</v>
          </cell>
          <cell r="L102">
            <v>-633.71989919999999</v>
          </cell>
          <cell r="M102">
            <v>-736.65661890000001</v>
          </cell>
          <cell r="N102">
            <v>-898.74506580000002</v>
          </cell>
          <cell r="O102">
            <v>-1107.7021666000001</v>
          </cell>
          <cell r="P102">
            <v>-970.56711929000005</v>
          </cell>
          <cell r="Q102">
            <v>-512.10895429000004</v>
          </cell>
          <cell r="R102">
            <v>-1243.9269402463401</v>
          </cell>
          <cell r="S102">
            <v>-2512.5425398641501</v>
          </cell>
          <cell r="T102">
            <v>-3738.33063972014</v>
          </cell>
          <cell r="U102">
            <v>-5142.7077786661303</v>
          </cell>
          <cell r="V102">
            <v>-6750.6490744902303</v>
          </cell>
        </row>
        <row r="103">
          <cell r="B103" t="str">
            <v>Common stock issuance/(repurchase)</v>
          </cell>
          <cell r="C103" t="str">
            <v>SH_REPUR</v>
          </cell>
          <cell r="D103">
            <v>0</v>
          </cell>
          <cell r="F103">
            <v>800.98199999999997</v>
          </cell>
          <cell r="G103">
            <v>2979.6</v>
          </cell>
          <cell r="J103">
            <v>182.1035622</v>
          </cell>
          <cell r="K103">
            <v>3206.7362698000002</v>
          </cell>
          <cell r="L103">
            <v>3372.1370431</v>
          </cell>
          <cell r="M103">
            <v>-21.970141999999999</v>
          </cell>
          <cell r="N103">
            <v>-5.4235499999999999E-2</v>
          </cell>
          <cell r="O103">
            <v>1.8429323000019999</v>
          </cell>
          <cell r="P103">
            <v>0.68455529999800002</v>
          </cell>
          <cell r="Q103">
            <v>6996.1416751899997</v>
          </cell>
        </row>
        <row r="104">
          <cell r="B104" t="str">
            <v>Increase/(decrease) in total debt</v>
          </cell>
          <cell r="C104" t="str">
            <v>CHG_LT_DEBT</v>
          </cell>
          <cell r="D104">
            <v>0</v>
          </cell>
          <cell r="F104">
            <v>416</v>
          </cell>
          <cell r="G104">
            <v>-99.33</v>
          </cell>
          <cell r="H104">
            <v>1487.764455</v>
          </cell>
          <cell r="I104">
            <v>1565.9476565</v>
          </cell>
          <cell r="J104">
            <v>541.35900000000004</v>
          </cell>
          <cell r="K104">
            <v>-630.70900000000097</v>
          </cell>
          <cell r="L104">
            <v>-1426.3951915</v>
          </cell>
          <cell r="M104">
            <v>-330.07357000000002</v>
          </cell>
          <cell r="N104">
            <v>-662.56335000000001</v>
          </cell>
          <cell r="O104">
            <v>2518</v>
          </cell>
          <cell r="P104">
            <v>-2143.4104737600001</v>
          </cell>
          <cell r="Q104">
            <v>1128.7432039</v>
          </cell>
          <cell r="S104">
            <v>500</v>
          </cell>
          <cell r="T104">
            <v>0</v>
          </cell>
          <cell r="U104">
            <v>-500</v>
          </cell>
          <cell r="V104">
            <v>-1500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>
            <v>0</v>
          </cell>
        </row>
        <row r="106">
          <cell r="B106" t="str">
            <v>Other financing cash flow items</v>
          </cell>
          <cell r="C106" t="str">
            <v>OTH_FIN_CF</v>
          </cell>
          <cell r="D106">
            <v>0</v>
          </cell>
          <cell r="F106">
            <v>-223.7199999</v>
          </cell>
          <cell r="G106">
            <v>32.048884999999999</v>
          </cell>
          <cell r="H106">
            <v>73.382111399999999</v>
          </cell>
          <cell r="I106">
            <v>0.22941420000000001</v>
          </cell>
          <cell r="J106">
            <v>-182.55074720000101</v>
          </cell>
          <cell r="K106">
            <v>1432.4282166999999</v>
          </cell>
          <cell r="L106">
            <v>522.93453439999996</v>
          </cell>
          <cell r="M106">
            <v>1577.4327014</v>
          </cell>
          <cell r="N106">
            <v>-57.963048100000002</v>
          </cell>
          <cell r="O106">
            <v>-159.12122950000199</v>
          </cell>
          <cell r="P106">
            <v>-192.29888289999801</v>
          </cell>
          <cell r="Q106">
            <v>-163.96976528000101</v>
          </cell>
        </row>
        <row r="107">
          <cell r="B107" t="str">
            <v>Cash flow from financing</v>
          </cell>
          <cell r="C107" t="str">
            <v>CF_FIN</v>
          </cell>
          <cell r="D107">
            <v>0</v>
          </cell>
          <cell r="F107">
            <v>980.82022930000005</v>
          </cell>
          <cell r="G107">
            <v>2879.1440530999998</v>
          </cell>
          <cell r="H107">
            <v>1360.5303113</v>
          </cell>
          <cell r="I107">
            <v>934.2592535</v>
          </cell>
          <cell r="J107">
            <v>6.0479456000000003</v>
          </cell>
          <cell r="K107">
            <v>3418.9127241000001</v>
          </cell>
          <cell r="L107">
            <v>1834.9564868</v>
          </cell>
          <cell r="M107">
            <v>488.7323705</v>
          </cell>
          <cell r="N107">
            <v>-1619.3256994000001</v>
          </cell>
          <cell r="O107">
            <v>1253.0195361999999</v>
          </cell>
          <cell r="P107">
            <v>-3305.5919206499998</v>
          </cell>
          <cell r="Q107">
            <v>7448.8061595199997</v>
          </cell>
          <cell r="R107">
            <v>-1243.9269402463401</v>
          </cell>
          <cell r="S107">
            <v>-2012.5425398641501</v>
          </cell>
          <cell r="T107">
            <v>-3738.33063972014</v>
          </cell>
          <cell r="U107">
            <v>-5642.7077786661303</v>
          </cell>
          <cell r="V107">
            <v>-8250.6490744902294</v>
          </cell>
        </row>
        <row r="108">
          <cell r="B108" t="str">
            <v>Total cash flow</v>
          </cell>
          <cell r="C108" t="str">
            <v>TOT_CF</v>
          </cell>
          <cell r="D108">
            <v>0</v>
          </cell>
          <cell r="F108">
            <v>909.5757989</v>
          </cell>
          <cell r="G108">
            <v>886.3374963</v>
          </cell>
          <cell r="H108">
            <v>-450.39554709999999</v>
          </cell>
          <cell r="I108">
            <v>42.797028400000002</v>
          </cell>
          <cell r="J108">
            <v>-643.20777269999996</v>
          </cell>
          <cell r="K108">
            <v>2627.5893338999999</v>
          </cell>
          <cell r="L108">
            <v>1737.2043024</v>
          </cell>
          <cell r="M108">
            <v>830.96308350000004</v>
          </cell>
          <cell r="N108">
            <v>-1309.5663923</v>
          </cell>
          <cell r="O108">
            <v>-333.92096149999998</v>
          </cell>
          <cell r="P108">
            <v>-2087.6095845599998</v>
          </cell>
          <cell r="Q108">
            <v>4808.1718756600003</v>
          </cell>
          <cell r="R108">
            <v>-4313.8244696243901</v>
          </cell>
          <cell r="S108">
            <v>1589.86462292751</v>
          </cell>
          <cell r="T108">
            <v>-1673.8378763273899</v>
          </cell>
          <cell r="U108">
            <v>2464.3057625290198</v>
          </cell>
          <cell r="V108">
            <v>-1379.33925646274</v>
          </cell>
        </row>
        <row r="109">
          <cell r="A109" t="str">
            <v>Additional Cash Flow Items</v>
          </cell>
        </row>
        <row r="110">
          <cell r="B110" t="str">
            <v>Associate and JV add-back</v>
          </cell>
          <cell r="C110" t="str">
            <v>ASSOC_JV_ADDBK</v>
          </cell>
          <cell r="D110">
            <v>0</v>
          </cell>
        </row>
        <row r="111">
          <cell r="B111" t="str">
            <v>Profit/(loss) on sale of assets</v>
          </cell>
          <cell r="C111" t="str">
            <v>PL_SALE_ASSETS</v>
          </cell>
          <cell r="D111">
            <v>0</v>
          </cell>
        </row>
        <row r="112">
          <cell r="B112" t="str">
            <v>Other non-cash adjustments</v>
          </cell>
          <cell r="C112" t="str">
            <v>OTH_NONCASH_ADJ</v>
          </cell>
          <cell r="D112">
            <v>0</v>
          </cell>
        </row>
        <row r="113">
          <cell r="B113" t="str">
            <v>Other DACF adjustments</v>
          </cell>
          <cell r="C113" t="str">
            <v>OTH_DACF_ADJ</v>
          </cell>
          <cell r="D113">
            <v>0</v>
          </cell>
        </row>
        <row r="114">
          <cell r="B114" t="str">
            <v>Cash interest expense</v>
          </cell>
          <cell r="C114" t="str">
            <v>CASH_INT_EXP</v>
          </cell>
          <cell r="D114">
            <v>0</v>
          </cell>
        </row>
        <row r="115">
          <cell r="B115" t="str">
            <v>Cash tax expense</v>
          </cell>
          <cell r="C115" t="str">
            <v>CASH_TAX_EXP</v>
          </cell>
          <cell r="D115">
            <v>0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>
            <v>0</v>
          </cell>
        </row>
        <row r="117">
          <cell r="B117" t="str">
            <v>Capex maintenance</v>
          </cell>
          <cell r="C117" t="str">
            <v>CAPEX_MAINTENANCE</v>
          </cell>
          <cell r="D117">
            <v>0</v>
          </cell>
        </row>
        <row r="118">
          <cell r="B118" t="str">
            <v>Capex expansion</v>
          </cell>
          <cell r="C118" t="str">
            <v>CAPEX_EXPANSION</v>
          </cell>
          <cell r="D118">
            <v>0</v>
          </cell>
        </row>
        <row r="119">
          <cell r="B119" t="str">
            <v>Non-PP&amp;E capex</v>
          </cell>
          <cell r="C119" t="str">
            <v>NONPPE_CAPEX</v>
          </cell>
          <cell r="D119">
            <v>0</v>
          </cell>
        </row>
        <row r="120">
          <cell r="B120" t="str">
            <v>Dividends paid to minorities</v>
          </cell>
          <cell r="C120" t="str">
            <v>DIVDS_PD_MINORITIES</v>
          </cell>
          <cell r="D120">
            <v>0</v>
          </cell>
        </row>
        <row r="121">
          <cell r="A121" t="str">
            <v>Other Items</v>
          </cell>
        </row>
        <row r="122">
          <cell r="B122" t="str">
            <v>Number of employees</v>
          </cell>
          <cell r="C122" t="str">
            <v>EMPLOYEES</v>
          </cell>
          <cell r="F122">
            <v>1.0980000000000001</v>
          </cell>
          <cell r="G122">
            <v>3.149</v>
          </cell>
          <cell r="H122">
            <v>5.3520000000000003</v>
          </cell>
          <cell r="I122">
            <v>5.59</v>
          </cell>
          <cell r="J122">
            <v>6.6680000000000001</v>
          </cell>
          <cell r="K122">
            <v>4.74</v>
          </cell>
          <cell r="L122">
            <v>7.1349999999999998</v>
          </cell>
          <cell r="M122">
            <v>7.9859999999999998</v>
          </cell>
          <cell r="N122">
            <v>9.4390000000000001</v>
          </cell>
          <cell r="O122">
            <v>11.404</v>
          </cell>
        </row>
        <row r="123">
          <cell r="A123" t="str">
            <v>Geographical Breakdown</v>
          </cell>
        </row>
        <row r="124">
          <cell r="B124" t="str">
            <v>Sales - % Canada</v>
          </cell>
          <cell r="C124" t="str">
            <v>SALES_CANADA</v>
          </cell>
        </row>
        <row r="125">
          <cell r="B125" t="str">
            <v>Sales - % United States</v>
          </cell>
          <cell r="C125" t="str">
            <v>SALES_US</v>
          </cell>
        </row>
        <row r="126">
          <cell r="B126" t="str">
            <v>Sales - % Other North Americas</v>
          </cell>
          <cell r="C126" t="str">
            <v>SALES_OTH_NO_AMER</v>
          </cell>
        </row>
        <row r="127">
          <cell r="B127" t="str">
            <v>Sales - % Argentina</v>
          </cell>
          <cell r="C127" t="str">
            <v>SALES_ARGENTINA</v>
          </cell>
        </row>
        <row r="128">
          <cell r="B128" t="str">
            <v>Sales - % Brazil</v>
          </cell>
          <cell r="C128" t="str">
            <v>SALES_BRAZIL</v>
          </cell>
        </row>
        <row r="129">
          <cell r="B129" t="str">
            <v>Sales - % Chile</v>
          </cell>
          <cell r="C129" t="str">
            <v>SALES_CHILE</v>
          </cell>
        </row>
        <row r="130">
          <cell r="B130" t="str">
            <v>Sales - % Colombia</v>
          </cell>
          <cell r="C130" t="str">
            <v>SALES_COLOMBIA</v>
          </cell>
        </row>
        <row r="131">
          <cell r="B131" t="str">
            <v>Sales - % Mexico</v>
          </cell>
          <cell r="C131" t="str">
            <v>SALES_MEXICO</v>
          </cell>
        </row>
        <row r="132">
          <cell r="B132" t="str">
            <v>Sales - % Venezuela</v>
          </cell>
          <cell r="C132" t="str">
            <v>SALES_VENEZUELA</v>
          </cell>
        </row>
        <row r="133">
          <cell r="B133" t="str">
            <v>Sales - % Other Latin Americas</v>
          </cell>
          <cell r="C133" t="str">
            <v>SALES_OTH_LATAM</v>
          </cell>
        </row>
        <row r="134">
          <cell r="B134" t="str">
            <v>Sales - % Austria</v>
          </cell>
          <cell r="C134" t="str">
            <v>SALES_AUSTRIA</v>
          </cell>
        </row>
        <row r="135">
          <cell r="B135" t="str">
            <v>Sales - % Belgium</v>
          </cell>
          <cell r="C135" t="str">
            <v>SALES_BEL</v>
          </cell>
        </row>
        <row r="136">
          <cell r="B136" t="str">
            <v>Sales - % France</v>
          </cell>
          <cell r="C136" t="str">
            <v>SALES_FRA</v>
          </cell>
        </row>
        <row r="137">
          <cell r="B137" t="str">
            <v>Sales - % Germany</v>
          </cell>
          <cell r="C137" t="str">
            <v>SALES_GER</v>
          </cell>
        </row>
        <row r="138">
          <cell r="B138" t="str">
            <v>Sales - % Greece</v>
          </cell>
          <cell r="C138" t="str">
            <v>SALES_GRE</v>
          </cell>
        </row>
        <row r="139">
          <cell r="B139" t="str">
            <v>Sales - % Ireland</v>
          </cell>
          <cell r="C139" t="str">
            <v>SALES_IRE</v>
          </cell>
        </row>
        <row r="140">
          <cell r="B140" t="str">
            <v>Sales - % Italy</v>
          </cell>
          <cell r="C140" t="str">
            <v>SALES_ITA</v>
          </cell>
        </row>
        <row r="141">
          <cell r="B141" t="str">
            <v>Sales - % Netherlands</v>
          </cell>
          <cell r="C141" t="str">
            <v>SALES_NETH</v>
          </cell>
        </row>
        <row r="142">
          <cell r="B142" t="str">
            <v>Sales - % Norway</v>
          </cell>
          <cell r="C142" t="str">
            <v>SALES_NOR</v>
          </cell>
        </row>
        <row r="143">
          <cell r="B143" t="str">
            <v>Sales - % Portugal</v>
          </cell>
          <cell r="C143" t="str">
            <v>SALES_POR</v>
          </cell>
        </row>
        <row r="144">
          <cell r="B144" t="str">
            <v>Sales - % Spain</v>
          </cell>
          <cell r="C144" t="str">
            <v>SALES_SPA</v>
          </cell>
        </row>
        <row r="145">
          <cell r="B145" t="str">
            <v>Sales - % Sweden</v>
          </cell>
          <cell r="C145" t="str">
            <v>SALES_SWE</v>
          </cell>
        </row>
        <row r="146">
          <cell r="B146" t="str">
            <v>Sales - % Switzerland</v>
          </cell>
          <cell r="C146" t="str">
            <v>SALES_SWIT</v>
          </cell>
        </row>
        <row r="147">
          <cell r="B147" t="str">
            <v>Sales - % UK</v>
          </cell>
          <cell r="C147" t="str">
            <v>SALES_UK</v>
          </cell>
        </row>
        <row r="148">
          <cell r="B148" t="str">
            <v>Sales - % Other Western Europe</v>
          </cell>
          <cell r="C148" t="str">
            <v>SALES_OTH_WEST_EURO</v>
          </cell>
        </row>
        <row r="149">
          <cell r="B149" t="str">
            <v>Sales - % Poland</v>
          </cell>
          <cell r="C149" t="str">
            <v>SALES_POLAND</v>
          </cell>
        </row>
        <row r="150">
          <cell r="B150" t="str">
            <v>Sales - % Russia</v>
          </cell>
          <cell r="C150" t="str">
            <v>SALES_RUSSIA</v>
          </cell>
        </row>
        <row r="151">
          <cell r="B151" t="str">
            <v>Sales - % Turkey</v>
          </cell>
          <cell r="C151" t="str">
            <v>SALES_TURKEY</v>
          </cell>
        </row>
        <row r="152">
          <cell r="B152" t="str">
            <v>Sales - % Other CEE</v>
          </cell>
          <cell r="C152" t="str">
            <v>SALES_OTH_CEE</v>
          </cell>
        </row>
        <row r="153">
          <cell r="B153" t="str">
            <v>Sales - % Saudi Arabia</v>
          </cell>
          <cell r="C153" t="str">
            <v>SALES_SAUDI_ARABIA</v>
          </cell>
        </row>
        <row r="154">
          <cell r="B154" t="str">
            <v>Sales - % United Arab Emirates</v>
          </cell>
          <cell r="C154" t="str">
            <v>SALES_UAE</v>
          </cell>
        </row>
        <row r="155">
          <cell r="B155" t="str">
            <v>Sales - % Other Middle East</v>
          </cell>
          <cell r="C155" t="str">
            <v>SALES_OTH_ME</v>
          </cell>
        </row>
        <row r="156">
          <cell r="B156" t="str">
            <v>Sales - % Nigeria</v>
          </cell>
          <cell r="C156" t="str">
            <v>SALES_NIGERIA</v>
          </cell>
        </row>
        <row r="157">
          <cell r="B157" t="str">
            <v>Sales - % South Africa</v>
          </cell>
          <cell r="C157" t="str">
            <v>SALES_SO_AFRICA</v>
          </cell>
        </row>
        <row r="158">
          <cell r="B158" t="str">
            <v>Sales - % Other Africa</v>
          </cell>
          <cell r="C158" t="str">
            <v>SALES_OTH_AFRICA</v>
          </cell>
        </row>
        <row r="159">
          <cell r="B159" t="str">
            <v>Sales - % Hong Kong</v>
          </cell>
          <cell r="C159" t="str">
            <v>SALES_HONG_KONG</v>
          </cell>
        </row>
        <row r="160">
          <cell r="B160" t="str">
            <v>Sales - % Japan</v>
          </cell>
          <cell r="C160" t="str">
            <v>SALES_JAPAN</v>
          </cell>
        </row>
        <row r="161">
          <cell r="B161" t="str">
            <v>Sales - % Singapore</v>
          </cell>
          <cell r="C161" t="str">
            <v>SALES_SINGAPORE</v>
          </cell>
        </row>
        <row r="162">
          <cell r="B162" t="str">
            <v>Sales - % South Korea</v>
          </cell>
          <cell r="C162" t="str">
            <v>SALES_SK</v>
          </cell>
        </row>
        <row r="163">
          <cell r="B163" t="str">
            <v>Sales - % Taiwan</v>
          </cell>
          <cell r="C163" t="str">
            <v>SALES_TAIWAN</v>
          </cell>
        </row>
        <row r="164">
          <cell r="B164" t="str">
            <v>Sales - % Other Developed Asia</v>
          </cell>
          <cell r="C164" t="str">
            <v>SALES_OTH_DEV_ASIA</v>
          </cell>
        </row>
        <row r="165">
          <cell r="B165" t="str">
            <v>Sales - % China</v>
          </cell>
          <cell r="C165" t="str">
            <v>SALES_CHINA</v>
          </cell>
          <cell r="F165">
            <v>0.99190313495100002</v>
          </cell>
          <cell r="G165">
            <v>0.99384783144099997</v>
          </cell>
          <cell r="H165">
            <v>0.99680494249999996</v>
          </cell>
          <cell r="I165">
            <v>0.98533888161000005</v>
          </cell>
          <cell r="J165">
            <v>0.94368983006999996</v>
          </cell>
          <cell r="K165">
            <v>0.87546011482099995</v>
          </cell>
          <cell r="L165">
            <v>0.86548430363700002</v>
          </cell>
          <cell r="M165">
            <v>0.82773626210200002</v>
          </cell>
          <cell r="N165">
            <v>0.83027756799399999</v>
          </cell>
          <cell r="O165">
            <v>0.85290407457499995</v>
          </cell>
          <cell r="P165">
            <v>0.88280490248700005</v>
          </cell>
          <cell r="Q165">
            <v>0.88280490248700005</v>
          </cell>
          <cell r="R165">
            <v>0.88280490248700005</v>
          </cell>
        </row>
        <row r="166">
          <cell r="B166" t="str">
            <v>Sales - % India</v>
          </cell>
          <cell r="C166" t="str">
            <v>SALES_INDIA</v>
          </cell>
        </row>
        <row r="167">
          <cell r="B167" t="str">
            <v>Sales - % Indonesia</v>
          </cell>
          <cell r="C167" t="str">
            <v>SALES_INDONESIA</v>
          </cell>
        </row>
        <row r="168">
          <cell r="B168" t="str">
            <v>Sales - % Thailand</v>
          </cell>
          <cell r="C168" t="str">
            <v>SALES_THAILAND</v>
          </cell>
        </row>
        <row r="169">
          <cell r="B169" t="str">
            <v>Sales - % Other Emerging Asia</v>
          </cell>
          <cell r="C169" t="str">
            <v>SALES_OTH_EMERG_ASIA</v>
          </cell>
        </row>
        <row r="170">
          <cell r="B170" t="str">
            <v>Sales - % Australia</v>
          </cell>
          <cell r="C170" t="str">
            <v>SALES_AUSTRA</v>
          </cell>
        </row>
        <row r="171">
          <cell r="B171" t="str">
            <v>Sales - % New Zealand</v>
          </cell>
          <cell r="C171" t="str">
            <v>SALES_NZ</v>
          </cell>
        </row>
        <row r="172">
          <cell r="B172" t="str">
            <v>Sales - % Others</v>
          </cell>
          <cell r="C172" t="str">
            <v>SALES_OTHER</v>
          </cell>
          <cell r="F172">
            <v>8.0968650490000002E-3</v>
          </cell>
          <cell r="G172">
            <v>6.1521685590000003E-3</v>
          </cell>
          <cell r="H172">
            <v>3.1950575E-3</v>
          </cell>
          <cell r="I172">
            <v>1.466111839E-2</v>
          </cell>
          <cell r="J172">
            <v>5.6310169930000001E-2</v>
          </cell>
          <cell r="K172">
            <v>0.124539885179</v>
          </cell>
          <cell r="L172">
            <v>0.13451569636300001</v>
          </cell>
          <cell r="M172">
            <v>0.17226373789800001</v>
          </cell>
          <cell r="N172">
            <v>0.16972243200600001</v>
          </cell>
          <cell r="O172">
            <v>0.147095925425</v>
          </cell>
          <cell r="P172">
            <v>0.117195097513</v>
          </cell>
          <cell r="Q172">
            <v>0.117195097513</v>
          </cell>
          <cell r="R172">
            <v>0.117195097513</v>
          </cell>
        </row>
        <row r="173">
          <cell r="B173" t="str">
            <v>% of CoGS from U.S. (GS estimate)</v>
          </cell>
          <cell r="C173" t="str">
            <v>COGS_PCT_US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B174" t="str">
            <v>% of CoGS from non-U.S. (GS estimate)</v>
          </cell>
          <cell r="C174" t="str">
            <v>COGS_PCT_ROW</v>
          </cell>
          <cell r="F174">
            <v>1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</row>
        <row r="175">
          <cell r="B175" t="str">
            <v>% of SG&amp;A from U.S. (GS estimate)</v>
          </cell>
          <cell r="C175" t="str">
            <v>SGA_PCT_US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>% of SG&amp;A from non-U.S. (GS estimate)</v>
          </cell>
          <cell r="C176" t="str">
            <v>SGA_PCT_ROW</v>
          </cell>
          <cell r="F176">
            <v>1</v>
          </cell>
          <cell r="G176">
            <v>1</v>
          </cell>
          <cell r="H176">
            <v>1</v>
          </cell>
          <cell r="I176">
            <v>1</v>
          </cell>
          <cell r="J176">
            <v>1</v>
          </cell>
          <cell r="K176">
            <v>1</v>
          </cell>
          <cell r="L176">
            <v>1</v>
          </cell>
          <cell r="M176">
            <v>1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</row>
        <row r="177">
          <cell r="B177" t="str">
            <v>Sales -% Consumer (C)</v>
          </cell>
          <cell r="C177" t="str">
            <v>SALES_CONS</v>
          </cell>
        </row>
        <row r="178">
          <cell r="B178" t="str">
            <v>Sales -% Industry (I)</v>
          </cell>
          <cell r="C178" t="str">
            <v>SALES_IND</v>
          </cell>
          <cell r="F178">
            <v>1</v>
          </cell>
          <cell r="G178">
            <v>1</v>
          </cell>
          <cell r="H178">
            <v>1</v>
          </cell>
          <cell r="I178">
            <v>1</v>
          </cell>
          <cell r="J178">
            <v>1</v>
          </cell>
          <cell r="K178">
            <v>1</v>
          </cell>
          <cell r="L178">
            <v>1</v>
          </cell>
          <cell r="M178">
            <v>1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</row>
        <row r="179">
          <cell r="B179" t="str">
            <v>Sales -% Government (G)</v>
          </cell>
          <cell r="C179" t="str">
            <v>SALES_GOV</v>
          </cell>
        </row>
        <row r="180">
          <cell r="B180" t="str">
            <v>Sales - % Industry Sub-Segment: Financial Services</v>
          </cell>
          <cell r="C180" t="str">
            <v>SALES_FINAN</v>
          </cell>
        </row>
        <row r="181">
          <cell r="B181" t="str">
            <v>Sales - % Industry Sub-Segment: Oil &amp; Gas</v>
          </cell>
          <cell r="C181" t="str">
            <v>SALES_OIL_GAS</v>
          </cell>
        </row>
        <row r="182">
          <cell r="A182" t="str">
            <v>Commodities Exposure - Expense</v>
          </cell>
        </row>
        <row r="183">
          <cell r="B183" t="str">
            <v>Expense - % Oil/Petrol/Fuel</v>
          </cell>
          <cell r="C183" t="str">
            <v>EXP_OIL_PETRO_FUEL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>Expense - % Gold</v>
          </cell>
          <cell r="C185" t="str">
            <v>EXP_GOLD</v>
          </cell>
        </row>
        <row r="186">
          <cell r="B186" t="str">
            <v>Expense - % Copper</v>
          </cell>
          <cell r="C186" t="str">
            <v>EXP_COPPER</v>
          </cell>
        </row>
        <row r="187">
          <cell r="B187" t="str">
            <v>Expense - % Silver</v>
          </cell>
          <cell r="C187" t="str">
            <v>EXP_SILVER</v>
          </cell>
        </row>
        <row r="188">
          <cell r="B188" t="str">
            <v>Expense - % Platinum</v>
          </cell>
          <cell r="C188" t="str">
            <v>EXP_PLATINUM</v>
          </cell>
        </row>
        <row r="189">
          <cell r="B189" t="str">
            <v>Expense - % Palladium</v>
          </cell>
          <cell r="C189" t="str">
            <v>EXP_PALLADIUM</v>
          </cell>
        </row>
        <row r="190">
          <cell r="B190" t="str">
            <v>Expense - % Aluminium</v>
          </cell>
          <cell r="C190" t="str">
            <v>EXP_ALUMINIUM</v>
          </cell>
        </row>
        <row r="191">
          <cell r="B191" t="str">
            <v>Expense - % Nickel</v>
          </cell>
          <cell r="C191" t="str">
            <v>EXP_NICKEL</v>
          </cell>
        </row>
        <row r="192">
          <cell r="B192" t="str">
            <v>Expense - % Zinc</v>
          </cell>
          <cell r="C192" t="str">
            <v>EXP_ZINC</v>
          </cell>
        </row>
        <row r="193">
          <cell r="B193" t="str">
            <v>Expense - % Paper/pulp</v>
          </cell>
          <cell r="C193" t="str">
            <v>EXP_PAPER_PULP</v>
          </cell>
        </row>
        <row r="194">
          <cell r="B194" t="str">
            <v>Expense - % Glass</v>
          </cell>
          <cell r="C194" t="str">
            <v>EXP_GLASS</v>
          </cell>
        </row>
        <row r="195">
          <cell r="B195" t="str">
            <v>Expense - % Water</v>
          </cell>
          <cell r="C195" t="str">
            <v>EXP_WATER</v>
          </cell>
        </row>
        <row r="196">
          <cell r="B196" t="str">
            <v>Expense - % Other commodity</v>
          </cell>
          <cell r="C196" t="str">
            <v>EXP_OTH_COMMODITY</v>
          </cell>
        </row>
        <row r="197">
          <cell r="B197" t="str">
            <v>Expense - % Other (Non-Commodity) cost</v>
          </cell>
          <cell r="C197" t="str">
            <v>EXP_OTH_COST</v>
          </cell>
        </row>
        <row r="198">
          <cell r="A198" t="str">
            <v>FX Exposure - Sales</v>
          </cell>
        </row>
        <row r="199">
          <cell r="B199" t="str">
            <v>Sales - % FX: British Pounds/Pence</v>
          </cell>
          <cell r="C199" t="str">
            <v>SALES_FX_GPB</v>
          </cell>
        </row>
        <row r="200">
          <cell r="B200" t="str">
            <v>Sales - % FX: Euro</v>
          </cell>
          <cell r="C200" t="str">
            <v>SALES_FX_EUR</v>
          </cell>
        </row>
        <row r="201">
          <cell r="B201" t="str">
            <v>Sales - % FX: New Russian Ruble</v>
          </cell>
          <cell r="C201" t="str">
            <v>SALES_FX_RUB</v>
          </cell>
        </row>
        <row r="202">
          <cell r="B202" t="str">
            <v>Sales - % FX: U.S. Dollar</v>
          </cell>
          <cell r="C202" t="str">
            <v>SALES_FX_USD</v>
          </cell>
          <cell r="F202">
            <v>0.75</v>
          </cell>
          <cell r="G202">
            <v>0.75</v>
          </cell>
          <cell r="H202">
            <v>0.75</v>
          </cell>
          <cell r="I202">
            <v>0.75</v>
          </cell>
          <cell r="J202">
            <v>0.75</v>
          </cell>
          <cell r="K202">
            <v>0.75</v>
          </cell>
          <cell r="L202">
            <v>0.75</v>
          </cell>
          <cell r="M202">
            <v>0.75</v>
          </cell>
          <cell r="N202">
            <v>0.75</v>
          </cell>
          <cell r="O202">
            <v>0.75</v>
          </cell>
          <cell r="P202">
            <v>0.75</v>
          </cell>
          <cell r="Q202">
            <v>0.75</v>
          </cell>
          <cell r="R202">
            <v>0.75</v>
          </cell>
        </row>
        <row r="203">
          <cell r="B203" t="str">
            <v>Sales - % FX: Brazilian Real</v>
          </cell>
          <cell r="C203" t="str">
            <v>SALES_FX_BRL</v>
          </cell>
        </row>
        <row r="204">
          <cell r="B204" t="str">
            <v>Sales - % FX: Japanese Yen</v>
          </cell>
          <cell r="C204" t="str">
            <v>SALES_FX_YEN</v>
          </cell>
        </row>
        <row r="205">
          <cell r="B205" t="str">
            <v>Sales - % FX: Chinese Renminbi</v>
          </cell>
          <cell r="C205" t="str">
            <v>SALES_FX_CNY</v>
          </cell>
          <cell r="F205">
            <v>0.25</v>
          </cell>
          <cell r="G205">
            <v>0.25</v>
          </cell>
          <cell r="H205">
            <v>0.25</v>
          </cell>
          <cell r="I205">
            <v>0.25</v>
          </cell>
          <cell r="J205">
            <v>0.25</v>
          </cell>
          <cell r="K205">
            <v>0.25</v>
          </cell>
          <cell r="L205">
            <v>0.25</v>
          </cell>
          <cell r="M205">
            <v>0.25</v>
          </cell>
          <cell r="N205">
            <v>0.25</v>
          </cell>
          <cell r="O205">
            <v>0.25</v>
          </cell>
          <cell r="P205">
            <v>0.25</v>
          </cell>
          <cell r="Q205">
            <v>0.25</v>
          </cell>
          <cell r="R205">
            <v>0.25</v>
          </cell>
        </row>
        <row r="206">
          <cell r="B206" t="str">
            <v>Sales - % FX: Indian Rupee</v>
          </cell>
          <cell r="C206" t="str">
            <v>SALES_FX_INR</v>
          </cell>
        </row>
        <row r="207">
          <cell r="B207" t="str">
            <v>Sales - % FX: South Korean Won</v>
          </cell>
          <cell r="C207" t="str">
            <v>SALES_FX_KRW</v>
          </cell>
        </row>
        <row r="208">
          <cell r="B208" t="str">
            <v>Sales - % FX: Taiwan Dollar</v>
          </cell>
          <cell r="C208" t="str">
            <v>SALES_FX_TWD</v>
          </cell>
        </row>
        <row r="209">
          <cell r="B209" t="str">
            <v>Sales - % FX: Other Currency</v>
          </cell>
          <cell r="C209" t="str">
            <v>SALES_FX_OTH</v>
          </cell>
        </row>
        <row r="210">
          <cell r="A210" t="str">
            <v>Items to be removed</v>
          </cell>
        </row>
        <row r="211">
          <cell r="B211" t="str">
            <v>Sales - Total % Americas</v>
          </cell>
          <cell r="C211" t="str">
            <v>SALES_TOT_AM</v>
          </cell>
        </row>
        <row r="212">
          <cell r="B212" t="str">
            <v>Sales - % Other Americas</v>
          </cell>
          <cell r="C212" t="str">
            <v>SALES_OTH_AM</v>
          </cell>
        </row>
        <row r="213">
          <cell r="B213" t="str">
            <v>Sales - Total % EMEA</v>
          </cell>
          <cell r="C213" t="str">
            <v>SALES_TOT_EMEA</v>
          </cell>
        </row>
        <row r="214">
          <cell r="B214" t="str">
            <v>Sales - % Western Europe-Ex UK</v>
          </cell>
          <cell r="C214" t="str">
            <v>SALES_EU_EX_UK</v>
          </cell>
        </row>
        <row r="215">
          <cell r="B215" t="str">
            <v>Sales - % Central &amp; Eastern Europe</v>
          </cell>
          <cell r="C215" t="str">
            <v>SALES_CEE</v>
          </cell>
        </row>
        <row r="216">
          <cell r="B216" t="str">
            <v>Sales - % Middle East</v>
          </cell>
          <cell r="C216" t="str">
            <v>SALES_ME</v>
          </cell>
        </row>
        <row r="217">
          <cell r="B217" t="str">
            <v>Sales - % Total Africa</v>
          </cell>
          <cell r="C217" t="str">
            <v>SALES_TOT_AFRICA</v>
          </cell>
        </row>
        <row r="218">
          <cell r="B218" t="str">
            <v>Sales - % Other EMEA</v>
          </cell>
          <cell r="C218" t="str">
            <v>SALES_OTH_EMEA</v>
          </cell>
        </row>
        <row r="219">
          <cell r="B219" t="str">
            <v>Sales - Total % Asia (incl Australia &amp; New Zealand)</v>
          </cell>
          <cell r="C219" t="str">
            <v>SALES_TOT_ASIA</v>
          </cell>
        </row>
        <row r="220">
          <cell r="B220" t="str">
            <v>Sales - % Other Asia</v>
          </cell>
          <cell r="C220" t="str">
            <v>SALES_OTH_AEJ</v>
          </cell>
        </row>
        <row r="221">
          <cell r="A221" t="str">
            <v>Security: Sanan</v>
          </cell>
          <cell r="B221" t="str">
            <v>15VH6D</v>
          </cell>
        </row>
        <row r="222">
          <cell r="A222" t="str">
            <v>Reference Data</v>
          </cell>
        </row>
        <row r="223">
          <cell r="B223" t="str">
            <v>Ticker</v>
          </cell>
          <cell r="C223" t="str">
            <v>Ticker</v>
          </cell>
          <cell r="E223" t="str">
            <v>600703.SS</v>
          </cell>
        </row>
        <row r="224">
          <cell r="B224" t="str">
            <v>Security Name</v>
          </cell>
          <cell r="C224" t="str">
            <v>Security Name</v>
          </cell>
          <cell r="E224" t="str">
            <v>Sanan</v>
          </cell>
        </row>
        <row r="225">
          <cell r="B225" t="str">
            <v>Interim Type</v>
          </cell>
          <cell r="C225" t="str">
            <v>Interim Type</v>
          </cell>
          <cell r="E225" t="str">
            <v>Q</v>
          </cell>
        </row>
        <row r="226">
          <cell r="B226" t="str">
            <v>Publishing Currency</v>
          </cell>
          <cell r="C226" t="str">
            <v>PUB_CURRENCY_ISO</v>
          </cell>
          <cell r="E226" t="str">
            <v>CNY</v>
          </cell>
        </row>
        <row r="227">
          <cell r="B227" t="str">
            <v>Pricing Currency</v>
          </cell>
          <cell r="C227" t="str">
            <v>PRICE_CURRENCY_ISO</v>
          </cell>
          <cell r="E227" t="str">
            <v>CNY</v>
          </cell>
        </row>
        <row r="228">
          <cell r="B228" t="str">
            <v>Reporting Currency</v>
          </cell>
          <cell r="C228" t="str">
            <v>CURRENCY_ISO</v>
          </cell>
          <cell r="E228" t="str">
            <v>CNY</v>
          </cell>
        </row>
        <row r="229">
          <cell r="A229" t="str">
            <v>General Information</v>
          </cell>
        </row>
        <row r="230">
          <cell r="B230" t="str">
            <v>Asia ex. Japan Investment List</v>
          </cell>
          <cell r="C230" t="str">
            <v>AEJ_LIST</v>
          </cell>
          <cell r="E230" t="str">
            <v>Buy</v>
          </cell>
        </row>
        <row r="231">
          <cell r="B231" t="str">
            <v>Asia ex. Japan Conviction List</v>
          </cell>
          <cell r="C231" t="str">
            <v>AEJ_CONVICTION</v>
          </cell>
        </row>
        <row r="232">
          <cell r="B232" t="str">
            <v>Legal rating</v>
          </cell>
          <cell r="C232" t="str">
            <v>LEGAL_RATING</v>
          </cell>
        </row>
        <row r="233">
          <cell r="B233" t="str">
            <v>Target price</v>
          </cell>
          <cell r="C233" t="str">
            <v>TARGET_PRICE</v>
          </cell>
          <cell r="D233">
            <v>0</v>
          </cell>
          <cell r="E233">
            <v>51</v>
          </cell>
        </row>
        <row r="234">
          <cell r="B234" t="str">
            <v>Target price period</v>
          </cell>
          <cell r="C234" t="str">
            <v>TP_PERIOD</v>
          </cell>
          <cell r="E234" t="str">
            <v>12 months</v>
          </cell>
        </row>
        <row r="235">
          <cell r="B235" t="str">
            <v>Fundamental value</v>
          </cell>
          <cell r="C235" t="str">
            <v>TARGET_PRICE_FUNDAMENTAL</v>
          </cell>
          <cell r="D235">
            <v>0</v>
          </cell>
        </row>
        <row r="236">
          <cell r="B236" t="str">
            <v>M&amp;A value</v>
          </cell>
          <cell r="C236" t="str">
            <v>TARGET_PRICE_MA</v>
          </cell>
          <cell r="D236">
            <v>0</v>
          </cell>
        </row>
        <row r="237">
          <cell r="B237" t="str">
            <v>Current shares outstanding (mn)</v>
          </cell>
          <cell r="C237" t="str">
            <v>NUM_SH</v>
          </cell>
          <cell r="E237">
            <v>4078.4249279999999</v>
          </cell>
        </row>
        <row r="238">
          <cell r="B238" t="str">
            <v>Free float</v>
          </cell>
          <cell r="C238" t="str">
            <v>FREE_FLOAT</v>
          </cell>
        </row>
        <row r="239">
          <cell r="B239" t="str">
            <v>Foreign ownership</v>
          </cell>
          <cell r="C239" t="str">
            <v>FOREIGN_HOLDNG</v>
          </cell>
        </row>
        <row r="240">
          <cell r="B240" t="str">
            <v>Catalyst 1 date</v>
          </cell>
          <cell r="C240" t="str">
            <v>CATALYST1_DATE</v>
          </cell>
        </row>
        <row r="241">
          <cell r="B241" t="str">
            <v>Catalyst 1 description</v>
          </cell>
          <cell r="C241" t="str">
            <v>CATALYST1_EVENT</v>
          </cell>
        </row>
        <row r="242">
          <cell r="B242" t="str">
            <v>Catalyst 2 date</v>
          </cell>
          <cell r="C242" t="str">
            <v>CATALYST2_DATE</v>
          </cell>
        </row>
        <row r="243">
          <cell r="B243" t="str">
            <v>Catalyst 2 description</v>
          </cell>
          <cell r="C243" t="str">
            <v>CATALYST2_EVENT</v>
          </cell>
        </row>
        <row r="244">
          <cell r="B244" t="str">
            <v>Catalyst 3 date</v>
          </cell>
          <cell r="C244" t="str">
            <v>CATALYST3_DATE</v>
          </cell>
        </row>
        <row r="245">
          <cell r="B245" t="str">
            <v>Catalyst 3 description</v>
          </cell>
          <cell r="C245" t="str">
            <v>CATALYST3_EVENT</v>
          </cell>
        </row>
        <row r="246">
          <cell r="B246" t="str">
            <v>Catalyst 4 date</v>
          </cell>
          <cell r="C246" t="str">
            <v>CATALYST4_DATE</v>
          </cell>
        </row>
        <row r="247">
          <cell r="B247" t="str">
            <v>Catalyst 4 description</v>
          </cell>
          <cell r="C247" t="str">
            <v>CATALYST4_EVENT</v>
          </cell>
        </row>
        <row r="248">
          <cell r="B248" t="str">
            <v>Catalyst 5 date</v>
          </cell>
          <cell r="C248" t="str">
            <v>CATALYST5_DATE</v>
          </cell>
        </row>
        <row r="249">
          <cell r="B249" t="str">
            <v>Catalyst 5 description</v>
          </cell>
          <cell r="C249" t="str">
            <v>CATALYST5_EVENT</v>
          </cell>
        </row>
        <row r="250">
          <cell r="B250" t="str">
            <v>Target price multiple</v>
          </cell>
          <cell r="C250" t="str">
            <v>PRI_TARG_MULT</v>
          </cell>
          <cell r="E250">
            <v>0</v>
          </cell>
        </row>
        <row r="251">
          <cell r="B251" t="str">
            <v>Target price methodology</v>
          </cell>
          <cell r="C251" t="str">
            <v>PRI_TARG_METH</v>
          </cell>
          <cell r="E251" t="str">
            <v>2020 PE</v>
          </cell>
        </row>
        <row r="252">
          <cell r="A252" t="str">
            <v>Publishing Items</v>
          </cell>
        </row>
        <row r="253">
          <cell r="B253" t="str">
            <v>Book value per share, BVPS (Pub)</v>
          </cell>
          <cell r="C253" t="str">
            <v>BVPS_PUB</v>
          </cell>
          <cell r="D253">
            <v>0</v>
          </cell>
          <cell r="F253">
            <v>5.2615909802149998</v>
          </cell>
          <cell r="G253">
            <v>7.4042542060640004</v>
          </cell>
          <cell r="H253">
            <v>3.9229726857539999</v>
          </cell>
          <cell r="I253">
            <v>4.1839739550379997</v>
          </cell>
          <cell r="J253">
            <v>4.8250954900860004</v>
          </cell>
          <cell r="K253">
            <v>4.7300813893860001</v>
          </cell>
          <cell r="L253">
            <v>6.244994810703</v>
          </cell>
          <cell r="M253">
            <v>4.2751338623389996</v>
          </cell>
          <cell r="N253">
            <v>4.847255029626</v>
          </cell>
          <cell r="O253">
            <v>5.2100700938289997</v>
          </cell>
          <cell r="P253">
            <v>5.3317784496070004</v>
          </cell>
          <cell r="Q253">
            <v>6.6242024046300001</v>
          </cell>
          <cell r="R253">
            <v>6.7665374286129998</v>
          </cell>
          <cell r="S253">
            <v>7.0540324503059999</v>
          </cell>
          <cell r="T253">
            <v>7.481786978363</v>
          </cell>
          <cell r="U253">
            <v>8.0702358746230001</v>
          </cell>
          <cell r="V253">
            <v>8.8426717523520004</v>
          </cell>
        </row>
        <row r="254">
          <cell r="B254" t="str">
            <v>DPS, dividend per share (Pub)</v>
          </cell>
          <cell r="C254" t="str">
            <v>DPS_PUB</v>
          </cell>
          <cell r="D254">
            <v>0</v>
          </cell>
          <cell r="F254">
            <v>0</v>
          </cell>
          <cell r="G254">
            <v>0.2</v>
          </cell>
          <cell r="H254">
            <v>0.3</v>
          </cell>
          <cell r="I254">
            <v>0.2</v>
          </cell>
          <cell r="J254">
            <v>0.22</v>
          </cell>
          <cell r="K254">
            <v>0.2</v>
          </cell>
          <cell r="L254">
            <v>0.25</v>
          </cell>
          <cell r="M254">
            <v>0.2</v>
          </cell>
          <cell r="N254">
            <v>0.25</v>
          </cell>
          <cell r="O254">
            <v>0.2</v>
          </cell>
          <cell r="P254">
            <v>0.1</v>
          </cell>
          <cell r="Q254">
            <v>0.15</v>
          </cell>
          <cell r="R254">
            <v>0.27770309398499998</v>
          </cell>
          <cell r="S254">
            <v>0.56091785981499998</v>
          </cell>
          <cell r="T254">
            <v>0.83457151011099995</v>
          </cell>
          <cell r="U254">
            <v>1.148094647193</v>
          </cell>
          <cell r="V254">
            <v>1.5070628939199999</v>
          </cell>
        </row>
        <row r="255">
          <cell r="B255" t="str">
            <v>Special dividend per share</v>
          </cell>
          <cell r="C255" t="str">
            <v>DPS_SPECIAL_PUB</v>
          </cell>
          <cell r="D255">
            <v>0</v>
          </cell>
        </row>
        <row r="256">
          <cell r="B256" t="str">
            <v>EBITDA (Pub)</v>
          </cell>
          <cell r="C256" t="str">
            <v>EBITDA_PUB</v>
          </cell>
          <cell r="D256">
            <v>0</v>
          </cell>
          <cell r="F256">
            <v>229.98862030000001</v>
          </cell>
          <cell r="G256">
            <v>420.66236650000002</v>
          </cell>
          <cell r="H256">
            <v>781.70434250000005</v>
          </cell>
          <cell r="I256">
            <v>1035.1330535</v>
          </cell>
          <cell r="J256">
            <v>1597.2730672</v>
          </cell>
          <cell r="K256">
            <v>2333.5838272000001</v>
          </cell>
          <cell r="L256">
            <v>2561.2085136000001</v>
          </cell>
          <cell r="M256">
            <v>3071.4607108</v>
          </cell>
          <cell r="N256">
            <v>4722.8197559</v>
          </cell>
          <cell r="O256">
            <v>4315.3640009000001</v>
          </cell>
          <cell r="P256">
            <v>2884.3033371400002</v>
          </cell>
          <cell r="Q256">
            <v>2512.5088499200001</v>
          </cell>
          <cell r="R256">
            <v>4610.4133467506099</v>
          </cell>
          <cell r="S256">
            <v>7597.3428164391298</v>
          </cell>
          <cell r="T256">
            <v>10542.822524499499</v>
          </cell>
          <cell r="U256">
            <v>13677.8852841633</v>
          </cell>
          <cell r="V256">
            <v>17164.744615404401</v>
          </cell>
          <cell r="X256">
            <v>405.15900820000002</v>
          </cell>
          <cell r="Y256">
            <v>656.33890610000003</v>
          </cell>
          <cell r="Z256">
            <v>645.33228410000004</v>
          </cell>
          <cell r="AA256">
            <v>626.7536288</v>
          </cell>
          <cell r="AB256">
            <v>511.52383247500001</v>
          </cell>
          <cell r="AC256">
            <v>799.04822627500005</v>
          </cell>
          <cell r="AD256">
            <v>643.67726837500004</v>
          </cell>
          <cell r="AE256">
            <v>606.95918647500002</v>
          </cell>
          <cell r="AF256">
            <v>585.73540762499999</v>
          </cell>
          <cell r="AG256">
            <v>707.49563052500002</v>
          </cell>
          <cell r="AH256">
            <v>789.45013762500002</v>
          </cell>
          <cell r="AI256">
            <v>988.77953512500005</v>
          </cell>
          <cell r="AJ256">
            <v>1068.2098913249999</v>
          </cell>
          <cell r="AK256">
            <v>1203.0231798249999</v>
          </cell>
          <cell r="AL256">
            <v>1228.140128625</v>
          </cell>
          <cell r="AM256">
            <v>1223.4465561249999</v>
          </cell>
          <cell r="AN256">
            <v>1140.3608836650001</v>
          </cell>
          <cell r="AO256">
            <v>1186.718693665</v>
          </cell>
          <cell r="AP256">
            <v>1168.6389579849999</v>
          </cell>
          <cell r="AQ256">
            <v>819.64546568499998</v>
          </cell>
          <cell r="AR256">
            <v>843.99415218000001</v>
          </cell>
          <cell r="AS256">
            <v>735.23696087999997</v>
          </cell>
          <cell r="AT256">
            <v>696.81407019000005</v>
          </cell>
          <cell r="AU256">
            <v>608.25815389000002</v>
          </cell>
          <cell r="AV256">
            <v>642.10356085000001</v>
          </cell>
          <cell r="AW256">
            <v>731.27357635999999</v>
          </cell>
          <cell r="AX256">
            <v>825.86554390499998</v>
          </cell>
          <cell r="AY256">
            <v>313.26616880500001</v>
          </cell>
          <cell r="AZ256">
            <v>966.85237214773304</v>
          </cell>
          <cell r="BA256">
            <v>1090.88870619773</v>
          </cell>
          <cell r="BB256">
            <v>1289.4223485089601</v>
          </cell>
        </row>
        <row r="257">
          <cell r="B257" t="str">
            <v>EPS (Pub)</v>
          </cell>
          <cell r="C257" t="str">
            <v>EPS_PUB</v>
          </cell>
          <cell r="D257">
            <v>0</v>
          </cell>
          <cell r="F257">
            <v>0.71</v>
          </cell>
          <cell r="G257">
            <v>0.72000000017200005</v>
          </cell>
          <cell r="H257">
            <v>0.65</v>
          </cell>
          <cell r="I257">
            <v>0.56000000000000005</v>
          </cell>
          <cell r="J257">
            <v>0.71999999993099995</v>
          </cell>
          <cell r="K257">
            <v>0.61</v>
          </cell>
          <cell r="L257">
            <v>0.71</v>
          </cell>
          <cell r="M257">
            <v>0.53</v>
          </cell>
          <cell r="N257">
            <v>0.78</v>
          </cell>
          <cell r="O257">
            <v>0.69</v>
          </cell>
          <cell r="P257">
            <v>0.32000000002500001</v>
          </cell>
          <cell r="Q257">
            <v>0.24</v>
          </cell>
          <cell r="R257">
            <v>0.420038117968</v>
          </cell>
          <cell r="S257">
            <v>0.84841288150799998</v>
          </cell>
          <cell r="T257">
            <v>1.2623260381679999</v>
          </cell>
          <cell r="U257">
            <v>1.7365435434530001</v>
          </cell>
          <cell r="V257">
            <v>2.2794987716500001</v>
          </cell>
          <cell r="X257">
            <v>9.5120438897999995E-2</v>
          </cell>
          <cell r="Y257">
            <v>0.18265647862699999</v>
          </cell>
          <cell r="Z257">
            <v>0.160102556797</v>
          </cell>
          <cell r="AA257">
            <v>0.17212052572</v>
          </cell>
          <cell r="AB257">
            <v>0.148461064393</v>
          </cell>
          <cell r="AC257">
            <v>0.23030759865100001</v>
          </cell>
          <cell r="AD257">
            <v>0.227365499148</v>
          </cell>
          <cell r="AE257">
            <v>0.103865837807</v>
          </cell>
          <cell r="AF257">
            <v>0.11183218174499999</v>
          </cell>
          <cell r="AG257">
            <v>0.12454541559</v>
          </cell>
          <cell r="AH257">
            <v>0.12950118009600001</v>
          </cell>
          <cell r="AI257">
            <v>0.16412122254600001</v>
          </cell>
          <cell r="AJ257">
            <v>0.170325183277</v>
          </cell>
          <cell r="AK257">
            <v>0.20308796458</v>
          </cell>
          <cell r="AL257">
            <v>0.212666068348</v>
          </cell>
          <cell r="AM257">
            <v>0.19392078376899999</v>
          </cell>
          <cell r="AN257">
            <v>0.23607155009899999</v>
          </cell>
          <cell r="AO257">
            <v>0.215675530733</v>
          </cell>
          <cell r="AP257">
            <v>0.18058204165899999</v>
          </cell>
          <cell r="AQ257">
            <v>5.7670877510000003E-2</v>
          </cell>
          <cell r="AR257">
            <v>0.15307790550100001</v>
          </cell>
          <cell r="AS257">
            <v>6.4550009313999998E-2</v>
          </cell>
          <cell r="AT257">
            <v>6.6382939283E-2</v>
          </cell>
          <cell r="AU257">
            <v>3.5989145956000002E-2</v>
          </cell>
          <cell r="AV257">
            <v>9.2479125445000004E-2</v>
          </cell>
          <cell r="AW257">
            <v>5.7441963289000003E-2</v>
          </cell>
          <cell r="AX257">
            <v>7.1699440269999998E-2</v>
          </cell>
          <cell r="AY257">
            <v>1.8379470996E-2</v>
          </cell>
          <cell r="AZ257">
            <v>0.12426596317499999</v>
          </cell>
          <cell r="BA257">
            <v>7.2989255520000004E-2</v>
          </cell>
          <cell r="BB257">
            <v>0.112677887504</v>
          </cell>
        </row>
        <row r="258">
          <cell r="B258" t="str">
            <v>EV adjustment (Pub)</v>
          </cell>
          <cell r="C258" t="str">
            <v>EV_ADJ_PUB</v>
          </cell>
          <cell r="D258">
            <v>0</v>
          </cell>
        </row>
        <row r="259">
          <cell r="B259" t="str">
            <v>Net debt (Pub)</v>
          </cell>
          <cell r="C259" t="str">
            <v>NET_DEBT_PUB</v>
          </cell>
          <cell r="D259">
            <v>0</v>
          </cell>
          <cell r="F259">
            <v>-522.12718959999995</v>
          </cell>
          <cell r="G259">
            <v>-1507.7946859000001</v>
          </cell>
          <cell r="H259">
            <v>430.3653162</v>
          </cell>
          <cell r="I259">
            <v>1953.5159443</v>
          </cell>
          <cell r="J259">
            <v>3138.0827169999998</v>
          </cell>
          <cell r="K259">
            <v>-120.2156169</v>
          </cell>
          <cell r="L259">
            <v>-3283.8151108000002</v>
          </cell>
          <cell r="M259">
            <v>-4924.8517642999996</v>
          </cell>
          <cell r="N259">
            <v>-4148.3487219999997</v>
          </cell>
          <cell r="O259">
            <v>-945.92776049999998</v>
          </cell>
          <cell r="P259">
            <v>-1001.7286497</v>
          </cell>
          <cell r="Q259">
            <v>-4681.1573214600003</v>
          </cell>
          <cell r="R259">
            <v>-367.33285183560702</v>
          </cell>
          <cell r="S259">
            <v>-1457.19747476312</v>
          </cell>
          <cell r="T259">
            <v>216.64040156427899</v>
          </cell>
          <cell r="U259">
            <v>-2747.6653609647401</v>
          </cell>
          <cell r="V259">
            <v>-2868.3261045019999</v>
          </cell>
        </row>
        <row r="260">
          <cell r="B260" t="str">
            <v>Net Debt (ex leases) (Pub)</v>
          </cell>
          <cell r="C260" t="str">
            <v>NET_DEBT_EX_LEASES_PUB</v>
          </cell>
          <cell r="D260">
            <v>0</v>
          </cell>
        </row>
        <row r="261">
          <cell r="B261" t="str">
            <v>Consensus equivalent net debt</v>
          </cell>
          <cell r="C261" t="str">
            <v>CEEE_NDEBT</v>
          </cell>
          <cell r="D261">
            <v>0</v>
          </cell>
        </row>
        <row r="262">
          <cell r="B262" t="str">
            <v>Net income (Pub)</v>
          </cell>
          <cell r="C262" t="str">
            <v>NI_PUB</v>
          </cell>
          <cell r="D262">
            <v>0</v>
          </cell>
          <cell r="F262">
            <v>180.15110989999999</v>
          </cell>
          <cell r="G262">
            <v>419.26495510000001</v>
          </cell>
          <cell r="H262">
            <v>936.17100270000003</v>
          </cell>
          <cell r="I262">
            <v>810.0416232</v>
          </cell>
          <cell r="J262">
            <v>1035.9877294</v>
          </cell>
          <cell r="K262">
            <v>1462.3276467000001</v>
          </cell>
          <cell r="L262">
            <v>1694.5546629</v>
          </cell>
          <cell r="M262">
            <v>2166.6523416</v>
          </cell>
          <cell r="N262">
            <v>3164.2108890999998</v>
          </cell>
          <cell r="O262">
            <v>2830.1580662000001</v>
          </cell>
          <cell r="P262">
            <v>1298.4667005199999</v>
          </cell>
          <cell r="Q262">
            <v>1016.28004882</v>
          </cell>
          <cell r="R262">
            <v>1881.49409275015</v>
          </cell>
          <cell r="S262">
            <v>3800.3308663784501</v>
          </cell>
          <cell r="T262">
            <v>5654.3891669292598</v>
          </cell>
          <cell r="U262">
            <v>7778.5712273298104</v>
          </cell>
          <cell r="V262">
            <v>10210.6530093861</v>
          </cell>
          <cell r="X262">
            <v>228.02827479999999</v>
          </cell>
          <cell r="Y262">
            <v>437.87478440000001</v>
          </cell>
          <cell r="Z262">
            <v>383.80720509999998</v>
          </cell>
          <cell r="AA262">
            <v>412.61738259999998</v>
          </cell>
          <cell r="AB262">
            <v>354.33153370000002</v>
          </cell>
          <cell r="AC262">
            <v>549.67438749999997</v>
          </cell>
          <cell r="AD262">
            <v>542.65248840000004</v>
          </cell>
          <cell r="AE262">
            <v>247.89625330000001</v>
          </cell>
          <cell r="AF262">
            <v>457.17256309999999</v>
          </cell>
          <cell r="AG262">
            <v>509.14455909999998</v>
          </cell>
          <cell r="AH262">
            <v>529.40383980000001</v>
          </cell>
          <cell r="AI262">
            <v>670.93137950000005</v>
          </cell>
          <cell r="AJ262">
            <v>690.95487119999996</v>
          </cell>
          <cell r="AK262">
            <v>823.86301149999997</v>
          </cell>
          <cell r="AL262">
            <v>862.71831950000001</v>
          </cell>
          <cell r="AM262">
            <v>786.67468670000005</v>
          </cell>
          <cell r="AN262">
            <v>968.28956779999999</v>
          </cell>
          <cell r="AO262">
            <v>884.6316564</v>
          </cell>
          <cell r="AP262">
            <v>740.68945199999996</v>
          </cell>
          <cell r="AQ262">
            <v>236.5473901</v>
          </cell>
          <cell r="AR262">
            <v>621.14550889999998</v>
          </cell>
          <cell r="AS262">
            <v>261.92511739999998</v>
          </cell>
          <cell r="AT262">
            <v>269.36261289999999</v>
          </cell>
          <cell r="AU262">
            <v>146.03346124000001</v>
          </cell>
          <cell r="AV262">
            <v>391.60287550999999</v>
          </cell>
          <cell r="AW262">
            <v>243.23800523</v>
          </cell>
          <cell r="AX262">
            <v>303.61129441000003</v>
          </cell>
          <cell r="AY262">
            <v>77.827873670000002</v>
          </cell>
          <cell r="AZ262">
            <v>556.62966202999996</v>
          </cell>
          <cell r="BA262">
            <v>326.94378728999999</v>
          </cell>
          <cell r="BB262">
            <v>504.722715995903</v>
          </cell>
        </row>
        <row r="263">
          <cell r="B263" t="str">
            <v>EBIT, operating profit (Pub)</v>
          </cell>
          <cell r="C263" t="str">
            <v>EBIT_PUB</v>
          </cell>
          <cell r="D263">
            <v>0</v>
          </cell>
          <cell r="F263">
            <v>163.0755925</v>
          </cell>
          <cell r="G263">
            <v>320.96087069999999</v>
          </cell>
          <cell r="H263">
            <v>551.29886710000005</v>
          </cell>
          <cell r="I263">
            <v>627.79436820000001</v>
          </cell>
          <cell r="J263">
            <v>970.41917139999998</v>
          </cell>
          <cell r="K263">
            <v>1551.2802568</v>
          </cell>
          <cell r="L263">
            <v>1751.8968573</v>
          </cell>
          <cell r="M263">
            <v>2027.3699111000001</v>
          </cell>
          <cell r="N263">
            <v>3483.5264378000002</v>
          </cell>
          <cell r="O263">
            <v>2876.2152664</v>
          </cell>
          <cell r="P263">
            <v>1273.9207858</v>
          </cell>
          <cell r="Q263">
            <v>736.01303664999898</v>
          </cell>
          <cell r="R263">
            <v>1810.0569993996801</v>
          </cell>
          <cell r="S263">
            <v>4165.5242775215902</v>
          </cell>
          <cell r="T263">
            <v>6306.5616468726303</v>
          </cell>
          <cell r="U263">
            <v>8806.5052206644996</v>
          </cell>
          <cell r="V263">
            <v>11647.4463542168</v>
          </cell>
          <cell r="X263">
            <v>209.58311560000001</v>
          </cell>
          <cell r="Y263">
            <v>460.7630135</v>
          </cell>
          <cell r="Z263">
            <v>449.75639150000001</v>
          </cell>
          <cell r="AA263">
            <v>431.17773620000003</v>
          </cell>
          <cell r="AB263">
            <v>309.19591839999998</v>
          </cell>
          <cell r="AC263">
            <v>596.72031219999997</v>
          </cell>
          <cell r="AD263">
            <v>441.34935430000002</v>
          </cell>
          <cell r="AE263">
            <v>404.6312724</v>
          </cell>
          <cell r="AF263">
            <v>324.71270770000001</v>
          </cell>
          <cell r="AG263">
            <v>446.47293059999998</v>
          </cell>
          <cell r="AH263">
            <v>528.42743770000004</v>
          </cell>
          <cell r="AI263">
            <v>727.75683519999995</v>
          </cell>
          <cell r="AJ263">
            <v>758.38656179999998</v>
          </cell>
          <cell r="AK263">
            <v>893.19985029999998</v>
          </cell>
          <cell r="AL263">
            <v>918.31679910000003</v>
          </cell>
          <cell r="AM263">
            <v>913.62322659999995</v>
          </cell>
          <cell r="AN263">
            <v>810.79420189999996</v>
          </cell>
          <cell r="AO263">
            <v>857.15201190000005</v>
          </cell>
          <cell r="AP263">
            <v>778.63127250000002</v>
          </cell>
          <cell r="AQ263">
            <v>429.63778020000001</v>
          </cell>
          <cell r="AR263">
            <v>437.23212990000002</v>
          </cell>
          <cell r="AS263">
            <v>328.47493859999997</v>
          </cell>
          <cell r="AT263">
            <v>298.38481680000001</v>
          </cell>
          <cell r="AU263">
            <v>209.8289005</v>
          </cell>
          <cell r="AV263">
            <v>247.26904428</v>
          </cell>
          <cell r="AW263">
            <v>336.43905978999999</v>
          </cell>
          <cell r="AX263">
            <v>332.45215383999999</v>
          </cell>
          <cell r="AY263">
            <v>-180.14722126000001</v>
          </cell>
          <cell r="AZ263">
            <v>266.76328531000001</v>
          </cell>
          <cell r="BA263">
            <v>390.79961936000001</v>
          </cell>
          <cell r="BB263">
            <v>589.33326167123005</v>
          </cell>
        </row>
        <row r="264">
          <cell r="B264" t="str">
            <v>Pre-tax profit (Pub)</v>
          </cell>
          <cell r="C264" t="str">
            <v>PTP_PUB</v>
          </cell>
          <cell r="D264">
            <v>0</v>
          </cell>
          <cell r="F264">
            <v>204.6811122</v>
          </cell>
          <cell r="G264">
            <v>544.92042289999995</v>
          </cell>
          <cell r="H264">
            <v>1366.5081439999999</v>
          </cell>
          <cell r="I264">
            <v>1014.5629791</v>
          </cell>
          <cell r="J264">
            <v>1263.9887102</v>
          </cell>
          <cell r="K264">
            <v>1828.5717755000001</v>
          </cell>
          <cell r="L264">
            <v>2100.4967519000002</v>
          </cell>
          <cell r="M264">
            <v>2616.7403272000001</v>
          </cell>
          <cell r="N264">
            <v>3854.4279763</v>
          </cell>
          <cell r="O264">
            <v>3247.7032132999998</v>
          </cell>
          <cell r="P264">
            <v>1590.7210275100001</v>
          </cell>
          <cell r="Q264">
            <v>1160.63469925</v>
          </cell>
          <cell r="R264">
            <v>2227.3898904784201</v>
          </cell>
          <cell r="S264">
            <v>4470.9774898570004</v>
          </cell>
          <cell r="T264">
            <v>6652.2225493285396</v>
          </cell>
          <cell r="U264">
            <v>9151.2602674468399</v>
          </cell>
          <cell r="V264">
            <v>12012.5329522189</v>
          </cell>
          <cell r="X264">
            <v>277.31484590000002</v>
          </cell>
          <cell r="Y264">
            <v>520.21562029999996</v>
          </cell>
          <cell r="Z264">
            <v>477.01481539999997</v>
          </cell>
          <cell r="AA264">
            <v>554.02649399999996</v>
          </cell>
          <cell r="AB264">
            <v>494.0678408</v>
          </cell>
          <cell r="AC264">
            <v>655.63251920000005</v>
          </cell>
          <cell r="AD264">
            <v>675.13360339999997</v>
          </cell>
          <cell r="AE264">
            <v>275.66278849999998</v>
          </cell>
          <cell r="AF264">
            <v>533.52487010000004</v>
          </cell>
          <cell r="AG264">
            <v>628.82506809999995</v>
          </cell>
          <cell r="AH264">
            <v>660.35862780000002</v>
          </cell>
          <cell r="AI264">
            <v>794.03176120000001</v>
          </cell>
          <cell r="AJ264">
            <v>855.79412100000002</v>
          </cell>
          <cell r="AK264">
            <v>1027.4002581</v>
          </cell>
          <cell r="AL264">
            <v>1065.5648799000001</v>
          </cell>
          <cell r="AM264">
            <v>905.66871719999995</v>
          </cell>
          <cell r="AN264">
            <v>1112.0487052999999</v>
          </cell>
          <cell r="AO264">
            <v>942.74214600000005</v>
          </cell>
          <cell r="AP264">
            <v>870.94797430000006</v>
          </cell>
          <cell r="AQ264">
            <v>321.96438769999997</v>
          </cell>
          <cell r="AR264">
            <v>693.86138579999999</v>
          </cell>
          <cell r="AS264">
            <v>329.41561569999999</v>
          </cell>
          <cell r="AT264">
            <v>326.1978737</v>
          </cell>
          <cell r="AU264">
            <v>241.24615243</v>
          </cell>
          <cell r="AV264">
            <v>442.22033183999997</v>
          </cell>
          <cell r="AW264">
            <v>301.12580163000001</v>
          </cell>
          <cell r="AX264">
            <v>365.82177546999998</v>
          </cell>
          <cell r="AY264">
            <v>51.46679031</v>
          </cell>
          <cell r="AZ264">
            <v>608.51550814999996</v>
          </cell>
          <cell r="BA264">
            <v>444.85009594000002</v>
          </cell>
          <cell r="BB264">
            <v>593.79143058341594</v>
          </cell>
        </row>
        <row r="265">
          <cell r="B265" t="str">
            <v>Sales, revenue (Pub)</v>
          </cell>
          <cell r="C265" t="str">
            <v>REVS_PUB</v>
          </cell>
          <cell r="D265">
            <v>0</v>
          </cell>
          <cell r="F265">
            <v>470.29375900000002</v>
          </cell>
          <cell r="G265">
            <v>862.61084189999997</v>
          </cell>
          <cell r="H265">
            <v>1747.3119655999999</v>
          </cell>
          <cell r="I265">
            <v>3363.1581839</v>
          </cell>
          <cell r="J265">
            <v>3732.0673683</v>
          </cell>
          <cell r="K265">
            <v>4579.6650718000001</v>
          </cell>
          <cell r="L265">
            <v>4858.2538021</v>
          </cell>
          <cell r="M265">
            <v>6272.6026578999999</v>
          </cell>
          <cell r="N265">
            <v>8393.7257836999997</v>
          </cell>
          <cell r="O265">
            <v>8364.3742254999997</v>
          </cell>
          <cell r="P265">
            <v>7460.01387892</v>
          </cell>
          <cell r="Q265">
            <v>8453.8827654300003</v>
          </cell>
          <cell r="R265">
            <v>13499.5122284881</v>
          </cell>
          <cell r="S265">
            <v>17636.4389562916</v>
          </cell>
          <cell r="T265">
            <v>22800.121875035202</v>
          </cell>
          <cell r="U265">
            <v>28849.511444476098</v>
          </cell>
          <cell r="V265">
            <v>35176.3732853033</v>
          </cell>
          <cell r="X265">
            <v>822.52028689999997</v>
          </cell>
          <cell r="Y265">
            <v>1354.4359935</v>
          </cell>
          <cell r="Z265">
            <v>1301.0826692999999</v>
          </cell>
          <cell r="AA265">
            <v>1101.6261222000001</v>
          </cell>
          <cell r="AB265">
            <v>926.59462450000001</v>
          </cell>
          <cell r="AC265">
            <v>1364.8055884</v>
          </cell>
          <cell r="AD265">
            <v>1310.1210477</v>
          </cell>
          <cell r="AE265">
            <v>1256.7325415</v>
          </cell>
          <cell r="AF265">
            <v>1178.1832108000001</v>
          </cell>
          <cell r="AG265">
            <v>1600.1824829</v>
          </cell>
          <cell r="AH265">
            <v>1707.3974378</v>
          </cell>
          <cell r="AI265">
            <v>1786.8395264999999</v>
          </cell>
          <cell r="AJ265">
            <v>1989.9348844000001</v>
          </cell>
          <cell r="AK265">
            <v>2076.6807985</v>
          </cell>
          <cell r="AL265">
            <v>2215.9046279999998</v>
          </cell>
          <cell r="AM265">
            <v>2111.2054727</v>
          </cell>
          <cell r="AN265">
            <v>1944.9134947</v>
          </cell>
          <cell r="AO265">
            <v>2228.2823898000001</v>
          </cell>
          <cell r="AP265">
            <v>2220.1244207</v>
          </cell>
          <cell r="AQ265">
            <v>1971.0539203000001</v>
          </cell>
          <cell r="AR265">
            <v>1729.0078114999999</v>
          </cell>
          <cell r="AS265">
            <v>1658.6357237</v>
          </cell>
          <cell r="AT265">
            <v>1944.5454382</v>
          </cell>
          <cell r="AU265">
            <v>2127.8249055199999</v>
          </cell>
          <cell r="AV265">
            <v>1681.5915208599999</v>
          </cell>
          <cell r="AW265">
            <v>1885.9875200500001</v>
          </cell>
          <cell r="AX265">
            <v>2332.7411741199999</v>
          </cell>
          <cell r="AY265">
            <v>2553.5625504</v>
          </cell>
          <cell r="AZ265">
            <v>2717.38021918</v>
          </cell>
          <cell r="BA265">
            <v>3396.8635912700001</v>
          </cell>
          <cell r="BB265">
            <v>3537.31892878906</v>
          </cell>
        </row>
        <row r="266">
          <cell r="B266" t="str">
            <v>Total shareholders' equity (Pub)</v>
          </cell>
          <cell r="C266" t="str">
            <v>EQ_PUB</v>
          </cell>
          <cell r="D266">
            <v>0</v>
          </cell>
          <cell r="F266">
            <v>1461.064623</v>
          </cell>
          <cell r="G266">
            <v>4910.4615670000003</v>
          </cell>
          <cell r="H266">
            <v>5907.0469714000001</v>
          </cell>
          <cell r="I266">
            <v>6293.0177836000003</v>
          </cell>
          <cell r="J266">
            <v>7002.9744486999998</v>
          </cell>
          <cell r="K266">
            <v>11459.5633846</v>
          </cell>
          <cell r="L266">
            <v>15978.702036500001</v>
          </cell>
          <cell r="M266">
            <v>17435.812514699999</v>
          </cell>
          <cell r="N266">
            <v>19772.341183199998</v>
          </cell>
          <cell r="O266">
            <v>21248.879747300001</v>
          </cell>
          <cell r="P266">
            <v>21745.258139450001</v>
          </cell>
          <cell r="Q266">
            <v>29672.06346361</v>
          </cell>
          <cell r="R266">
            <v>30309.630616113802</v>
          </cell>
          <cell r="S266">
            <v>31597.418942628101</v>
          </cell>
          <cell r="T266">
            <v>33513.477469837198</v>
          </cell>
          <cell r="U266">
            <v>36149.3409185009</v>
          </cell>
          <cell r="V266">
            <v>39609.344853396702</v>
          </cell>
        </row>
        <row r="267">
          <cell r="B267" t="str">
            <v>EPS (consensus)</v>
          </cell>
          <cell r="C267" t="str">
            <v>EPS_CONS_PUB</v>
          </cell>
          <cell r="D267">
            <v>0</v>
          </cell>
        </row>
        <row r="268">
          <cell r="A268" t="str">
            <v>Income Statement</v>
          </cell>
        </row>
        <row r="269">
          <cell r="B269" t="str">
            <v>Provision for income tax</v>
          </cell>
          <cell r="C269" t="str">
            <v>PROV_INC_TAX</v>
          </cell>
          <cell r="D269">
            <v>0</v>
          </cell>
          <cell r="F269">
            <v>-24.5300023</v>
          </cell>
          <cell r="G269">
            <v>-114.3234789</v>
          </cell>
          <cell r="H269">
            <v>-306.45983580000001</v>
          </cell>
          <cell r="I269">
            <v>-195.51184789999999</v>
          </cell>
          <cell r="J269">
            <v>-233.7739862</v>
          </cell>
          <cell r="K269">
            <v>-318.1099792</v>
          </cell>
          <cell r="L269">
            <v>-352.99202609999998</v>
          </cell>
          <cell r="M269">
            <v>-450.0656578</v>
          </cell>
          <cell r="N269">
            <v>-690.38436230000002</v>
          </cell>
          <cell r="O269">
            <v>-417.6584871</v>
          </cell>
          <cell r="P269">
            <v>-292.25432709</v>
          </cell>
          <cell r="Q269">
            <v>-144.35465042999999</v>
          </cell>
          <cell r="R269">
            <v>-345.89579772826301</v>
          </cell>
          <cell r="S269">
            <v>-670.64662347854903</v>
          </cell>
          <cell r="T269">
            <v>-997.83338239928105</v>
          </cell>
          <cell r="U269">
            <v>-1372.6890401170299</v>
          </cell>
          <cell r="V269">
            <v>-1801.87994283283</v>
          </cell>
          <cell r="X269">
            <v>-51.720294899999999</v>
          </cell>
          <cell r="Y269">
            <v>-83.966618400000002</v>
          </cell>
          <cell r="Z269">
            <v>-93.722854499999997</v>
          </cell>
          <cell r="AA269">
            <v>-88.700211400000001</v>
          </cell>
          <cell r="AB269">
            <v>-100.2789583</v>
          </cell>
          <cell r="AC269">
            <v>-105.75763139999999</v>
          </cell>
          <cell r="AD269">
            <v>-132.2528647</v>
          </cell>
          <cell r="AE269">
            <v>-14.7025717</v>
          </cell>
          <cell r="AF269">
            <v>-76.318070199999994</v>
          </cell>
          <cell r="AG269">
            <v>-119.680509</v>
          </cell>
          <cell r="AH269">
            <v>-130.95478800000001</v>
          </cell>
          <cell r="AI269">
            <v>-123.1122907</v>
          </cell>
          <cell r="AJ269">
            <v>-164.83924970000001</v>
          </cell>
          <cell r="AK269">
            <v>-203.54953660000001</v>
          </cell>
          <cell r="AL269">
            <v>-202.9009135</v>
          </cell>
          <cell r="AM269">
            <v>-119.09466260000001</v>
          </cell>
          <cell r="AN269">
            <v>-143.8174588</v>
          </cell>
          <cell r="AO269">
            <v>-58.050179200000002</v>
          </cell>
          <cell r="AP269">
            <v>-130.37385159999999</v>
          </cell>
          <cell r="AQ269">
            <v>-85.416997499999994</v>
          </cell>
          <cell r="AR269">
            <v>-72.715876899999998</v>
          </cell>
          <cell r="AS269">
            <v>-67.490498200000005</v>
          </cell>
          <cell r="AT269">
            <v>-56.8352608</v>
          </cell>
          <cell r="AU269">
            <v>-95.212691190000001</v>
          </cell>
          <cell r="AV269">
            <v>-50.617456330000003</v>
          </cell>
          <cell r="AW269">
            <v>-57.887796399999999</v>
          </cell>
          <cell r="AX269">
            <v>-62.210481059999999</v>
          </cell>
          <cell r="AY269">
            <v>26.361083359999999</v>
          </cell>
          <cell r="AZ269">
            <v>-51.885846119999997</v>
          </cell>
          <cell r="BA269">
            <v>-117.90630865</v>
          </cell>
          <cell r="BB269">
            <v>-89.068714587512005</v>
          </cell>
        </row>
        <row r="270">
          <cell r="B270" t="str">
            <v>Minority interest</v>
          </cell>
          <cell r="C270" t="str">
            <v>INC_MINORITY</v>
          </cell>
          <cell r="D270">
            <v>0</v>
          </cell>
          <cell r="G270">
            <v>-11.331989</v>
          </cell>
          <cell r="H270">
            <v>-123.87730550000001</v>
          </cell>
          <cell r="I270">
            <v>-9.0095080000000003</v>
          </cell>
          <cell r="J270">
            <v>5.7730055</v>
          </cell>
          <cell r="K270">
            <v>-48.134149600000001</v>
          </cell>
          <cell r="L270">
            <v>-52.950062899999999</v>
          </cell>
          <cell r="M270">
            <v>-2.2327799999999998E-2</v>
          </cell>
          <cell r="N270">
            <v>0.16727510000000001</v>
          </cell>
          <cell r="O270">
            <v>0.11334</v>
          </cell>
          <cell r="X270">
            <v>2.4337236999999998</v>
          </cell>
          <cell r="Y270">
            <v>1.6257826</v>
          </cell>
          <cell r="Z270">
            <v>0.51524420000000004</v>
          </cell>
          <cell r="AA270">
            <v>-52.708900100000001</v>
          </cell>
          <cell r="AB270">
            <v>-39.457348799999998</v>
          </cell>
          <cell r="AC270">
            <v>-0.20050019999999999</v>
          </cell>
          <cell r="AD270">
            <v>-0.22825029999999999</v>
          </cell>
          <cell r="AE270">
            <v>-13.063963599999999</v>
          </cell>
          <cell r="AF270">
            <v>-3.4236799999999998E-2</v>
          </cell>
          <cell r="AI270">
            <v>1.1908999999999999E-2</v>
          </cell>
          <cell r="AK270">
            <v>1.2290000000000001E-2</v>
          </cell>
          <cell r="AL270">
            <v>5.4353100000000001E-2</v>
          </cell>
          <cell r="AM270">
            <v>0.1006321</v>
          </cell>
          <cell r="AN270">
            <v>5.8321199999999997E-2</v>
          </cell>
          <cell r="AO270">
            <v>-6.0310299999999997E-2</v>
          </cell>
          <cell r="AP270">
            <v>0.11532920000000001</v>
          </cell>
        </row>
        <row r="271">
          <cell r="B271" t="str">
            <v>Net income (pre-preferred dividends)</v>
          </cell>
          <cell r="C271" t="str">
            <v>NI_PRE_PREF</v>
          </cell>
          <cell r="D271">
            <v>0</v>
          </cell>
          <cell r="F271">
            <v>180.15110989999999</v>
          </cell>
          <cell r="G271">
            <v>419.26495499999999</v>
          </cell>
          <cell r="H271">
            <v>936.17100270000003</v>
          </cell>
          <cell r="I271">
            <v>810.0416232</v>
          </cell>
          <cell r="J271">
            <v>1035.9877294999999</v>
          </cell>
          <cell r="K271">
            <v>1462.3276467000001</v>
          </cell>
          <cell r="L271">
            <v>1694.5546629</v>
          </cell>
          <cell r="M271">
            <v>2166.6523416</v>
          </cell>
          <cell r="N271">
            <v>3164.2108890999998</v>
          </cell>
          <cell r="O271">
            <v>2830.1580662000001</v>
          </cell>
          <cell r="P271">
            <v>1298.4667005199999</v>
          </cell>
          <cell r="Q271">
            <v>1016.28004882</v>
          </cell>
          <cell r="R271">
            <v>1881.49409275015</v>
          </cell>
          <cell r="S271">
            <v>3800.3308663784501</v>
          </cell>
          <cell r="T271">
            <v>5654.3891669292598</v>
          </cell>
          <cell r="U271">
            <v>7778.5712273298104</v>
          </cell>
          <cell r="V271">
            <v>10210.6530093861</v>
          </cell>
          <cell r="X271">
            <v>228.0282747</v>
          </cell>
          <cell r="Y271">
            <v>437.87478449999998</v>
          </cell>
          <cell r="Z271">
            <v>383.80720509999998</v>
          </cell>
          <cell r="AA271">
            <v>412.61738250000002</v>
          </cell>
          <cell r="AB271">
            <v>354.33153370000002</v>
          </cell>
          <cell r="AC271">
            <v>549.67438760000005</v>
          </cell>
          <cell r="AD271">
            <v>542.65248840000004</v>
          </cell>
          <cell r="AE271">
            <v>247.89625319999999</v>
          </cell>
          <cell r="AF271">
            <v>457.17256309999999</v>
          </cell>
          <cell r="AG271">
            <v>509.14455909999998</v>
          </cell>
          <cell r="AH271">
            <v>529.40383980000001</v>
          </cell>
          <cell r="AI271">
            <v>670.93137950000005</v>
          </cell>
          <cell r="AJ271">
            <v>690.95487130000004</v>
          </cell>
          <cell r="AK271">
            <v>823.86301149999997</v>
          </cell>
          <cell r="AL271">
            <v>862.71831950000001</v>
          </cell>
          <cell r="AM271">
            <v>786.67468670000005</v>
          </cell>
          <cell r="AN271">
            <v>968.28956770000002</v>
          </cell>
          <cell r="AO271">
            <v>884.63165649999996</v>
          </cell>
          <cell r="AP271">
            <v>740.68945189999999</v>
          </cell>
          <cell r="AQ271">
            <v>236.5473901</v>
          </cell>
          <cell r="AR271">
            <v>621.14550889999998</v>
          </cell>
          <cell r="AS271">
            <v>261.9251175</v>
          </cell>
          <cell r="AT271">
            <v>269.36261289999999</v>
          </cell>
          <cell r="AU271">
            <v>146.03346124000001</v>
          </cell>
          <cell r="AV271">
            <v>391.60287550999999</v>
          </cell>
          <cell r="AW271">
            <v>243.23800523</v>
          </cell>
          <cell r="AX271">
            <v>303.61129441000003</v>
          </cell>
          <cell r="AY271">
            <v>77.827873670000002</v>
          </cell>
          <cell r="AZ271">
            <v>556.62966202999996</v>
          </cell>
          <cell r="BA271">
            <v>326.94378728999999</v>
          </cell>
          <cell r="BB271">
            <v>504.722715995903</v>
          </cell>
        </row>
        <row r="272">
          <cell r="B272" t="str">
            <v>Preferred dividends</v>
          </cell>
          <cell r="C272" t="str">
            <v>PREF_DIV</v>
          </cell>
          <cell r="D272">
            <v>0</v>
          </cell>
        </row>
        <row r="273">
          <cell r="B273" t="str">
            <v>Net income (pre-exceptionals)</v>
          </cell>
          <cell r="C273" t="str">
            <v>NET_EARNING</v>
          </cell>
          <cell r="D273">
            <v>0</v>
          </cell>
          <cell r="F273">
            <v>180.15110989999999</v>
          </cell>
          <cell r="G273">
            <v>419.26495499999999</v>
          </cell>
          <cell r="H273">
            <v>936.17100270000003</v>
          </cell>
          <cell r="I273">
            <v>810.0416232</v>
          </cell>
          <cell r="J273">
            <v>1035.9877294999999</v>
          </cell>
          <cell r="K273">
            <v>1462.3276467000001</v>
          </cell>
          <cell r="L273">
            <v>1694.5546629</v>
          </cell>
          <cell r="M273">
            <v>2166.6523416</v>
          </cell>
          <cell r="N273">
            <v>3164.2108890999998</v>
          </cell>
          <cell r="O273">
            <v>2830.1580662000001</v>
          </cell>
          <cell r="P273">
            <v>1298.4667005199999</v>
          </cell>
          <cell r="Q273">
            <v>1016.28004882</v>
          </cell>
          <cell r="R273">
            <v>1881.49409275015</v>
          </cell>
          <cell r="S273">
            <v>3800.3308663784501</v>
          </cell>
          <cell r="T273">
            <v>5654.3891669292598</v>
          </cell>
          <cell r="U273">
            <v>7778.5712273298104</v>
          </cell>
          <cell r="V273">
            <v>10210.6530093861</v>
          </cell>
          <cell r="X273">
            <v>228.0282747</v>
          </cell>
          <cell r="Y273">
            <v>437.87478449999998</v>
          </cell>
          <cell r="Z273">
            <v>383.80720509999998</v>
          </cell>
          <cell r="AA273">
            <v>412.61738250000002</v>
          </cell>
          <cell r="AB273">
            <v>354.33153370000002</v>
          </cell>
          <cell r="AC273">
            <v>549.67438760000005</v>
          </cell>
          <cell r="AD273">
            <v>542.65248840000004</v>
          </cell>
          <cell r="AE273">
            <v>247.89625319999999</v>
          </cell>
          <cell r="AF273">
            <v>457.17256309999999</v>
          </cell>
          <cell r="AG273">
            <v>509.14455909999998</v>
          </cell>
          <cell r="AH273">
            <v>529.40383980000001</v>
          </cell>
          <cell r="AI273">
            <v>670.93137950000005</v>
          </cell>
          <cell r="AJ273">
            <v>690.95487130000004</v>
          </cell>
          <cell r="AK273">
            <v>823.86301149999997</v>
          </cell>
          <cell r="AL273">
            <v>862.71831950000001</v>
          </cell>
          <cell r="AM273">
            <v>786.67468670000005</v>
          </cell>
          <cell r="AN273">
            <v>968.28956770000002</v>
          </cell>
          <cell r="AO273">
            <v>884.63165649999996</v>
          </cell>
          <cell r="AP273">
            <v>740.68945189999999</v>
          </cell>
          <cell r="AQ273">
            <v>236.5473901</v>
          </cell>
          <cell r="AR273">
            <v>621.14550889999998</v>
          </cell>
          <cell r="AS273">
            <v>261.9251175</v>
          </cell>
          <cell r="AT273">
            <v>269.36261289999999</v>
          </cell>
          <cell r="AU273">
            <v>146.03346124000001</v>
          </cell>
          <cell r="AV273">
            <v>391.60287550999999</v>
          </cell>
          <cell r="AW273">
            <v>243.23800523</v>
          </cell>
          <cell r="AX273">
            <v>303.61129441000003</v>
          </cell>
          <cell r="AY273">
            <v>77.827873670000002</v>
          </cell>
          <cell r="AZ273">
            <v>556.62966202999996</v>
          </cell>
          <cell r="BA273">
            <v>326.94378728999999</v>
          </cell>
          <cell r="BB273">
            <v>504.722715995903</v>
          </cell>
        </row>
        <row r="274">
          <cell r="B274" t="str">
            <v>Post-tax exceptionals</v>
          </cell>
          <cell r="C274" t="str">
            <v>TAX_EXC</v>
          </cell>
          <cell r="D274">
            <v>0</v>
          </cell>
        </row>
        <row r="275">
          <cell r="B275" t="str">
            <v>Net income (post-exceptionals)</v>
          </cell>
          <cell r="C275" t="str">
            <v>NET_INC</v>
          </cell>
          <cell r="D275">
            <v>0</v>
          </cell>
          <cell r="F275">
            <v>180.15110989999999</v>
          </cell>
          <cell r="G275">
            <v>419.26495510000001</v>
          </cell>
          <cell r="H275">
            <v>936.17100270000003</v>
          </cell>
          <cell r="I275">
            <v>810.0416232</v>
          </cell>
          <cell r="J275">
            <v>1035.9877294</v>
          </cell>
          <cell r="K275">
            <v>1462.3276467000001</v>
          </cell>
          <cell r="L275">
            <v>1694.5546629</v>
          </cell>
          <cell r="M275">
            <v>2166.6523416</v>
          </cell>
          <cell r="N275">
            <v>3164.2108890999998</v>
          </cell>
          <cell r="O275">
            <v>2830.1580662000001</v>
          </cell>
          <cell r="P275">
            <v>1298.4667005199999</v>
          </cell>
          <cell r="Q275">
            <v>1016.28004882</v>
          </cell>
          <cell r="R275">
            <v>1881.49409275015</v>
          </cell>
          <cell r="S275">
            <v>3800.3308663784501</v>
          </cell>
          <cell r="T275">
            <v>5654.3891669292598</v>
          </cell>
          <cell r="U275">
            <v>7778.5712273298104</v>
          </cell>
          <cell r="V275">
            <v>10210.6530093861</v>
          </cell>
          <cell r="X275">
            <v>228.02827479999999</v>
          </cell>
          <cell r="Y275">
            <v>437.87478440000001</v>
          </cell>
          <cell r="Z275">
            <v>383.80720509999998</v>
          </cell>
          <cell r="AA275">
            <v>412.61738259999998</v>
          </cell>
          <cell r="AB275">
            <v>354.33153370000002</v>
          </cell>
          <cell r="AC275">
            <v>549.67438749999997</v>
          </cell>
          <cell r="AD275">
            <v>542.65248840000004</v>
          </cell>
          <cell r="AE275">
            <v>247.89625330000001</v>
          </cell>
          <cell r="AF275">
            <v>457.17256309999999</v>
          </cell>
          <cell r="AG275">
            <v>509.14455909999998</v>
          </cell>
          <cell r="AH275">
            <v>529.40383980000001</v>
          </cell>
          <cell r="AI275">
            <v>670.93137950000005</v>
          </cell>
          <cell r="AJ275">
            <v>690.95487119999996</v>
          </cell>
          <cell r="AK275">
            <v>823.86301149999997</v>
          </cell>
          <cell r="AL275">
            <v>862.71831950000001</v>
          </cell>
          <cell r="AM275">
            <v>786.67468670000005</v>
          </cell>
          <cell r="AN275">
            <v>968.28956779999999</v>
          </cell>
          <cell r="AO275">
            <v>884.6316564</v>
          </cell>
          <cell r="AP275">
            <v>740.68945199999996</v>
          </cell>
          <cell r="AQ275">
            <v>236.5473901</v>
          </cell>
          <cell r="AR275">
            <v>621.14550889999998</v>
          </cell>
          <cell r="AS275">
            <v>261.92511739999998</v>
          </cell>
          <cell r="AT275">
            <v>269.36261289999999</v>
          </cell>
          <cell r="AU275">
            <v>146.03346124000001</v>
          </cell>
          <cell r="AV275">
            <v>391.60287550999999</v>
          </cell>
          <cell r="AW275">
            <v>243.23800523</v>
          </cell>
          <cell r="AX275">
            <v>303.61129441000003</v>
          </cell>
          <cell r="AY275">
            <v>77.827873670000002</v>
          </cell>
          <cell r="AZ275">
            <v>556.62966202999996</v>
          </cell>
          <cell r="BA275">
            <v>326.94378728999999</v>
          </cell>
          <cell r="BB275">
            <v>504.722715995903</v>
          </cell>
        </row>
        <row r="276">
          <cell r="B276" t="str">
            <v>EPS (pre-exceptionals, basic)</v>
          </cell>
          <cell r="C276" t="str">
            <v>EPS</v>
          </cell>
          <cell r="D276">
            <v>0</v>
          </cell>
          <cell r="F276">
            <v>0.71</v>
          </cell>
          <cell r="G276">
            <v>0.72000000017200005</v>
          </cell>
          <cell r="H276">
            <v>0.65</v>
          </cell>
          <cell r="I276">
            <v>0.56000000000000005</v>
          </cell>
          <cell r="J276">
            <v>0.71999999993099995</v>
          </cell>
          <cell r="K276">
            <v>0.61</v>
          </cell>
          <cell r="L276">
            <v>0.71</v>
          </cell>
          <cell r="M276">
            <v>0.53</v>
          </cell>
          <cell r="N276">
            <v>0.78</v>
          </cell>
          <cell r="O276">
            <v>0.69</v>
          </cell>
          <cell r="P276">
            <v>0.32000000002500001</v>
          </cell>
          <cell r="Q276">
            <v>0.24</v>
          </cell>
          <cell r="R276">
            <v>0.420038117968</v>
          </cell>
          <cell r="S276">
            <v>0.84841288150799998</v>
          </cell>
          <cell r="T276">
            <v>1.2623260381679999</v>
          </cell>
          <cell r="U276">
            <v>1.7365435434530001</v>
          </cell>
          <cell r="V276">
            <v>2.2794987716500001</v>
          </cell>
          <cell r="X276">
            <v>9.5120438897999995E-2</v>
          </cell>
          <cell r="Y276">
            <v>0.18265647862699999</v>
          </cell>
          <cell r="Z276">
            <v>0.160102556797</v>
          </cell>
          <cell r="AA276">
            <v>0.17212052572</v>
          </cell>
          <cell r="AB276">
            <v>0.148461064393</v>
          </cell>
          <cell r="AC276">
            <v>0.23030759865100001</v>
          </cell>
          <cell r="AD276">
            <v>0.227365499148</v>
          </cell>
          <cell r="AE276">
            <v>0.103865837807</v>
          </cell>
          <cell r="AF276">
            <v>0.11183218174499999</v>
          </cell>
          <cell r="AG276">
            <v>0.12454541559</v>
          </cell>
          <cell r="AH276">
            <v>0.12950118009600001</v>
          </cell>
          <cell r="AI276">
            <v>0.16412122254600001</v>
          </cell>
          <cell r="AJ276">
            <v>0.170325183277</v>
          </cell>
          <cell r="AK276">
            <v>0.20308796458</v>
          </cell>
          <cell r="AL276">
            <v>0.212666068348</v>
          </cell>
          <cell r="AM276">
            <v>0.19392078376899999</v>
          </cell>
          <cell r="AN276">
            <v>0.23607155009899999</v>
          </cell>
          <cell r="AO276">
            <v>0.215675530733</v>
          </cell>
          <cell r="AP276">
            <v>0.18058204165899999</v>
          </cell>
          <cell r="AQ276">
            <v>5.7670877510000003E-2</v>
          </cell>
          <cell r="AR276">
            <v>0.15307790550100001</v>
          </cell>
          <cell r="AS276">
            <v>6.4550009313999998E-2</v>
          </cell>
          <cell r="AT276">
            <v>6.6382939283E-2</v>
          </cell>
          <cell r="AU276">
            <v>3.5989145956000002E-2</v>
          </cell>
          <cell r="AV276">
            <v>9.2479125445000004E-2</v>
          </cell>
          <cell r="AW276">
            <v>5.7441963289000003E-2</v>
          </cell>
          <cell r="AX276">
            <v>7.1699440269999998E-2</v>
          </cell>
          <cell r="AY276">
            <v>1.8379470996E-2</v>
          </cell>
          <cell r="AZ276">
            <v>0.12426596317499999</v>
          </cell>
          <cell r="BA276">
            <v>7.2989255520000004E-2</v>
          </cell>
          <cell r="BB276">
            <v>0.112677887504</v>
          </cell>
        </row>
        <row r="277">
          <cell r="B277" t="str">
            <v>EPS (pre-exceptionals, diluted)</v>
          </cell>
          <cell r="C277" t="str">
            <v>EPS_FUL_DIL</v>
          </cell>
          <cell r="D277">
            <v>0</v>
          </cell>
          <cell r="F277">
            <v>0.71</v>
          </cell>
          <cell r="G277">
            <v>0.72000000017200005</v>
          </cell>
          <cell r="H277">
            <v>0.65</v>
          </cell>
          <cell r="I277">
            <v>0.56000000000000005</v>
          </cell>
          <cell r="J277">
            <v>0.71999999993099995</v>
          </cell>
          <cell r="K277">
            <v>0.61</v>
          </cell>
          <cell r="L277">
            <v>0.71</v>
          </cell>
          <cell r="M277">
            <v>0.53</v>
          </cell>
          <cell r="N277">
            <v>0.78</v>
          </cell>
          <cell r="O277">
            <v>0.69</v>
          </cell>
          <cell r="P277">
            <v>0.32000000002500001</v>
          </cell>
          <cell r="Q277">
            <v>0.24</v>
          </cell>
          <cell r="R277">
            <v>0.420038117968</v>
          </cell>
          <cell r="S277">
            <v>0.84841288150799998</v>
          </cell>
          <cell r="T277">
            <v>1.2623260381679999</v>
          </cell>
          <cell r="U277">
            <v>1.7365435434530001</v>
          </cell>
          <cell r="V277">
            <v>2.2794987716500001</v>
          </cell>
          <cell r="X277">
            <v>9.5120438897999995E-2</v>
          </cell>
          <cell r="Y277">
            <v>0.18265647862699999</v>
          </cell>
          <cell r="Z277">
            <v>0.160102556797</v>
          </cell>
          <cell r="AA277">
            <v>0.17212052572</v>
          </cell>
          <cell r="AB277">
            <v>0.148461064393</v>
          </cell>
          <cell r="AC277">
            <v>0.23030759865100001</v>
          </cell>
          <cell r="AD277">
            <v>0.227365499148</v>
          </cell>
          <cell r="AE277">
            <v>0.103865837807</v>
          </cell>
          <cell r="AF277">
            <v>0.11183218174499999</v>
          </cell>
          <cell r="AG277">
            <v>0.12454541559</v>
          </cell>
          <cell r="AH277">
            <v>0.12950118009600001</v>
          </cell>
          <cell r="AI277">
            <v>0.16412122254600001</v>
          </cell>
          <cell r="AJ277">
            <v>0.170325183277</v>
          </cell>
          <cell r="AK277">
            <v>0.20308796458</v>
          </cell>
          <cell r="AL277">
            <v>0.212666068348</v>
          </cell>
          <cell r="AM277">
            <v>0.19392078376899999</v>
          </cell>
          <cell r="AN277">
            <v>0.23607155009899999</v>
          </cell>
          <cell r="AO277">
            <v>0.215675530733</v>
          </cell>
          <cell r="AP277">
            <v>0.18058204165899999</v>
          </cell>
          <cell r="AQ277">
            <v>5.7670877510000003E-2</v>
          </cell>
          <cell r="AR277">
            <v>0.15307790550100001</v>
          </cell>
          <cell r="AS277">
            <v>6.4550009313999998E-2</v>
          </cell>
          <cell r="AT277">
            <v>6.6382939283E-2</v>
          </cell>
          <cell r="AU277">
            <v>3.5989145956000002E-2</v>
          </cell>
          <cell r="AV277">
            <v>9.2479125445000004E-2</v>
          </cell>
          <cell r="AW277">
            <v>5.7441963289000003E-2</v>
          </cell>
          <cell r="AX277">
            <v>7.1699440269999998E-2</v>
          </cell>
          <cell r="AY277">
            <v>1.8379470996E-2</v>
          </cell>
          <cell r="AZ277">
            <v>0.12426596317499999</v>
          </cell>
          <cell r="BA277">
            <v>7.2989255520000004E-2</v>
          </cell>
          <cell r="BB277">
            <v>0.112677887504</v>
          </cell>
        </row>
        <row r="278">
          <cell r="B278" t="str">
            <v>EPS (post-exceptionals, basic)</v>
          </cell>
          <cell r="C278" t="str">
            <v>EPS_POST_BASIC</v>
          </cell>
          <cell r="D278">
            <v>0</v>
          </cell>
          <cell r="F278">
            <v>0.71</v>
          </cell>
          <cell r="G278">
            <v>0.72000000034300005</v>
          </cell>
          <cell r="H278">
            <v>0.65</v>
          </cell>
          <cell r="I278">
            <v>0.56000000000000005</v>
          </cell>
          <cell r="J278">
            <v>0.71999999986100005</v>
          </cell>
          <cell r="K278">
            <v>0.61</v>
          </cell>
          <cell r="L278">
            <v>0.71</v>
          </cell>
          <cell r="M278">
            <v>0.53</v>
          </cell>
          <cell r="N278">
            <v>0.78</v>
          </cell>
          <cell r="O278">
            <v>0.69</v>
          </cell>
          <cell r="P278">
            <v>0.32</v>
          </cell>
          <cell r="Q278">
            <v>0.24</v>
          </cell>
          <cell r="R278">
            <v>0.420038117968</v>
          </cell>
          <cell r="S278">
            <v>0.84841288150799998</v>
          </cell>
          <cell r="T278">
            <v>1.2623260381679999</v>
          </cell>
          <cell r="U278">
            <v>1.7365435434530001</v>
          </cell>
          <cell r="V278">
            <v>2.2794987716500001</v>
          </cell>
          <cell r="X278">
            <v>9.5120438939999996E-2</v>
          </cell>
          <cell r="Y278">
            <v>0.182656478585</v>
          </cell>
          <cell r="Z278">
            <v>0.160102556797</v>
          </cell>
          <cell r="AA278">
            <v>0.17212052576199999</v>
          </cell>
          <cell r="AB278">
            <v>0.148461064393</v>
          </cell>
          <cell r="AC278">
            <v>0.23030759860899999</v>
          </cell>
          <cell r="AD278">
            <v>0.227365499148</v>
          </cell>
          <cell r="AE278">
            <v>0.103865837849</v>
          </cell>
          <cell r="AF278">
            <v>0.11183218174499999</v>
          </cell>
          <cell r="AG278">
            <v>0.12454541559</v>
          </cell>
          <cell r="AH278">
            <v>0.12950118009600001</v>
          </cell>
          <cell r="AI278">
            <v>0.16412122254600001</v>
          </cell>
          <cell r="AJ278">
            <v>0.170325183253</v>
          </cell>
          <cell r="AK278">
            <v>0.20308796458</v>
          </cell>
          <cell r="AL278">
            <v>0.212666068348</v>
          </cell>
          <cell r="AM278">
            <v>0.19392078376899999</v>
          </cell>
          <cell r="AN278">
            <v>0.23607155012299999</v>
          </cell>
          <cell r="AO278">
            <v>0.215675530708</v>
          </cell>
          <cell r="AP278">
            <v>0.18058204168299999</v>
          </cell>
          <cell r="AQ278">
            <v>5.7670877510000003E-2</v>
          </cell>
          <cell r="AR278">
            <v>0.15307790550100001</v>
          </cell>
          <cell r="AS278">
            <v>6.4550009290000002E-2</v>
          </cell>
          <cell r="AT278">
            <v>6.6382939283E-2</v>
          </cell>
          <cell r="AU278">
            <v>3.5989145956000002E-2</v>
          </cell>
          <cell r="AV278">
            <v>9.2479125445000004E-2</v>
          </cell>
          <cell r="AW278">
            <v>5.7441963289000003E-2</v>
          </cell>
          <cell r="AX278">
            <v>7.1699440269999998E-2</v>
          </cell>
          <cell r="AY278">
            <v>1.8379470996E-2</v>
          </cell>
          <cell r="AZ278">
            <v>0.12426596317499999</v>
          </cell>
          <cell r="BA278">
            <v>7.2989255520000004E-2</v>
          </cell>
          <cell r="BB278">
            <v>0.112677887504</v>
          </cell>
        </row>
        <row r="279">
          <cell r="B279" t="str">
            <v>EPS (post-exceptionals, diluted)</v>
          </cell>
          <cell r="C279" t="str">
            <v>FULLY_DIL_EPS</v>
          </cell>
          <cell r="D279">
            <v>0</v>
          </cell>
          <cell r="F279">
            <v>0.71</v>
          </cell>
          <cell r="G279">
            <v>0.72000000034300005</v>
          </cell>
          <cell r="H279">
            <v>0.65</v>
          </cell>
          <cell r="I279">
            <v>0.56000000000000005</v>
          </cell>
          <cell r="J279">
            <v>0.71999999986100005</v>
          </cell>
          <cell r="K279">
            <v>0.61</v>
          </cell>
          <cell r="L279">
            <v>0.71</v>
          </cell>
          <cell r="M279">
            <v>0.53</v>
          </cell>
          <cell r="N279">
            <v>0.78</v>
          </cell>
          <cell r="O279">
            <v>0.69</v>
          </cell>
          <cell r="P279">
            <v>0.32</v>
          </cell>
          <cell r="Q279">
            <v>0.24</v>
          </cell>
          <cell r="R279">
            <v>0.420038117968</v>
          </cell>
          <cell r="S279">
            <v>0.84841288150799998</v>
          </cell>
          <cell r="T279">
            <v>1.2623260381679999</v>
          </cell>
          <cell r="U279">
            <v>1.7365435434530001</v>
          </cell>
          <cell r="V279">
            <v>2.2794987716500001</v>
          </cell>
          <cell r="X279">
            <v>9.5120438939999996E-2</v>
          </cell>
          <cell r="Y279">
            <v>0.182656478585</v>
          </cell>
          <cell r="Z279">
            <v>0.160102556797</v>
          </cell>
          <cell r="AA279">
            <v>0.17212052576199999</v>
          </cell>
          <cell r="AB279">
            <v>0.148461064393</v>
          </cell>
          <cell r="AC279">
            <v>0.23030759860899999</v>
          </cell>
          <cell r="AD279">
            <v>0.227365499148</v>
          </cell>
          <cell r="AE279">
            <v>0.103865837849</v>
          </cell>
          <cell r="AF279">
            <v>0.11183218174499999</v>
          </cell>
          <cell r="AG279">
            <v>0.12454541559</v>
          </cell>
          <cell r="AH279">
            <v>0.12950118009600001</v>
          </cell>
          <cell r="AI279">
            <v>0.16412122254600001</v>
          </cell>
          <cell r="AJ279">
            <v>0.170325183253</v>
          </cell>
          <cell r="AK279">
            <v>0.20308796458</v>
          </cell>
          <cell r="AL279">
            <v>0.212666068348</v>
          </cell>
          <cell r="AM279">
            <v>0.19392078376899999</v>
          </cell>
          <cell r="AN279">
            <v>0.23607155012299999</v>
          </cell>
          <cell r="AO279">
            <v>0.215675530708</v>
          </cell>
          <cell r="AP279">
            <v>0.18058204168299999</v>
          </cell>
          <cell r="AQ279">
            <v>5.7670877510000003E-2</v>
          </cell>
          <cell r="AR279">
            <v>0.15307790550100001</v>
          </cell>
          <cell r="AS279">
            <v>6.4550009290000002E-2</v>
          </cell>
          <cell r="AT279">
            <v>6.6382939283E-2</v>
          </cell>
          <cell r="AU279">
            <v>3.5989145956000002E-2</v>
          </cell>
          <cell r="AV279">
            <v>9.2479125445000004E-2</v>
          </cell>
          <cell r="AW279">
            <v>5.7441963289000003E-2</v>
          </cell>
          <cell r="AX279">
            <v>7.1699440269999998E-2</v>
          </cell>
          <cell r="AY279">
            <v>1.8379470996E-2</v>
          </cell>
          <cell r="AZ279">
            <v>0.12426596317499999</v>
          </cell>
          <cell r="BA279">
            <v>7.2989255520000004E-2</v>
          </cell>
          <cell r="BB279">
            <v>0.112677887504</v>
          </cell>
        </row>
        <row r="280">
          <cell r="B280" t="str">
            <v>Common dividends paid</v>
          </cell>
          <cell r="C280" t="str">
            <v>COMMON_DIV_PAID</v>
          </cell>
          <cell r="D280">
            <v>0</v>
          </cell>
          <cell r="F280">
            <v>-12.4417708</v>
          </cell>
          <cell r="G280">
            <v>-33.174831900000001</v>
          </cell>
          <cell r="H280">
            <v>-200.61625509999999</v>
          </cell>
          <cell r="I280">
            <v>-631.91781719999994</v>
          </cell>
          <cell r="J280">
            <v>-534.8638694</v>
          </cell>
          <cell r="K280">
            <v>-589.54276240000002</v>
          </cell>
          <cell r="L280">
            <v>-633.71989919999999</v>
          </cell>
          <cell r="M280">
            <v>-736.65661890000001</v>
          </cell>
          <cell r="N280">
            <v>-898.74506580000002</v>
          </cell>
          <cell r="O280">
            <v>-1107.7021666000001</v>
          </cell>
          <cell r="P280">
            <v>-970.56711929000005</v>
          </cell>
          <cell r="Q280">
            <v>-512.10895429000004</v>
          </cell>
          <cell r="R280">
            <v>-1243.9269402463401</v>
          </cell>
          <cell r="S280">
            <v>-2512.5425398641501</v>
          </cell>
          <cell r="T280">
            <v>-3738.33063972014</v>
          </cell>
          <cell r="U280">
            <v>-5142.7077786661303</v>
          </cell>
          <cell r="V280">
            <v>-6750.6490744902303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</row>
        <row r="281">
          <cell r="B281" t="str">
            <v>DPS, dividend per share</v>
          </cell>
          <cell r="C281" t="str">
            <v>DPS</v>
          </cell>
          <cell r="D281">
            <v>0</v>
          </cell>
          <cell r="G281">
            <v>0.2</v>
          </cell>
          <cell r="H281">
            <v>0.3</v>
          </cell>
          <cell r="I281">
            <v>0.2</v>
          </cell>
          <cell r="J281">
            <v>0.22</v>
          </cell>
          <cell r="K281">
            <v>0.2</v>
          </cell>
          <cell r="L281">
            <v>0.25</v>
          </cell>
          <cell r="M281">
            <v>0.2</v>
          </cell>
          <cell r="N281">
            <v>0.25</v>
          </cell>
          <cell r="O281">
            <v>0.2</v>
          </cell>
          <cell r="P281">
            <v>0.1</v>
          </cell>
          <cell r="Q281">
            <v>0.15</v>
          </cell>
          <cell r="R281">
            <v>0.27770309398499998</v>
          </cell>
          <cell r="S281">
            <v>0.56091785981499998</v>
          </cell>
          <cell r="T281">
            <v>0.83457151011099995</v>
          </cell>
          <cell r="U281">
            <v>1.148094647193</v>
          </cell>
          <cell r="V281">
            <v>1.5070628939199999</v>
          </cell>
        </row>
        <row r="282">
          <cell r="B282" t="str">
            <v>Weighted average shares outstanding, basic</v>
          </cell>
          <cell r="C282" t="str">
            <v>SH</v>
          </cell>
          <cell r="F282">
            <v>253.733957605634</v>
          </cell>
          <cell r="G282">
            <v>582.31243736111105</v>
          </cell>
          <cell r="H282">
            <v>1440.2630810769199</v>
          </cell>
          <cell r="I282">
            <v>1446.50289857143</v>
          </cell>
          <cell r="J282">
            <v>1438.8718466666701</v>
          </cell>
          <cell r="K282">
            <v>2397.25843721312</v>
          </cell>
          <cell r="L282">
            <v>2386.6967083098598</v>
          </cell>
          <cell r="M282">
            <v>4088.02328603774</v>
          </cell>
          <cell r="N282">
            <v>4056.6806270512802</v>
          </cell>
          <cell r="O282">
            <v>4101.6783568115898</v>
          </cell>
          <cell r="P282">
            <v>4057.708439125</v>
          </cell>
          <cell r="Q282">
            <v>4234.50020341667</v>
          </cell>
          <cell r="R282">
            <v>4479.341308</v>
          </cell>
          <cell r="S282">
            <v>4479.341308</v>
          </cell>
          <cell r="T282">
            <v>4479.341308</v>
          </cell>
          <cell r="U282">
            <v>4479.341308</v>
          </cell>
          <cell r="V282">
            <v>4479.341308</v>
          </cell>
          <cell r="X282">
            <v>2397.25843721312</v>
          </cell>
          <cell r="Y282">
            <v>2397.25843721312</v>
          </cell>
          <cell r="Z282">
            <v>2397.25843721312</v>
          </cell>
          <cell r="AA282">
            <v>2397.25843721312</v>
          </cell>
          <cell r="AB282">
            <v>2386.6967083098598</v>
          </cell>
          <cell r="AC282">
            <v>2386.6967083098598</v>
          </cell>
          <cell r="AD282">
            <v>2386.6967083098598</v>
          </cell>
          <cell r="AE282">
            <v>2386.6967083098598</v>
          </cell>
          <cell r="AF282">
            <v>4088.02328603774</v>
          </cell>
          <cell r="AG282">
            <v>4088.02328603774</v>
          </cell>
          <cell r="AH282">
            <v>4088.02328603774</v>
          </cell>
          <cell r="AI282">
            <v>4088.02328603774</v>
          </cell>
          <cell r="AJ282">
            <v>4056.6806270512802</v>
          </cell>
          <cell r="AK282">
            <v>4056.6806270512802</v>
          </cell>
          <cell r="AL282">
            <v>4056.6806270512802</v>
          </cell>
          <cell r="AM282">
            <v>4056.6806270512802</v>
          </cell>
          <cell r="AN282">
            <v>4101.6783568115898</v>
          </cell>
          <cell r="AO282">
            <v>4101.6783568115898</v>
          </cell>
          <cell r="AP282">
            <v>4101.6783568115898</v>
          </cell>
          <cell r="AQ282">
            <v>4101.6783568115898</v>
          </cell>
          <cell r="AR282">
            <v>4057.708439125</v>
          </cell>
          <cell r="AS282">
            <v>4057.708439125</v>
          </cell>
          <cell r="AT282">
            <v>4057.708439125</v>
          </cell>
          <cell r="AU282">
            <v>4057.708439125</v>
          </cell>
          <cell r="AV282">
            <v>4234.50020341667</v>
          </cell>
          <cell r="AW282">
            <v>4234.50020341667</v>
          </cell>
          <cell r="AX282">
            <v>4234.50020341667</v>
          </cell>
          <cell r="AY282">
            <v>4234.50020341667</v>
          </cell>
          <cell r="AZ282">
            <v>4479.341308</v>
          </cell>
          <cell r="BA282">
            <v>4479.341308</v>
          </cell>
          <cell r="BB282">
            <v>4479.341308</v>
          </cell>
        </row>
        <row r="283">
          <cell r="B283" t="str">
            <v>Diluted average shares outstanding (mn)</v>
          </cell>
          <cell r="C283" t="str">
            <v>DILUTE_SHARES</v>
          </cell>
          <cell r="F283">
            <v>253.733957605634</v>
          </cell>
          <cell r="G283">
            <v>582.31243736111105</v>
          </cell>
          <cell r="H283">
            <v>1440.2630810769199</v>
          </cell>
          <cell r="I283">
            <v>1446.50289857143</v>
          </cell>
          <cell r="J283">
            <v>1438.8718466666701</v>
          </cell>
          <cell r="K283">
            <v>2397.25843721312</v>
          </cell>
          <cell r="L283">
            <v>2386.6967083098598</v>
          </cell>
          <cell r="M283">
            <v>4088.02328603774</v>
          </cell>
          <cell r="N283">
            <v>4056.6806270512802</v>
          </cell>
          <cell r="O283">
            <v>4101.6783568115898</v>
          </cell>
          <cell r="P283">
            <v>4057.708439125</v>
          </cell>
          <cell r="Q283">
            <v>4234.50020341667</v>
          </cell>
          <cell r="R283">
            <v>4479.341308</v>
          </cell>
          <cell r="S283">
            <v>4479.341308</v>
          </cell>
          <cell r="T283">
            <v>4479.341308</v>
          </cell>
          <cell r="U283">
            <v>4479.341308</v>
          </cell>
          <cell r="V283">
            <v>4479.341308</v>
          </cell>
          <cell r="X283">
            <v>2397.25843721312</v>
          </cell>
          <cell r="Y283">
            <v>2397.25843721312</v>
          </cell>
          <cell r="Z283">
            <v>2397.25843721312</v>
          </cell>
          <cell r="AA283">
            <v>2397.25843721312</v>
          </cell>
          <cell r="AB283">
            <v>2386.6967083098598</v>
          </cell>
          <cell r="AC283">
            <v>2386.6967083098598</v>
          </cell>
          <cell r="AD283">
            <v>2386.6967083098598</v>
          </cell>
          <cell r="AE283">
            <v>2386.6967083098598</v>
          </cell>
          <cell r="AF283">
            <v>4088.02328603774</v>
          </cell>
          <cell r="AG283">
            <v>4088.02328603774</v>
          </cell>
          <cell r="AH283">
            <v>4088.02328603774</v>
          </cell>
          <cell r="AI283">
            <v>4088.02328603774</v>
          </cell>
          <cell r="AJ283">
            <v>4056.6806270512802</v>
          </cell>
          <cell r="AK283">
            <v>4056.6806270512802</v>
          </cell>
          <cell r="AL283">
            <v>4056.6806270512802</v>
          </cell>
          <cell r="AM283">
            <v>4056.6806270512802</v>
          </cell>
          <cell r="AN283">
            <v>4101.6783568115898</v>
          </cell>
          <cell r="AO283">
            <v>4101.6783568115898</v>
          </cell>
          <cell r="AP283">
            <v>4101.6783568115898</v>
          </cell>
          <cell r="AQ283">
            <v>4101.6783568115898</v>
          </cell>
          <cell r="AR283">
            <v>4057.708439125</v>
          </cell>
          <cell r="AS283">
            <v>4057.708439125</v>
          </cell>
          <cell r="AT283">
            <v>4057.708439125</v>
          </cell>
          <cell r="AU283">
            <v>4057.708439125</v>
          </cell>
          <cell r="AV283">
            <v>4234.50020341667</v>
          </cell>
          <cell r="AW283">
            <v>4234.50020341667</v>
          </cell>
          <cell r="AX283">
            <v>4234.50020341667</v>
          </cell>
          <cell r="AY283">
            <v>4234.50020341667</v>
          </cell>
          <cell r="AZ283">
            <v>4479.341308</v>
          </cell>
          <cell r="BA283">
            <v>4479.341308</v>
          </cell>
          <cell r="BB283">
            <v>4479.341308</v>
          </cell>
        </row>
        <row r="284">
          <cell r="B284" t="str">
            <v>Period-end shares outstanding</v>
          </cell>
          <cell r="C284" t="str">
            <v>NON_OP_ADD</v>
          </cell>
          <cell r="F284">
            <v>277.68494900000002</v>
          </cell>
          <cell r="G284">
            <v>656.36989800000003</v>
          </cell>
          <cell r="H284">
            <v>1444.013776</v>
          </cell>
          <cell r="I284">
            <v>1444.013776</v>
          </cell>
          <cell r="J284">
            <v>1444.013776</v>
          </cell>
          <cell r="K284">
            <v>2393.084883</v>
          </cell>
          <cell r="L284">
            <v>2549.0155800000002</v>
          </cell>
          <cell r="M284">
            <v>4078.4249279999999</v>
          </cell>
          <cell r="N284">
            <v>4078.4249279999999</v>
          </cell>
          <cell r="O284">
            <v>4078.4249279999999</v>
          </cell>
          <cell r="P284">
            <v>4078.4249279999999</v>
          </cell>
          <cell r="Q284">
            <v>4479.341308</v>
          </cell>
          <cell r="R284">
            <v>4479.341308</v>
          </cell>
          <cell r="S284">
            <v>4479.341308</v>
          </cell>
          <cell r="T284">
            <v>4479.341308</v>
          </cell>
          <cell r="U284">
            <v>4479.341308</v>
          </cell>
          <cell r="V284">
            <v>4479.341308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</row>
        <row r="285">
          <cell r="A285" t="str">
            <v>Additional Income Statement Items</v>
          </cell>
        </row>
        <row r="286">
          <cell r="B286" t="str">
            <v>Marginal tax rate</v>
          </cell>
          <cell r="C286" t="str">
            <v>MARGIN_TAX_RATE</v>
          </cell>
          <cell r="F286">
            <v>0.119844972681</v>
          </cell>
          <cell r="G286">
            <v>0.20979848450499999</v>
          </cell>
          <cell r="H286">
            <v>0.22426491722399999</v>
          </cell>
          <cell r="I286">
            <v>0.192705481993</v>
          </cell>
          <cell r="J286">
            <v>0.18494942582400001</v>
          </cell>
          <cell r="K286">
            <v>0.173966361869</v>
          </cell>
          <cell r="L286">
            <v>0.16805168862100001</v>
          </cell>
          <cell r="M286">
            <v>0.17199477270300001</v>
          </cell>
          <cell r="N286">
            <v>0.179114609624</v>
          </cell>
          <cell r="O286">
            <v>0.128601186645</v>
          </cell>
          <cell r="P286">
            <v>0.18372443818600001</v>
          </cell>
          <cell r="Q286">
            <v>0.124375611485</v>
          </cell>
          <cell r="R286">
            <v>0.15529198512</v>
          </cell>
          <cell r="S286">
            <v>0.15</v>
          </cell>
          <cell r="T286">
            <v>0.15</v>
          </cell>
          <cell r="U286">
            <v>0.15</v>
          </cell>
          <cell r="V286">
            <v>0.15</v>
          </cell>
          <cell r="X286">
            <v>0.18650388057</v>
          </cell>
          <cell r="Y286">
            <v>0.16140733788700001</v>
          </cell>
          <cell r="Z286">
            <v>0.19647786918599999</v>
          </cell>
          <cell r="AA286">
            <v>0.160101028309</v>
          </cell>
          <cell r="AB286">
            <v>0.20296596948599999</v>
          </cell>
          <cell r="AC286">
            <v>0.16130626273500001</v>
          </cell>
          <cell r="AD286">
            <v>0.19589139695300001</v>
          </cell>
          <cell r="AE286">
            <v>5.3335351427000001E-2</v>
          </cell>
          <cell r="AF286">
            <v>0.143045009665</v>
          </cell>
          <cell r="AG286">
            <v>0.190324010717</v>
          </cell>
          <cell r="AH286">
            <v>0.19830858943499999</v>
          </cell>
          <cell r="AI286">
            <v>0.15504706072999999</v>
          </cell>
          <cell r="AJ286">
            <v>0.192615543453</v>
          </cell>
          <cell r="AK286">
            <v>0.19812097086300001</v>
          </cell>
          <cell r="AL286">
            <v>0.19041629217299999</v>
          </cell>
          <cell r="AM286">
            <v>0.13149914570099999</v>
          </cell>
          <cell r="AN286">
            <v>0.12932658265300001</v>
          </cell>
          <cell r="AO286">
            <v>6.1575882064999997E-2</v>
          </cell>
          <cell r="AP286">
            <v>0.149691893715</v>
          </cell>
          <cell r="AQ286">
            <v>0.26529951995700002</v>
          </cell>
          <cell r="AR286">
            <v>0.104798852319</v>
          </cell>
          <cell r="AS286">
            <v>0.204879474389</v>
          </cell>
          <cell r="AT286">
            <v>0.17423553426400001</v>
          </cell>
          <cell r="AU286">
            <v>0.39467029932300002</v>
          </cell>
          <cell r="AV286">
            <v>0.114462073961</v>
          </cell>
          <cell r="AW286">
            <v>0.192237915471</v>
          </cell>
          <cell r="AX286">
            <v>0.17005680151200001</v>
          </cell>
          <cell r="AY286">
            <v>0</v>
          </cell>
          <cell r="AZ286">
            <v>8.5266267539999996E-2</v>
          </cell>
          <cell r="BA286">
            <v>0.26504728160399998</v>
          </cell>
          <cell r="BB286">
            <v>0.15</v>
          </cell>
        </row>
        <row r="287">
          <cell r="B287" t="str">
            <v>Net income (consensus) (Pub)</v>
          </cell>
          <cell r="C287" t="str">
            <v>NI_CONS</v>
          </cell>
          <cell r="D287">
            <v>0</v>
          </cell>
        </row>
        <row r="288">
          <cell r="A288" t="str">
            <v>Balance Sheet</v>
          </cell>
        </row>
        <row r="289">
          <cell r="B289" t="str">
            <v>BVPS, book value per share</v>
          </cell>
          <cell r="C289" t="str">
            <v>BVPS</v>
          </cell>
          <cell r="D289">
            <v>0</v>
          </cell>
          <cell r="F289">
            <v>5.2615909802149998</v>
          </cell>
          <cell r="G289">
            <v>7.4042542060640004</v>
          </cell>
          <cell r="H289">
            <v>3.9229726857539999</v>
          </cell>
          <cell r="I289">
            <v>4.1839739550379997</v>
          </cell>
          <cell r="J289">
            <v>4.8250954900860004</v>
          </cell>
          <cell r="K289">
            <v>4.7300813893860001</v>
          </cell>
          <cell r="L289">
            <v>6.244994810703</v>
          </cell>
          <cell r="M289">
            <v>4.2751338623389996</v>
          </cell>
          <cell r="N289">
            <v>4.847255029626</v>
          </cell>
          <cell r="O289">
            <v>5.2100700938289997</v>
          </cell>
          <cell r="P289">
            <v>5.3317784496070004</v>
          </cell>
          <cell r="Q289">
            <v>6.6242024046300001</v>
          </cell>
          <cell r="R289">
            <v>6.7665374286129998</v>
          </cell>
          <cell r="S289">
            <v>7.0540324503059999</v>
          </cell>
          <cell r="T289">
            <v>7.481786978363</v>
          </cell>
          <cell r="U289">
            <v>8.0702358746230001</v>
          </cell>
          <cell r="V289">
            <v>8.8426717523520004</v>
          </cell>
        </row>
        <row r="290">
          <cell r="A290" t="str">
            <v>Cash Flow Statement</v>
          </cell>
        </row>
        <row r="291">
          <cell r="B291" t="str">
            <v>Net income (pre-preferred dividends)</v>
          </cell>
          <cell r="C291" t="str">
            <v>CF_NI_PRE_PREF</v>
          </cell>
          <cell r="D291">
            <v>0</v>
          </cell>
          <cell r="F291">
            <v>180.15110989999999</v>
          </cell>
          <cell r="G291">
            <v>419.26495490000002</v>
          </cell>
          <cell r="H291">
            <v>936.17100270000003</v>
          </cell>
          <cell r="I291">
            <v>810.0416232</v>
          </cell>
          <cell r="J291">
            <v>1035.9877296</v>
          </cell>
          <cell r="K291">
            <v>1462.3276467000001</v>
          </cell>
          <cell r="L291">
            <v>1694.5546629</v>
          </cell>
          <cell r="M291">
            <v>2166.6523416</v>
          </cell>
          <cell r="N291">
            <v>3164.2108890999998</v>
          </cell>
          <cell r="O291">
            <v>2830.1580662000001</v>
          </cell>
          <cell r="P291">
            <v>1298.4667005199999</v>
          </cell>
          <cell r="Q291">
            <v>1016.28004882</v>
          </cell>
          <cell r="R291">
            <v>1881.49409275016</v>
          </cell>
          <cell r="S291">
            <v>3800.3308663784501</v>
          </cell>
          <cell r="T291">
            <v>5654.3891669292598</v>
          </cell>
          <cell r="U291">
            <v>7778.5712273298204</v>
          </cell>
          <cell r="V291">
            <v>10210.6530093861</v>
          </cell>
        </row>
        <row r="292">
          <cell r="A292" t="str">
            <v>Other Items</v>
          </cell>
        </row>
        <row r="293">
          <cell r="B293" t="str">
            <v>Beta</v>
          </cell>
          <cell r="C293" t="str">
            <v>BETA_ANALYST</v>
          </cell>
        </row>
        <row r="294">
          <cell r="B294" t="str">
            <v>Market equity risk premium</v>
          </cell>
          <cell r="C294" t="str">
            <v>MKT_EQ_RISK_PREM</v>
          </cell>
        </row>
        <row r="295">
          <cell r="B295" t="str">
            <v>Risk-free rate</v>
          </cell>
          <cell r="C295" t="str">
            <v>RISK_FR_RATE</v>
          </cell>
        </row>
      </sheetData>
      <sheetData sheetId="21">
        <row r="1">
          <cell r="A1" t="str">
            <v>d5243c38-f957-482b-af28-70213f999b90</v>
          </cell>
        </row>
        <row r="2">
          <cell r="A2" t="str">
            <v>\\Firmwide.corp.gs.com\irroot\Projects\hk\gc_tech_telco\GC Tech\Models\Sanan\[Sanan model_wip.xlsx]600703.SS_Validation_Sheet</v>
          </cell>
        </row>
        <row r="3">
          <cell r="A3" t="str">
            <v>Not enabled</v>
          </cell>
        </row>
        <row r="7">
          <cell r="A7" t="str">
            <v>Scalar|||208011602|||ISSR|||CURRENCY_ISO|||False|||</v>
          </cell>
          <cell r="C7" t="str">
            <v>V_KEYWORD_ISSR_208011602_CURRENCY_ISO</v>
          </cell>
          <cell r="E7" t="str">
            <v>ERROR</v>
          </cell>
        </row>
        <row r="9">
          <cell r="A9" t="str">
            <v>Scalar|||208011602|||ISSR|||MA_PROB|||False|||</v>
          </cell>
          <cell r="C9" t="str">
            <v>V_KEYWORD_ISSR_208011602_MA_PROB</v>
          </cell>
          <cell r="E9" t="str">
            <v>ERROR</v>
          </cell>
        </row>
        <row r="11">
          <cell r="A11" t="str">
            <v>Vector|||208011602|||ISSR|||SALES|||False|||</v>
          </cell>
          <cell r="C11" t="str">
            <v>V_KEYWORD_ISSR_208011602_SALES</v>
          </cell>
        </row>
        <row r="12">
          <cell r="A12" t="str">
            <v>Vector|||208011602|||ISSR|||PERSONNEL|||False|||</v>
          </cell>
          <cell r="C12" t="str">
            <v>V_KEYWORD_ISSR_208011602_PERSONNEL</v>
          </cell>
        </row>
        <row r="13">
          <cell r="A13" t="str">
            <v>Vector|||208011602|||ISSR|||COST_GD_SD|||False|||</v>
          </cell>
          <cell r="C13" t="str">
            <v>V_KEYWORD_ISSR_208011602_COST_GD_SD</v>
          </cell>
        </row>
        <row r="14">
          <cell r="A14" t="str">
            <v>Vector|||208011602|||ISSR|||SEL_GL_AD|||False|||</v>
          </cell>
          <cell r="C14" t="str">
            <v>V_KEYWORD_ISSR_208011602_SEL_GL_AD</v>
          </cell>
        </row>
        <row r="15">
          <cell r="A15" t="str">
            <v>Vector|||208011602|||ISSR|||OP_COST|||False|||</v>
          </cell>
          <cell r="C15" t="str">
            <v>V_KEYWORD_ISSR_208011602_OP_COST</v>
          </cell>
        </row>
        <row r="16">
          <cell r="A16" t="str">
            <v>Vector|||208011602|||ISSR|||RD_EXP|||False|||</v>
          </cell>
          <cell r="C16" t="str">
            <v>V_KEYWORD_ISSR_208011602_RD_EXP</v>
          </cell>
        </row>
        <row r="17">
          <cell r="A17" t="str">
            <v>Vector|||208011602|||ISSR|||OTH_OP_INC_EXP|||False|||</v>
          </cell>
          <cell r="C17" t="str">
            <v>V_KEYWORD_ISSR_208011602_OTH_OP_INC_EXP</v>
          </cell>
        </row>
        <row r="18">
          <cell r="A18" t="str">
            <v>Vector|||208011602|||ISSR|||TOT_OPS_EXP_DDA|||False|||</v>
          </cell>
          <cell r="C18" t="str">
            <v>V_KEYWORD_ISSR_208011602_TOT_OPS_EXP_DDA</v>
          </cell>
        </row>
        <row r="19">
          <cell r="A19" t="str">
            <v>Vector|||208011602|||ISSR|||TOT_OPS_EXP|||False|||</v>
          </cell>
          <cell r="C19" t="str">
            <v>V_KEYWORD_ISSR_208011602_TOT_OPS_EXP</v>
          </cell>
        </row>
        <row r="20">
          <cell r="A20" t="str">
            <v>Vector|||208011602|||ISSR|||EBITDA_CALC|||False|||</v>
          </cell>
          <cell r="C20" t="str">
            <v>V_KEYWORD_ISSR_208011602_EBITDA_CALC</v>
          </cell>
        </row>
        <row r="21">
          <cell r="A21" t="str">
            <v>Vector|||208011602|||ISSR|||DEPREC|||False|||</v>
          </cell>
          <cell r="C21" t="str">
            <v>V_KEYWORD_ISSR_208011602_DEPREC</v>
          </cell>
        </row>
        <row r="22">
          <cell r="A22" t="str">
            <v>Vector|||208011602|||ISSR|||GOODWILL_AMORT|||False|||</v>
          </cell>
          <cell r="C22" t="str">
            <v>V_KEYWORD_ISSR_208011602_GOODWILL_AMORT</v>
          </cell>
        </row>
        <row r="23">
          <cell r="A23" t="str">
            <v>Vector|||208011602|||ISSR|||EBIT|||False|||</v>
          </cell>
          <cell r="C23" t="str">
            <v>V_KEYWORD_ISSR_208011602_EBIT</v>
          </cell>
        </row>
        <row r="24">
          <cell r="A24" t="str">
            <v>Vector|||208011602|||ISSR|||INT_INC_IND|||False|||</v>
          </cell>
          <cell r="C24" t="str">
            <v>V_KEYWORD_ISSR_208011602_INT_INC_IND</v>
          </cell>
        </row>
        <row r="25">
          <cell r="A25" t="str">
            <v>Vector|||208011602|||ISSR|||INT_EXP_IND|||False|||</v>
          </cell>
          <cell r="C25" t="str">
            <v>V_KEYWORD_ISSR_208011602_INT_EXP_IND</v>
          </cell>
        </row>
        <row r="26">
          <cell r="A26" t="str">
            <v>Vector|||208011602|||ISSR|||NET_INT_EXP|||False|||</v>
          </cell>
          <cell r="C26" t="str">
            <v>V_KEYWORD_ISSR_208011602_NET_INT_EXP</v>
          </cell>
        </row>
        <row r="27">
          <cell r="A27" t="str">
            <v>Vector|||208011602|||ISSR|||ASSOCIATE|||False|||</v>
          </cell>
          <cell r="C27" t="str">
            <v>V_KEYWORD_ISSR_208011602_ASSOCIATE</v>
          </cell>
        </row>
        <row r="28">
          <cell r="A28" t="str">
            <v>Vector|||208011602|||ISSR|||PROFIT_ON_DISP|||False|||</v>
          </cell>
          <cell r="C28" t="str">
            <v>V_KEYWORD_ISSR_208011602_PROFIT_ON_DISP</v>
          </cell>
        </row>
        <row r="29">
          <cell r="A29" t="str">
            <v>Vector|||208011602|||ISSR|||OTH_COST_INC|||False|||</v>
          </cell>
          <cell r="C29" t="str">
            <v>V_KEYWORD_ISSR_208011602_OTH_COST_INC</v>
          </cell>
        </row>
        <row r="30">
          <cell r="A30" t="str">
            <v>Vector|||208011602|||ISSR|||PT_PROF|||False|||</v>
          </cell>
          <cell r="C30" t="str">
            <v>V_KEYWORD_ISSR_208011602_PT_PROF</v>
          </cell>
        </row>
        <row r="32">
          <cell r="A32" t="str">
            <v>Vector|||208011602|||ISSR|||CONTRIB_MARGIN_RATIO|||False|||</v>
          </cell>
          <cell r="C32" t="str">
            <v>V_KEYWORD_ISSR_208011602_CONTRIB_MARGIN_RATIO</v>
          </cell>
        </row>
        <row r="33">
          <cell r="A33" t="str">
            <v>Vector|||208011602|||ISSR|||LEASE_PAY|||False|||</v>
          </cell>
          <cell r="C33" t="str">
            <v>V_KEYWORD_ISSR_208011602_LEASE_PAY</v>
          </cell>
        </row>
        <row r="34">
          <cell r="A34" t="str">
            <v>Vector|||208011602|||ISSR|||LEASE_DEEM_INT|||False|||</v>
          </cell>
          <cell r="C34" t="str">
            <v>V_KEYWORD_ISSR_208011602_LEASE_DEEM_INT</v>
          </cell>
        </row>
        <row r="35">
          <cell r="A35" t="str">
            <v>Vector|||208011602|||ISSR|||LEASE_DEEM_DEPR|||False|||</v>
          </cell>
          <cell r="C35" t="str">
            <v>V_KEYWORD_ISSR_208011602_LEASE_DEEM_DEPR</v>
          </cell>
        </row>
        <row r="36">
          <cell r="A36" t="str">
            <v>Vector|||208011602|||ISSR|||NET_INT_CH|||False|||</v>
          </cell>
          <cell r="C36" t="str">
            <v>V_KEYWORD_ISSR_208011602_NET_INT_CH</v>
          </cell>
        </row>
        <row r="37">
          <cell r="A37" t="str">
            <v>Vector|||208011602|||ISSR|||ASSOCIATE_OP|||False|||</v>
          </cell>
          <cell r="C37" t="str">
            <v>V_KEYWORD_ISSR_208011602_ASSOCIATE_OP</v>
          </cell>
        </row>
        <row r="38">
          <cell r="A38" t="str">
            <v>Vector|||208011602|||ISSR|||DEPR_ROU_ASSETS|||False|||</v>
          </cell>
          <cell r="C38" t="str">
            <v>V_KEYWORD_ISSR_208011602_DEPR_ROU_ASSETS</v>
          </cell>
        </row>
        <row r="39">
          <cell r="A39" t="str">
            <v>Vector|||208011602|||ISSR|||LEASE_INT_CHG|||False|||</v>
          </cell>
          <cell r="C39" t="str">
            <v>V_KEYWORD_ISSR_208011602_LEASE_INT_CHG</v>
          </cell>
        </row>
        <row r="40">
          <cell r="A40" t="str">
            <v>Scalar|||208011602|||ISSR|||LEASE_ADOPT|||False|||</v>
          </cell>
          <cell r="C40" t="str">
            <v>V_KEYWORD_ISSR_208011602_LEASE_ADOPT</v>
          </cell>
        </row>
        <row r="42">
          <cell r="A42" t="str">
            <v>Vector|||208011602|||ISSR|||CASH_EQ|||False|||</v>
          </cell>
          <cell r="C42" t="str">
            <v>V_KEYWORD_ISSR_208011602_CASH_EQ</v>
          </cell>
        </row>
        <row r="43">
          <cell r="A43" t="str">
            <v>Vector|||208011602|||ISSR|||DEBTORS|||False|||</v>
          </cell>
          <cell r="C43" t="str">
            <v>V_KEYWORD_ISSR_208011602_DEBTORS</v>
          </cell>
        </row>
        <row r="44">
          <cell r="A44" t="str">
            <v>Vector|||208011602|||ISSR|||STOCKS|||False|||</v>
          </cell>
          <cell r="C44" t="str">
            <v>V_KEYWORD_ISSR_208011602_STOCKS</v>
          </cell>
        </row>
        <row r="45">
          <cell r="A45" t="str">
            <v>Vector|||208011602|||ISSR|||OTH_CUR_ASS|||False|||</v>
          </cell>
          <cell r="C45" t="str">
            <v>V_KEYWORD_ISSR_208011602_OTH_CUR_ASS</v>
          </cell>
        </row>
        <row r="46">
          <cell r="A46" t="str">
            <v>Vector|||208011602|||ISSR|||CUR_ASS|||False|||</v>
          </cell>
          <cell r="C46" t="str">
            <v>V_KEYWORD_ISSR_208011602_CUR_ASS</v>
          </cell>
        </row>
        <row r="47">
          <cell r="A47" t="str">
            <v>Vector|||208011602|||ISSR|||GR_FIX_ASS|||False|||</v>
          </cell>
          <cell r="C47" t="str">
            <v>V_KEYWORD_ISSR_208011602_GR_FIX_ASS</v>
          </cell>
        </row>
        <row r="48">
          <cell r="A48" t="str">
            <v>Vector|||208011602|||ISSR|||ACC_DDA|||False|||</v>
          </cell>
          <cell r="C48" t="str">
            <v>V_KEYWORD_ISSR_208011602_ACC_DDA</v>
          </cell>
        </row>
        <row r="49">
          <cell r="A49" t="str">
            <v>Vector|||208011602|||ISSR|||NET_FIX_ASS|||False|||</v>
          </cell>
          <cell r="C49" t="str">
            <v>V_KEYWORD_ISSR_208011602_NET_FIX_ASS</v>
          </cell>
        </row>
        <row r="50">
          <cell r="A50" t="str">
            <v>Vector|||208011602|||ISSR|||GR_INTANG|||False|||</v>
          </cell>
          <cell r="C50" t="str">
            <v>V_KEYWORD_ISSR_208011602_GR_INTANG</v>
          </cell>
        </row>
        <row r="51">
          <cell r="A51" t="str">
            <v>Vector|||208011602|||ISSR|||ACC_AMORT|||False|||</v>
          </cell>
          <cell r="C51" t="str">
            <v>V_KEYWORD_ISSR_208011602_ACC_AMORT</v>
          </cell>
        </row>
        <row r="52">
          <cell r="A52" t="str">
            <v>Vector|||208011602|||ISSR|||NET_INTANG|||False|||</v>
          </cell>
          <cell r="C52" t="str">
            <v>V_KEYWORD_ISSR_208011602_NET_INTANG</v>
          </cell>
        </row>
        <row r="53">
          <cell r="A53" t="str">
            <v>Vector|||208011602|||ISSR|||FIX_ASS_INV|||False|||</v>
          </cell>
          <cell r="C53" t="str">
            <v>V_KEYWORD_ISSR_208011602_FIX_ASS_INV</v>
          </cell>
        </row>
        <row r="54">
          <cell r="A54" t="str">
            <v>Vector|||208011602|||ISSR|||INV_SECUR|||False|||</v>
          </cell>
          <cell r="C54" t="str">
            <v>V_KEYWORD_ISSR_208011602_INV_SECUR</v>
          </cell>
        </row>
        <row r="55">
          <cell r="A55" t="str">
            <v>Vector|||208011602|||ISSR|||OTH_LT_ASS|||False|||</v>
          </cell>
          <cell r="C55" t="str">
            <v>V_KEYWORD_ISSR_208011602_OTH_LT_ASS</v>
          </cell>
        </row>
        <row r="56">
          <cell r="A56" t="str">
            <v>Vector|||208011602|||ISSR|||TOT_ASSET|||False|||</v>
          </cell>
          <cell r="C56" t="str">
            <v>V_KEYWORD_ISSR_208011602_TOT_ASSET</v>
          </cell>
        </row>
        <row r="57">
          <cell r="A57" t="str">
            <v>Vector|||208011602|||ISSR|||ACC_PAY_GQ|||False|||</v>
          </cell>
          <cell r="C57" t="str">
            <v>V_KEYWORD_ISSR_208011602_ACC_PAY_GQ</v>
          </cell>
        </row>
        <row r="58">
          <cell r="A58" t="str">
            <v>Vector|||208011602|||ISSR|||SHORT_T_DEBT|||False|||</v>
          </cell>
          <cell r="C58" t="str">
            <v>V_KEYWORD_ISSR_208011602_SHORT_T_DEBT</v>
          </cell>
        </row>
        <row r="59">
          <cell r="A59" t="str">
            <v>Vector|||208011602|||ISSR|||ST_LEASE_LIAB|||False|||</v>
          </cell>
          <cell r="C59" t="str">
            <v>V_KEYWORD_ISSR_208011602_ST_LEASE_LIAB</v>
          </cell>
        </row>
        <row r="60">
          <cell r="A60" t="str">
            <v>Vector|||208011602|||ISSR|||OTH_CUR_LIABS|||False|||</v>
          </cell>
          <cell r="C60" t="str">
            <v>V_KEYWORD_ISSR_208011602_OTH_CUR_LIABS</v>
          </cell>
        </row>
        <row r="61">
          <cell r="A61" t="str">
            <v>Vector|||208011602|||ISSR|||SHORT_TERM_LIABS|||False|||</v>
          </cell>
          <cell r="C61" t="str">
            <v>V_KEYWORD_ISSR_208011602_SHORT_TERM_LIABS</v>
          </cell>
        </row>
        <row r="62">
          <cell r="A62" t="str">
            <v>Vector|||208011602|||ISSR|||LT_DEBT|||False|||</v>
          </cell>
          <cell r="C62" t="str">
            <v>V_KEYWORD_ISSR_208011602_LT_DEBT</v>
          </cell>
        </row>
        <row r="63">
          <cell r="A63" t="str">
            <v>Vector|||208011602|||ISSR|||LT_LEASE_LIAB|||False|||</v>
          </cell>
          <cell r="C63" t="str">
            <v>V_KEYWORD_ISSR_208011602_LT_LEASE_LIAB</v>
          </cell>
        </row>
        <row r="64">
          <cell r="A64" t="str">
            <v>Vector|||208011602|||ISSR|||OTH_LT_CRED_GQ|||False|||</v>
          </cell>
          <cell r="C64" t="str">
            <v>V_KEYWORD_ISSR_208011602_OTH_LT_CRED_GQ</v>
          </cell>
        </row>
        <row r="65">
          <cell r="A65" t="str">
            <v>Vector|||208011602|||ISSR|||TOT_LT_LIAB|||False|||</v>
          </cell>
          <cell r="C65" t="str">
            <v>V_KEYWORD_ISSR_208011602_TOT_LT_LIAB</v>
          </cell>
        </row>
        <row r="66">
          <cell r="A66" t="str">
            <v>Vector|||208011602|||ISSR|||TOT_LIAB|||False|||</v>
          </cell>
          <cell r="C66" t="str">
            <v>V_KEYWORD_ISSR_208011602_TOT_LIAB</v>
          </cell>
        </row>
        <row r="67">
          <cell r="A67" t="str">
            <v>Vector|||208011602|||ISSR|||PREF_SH|||False|||</v>
          </cell>
          <cell r="C67" t="str">
            <v>V_KEYWORD_ISSR_208011602_PREF_SH</v>
          </cell>
        </row>
        <row r="68">
          <cell r="A68" t="str">
            <v>Vector|||208011602|||ISSR|||ORD_SH_FUND|||False|||</v>
          </cell>
          <cell r="C68" t="str">
            <v>V_KEYWORD_ISSR_208011602_ORD_SH_FUND</v>
          </cell>
        </row>
        <row r="69">
          <cell r="A69" t="str">
            <v>Vector|||208011602|||ISSR|||MINORITIES|||False|||</v>
          </cell>
          <cell r="C69" t="str">
            <v>V_KEYWORD_ISSR_208011602_MINORITIES</v>
          </cell>
        </row>
        <row r="70">
          <cell r="A70" t="str">
            <v>Vector|||208011602|||ISSR|||EQ|||False|||</v>
          </cell>
          <cell r="C70" t="str">
            <v>V_KEYWORD_ISSR_208011602_EQ</v>
          </cell>
        </row>
        <row r="71">
          <cell r="A71" t="str">
            <v>Vector|||208011602|||ISSR|||TOT_LIAB_EQ|||False|||</v>
          </cell>
          <cell r="C71" t="str">
            <v>V_KEYWORD_ISSR_208011602_TOT_LIAB_EQ</v>
          </cell>
        </row>
        <row r="73">
          <cell r="A73" t="str">
            <v>Vector|||208011602|||ISSR|||TOT_USD_DEBT|||False|||</v>
          </cell>
          <cell r="C73" t="str">
            <v>V_KEYWORD_ISSR_208011602_TOT_USD_DEBT</v>
          </cell>
        </row>
        <row r="74">
          <cell r="A74" t="str">
            <v>Vector|||208011602|||ISSR|||TOT_PCT_USD_DEBT_HEDGED|||False|||</v>
          </cell>
          <cell r="C74" t="str">
            <v>V_KEYWORD_ISSR_208011602_TOT_PCT_USD_DEBT_HEDGED</v>
          </cell>
        </row>
        <row r="75">
          <cell r="A75" t="str">
            <v>Vector|||208011602|||ISSR|||FLOATING_PCT_LOCAL_DEBT|||False|||</v>
          </cell>
          <cell r="C75" t="str">
            <v>V_KEYWORD_ISSR_208011602_FLOATING_PCT_LOCAL_DEBT</v>
          </cell>
        </row>
        <row r="76">
          <cell r="A76" t="str">
            <v>Vector|||208011602|||ISSR|||FLOATING_PCT_LOCAL_DEBT_HEDGED|||False|||</v>
          </cell>
          <cell r="C76" t="str">
            <v>V_KEYWORD_ISSR_208011602_FLOATING_PCT_LOCAL_DEBT_HEDGED</v>
          </cell>
        </row>
        <row r="77">
          <cell r="A77" t="str">
            <v>Vector|||208011602|||ISSR|||NET_DEBT|||False|||</v>
          </cell>
          <cell r="C77" t="str">
            <v>V_KEYWORD_ISSR_208011602_NET_DEBT</v>
          </cell>
        </row>
        <row r="78">
          <cell r="A78" t="str">
            <v>Vector|||208011602|||ISSR|||CAP_LEASES|||False|||</v>
          </cell>
          <cell r="C78" t="str">
            <v>V_KEYWORD_ISSR_208011602_CAP_LEASES</v>
          </cell>
        </row>
        <row r="79">
          <cell r="A79" t="str">
            <v>Vector|||208011602|||ISSR|||DEF_INC_TAX|||False|||</v>
          </cell>
          <cell r="C79" t="str">
            <v>V_KEYWORD_ISSR_208011602_DEF_INC_TAX</v>
          </cell>
        </row>
        <row r="80">
          <cell r="A80" t="str">
            <v>Vector|||208011602|||ISSR|||MV_ASSOCIATES|||False|||</v>
          </cell>
          <cell r="C80" t="str">
            <v>V_KEYWORD_ISSR_208011602_MV_ASSOCIATES</v>
          </cell>
        </row>
        <row r="81">
          <cell r="A81" t="str">
            <v>Vector|||208011602|||ISSR|||NET_DEBT_ADJ|||False|||</v>
          </cell>
          <cell r="C81" t="str">
            <v>V_KEYWORD_ISSR_208011602_NET_DEBT_ADJ</v>
          </cell>
        </row>
        <row r="82">
          <cell r="A82" t="str">
            <v>Vector|||208011602|||ISSR|||CO_BOR_MARGIN|||False|||</v>
          </cell>
          <cell r="C82" t="str">
            <v>V_KEYWORD_ISSR_208011602_CO_BOR_MARGIN</v>
          </cell>
        </row>
        <row r="83">
          <cell r="A83" t="str">
            <v>Vector|||208011602|||ISSR|||UNF_PENS|||False|||</v>
          </cell>
          <cell r="C83" t="str">
            <v>V_KEYWORD_ISSR_208011602_UNF_PENS</v>
          </cell>
        </row>
        <row r="84">
          <cell r="A84" t="str">
            <v>Vector|||208011602|||ISSR|||UNF_PENS_OFF|||False|||</v>
          </cell>
          <cell r="C84" t="str">
            <v>V_KEYWORD_ISSR_208011602_UNF_PENS_OFF</v>
          </cell>
        </row>
        <row r="85">
          <cell r="A85" t="str">
            <v>Vector|||208011602|||ISSR|||UNF_PENS_LIAB_OTH|||False|||</v>
          </cell>
          <cell r="C85" t="str">
            <v>V_KEYWORD_ISSR_208011602_UNF_PENS_LIAB_OTH</v>
          </cell>
        </row>
        <row r="86">
          <cell r="A86" t="str">
            <v>Vector|||208011602|||ISSR|||ADJ_UNF_PENS_GOOD|||False|||</v>
          </cell>
          <cell r="C86" t="str">
            <v>V_KEYWORD_ISSR_208011602_ADJ_UNF_PENS_GOOD</v>
          </cell>
        </row>
        <row r="87">
          <cell r="A87" t="str">
            <v>Vector|||208011602|||ISSR|||OTH_GCI_ADJ|||False|||</v>
          </cell>
          <cell r="C87" t="str">
            <v>V_KEYWORD_ISSR_208011602_OTH_GCI_ADJ</v>
          </cell>
        </row>
        <row r="88">
          <cell r="A88" t="str">
            <v>Vector|||208011602|||ISSR|||GCI_INFL|||False|||</v>
          </cell>
          <cell r="C88" t="str">
            <v>V_KEYWORD_ISSR_208011602_GCI_INFL</v>
          </cell>
        </row>
        <row r="89">
          <cell r="A89" t="str">
            <v>Vector|||208011602|||ISSR|||BAL_MINO_INT|||False|||</v>
          </cell>
          <cell r="C89" t="str">
            <v>V_KEYWORD_ISSR_208011602_BAL_MINO_INT</v>
          </cell>
        </row>
        <row r="90">
          <cell r="A90" t="str">
            <v>Vector|||208011602|||ISSR|||ROU_ASSET|||False|||</v>
          </cell>
          <cell r="C90" t="str">
            <v>V_KEYWORD_ISSR_208011602_ROU_ASSET</v>
          </cell>
        </row>
        <row r="92">
          <cell r="A92" t="str">
            <v>Vector|||208011602|||ISSR|||CF_INC_MINORITY|||False|||</v>
          </cell>
          <cell r="C92" t="str">
            <v>V_KEYWORD_ISSR_208011602_CF_INC_MINORITY</v>
          </cell>
        </row>
        <row r="93">
          <cell r="A93" t="str">
            <v>Vector|||208011602|||ISSR|||DEPR_AMORT|||False|||</v>
          </cell>
          <cell r="C93" t="str">
            <v>V_KEYWORD_ISSR_208011602_DEPR_AMORT</v>
          </cell>
        </row>
        <row r="94">
          <cell r="A94" t="str">
            <v>Vector|||208011602|||ISSR|||WORK_CAP|||False|||</v>
          </cell>
          <cell r="C94" t="str">
            <v>V_KEYWORD_ISSR_208011602_WORK_CAP</v>
          </cell>
        </row>
        <row r="95">
          <cell r="A95" t="str">
            <v>Vector|||208011602|||ISSR|||OTH_OP_CF|||False|||</v>
          </cell>
          <cell r="C95" t="str">
            <v>V_KEYWORD_ISSR_208011602_OTH_OP_CF</v>
          </cell>
        </row>
        <row r="96">
          <cell r="A96" t="str">
            <v>Vector|||208011602|||ISSR|||CF_OPS|||False|||</v>
          </cell>
          <cell r="C96" t="str">
            <v>V_KEYWORD_ISSR_208011602_CF_OPS</v>
          </cell>
        </row>
        <row r="97">
          <cell r="A97" t="str">
            <v>Vector|||208011602|||ISSR|||CAPEX|||False|||</v>
          </cell>
          <cell r="C97" t="str">
            <v>V_KEYWORD_ISSR_208011602_CAPEX</v>
          </cell>
        </row>
        <row r="98">
          <cell r="A98" t="str">
            <v>Vector|||208011602|||ISSR|||ACQ|||False|||</v>
          </cell>
          <cell r="C98" t="str">
            <v>V_KEYWORD_ISSR_208011602_ACQ</v>
          </cell>
        </row>
        <row r="99">
          <cell r="A99" t="str">
            <v>Vector|||208011602|||ISSR|||DIVEST|||False|||</v>
          </cell>
          <cell r="C99" t="str">
            <v>V_KEYWORD_ISSR_208011602_DIVEST</v>
          </cell>
        </row>
        <row r="100">
          <cell r="A100" t="str">
            <v>Vector|||208011602|||ISSR|||OTH_INV_CF|||False|||</v>
          </cell>
          <cell r="C100" t="str">
            <v>V_KEYWORD_ISSR_208011602_OTH_INV_CF</v>
          </cell>
        </row>
        <row r="101">
          <cell r="A101" t="str">
            <v>Vector|||208011602|||ISSR|||CF_INV|||False|||</v>
          </cell>
          <cell r="C101" t="str">
            <v>V_KEYWORD_ISSR_208011602_CF_INV</v>
          </cell>
        </row>
        <row r="102">
          <cell r="A102" t="str">
            <v>Vector|||208011602|||ISSR|||DIV_PAID|||False|||</v>
          </cell>
          <cell r="C102" t="str">
            <v>V_KEYWORD_ISSR_208011602_DIV_PAID</v>
          </cell>
        </row>
        <row r="103">
          <cell r="A103" t="str">
            <v>Vector|||208011602|||ISSR|||SH_REPUR|||False|||</v>
          </cell>
          <cell r="C103" t="str">
            <v>V_KEYWORD_ISSR_208011602_SH_REPUR</v>
          </cell>
        </row>
        <row r="104">
          <cell r="A104" t="str">
            <v>Vector|||208011602|||ISSR|||CHG_LT_DEBT|||False|||</v>
          </cell>
          <cell r="C104" t="str">
            <v>V_KEYWORD_ISSR_208011602_CHG_LT_DEBT</v>
          </cell>
        </row>
        <row r="105">
          <cell r="A105" t="str">
            <v>Vector|||208011602|||ISSR|||LEASE_PRINCIPAL_CASH|||False|||</v>
          </cell>
          <cell r="C105" t="str">
            <v>V_KEYWORD_ISSR_208011602_LEASE_PRINCIPAL_CASH</v>
          </cell>
        </row>
        <row r="106">
          <cell r="A106" t="str">
            <v>Vector|||208011602|||ISSR|||OTH_FIN_CF|||False|||</v>
          </cell>
          <cell r="C106" t="str">
            <v>V_KEYWORD_ISSR_208011602_OTH_FIN_CF</v>
          </cell>
        </row>
        <row r="107">
          <cell r="A107" t="str">
            <v>Vector|||208011602|||ISSR|||CF_FIN|||False|||</v>
          </cell>
          <cell r="C107" t="str">
            <v>V_KEYWORD_ISSR_208011602_CF_FIN</v>
          </cell>
        </row>
        <row r="108">
          <cell r="A108" t="str">
            <v>Vector|||208011602|||ISSR|||TOT_CF|||False|||</v>
          </cell>
          <cell r="C108" t="str">
            <v>V_KEYWORD_ISSR_208011602_TOT_CF</v>
          </cell>
        </row>
        <row r="110">
          <cell r="A110" t="str">
            <v>Vector|||208011602|||ISSR|||ASSOC_JV_ADDBK|||False|||</v>
          </cell>
          <cell r="C110" t="str">
            <v>V_KEYWORD_ISSR_208011602_ASSOC_JV_ADDBK</v>
          </cell>
        </row>
        <row r="111">
          <cell r="A111" t="str">
            <v>Vector|||208011602|||ISSR|||PL_SALE_ASSETS|||False|||</v>
          </cell>
          <cell r="C111" t="str">
            <v>V_KEYWORD_ISSR_208011602_PL_SALE_ASSETS</v>
          </cell>
        </row>
        <row r="112">
          <cell r="A112" t="str">
            <v>Vector|||208011602|||ISSR|||OTH_NONCASH_ADJ|||False|||</v>
          </cell>
          <cell r="C112" t="str">
            <v>V_KEYWORD_ISSR_208011602_OTH_NONCASH_ADJ</v>
          </cell>
        </row>
        <row r="113">
          <cell r="A113" t="str">
            <v>Vector|||208011602|||ISSR|||OTH_DACF_ADJ|||False|||</v>
          </cell>
          <cell r="C113" t="str">
            <v>V_KEYWORD_ISSR_208011602_OTH_DACF_ADJ</v>
          </cell>
        </row>
        <row r="114">
          <cell r="A114" t="str">
            <v>Vector|||208011602|||ISSR|||CASH_INT_EXP|||False|||</v>
          </cell>
          <cell r="C114" t="str">
            <v>V_KEYWORD_ISSR_208011602_CASH_INT_EXP</v>
          </cell>
        </row>
        <row r="115">
          <cell r="A115" t="str">
            <v>Vector|||208011602|||ISSR|||CASH_TAX_EXP|||False|||</v>
          </cell>
          <cell r="C115" t="str">
            <v>V_KEYWORD_ISSR_208011602_CASH_TAX_EXP</v>
          </cell>
        </row>
        <row r="116">
          <cell r="A116" t="str">
            <v>Vector|||208011602|||ISSR|||DIVDS_ASSOC_JV|||False|||</v>
          </cell>
          <cell r="C116" t="str">
            <v>V_KEYWORD_ISSR_208011602_DIVDS_ASSOC_JV</v>
          </cell>
        </row>
        <row r="117">
          <cell r="A117" t="str">
            <v>Vector|||208011602|||ISSR|||CAPEX_MAINTENANCE|||False|||</v>
          </cell>
          <cell r="C117" t="str">
            <v>V_KEYWORD_ISSR_208011602_CAPEX_MAINTENANCE</v>
          </cell>
        </row>
        <row r="118">
          <cell r="A118" t="str">
            <v>Vector|||208011602|||ISSR|||CAPEX_EXPANSION|||False|||</v>
          </cell>
          <cell r="C118" t="str">
            <v>V_KEYWORD_ISSR_208011602_CAPEX_EXPANSION</v>
          </cell>
        </row>
        <row r="119">
          <cell r="A119" t="str">
            <v>Vector|||208011602|||ISSR|||NONPPE_CAPEX|||False|||</v>
          </cell>
          <cell r="C119" t="str">
            <v>V_KEYWORD_ISSR_208011602_NONPPE_CAPEX</v>
          </cell>
        </row>
        <row r="120">
          <cell r="A120" t="str">
            <v>Vector|||208011602|||ISSR|||DIVDS_PD_MINORITIES|||False|||</v>
          </cell>
          <cell r="C120" t="str">
            <v>V_KEYWORD_ISSR_208011602_DIVDS_PD_MINORITIES</v>
          </cell>
        </row>
        <row r="122">
          <cell r="A122" t="str">
            <v>Vector|||208011602|||ISSR|||EMPLOYEES|||False|||</v>
          </cell>
          <cell r="C122" t="str">
            <v>V_KEYWORD_ISSR_208011602_EMPLOYEES</v>
          </cell>
        </row>
        <row r="124">
          <cell r="A124" t="str">
            <v>Vector|||208011602|||ISSR|||SALES_CANADA|||False|||</v>
          </cell>
          <cell r="C124" t="str">
            <v>V_KEYWORD_ISSR_208011602_SALES_CANADA</v>
          </cell>
        </row>
        <row r="125">
          <cell r="A125" t="str">
            <v>Vector|||208011602|||ISSR|||SALES_US|||False|||</v>
          </cell>
          <cell r="C125" t="str">
            <v>V_KEYWORD_ISSR_208011602_SALES_US</v>
          </cell>
        </row>
        <row r="126">
          <cell r="A126" t="str">
            <v>Vector|||208011602|||ISSR|||SALES_OTH_NO_AMER|||False|||</v>
          </cell>
          <cell r="C126" t="str">
            <v>V_KEYWORD_ISSR_208011602_SALES_OTH_NO_AMER</v>
          </cell>
        </row>
        <row r="127">
          <cell r="A127" t="str">
            <v>Vector|||208011602|||ISSR|||SALES_ARGENTINA|||False|||</v>
          </cell>
          <cell r="C127" t="str">
            <v>V_KEYWORD_ISSR_208011602_SALES_ARGENTINA</v>
          </cell>
        </row>
        <row r="128">
          <cell r="A128" t="str">
            <v>Vector|||208011602|||ISSR|||SALES_BRAZIL|||False|||</v>
          </cell>
          <cell r="C128" t="str">
            <v>V_KEYWORD_ISSR_208011602_SALES_BRAZIL</v>
          </cell>
        </row>
        <row r="129">
          <cell r="A129" t="str">
            <v>Vector|||208011602|||ISSR|||SALES_CHILE|||False|||</v>
          </cell>
          <cell r="C129" t="str">
            <v>V_KEYWORD_ISSR_208011602_SALES_CHILE</v>
          </cell>
        </row>
        <row r="130">
          <cell r="A130" t="str">
            <v>Vector|||208011602|||ISSR|||SALES_COLOMBIA|||False|||</v>
          </cell>
          <cell r="C130" t="str">
            <v>V_KEYWORD_ISSR_208011602_SALES_COLOMBIA</v>
          </cell>
        </row>
        <row r="131">
          <cell r="A131" t="str">
            <v>Vector|||208011602|||ISSR|||SALES_MEXICO|||False|||</v>
          </cell>
          <cell r="C131" t="str">
            <v>V_KEYWORD_ISSR_208011602_SALES_MEXICO</v>
          </cell>
        </row>
        <row r="132">
          <cell r="A132" t="str">
            <v>Vector|||208011602|||ISSR|||SALES_VENEZUELA|||False|||</v>
          </cell>
          <cell r="C132" t="str">
            <v>V_KEYWORD_ISSR_208011602_SALES_VENEZUELA</v>
          </cell>
        </row>
        <row r="133">
          <cell r="A133" t="str">
            <v>Vector|||208011602|||ISSR|||SALES_OTH_LATAM|||False|||</v>
          </cell>
          <cell r="C133" t="str">
            <v>V_KEYWORD_ISSR_208011602_SALES_OTH_LATAM</v>
          </cell>
        </row>
        <row r="134">
          <cell r="A134" t="str">
            <v>Vector|||208011602|||ISSR|||SALES_AUSTRIA|||False|||</v>
          </cell>
          <cell r="C134" t="str">
            <v>V_KEYWORD_ISSR_208011602_SALES_AUSTRIA</v>
          </cell>
        </row>
        <row r="135">
          <cell r="A135" t="str">
            <v>Vector|||208011602|||ISSR|||SALES_BEL|||False|||</v>
          </cell>
          <cell r="C135" t="str">
            <v>V_KEYWORD_ISSR_208011602_SALES_BEL</v>
          </cell>
        </row>
        <row r="136">
          <cell r="A136" t="str">
            <v>Vector|||208011602|||ISSR|||SALES_FRA|||False|||</v>
          </cell>
          <cell r="C136" t="str">
            <v>V_KEYWORD_ISSR_208011602_SALES_FRA</v>
          </cell>
        </row>
        <row r="137">
          <cell r="A137" t="str">
            <v>Vector|||208011602|||ISSR|||SALES_GER|||False|||</v>
          </cell>
          <cell r="C137" t="str">
            <v>V_KEYWORD_ISSR_208011602_SALES_GER</v>
          </cell>
        </row>
        <row r="138">
          <cell r="A138" t="str">
            <v>Vector|||208011602|||ISSR|||SALES_GRE|||False|||</v>
          </cell>
          <cell r="C138" t="str">
            <v>V_KEYWORD_ISSR_208011602_SALES_GRE</v>
          </cell>
        </row>
        <row r="139">
          <cell r="A139" t="str">
            <v>Vector|||208011602|||ISSR|||SALES_IRE|||False|||</v>
          </cell>
          <cell r="C139" t="str">
            <v>V_KEYWORD_ISSR_208011602_SALES_IRE</v>
          </cell>
        </row>
        <row r="140">
          <cell r="A140" t="str">
            <v>Vector|||208011602|||ISSR|||SALES_ITA|||False|||</v>
          </cell>
          <cell r="C140" t="str">
            <v>V_KEYWORD_ISSR_208011602_SALES_ITA</v>
          </cell>
        </row>
        <row r="141">
          <cell r="A141" t="str">
            <v>Vector|||208011602|||ISSR|||SALES_NETH|||False|||</v>
          </cell>
          <cell r="C141" t="str">
            <v>V_KEYWORD_ISSR_208011602_SALES_NETH</v>
          </cell>
        </row>
        <row r="142">
          <cell r="A142" t="str">
            <v>Vector|||208011602|||ISSR|||SALES_NOR|||False|||</v>
          </cell>
          <cell r="C142" t="str">
            <v>V_KEYWORD_ISSR_208011602_SALES_NOR</v>
          </cell>
        </row>
        <row r="143">
          <cell r="A143" t="str">
            <v>Vector|||208011602|||ISSR|||SALES_POR|||False|||</v>
          </cell>
          <cell r="C143" t="str">
            <v>V_KEYWORD_ISSR_208011602_SALES_POR</v>
          </cell>
        </row>
        <row r="144">
          <cell r="A144" t="str">
            <v>Vector|||208011602|||ISSR|||SALES_SPA|||False|||</v>
          </cell>
          <cell r="C144" t="str">
            <v>V_KEYWORD_ISSR_208011602_SALES_SPA</v>
          </cell>
        </row>
        <row r="145">
          <cell r="A145" t="str">
            <v>Vector|||208011602|||ISSR|||SALES_SWE|||False|||</v>
          </cell>
          <cell r="C145" t="str">
            <v>V_KEYWORD_ISSR_208011602_SALES_SWE</v>
          </cell>
        </row>
        <row r="146">
          <cell r="A146" t="str">
            <v>Vector|||208011602|||ISSR|||SALES_SWIT|||False|||</v>
          </cell>
          <cell r="C146" t="str">
            <v>V_KEYWORD_ISSR_208011602_SALES_SWIT</v>
          </cell>
        </row>
        <row r="147">
          <cell r="A147" t="str">
            <v>Vector|||208011602|||ISSR|||SALES_UK|||False|||</v>
          </cell>
          <cell r="C147" t="str">
            <v>V_KEYWORD_ISSR_208011602_SALES_UK</v>
          </cell>
        </row>
        <row r="148">
          <cell r="A148" t="str">
            <v>Vector|||208011602|||ISSR|||SALES_OTH_WEST_EURO|||False|||</v>
          </cell>
          <cell r="C148" t="str">
            <v>V_KEYWORD_ISSR_208011602_SALES_OTH_WEST_EURO</v>
          </cell>
        </row>
        <row r="149">
          <cell r="A149" t="str">
            <v>Vector|||208011602|||ISSR|||SALES_POLAND|||False|||</v>
          </cell>
          <cell r="C149" t="str">
            <v>V_KEYWORD_ISSR_208011602_SALES_POLAND</v>
          </cell>
        </row>
        <row r="150">
          <cell r="A150" t="str">
            <v>Vector|||208011602|||ISSR|||SALES_RUSSIA|||False|||</v>
          </cell>
          <cell r="C150" t="str">
            <v>V_KEYWORD_ISSR_208011602_SALES_RUSSIA</v>
          </cell>
        </row>
        <row r="151">
          <cell r="A151" t="str">
            <v>Vector|||208011602|||ISSR|||SALES_TURKEY|||False|||</v>
          </cell>
          <cell r="C151" t="str">
            <v>V_KEYWORD_ISSR_208011602_SALES_TURKEY</v>
          </cell>
        </row>
        <row r="152">
          <cell r="A152" t="str">
            <v>Vector|||208011602|||ISSR|||SALES_OTH_CEE|||False|||</v>
          </cell>
          <cell r="C152" t="str">
            <v>V_KEYWORD_ISSR_208011602_SALES_OTH_CEE</v>
          </cell>
        </row>
        <row r="153">
          <cell r="A153" t="str">
            <v>Vector|||208011602|||ISSR|||SALES_SAUDI_ARABIA|||False|||</v>
          </cell>
          <cell r="C153" t="str">
            <v>V_KEYWORD_ISSR_208011602_SALES_SAUDI_ARABIA</v>
          </cell>
        </row>
        <row r="154">
          <cell r="A154" t="str">
            <v>Vector|||208011602|||ISSR|||SALES_UAE|||False|||</v>
          </cell>
          <cell r="C154" t="str">
            <v>V_KEYWORD_ISSR_208011602_SALES_UAE</v>
          </cell>
        </row>
        <row r="155">
          <cell r="A155" t="str">
            <v>Vector|||208011602|||ISSR|||SALES_OTH_ME|||False|||</v>
          </cell>
          <cell r="C155" t="str">
            <v>V_KEYWORD_ISSR_208011602_SALES_OTH_ME</v>
          </cell>
        </row>
        <row r="156">
          <cell r="A156" t="str">
            <v>Vector|||208011602|||ISSR|||SALES_NIGERIA|||False|||</v>
          </cell>
          <cell r="C156" t="str">
            <v>V_KEYWORD_ISSR_208011602_SALES_NIGERIA</v>
          </cell>
        </row>
        <row r="157">
          <cell r="A157" t="str">
            <v>Vector|||208011602|||ISSR|||SALES_SO_AFRICA|||False|||</v>
          </cell>
          <cell r="C157" t="str">
            <v>V_KEYWORD_ISSR_208011602_SALES_SO_AFRICA</v>
          </cell>
        </row>
        <row r="158">
          <cell r="A158" t="str">
            <v>Vector|||208011602|||ISSR|||SALES_OTH_AFRICA|||False|||</v>
          </cell>
          <cell r="C158" t="str">
            <v>V_KEYWORD_ISSR_208011602_SALES_OTH_AFRICA</v>
          </cell>
        </row>
        <row r="159">
          <cell r="A159" t="str">
            <v>Vector|||208011602|||ISSR|||SALES_HONG_KONG|||False|||</v>
          </cell>
          <cell r="C159" t="str">
            <v>V_KEYWORD_ISSR_208011602_SALES_HONG_KONG</v>
          </cell>
        </row>
        <row r="160">
          <cell r="A160" t="str">
            <v>Vector|||208011602|||ISSR|||SALES_JAPAN|||False|||</v>
          </cell>
          <cell r="C160" t="str">
            <v>V_KEYWORD_ISSR_208011602_SALES_JAPAN</v>
          </cell>
        </row>
        <row r="161">
          <cell r="A161" t="str">
            <v>Vector|||208011602|||ISSR|||SALES_SINGAPORE|||False|||</v>
          </cell>
          <cell r="C161" t="str">
            <v>V_KEYWORD_ISSR_208011602_SALES_SINGAPORE</v>
          </cell>
        </row>
        <row r="162">
          <cell r="A162" t="str">
            <v>Vector|||208011602|||ISSR|||SALES_SK|||False|||</v>
          </cell>
          <cell r="C162" t="str">
            <v>V_KEYWORD_ISSR_208011602_SALES_SK</v>
          </cell>
        </row>
        <row r="163">
          <cell r="A163" t="str">
            <v>Vector|||208011602|||ISSR|||SALES_TAIWAN|||False|||</v>
          </cell>
          <cell r="C163" t="str">
            <v>V_KEYWORD_ISSR_208011602_SALES_TAIWAN</v>
          </cell>
        </row>
        <row r="164">
          <cell r="A164" t="str">
            <v>Vector|||208011602|||ISSR|||SALES_OTH_DEV_ASIA|||False|||</v>
          </cell>
          <cell r="C164" t="str">
            <v>V_KEYWORD_ISSR_208011602_SALES_OTH_DEV_ASIA</v>
          </cell>
        </row>
        <row r="165">
          <cell r="A165" t="str">
            <v>Vector|||208011602|||ISSR|||SALES_CHINA|||False|||</v>
          </cell>
          <cell r="C165" t="str">
            <v>V_KEYWORD_ISSR_208011602_SALES_CHINA</v>
          </cell>
        </row>
        <row r="166">
          <cell r="A166" t="str">
            <v>Vector|||208011602|||ISSR|||SALES_INDIA|||False|||</v>
          </cell>
          <cell r="C166" t="str">
            <v>V_KEYWORD_ISSR_208011602_SALES_INDIA</v>
          </cell>
        </row>
        <row r="167">
          <cell r="A167" t="str">
            <v>Vector|||208011602|||ISSR|||SALES_INDONESIA|||False|||</v>
          </cell>
          <cell r="C167" t="str">
            <v>V_KEYWORD_ISSR_208011602_SALES_INDONESIA</v>
          </cell>
        </row>
        <row r="168">
          <cell r="A168" t="str">
            <v>Vector|||208011602|||ISSR|||SALES_THAILAND|||False|||</v>
          </cell>
          <cell r="C168" t="str">
            <v>V_KEYWORD_ISSR_208011602_SALES_THAILAND</v>
          </cell>
        </row>
        <row r="169">
          <cell r="A169" t="str">
            <v>Vector|||208011602|||ISSR|||SALES_OTH_EMERG_ASIA|||False|||</v>
          </cell>
          <cell r="C169" t="str">
            <v>V_KEYWORD_ISSR_208011602_SALES_OTH_EMERG_ASIA</v>
          </cell>
        </row>
        <row r="170">
          <cell r="A170" t="str">
            <v>Vector|||208011602|||ISSR|||SALES_AUSTRA|||False|||</v>
          </cell>
          <cell r="C170" t="str">
            <v>V_KEYWORD_ISSR_208011602_SALES_AUSTRA</v>
          </cell>
        </row>
        <row r="171">
          <cell r="A171" t="str">
            <v>Vector|||208011602|||ISSR|||SALES_NZ|||False|||</v>
          </cell>
          <cell r="C171" t="str">
            <v>V_KEYWORD_ISSR_208011602_SALES_NZ</v>
          </cell>
        </row>
        <row r="172">
          <cell r="A172" t="str">
            <v>Vector|||208011602|||ISSR|||SALES_OTHER|||False|||</v>
          </cell>
          <cell r="C172" t="str">
            <v>V_KEYWORD_ISSR_208011602_SALES_OTHER</v>
          </cell>
        </row>
        <row r="173">
          <cell r="A173" t="str">
            <v>Vector|||208011602|||ISSR|||COGS_PCT_US|||False|||</v>
          </cell>
          <cell r="C173" t="str">
            <v>V_KEYWORD_ISSR_208011602_COGS_PCT_US</v>
          </cell>
        </row>
        <row r="174">
          <cell r="A174" t="str">
            <v>Vector|||208011602|||ISSR|||COGS_PCT_ROW|||False|||</v>
          </cell>
          <cell r="C174" t="str">
            <v>V_KEYWORD_ISSR_208011602_COGS_PCT_ROW</v>
          </cell>
        </row>
        <row r="175">
          <cell r="A175" t="str">
            <v>Vector|||208011602|||ISSR|||SGA_PCT_US|||False|||</v>
          </cell>
          <cell r="C175" t="str">
            <v>V_KEYWORD_ISSR_208011602_SGA_PCT_US</v>
          </cell>
        </row>
        <row r="176">
          <cell r="A176" t="str">
            <v>Vector|||208011602|||ISSR|||SGA_PCT_ROW|||False|||</v>
          </cell>
          <cell r="C176" t="str">
            <v>V_KEYWORD_ISSR_208011602_SGA_PCT_ROW</v>
          </cell>
        </row>
        <row r="177">
          <cell r="A177" t="str">
            <v>Vector|||208011602|||ISSR|||SALES_CONS|||False|||</v>
          </cell>
          <cell r="C177" t="str">
            <v>V_KEYWORD_ISSR_208011602_SALES_CONS</v>
          </cell>
        </row>
        <row r="178">
          <cell r="A178" t="str">
            <v>Vector|||208011602|||ISSR|||SALES_IND|||False|||</v>
          </cell>
          <cell r="C178" t="str">
            <v>V_KEYWORD_ISSR_208011602_SALES_IND</v>
          </cell>
        </row>
        <row r="179">
          <cell r="A179" t="str">
            <v>Vector|||208011602|||ISSR|||SALES_GOV|||False|||</v>
          </cell>
          <cell r="C179" t="str">
            <v>V_KEYWORD_ISSR_208011602_SALES_GOV</v>
          </cell>
        </row>
        <row r="180">
          <cell r="A180" t="str">
            <v>Vector|||208011602|||ISSR|||SALES_FINAN|||False|||</v>
          </cell>
          <cell r="C180" t="str">
            <v>V_KEYWORD_ISSR_208011602_SALES_FINAN</v>
          </cell>
        </row>
        <row r="181">
          <cell r="A181" t="str">
            <v>Vector|||208011602|||ISSR|||SALES_OIL_GAS|||False|||</v>
          </cell>
          <cell r="C181" t="str">
            <v>V_KEYWORD_ISSR_208011602_SALES_OIL_GAS</v>
          </cell>
        </row>
        <row r="183">
          <cell r="A183" t="str">
            <v>Vector|||208011602|||ISSR|||EXP_OIL_PETRO_FUEL|||False|||</v>
          </cell>
          <cell r="C183" t="str">
            <v>V_KEYWORD_ISSR_208011602_EXP_OIL_PETRO_FUEL</v>
          </cell>
        </row>
        <row r="184">
          <cell r="A184" t="str">
            <v>Vector|||208011602|||ISSR|||EXP_OIL_DERIV_NGLS_PLASTICS|||False|||</v>
          </cell>
          <cell r="C184" t="str">
            <v>V_KEYWORD_ISSR_208011602_EXP_OIL_DERIV_NGLS_PLASTICS</v>
          </cell>
        </row>
        <row r="185">
          <cell r="A185" t="str">
            <v>Vector|||208011602|||ISSR|||EXP_GOLD|||False|||</v>
          </cell>
          <cell r="C185" t="str">
            <v>V_KEYWORD_ISSR_208011602_EXP_GOLD</v>
          </cell>
        </row>
        <row r="186">
          <cell r="A186" t="str">
            <v>Vector|||208011602|||ISSR|||EXP_COPPER|||False|||</v>
          </cell>
          <cell r="C186" t="str">
            <v>V_KEYWORD_ISSR_208011602_EXP_COPPER</v>
          </cell>
        </row>
        <row r="187">
          <cell r="A187" t="str">
            <v>Vector|||208011602|||ISSR|||EXP_SILVER|||False|||</v>
          </cell>
          <cell r="C187" t="str">
            <v>V_KEYWORD_ISSR_208011602_EXP_SILVER</v>
          </cell>
        </row>
        <row r="188">
          <cell r="A188" t="str">
            <v>Vector|||208011602|||ISSR|||EXP_PLATINUM|||False|||</v>
          </cell>
          <cell r="C188" t="str">
            <v>V_KEYWORD_ISSR_208011602_EXP_PLATINUM</v>
          </cell>
        </row>
        <row r="189">
          <cell r="A189" t="str">
            <v>Vector|||208011602|||ISSR|||EXP_PALLADIUM|||False|||</v>
          </cell>
          <cell r="C189" t="str">
            <v>V_KEYWORD_ISSR_208011602_EXP_PALLADIUM</v>
          </cell>
        </row>
        <row r="190">
          <cell r="A190" t="str">
            <v>Vector|||208011602|||ISSR|||EXP_ALUMINIUM|||False|||</v>
          </cell>
          <cell r="C190" t="str">
            <v>V_KEYWORD_ISSR_208011602_EXP_ALUMINIUM</v>
          </cell>
        </row>
        <row r="191">
          <cell r="A191" t="str">
            <v>Vector|||208011602|||ISSR|||EXP_NICKEL|||False|||</v>
          </cell>
          <cell r="C191" t="str">
            <v>V_KEYWORD_ISSR_208011602_EXP_NICKEL</v>
          </cell>
        </row>
        <row r="192">
          <cell r="A192" t="str">
            <v>Vector|||208011602|||ISSR|||EXP_ZINC|||False|||</v>
          </cell>
          <cell r="C192" t="str">
            <v>V_KEYWORD_ISSR_208011602_EXP_ZINC</v>
          </cell>
        </row>
        <row r="193">
          <cell r="A193" t="str">
            <v>Vector|||208011602|||ISSR|||EXP_PAPER_PULP|||False|||</v>
          </cell>
          <cell r="C193" t="str">
            <v>V_KEYWORD_ISSR_208011602_EXP_PAPER_PULP</v>
          </cell>
        </row>
        <row r="194">
          <cell r="A194" t="str">
            <v>Vector|||208011602|||ISSR|||EXP_GLASS|||False|||</v>
          </cell>
          <cell r="C194" t="str">
            <v>V_KEYWORD_ISSR_208011602_EXP_GLASS</v>
          </cell>
        </row>
        <row r="195">
          <cell r="A195" t="str">
            <v>Vector|||208011602|||ISSR|||EXP_WATER|||False|||</v>
          </cell>
          <cell r="C195" t="str">
            <v>V_KEYWORD_ISSR_208011602_EXP_WATER</v>
          </cell>
        </row>
        <row r="196">
          <cell r="A196" t="str">
            <v>Vector|||208011602|||ISSR|||EXP_OTH_COMMODITY|||False|||</v>
          </cell>
          <cell r="C196" t="str">
            <v>V_KEYWORD_ISSR_208011602_EXP_OTH_COMMODITY</v>
          </cell>
        </row>
        <row r="197">
          <cell r="A197" t="str">
            <v>Vector|||208011602|||ISSR|||EXP_OTH_COST|||False|||</v>
          </cell>
          <cell r="C197" t="str">
            <v>V_KEYWORD_ISSR_208011602_EXP_OTH_COST</v>
          </cell>
        </row>
        <row r="199">
          <cell r="A199" t="str">
            <v>Vector|||208011602|||ISSR|||SALES_FX_GPB|||False|||</v>
          </cell>
          <cell r="C199" t="str">
            <v>V_KEYWORD_ISSR_208011602_SALES_FX_GPB</v>
          </cell>
        </row>
        <row r="200">
          <cell r="A200" t="str">
            <v>Vector|||208011602|||ISSR|||SALES_FX_EUR|||False|||</v>
          </cell>
          <cell r="C200" t="str">
            <v>V_KEYWORD_ISSR_208011602_SALES_FX_EUR</v>
          </cell>
        </row>
        <row r="201">
          <cell r="A201" t="str">
            <v>Vector|||208011602|||ISSR|||SALES_FX_RUB|||False|||</v>
          </cell>
          <cell r="C201" t="str">
            <v>V_KEYWORD_ISSR_208011602_SALES_FX_RUB</v>
          </cell>
        </row>
        <row r="202">
          <cell r="A202" t="str">
            <v>Vector|||208011602|||ISSR|||SALES_FX_USD|||False|||</v>
          </cell>
          <cell r="C202" t="str">
            <v>V_KEYWORD_ISSR_208011602_SALES_FX_USD</v>
          </cell>
        </row>
        <row r="203">
          <cell r="A203" t="str">
            <v>Vector|||208011602|||ISSR|||SALES_FX_BRL|||False|||</v>
          </cell>
          <cell r="C203" t="str">
            <v>V_KEYWORD_ISSR_208011602_SALES_FX_BRL</v>
          </cell>
        </row>
        <row r="204">
          <cell r="A204" t="str">
            <v>Vector|||208011602|||ISSR|||SALES_FX_YEN|||False|||</v>
          </cell>
          <cell r="C204" t="str">
            <v>V_KEYWORD_ISSR_208011602_SALES_FX_YEN</v>
          </cell>
        </row>
        <row r="205">
          <cell r="A205" t="str">
            <v>Vector|||208011602|||ISSR|||SALES_FX_CNY|||False|||</v>
          </cell>
          <cell r="C205" t="str">
            <v>V_KEYWORD_ISSR_208011602_SALES_FX_CNY</v>
          </cell>
        </row>
        <row r="206">
          <cell r="A206" t="str">
            <v>Vector|||208011602|||ISSR|||SALES_FX_INR|||False|||</v>
          </cell>
          <cell r="C206" t="str">
            <v>V_KEYWORD_ISSR_208011602_SALES_FX_INR</v>
          </cell>
        </row>
        <row r="207">
          <cell r="A207" t="str">
            <v>Vector|||208011602|||ISSR|||SALES_FX_KRW|||False|||</v>
          </cell>
          <cell r="C207" t="str">
            <v>V_KEYWORD_ISSR_208011602_SALES_FX_KRW</v>
          </cell>
        </row>
        <row r="208">
          <cell r="A208" t="str">
            <v>Vector|||208011602|||ISSR|||SALES_FX_TWD|||False|||</v>
          </cell>
          <cell r="C208" t="str">
            <v>V_KEYWORD_ISSR_208011602_SALES_FX_TWD</v>
          </cell>
        </row>
        <row r="209">
          <cell r="A209" t="str">
            <v>Vector|||208011602|||ISSR|||SALES_FX_OTH|||False|||</v>
          </cell>
          <cell r="C209" t="str">
            <v>V_KEYWORD_ISSR_208011602_SALES_FX_OTH</v>
          </cell>
        </row>
        <row r="211">
          <cell r="A211" t="str">
            <v>Vector|||208011602|||ISSR|||SALES_TOT_AM|||False|||</v>
          </cell>
          <cell r="C211" t="str">
            <v>V_KEYWORD_ISSR_208011602_SALES_TOT_AM</v>
          </cell>
        </row>
        <row r="212">
          <cell r="A212" t="str">
            <v>Vector|||208011602|||ISSR|||SALES_OTH_AM|||False|||</v>
          </cell>
          <cell r="C212" t="str">
            <v>V_KEYWORD_ISSR_208011602_SALES_OTH_AM</v>
          </cell>
        </row>
        <row r="213">
          <cell r="A213" t="str">
            <v>Vector|||208011602|||ISSR|||SALES_TOT_EMEA|||False|||</v>
          </cell>
          <cell r="C213" t="str">
            <v>V_KEYWORD_ISSR_208011602_SALES_TOT_EMEA</v>
          </cell>
        </row>
        <row r="214">
          <cell r="A214" t="str">
            <v>Vector|||208011602|||ISSR|||SALES_EU_EX_UK|||False|||</v>
          </cell>
          <cell r="C214" t="str">
            <v>V_KEYWORD_ISSR_208011602_SALES_EU_EX_UK</v>
          </cell>
        </row>
        <row r="215">
          <cell r="A215" t="str">
            <v>Vector|||208011602|||ISSR|||SALES_CEE|||False|||</v>
          </cell>
          <cell r="C215" t="str">
            <v>V_KEYWORD_ISSR_208011602_SALES_CEE</v>
          </cell>
        </row>
        <row r="216">
          <cell r="A216" t="str">
            <v>Vector|||208011602|||ISSR|||SALES_ME|||False|||</v>
          </cell>
          <cell r="C216" t="str">
            <v>V_KEYWORD_ISSR_208011602_SALES_ME</v>
          </cell>
        </row>
        <row r="217">
          <cell r="A217" t="str">
            <v>Vector|||208011602|||ISSR|||SALES_TOT_AFRICA|||False|||</v>
          </cell>
          <cell r="C217" t="str">
            <v>V_KEYWORD_ISSR_208011602_SALES_TOT_AFRICA</v>
          </cell>
        </row>
        <row r="218">
          <cell r="A218" t="str">
            <v>Vector|||208011602|||ISSR|||SALES_OTH_EMEA|||False|||</v>
          </cell>
          <cell r="C218" t="str">
            <v>V_KEYWORD_ISSR_208011602_SALES_OTH_EMEA</v>
          </cell>
        </row>
        <row r="219">
          <cell r="A219" t="str">
            <v>Vector|||208011602|||ISSR|||SALES_TOT_ASIA|||False|||</v>
          </cell>
          <cell r="C219" t="str">
            <v>V_KEYWORD_ISSR_208011602_SALES_TOT_ASIA</v>
          </cell>
        </row>
        <row r="220">
          <cell r="A220" t="str">
            <v>Vector|||208011602|||ISSR|||SALES_OTH_AEJ|||False|||</v>
          </cell>
          <cell r="C220" t="str">
            <v>V_KEYWORD_ISSR_208011602_SALES_OTH_AEJ</v>
          </cell>
        </row>
        <row r="226">
          <cell r="A226" t="str">
            <v>Scalar|||200014819|||EQTY|||PUB_CURRENCY_ISO|||False|||</v>
          </cell>
          <cell r="C226" t="str">
            <v>V_KEYWORD_EQTY_200014819_PUB_CURRENCY_ISO</v>
          </cell>
          <cell r="E226" t="str">
            <v>ERROR</v>
          </cell>
        </row>
        <row r="227">
          <cell r="A227" t="str">
            <v>Scalar|||200014819|||EQTY|||PRICE_CURRENCY_ISO|||False|||</v>
          </cell>
          <cell r="C227" t="str">
            <v>V_KEYWORD_EQTY_200014819_PRICE_CURRENCY_ISO</v>
          </cell>
          <cell r="E227" t="str">
            <v>ERROR</v>
          </cell>
        </row>
        <row r="228">
          <cell r="A228" t="str">
            <v>Scalar|||200014819|||EQTY|||CURRENCY_ISO|||False|||</v>
          </cell>
          <cell r="C228" t="str">
            <v>V_KEYWORD_EQTY_200014819_CURRENCY_ISO</v>
          </cell>
        </row>
        <row r="230">
          <cell r="A230" t="str">
            <v>Scalar|||200014819|||EQTY|||AEJ_LIST|||False|||</v>
          </cell>
          <cell r="C230" t="str">
            <v>V_KEYWORD_EQTY_200014819_AEJ_LIST</v>
          </cell>
          <cell r="E230" t="str">
            <v>ERROR</v>
          </cell>
        </row>
        <row r="231">
          <cell r="A231" t="str">
            <v>Scalar|||200014819|||EQTY|||AEJ_CONVICTION|||False|||</v>
          </cell>
          <cell r="C231" t="str">
            <v>V_KEYWORD_EQTY_200014819_AEJ_CONVICTION</v>
          </cell>
        </row>
        <row r="232">
          <cell r="A232" t="str">
            <v>Scalar|||200014819|||EQTY|||LEGAL_RATING|||False|||</v>
          </cell>
          <cell r="C232" t="str">
            <v>V_KEYWORD_EQTY_200014819_LEGAL_RATING</v>
          </cell>
        </row>
        <row r="233">
          <cell r="A233" t="str">
            <v>Scalar|||200014819|||EQTY|||TARGET_PRICE|||False|||</v>
          </cell>
          <cell r="C233" t="str">
            <v>V_KEYWORD_EQTY_200014819_TARGET_PRICE</v>
          </cell>
          <cell r="E233" t="str">
            <v>ERROR</v>
          </cell>
        </row>
        <row r="234">
          <cell r="A234" t="str">
            <v>Scalar|||200014819|||EQTY|||TP_PERIOD|||False|||</v>
          </cell>
          <cell r="C234" t="str">
            <v>V_KEYWORD_EQTY_200014819_TP_PERIOD</v>
          </cell>
          <cell r="E234" t="str">
            <v>ERROR</v>
          </cell>
        </row>
        <row r="235">
          <cell r="A235" t="str">
            <v>Scalar|||200014819|||EQTY|||TARGET_PRICE_FUNDAMENTAL|||False|||</v>
          </cell>
          <cell r="C235" t="str">
            <v>V_KEYWORD_EQTY_200014819_TARGET_PRICE_FUNDAMENTAL</v>
          </cell>
        </row>
        <row r="236">
          <cell r="A236" t="str">
            <v>Scalar|||200014819|||EQTY|||TARGET_PRICE_MA|||False|||</v>
          </cell>
          <cell r="C236" t="str">
            <v>V_KEYWORD_EQTY_200014819_TARGET_PRICE_MA</v>
          </cell>
        </row>
        <row r="237">
          <cell r="A237" t="str">
            <v>Scalar|||200014819|||EQTY|||NUM_SH|||False|||</v>
          </cell>
          <cell r="C237" t="str">
            <v>V_KEYWORD_EQTY_200014819_NUM_SH</v>
          </cell>
        </row>
        <row r="238">
          <cell r="A238" t="str">
            <v>Scalar|||200014819|||EQTY|||FREE_FLOAT|||False|||</v>
          </cell>
          <cell r="C238" t="str">
            <v>V_KEYWORD_EQTY_200014819_FREE_FLOAT</v>
          </cell>
        </row>
        <row r="239">
          <cell r="A239" t="str">
            <v>Scalar|||200014819|||EQTY|||FOREIGN_HOLDNG|||False|||</v>
          </cell>
          <cell r="C239" t="str">
            <v>V_KEYWORD_EQTY_200014819_FOREIGN_HOLDNG</v>
          </cell>
        </row>
        <row r="240">
          <cell r="A240" t="str">
            <v>Scalar|||200014819|||EQTY|||CATALYST1_DATE|||True|||</v>
          </cell>
          <cell r="C240" t="str">
            <v>V_KEYWORD_EQTY_200014819_CATALYST1_DATE</v>
          </cell>
        </row>
        <row r="241">
          <cell r="A241" t="str">
            <v>Scalar|||200014819|||EQTY|||CATALYST1_EVENT|||False|||</v>
          </cell>
          <cell r="C241" t="str">
            <v>V_KEYWORD_EQTY_200014819_CATALYST1_EVENT</v>
          </cell>
        </row>
        <row r="242">
          <cell r="A242" t="str">
            <v>Scalar|||200014819|||EQTY|||CATALYST2_DATE|||True|||</v>
          </cell>
          <cell r="C242" t="str">
            <v>V_KEYWORD_EQTY_200014819_CATALYST2_DATE</v>
          </cell>
        </row>
        <row r="243">
          <cell r="A243" t="str">
            <v>Scalar|||200014819|||EQTY|||CATALYST2_EVENT|||False|||</v>
          </cell>
          <cell r="C243" t="str">
            <v>V_KEYWORD_EQTY_200014819_CATALYST2_EVENT</v>
          </cell>
        </row>
        <row r="244">
          <cell r="A244" t="str">
            <v>Scalar|||200014819|||EQTY|||CATALYST3_DATE|||True|||</v>
          </cell>
          <cell r="C244" t="str">
            <v>V_KEYWORD_EQTY_200014819_CATALYST3_DATE</v>
          </cell>
        </row>
        <row r="245">
          <cell r="A245" t="str">
            <v>Scalar|||200014819|||EQTY|||CATALYST3_EVENT|||False|||</v>
          </cell>
          <cell r="C245" t="str">
            <v>V_KEYWORD_EQTY_200014819_CATALYST3_EVENT</v>
          </cell>
        </row>
        <row r="246">
          <cell r="A246" t="str">
            <v>Scalar|||200014819|||EQTY|||CATALYST4_DATE|||True|||</v>
          </cell>
          <cell r="C246" t="str">
            <v>V_KEYWORD_EQTY_200014819_CATALYST4_DATE</v>
          </cell>
        </row>
        <row r="247">
          <cell r="A247" t="str">
            <v>Scalar|||200014819|||EQTY|||CATALYST4_EVENT|||False|||</v>
          </cell>
          <cell r="C247" t="str">
            <v>V_KEYWORD_EQTY_200014819_CATALYST4_EVENT</v>
          </cell>
        </row>
        <row r="248">
          <cell r="A248" t="str">
            <v>Scalar|||200014819|||EQTY|||CATALYST5_DATE|||True|||</v>
          </cell>
          <cell r="C248" t="str">
            <v>V_KEYWORD_EQTY_200014819_CATALYST5_DATE</v>
          </cell>
        </row>
        <row r="249">
          <cell r="A249" t="str">
            <v>Scalar|||200014819|||EQTY|||CATALYST5_EVENT|||False|||</v>
          </cell>
          <cell r="C249" t="str">
            <v>V_KEYWORD_EQTY_200014819_CATALYST5_EVENT</v>
          </cell>
        </row>
        <row r="250">
          <cell r="A250" t="str">
            <v>Scalar|||200014819|||EQTY|||PRI_TARG_MULT|||False|||</v>
          </cell>
          <cell r="C250" t="str">
            <v>V_KEYWORD_EQTY_200014819_PRI_TARG_MULT</v>
          </cell>
        </row>
        <row r="251">
          <cell r="A251" t="str">
            <v>Scalar|||200014819|||EQTY|||PRI_TARG_METH|||False|||</v>
          </cell>
          <cell r="C251" t="str">
            <v>V_KEYWORD_EQTY_200014819_PRI_TARG_METH</v>
          </cell>
        </row>
        <row r="253">
          <cell r="A253" t="str">
            <v>Vector|||200014819|||EQTY|||BVPS_PUB|||False|||</v>
          </cell>
          <cell r="C253" t="str">
            <v>V_KEYWORD_EQTY_200014819_BVPS_PUB</v>
          </cell>
        </row>
        <row r="254">
          <cell r="A254" t="str">
            <v>Vector|||200014819|||EQTY|||DPS_PUB|||False|||</v>
          </cell>
          <cell r="C254" t="str">
            <v>V_KEYWORD_EQTY_200014819_DPS_PUB</v>
          </cell>
        </row>
        <row r="255">
          <cell r="A255" t="str">
            <v>Vector|||200014819|||EQTY|||DPS_SPECIAL_PUB|||False|||</v>
          </cell>
          <cell r="C255" t="str">
            <v>V_KEYWORD_EQTY_200014819_DPS_SPECIAL_PUB</v>
          </cell>
        </row>
        <row r="256">
          <cell r="A256" t="str">
            <v>Vector|||200014819|||EQTY|||EBITDA_PUB|||False|||</v>
          </cell>
          <cell r="C256" t="str">
            <v>V_KEYWORD_EQTY_200014819_EBITDA_PUB</v>
          </cell>
        </row>
        <row r="257">
          <cell r="A257" t="str">
            <v>Vector|||200014819|||EQTY|||EPS_PUB|||False|||</v>
          </cell>
          <cell r="C257" t="str">
            <v>V_KEYWORD_EQTY_200014819_EPS_PUB</v>
          </cell>
          <cell r="F257" t="str">
            <v>ERROR</v>
          </cell>
          <cell r="G257" t="str">
            <v>ERROR</v>
          </cell>
          <cell r="H257" t="str">
            <v>ERROR</v>
          </cell>
          <cell r="I257" t="str">
            <v>ERROR</v>
          </cell>
          <cell r="J257" t="str">
            <v>ERROR</v>
          </cell>
          <cell r="K257" t="str">
            <v>ERROR</v>
          </cell>
          <cell r="L257" t="str">
            <v>ERROR</v>
          </cell>
          <cell r="M257" t="str">
            <v>ERROR</v>
          </cell>
          <cell r="N257" t="str">
            <v>ERROR</v>
          </cell>
          <cell r="O257" t="str">
            <v>ERROR</v>
          </cell>
          <cell r="P257" t="str">
            <v>ERROR</v>
          </cell>
          <cell r="Q257" t="str">
            <v>ERROR</v>
          </cell>
          <cell r="R257" t="str">
            <v>ERROR</v>
          </cell>
          <cell r="S257" t="str">
            <v>ERROR</v>
          </cell>
          <cell r="U257" t="str">
            <v>ERROR</v>
          </cell>
          <cell r="V257" t="str">
            <v>ERROR</v>
          </cell>
          <cell r="W257" t="str">
            <v>ERROR</v>
          </cell>
          <cell r="X257" t="str">
            <v>ERROR</v>
          </cell>
          <cell r="Y257" t="str">
            <v>ERROR</v>
          </cell>
          <cell r="Z257" t="str">
            <v>ERROR</v>
          </cell>
          <cell r="AA257" t="str">
            <v>ERROR</v>
          </cell>
          <cell r="AB257" t="str">
            <v>ERROR</v>
          </cell>
          <cell r="AC257" t="str">
            <v>ERROR</v>
          </cell>
          <cell r="AD257" t="str">
            <v>ERROR</v>
          </cell>
          <cell r="AE257" t="str">
            <v>ERROR</v>
          </cell>
          <cell r="AF257" t="str">
            <v>ERROR</v>
          </cell>
          <cell r="AG257" t="str">
            <v>ERROR</v>
          </cell>
          <cell r="AH257" t="str">
            <v>ERROR</v>
          </cell>
          <cell r="AI257" t="str">
            <v>ERROR</v>
          </cell>
          <cell r="AJ257" t="str">
            <v>ERROR</v>
          </cell>
          <cell r="AK257" t="str">
            <v>ERROR</v>
          </cell>
          <cell r="AL257" t="str">
            <v>ERROR</v>
          </cell>
          <cell r="AM257" t="str">
            <v>ERROR</v>
          </cell>
          <cell r="AN257" t="str">
            <v>ERROR</v>
          </cell>
          <cell r="AO257" t="str">
            <v>ERROR</v>
          </cell>
          <cell r="AP257" t="str">
            <v>ERROR</v>
          </cell>
          <cell r="AQ257" t="str">
            <v>ERROR</v>
          </cell>
          <cell r="AR257" t="str">
            <v>ERROR</v>
          </cell>
          <cell r="AS257" t="str">
            <v>ERROR</v>
          </cell>
          <cell r="AT257" t="str">
            <v>ERROR</v>
          </cell>
          <cell r="AU257" t="str">
            <v>ERROR</v>
          </cell>
          <cell r="AV257" t="str">
            <v>ERROR</v>
          </cell>
          <cell r="AW257" t="str">
            <v>ERROR</v>
          </cell>
          <cell r="AX257" t="str">
            <v>ERROR</v>
          </cell>
          <cell r="AY257" t="str">
            <v>ERROR</v>
          </cell>
          <cell r="AZ257" t="str">
            <v>ERROR</v>
          </cell>
          <cell r="BA257" t="str">
            <v>ERROR</v>
          </cell>
          <cell r="BB257" t="str">
            <v>ERROR</v>
          </cell>
        </row>
        <row r="258">
          <cell r="A258" t="str">
            <v>Vector|||200014819|||EQTY|||EV_ADJ_PUB|||False|||</v>
          </cell>
          <cell r="C258" t="str">
            <v>V_KEYWORD_EQTY_200014819_EV_ADJ_PUB</v>
          </cell>
        </row>
        <row r="259">
          <cell r="A259" t="str">
            <v>Vector|||200014819|||EQTY|||NET_DEBT_PUB|||False|||</v>
          </cell>
          <cell r="C259" t="str">
            <v>V_KEYWORD_EQTY_200014819_NET_DEBT_PUB</v>
          </cell>
        </row>
        <row r="260">
          <cell r="A260" t="str">
            <v>Vector|||200014819|||EQTY|||NET_DEBT_EX_LEASES_PUB|||False|||</v>
          </cell>
          <cell r="C260" t="str">
            <v>V_KEYWORD_EQTY_200014819_NET_DEBT_EX_LEASES_PUB</v>
          </cell>
        </row>
        <row r="261">
          <cell r="A261" t="str">
            <v>Vector|||200014819|||EQTY|||CEEE_NDEBT|||False|||</v>
          </cell>
          <cell r="C261" t="str">
            <v>V_KEYWORD_EQTY_200014819_CEEE_NDEBT</v>
          </cell>
        </row>
        <row r="262">
          <cell r="A262" t="str">
            <v>Vector|||200014819|||EQTY|||NI_PUB|||False|||</v>
          </cell>
          <cell r="C262" t="str">
            <v>V_KEYWORD_EQTY_200014819_NI_PUB</v>
          </cell>
        </row>
        <row r="263">
          <cell r="A263" t="str">
            <v>Vector|||200014819|||EQTY|||EBIT_PUB|||False|||</v>
          </cell>
          <cell r="C263" t="str">
            <v>V_KEYWORD_EQTY_200014819_EBIT_PUB</v>
          </cell>
        </row>
        <row r="264">
          <cell r="A264" t="str">
            <v>Vector|||200014819|||EQTY|||PTP_PUB|||False|||</v>
          </cell>
          <cell r="C264" t="str">
            <v>V_KEYWORD_EQTY_200014819_PTP_PUB</v>
          </cell>
        </row>
        <row r="265">
          <cell r="A265" t="str">
            <v>Vector|||200014819|||EQTY|||REVS_PUB|||False|||</v>
          </cell>
          <cell r="C265" t="str">
            <v>V_KEYWORD_EQTY_200014819_REVS_PUB</v>
          </cell>
        </row>
        <row r="266">
          <cell r="A266" t="str">
            <v>Vector|||200014819|||EQTY|||EQ_PUB|||False|||</v>
          </cell>
          <cell r="C266" t="str">
            <v>V_KEYWORD_EQTY_200014819_EQ_PUB</v>
          </cell>
        </row>
        <row r="267">
          <cell r="A267" t="str">
            <v>Vector|||200014819|||EQTY|||EPS_CONS_PUB|||False|||</v>
          </cell>
          <cell r="C267" t="str">
            <v>V_KEYWORD_EQTY_200014819_EPS_CONS_PUB</v>
          </cell>
        </row>
        <row r="269">
          <cell r="A269" t="str">
            <v>Vector|||200014819|||EQTY|||PROV_INC_TAX|||False|||</v>
          </cell>
          <cell r="C269" t="str">
            <v>V_KEYWORD_EQTY_200014819_PROV_INC_TAX</v>
          </cell>
        </row>
        <row r="270">
          <cell r="A270" t="str">
            <v>Vector|||200014819|||EQTY|||INC_MINORITY|||False|||</v>
          </cell>
          <cell r="C270" t="str">
            <v>V_KEYWORD_EQTY_200014819_INC_MINORITY</v>
          </cell>
        </row>
        <row r="271">
          <cell r="A271" t="str">
            <v>Vector|||200014819|||EQTY|||NI_PRE_PREF|||False|||</v>
          </cell>
          <cell r="C271" t="str">
            <v>V_KEYWORD_EQTY_200014819_NI_PRE_PREF</v>
          </cell>
        </row>
        <row r="272">
          <cell r="A272" t="str">
            <v>Vector|||200014819|||EQTY|||PREF_DIV|||False|||</v>
          </cell>
          <cell r="C272" t="str">
            <v>V_KEYWORD_EQTY_200014819_PREF_DIV</v>
          </cell>
        </row>
        <row r="273">
          <cell r="A273" t="str">
            <v>Vector|||200014819|||EQTY|||NET_EARNING|||False|||</v>
          </cell>
          <cell r="C273" t="str">
            <v>V_KEYWORD_EQTY_200014819_NET_EARNING</v>
          </cell>
        </row>
        <row r="274">
          <cell r="A274" t="str">
            <v>Vector|||200014819|||EQTY|||TAX_EXC|||False|||</v>
          </cell>
          <cell r="C274" t="str">
            <v>V_KEYWORD_EQTY_200014819_TAX_EXC</v>
          </cell>
        </row>
        <row r="275">
          <cell r="A275" t="str">
            <v>Vector|||200014819|||EQTY|||NET_INC|||False|||</v>
          </cell>
          <cell r="C275" t="str">
            <v>V_KEYWORD_EQTY_200014819_NET_INC</v>
          </cell>
        </row>
        <row r="276">
          <cell r="A276" t="str">
            <v>Vector|||200014819|||EQTY|||EPS|||False|||</v>
          </cell>
          <cell r="C276" t="str">
            <v>V_KEYWORD_EQTY_200014819_EPS</v>
          </cell>
        </row>
        <row r="277">
          <cell r="A277" t="str">
            <v>Vector|||200014819|||EQTY|||EPS_FUL_DIL|||False|||</v>
          </cell>
          <cell r="C277" t="str">
            <v>V_KEYWORD_EQTY_200014819_EPS_FUL_DIL</v>
          </cell>
        </row>
        <row r="278">
          <cell r="A278" t="str">
            <v>Vector|||200014819|||EQTY|||EPS_POST_BASIC|||False|||</v>
          </cell>
          <cell r="C278" t="str">
            <v>V_KEYWORD_EQTY_200014819_EPS_POST_BASIC</v>
          </cell>
        </row>
        <row r="279">
          <cell r="A279" t="str">
            <v>Vector|||200014819|||EQTY|||FULLY_DIL_EPS|||False|||</v>
          </cell>
          <cell r="C279" t="str">
            <v>V_KEYWORD_EQTY_200014819_FULLY_DIL_EPS</v>
          </cell>
        </row>
        <row r="280">
          <cell r="A280" t="str">
            <v>Vector|||200014819|||EQTY|||COMMON_DIV_PAID|||False|||</v>
          </cell>
          <cell r="C280" t="str">
            <v>V_KEYWORD_EQTY_200014819_COMMON_DIV_PAID</v>
          </cell>
        </row>
        <row r="281">
          <cell r="A281" t="str">
            <v>Vector|||200014819|||EQTY|||DPS|||False|||</v>
          </cell>
          <cell r="C281" t="str">
            <v>V_KEYWORD_EQTY_200014819_DPS</v>
          </cell>
        </row>
        <row r="282">
          <cell r="A282" t="str">
            <v>Vector|||200014819|||EQTY|||SH|||False|||</v>
          </cell>
          <cell r="C282" t="str">
            <v>V_KEYWORD_EQTY_200014819_SH</v>
          </cell>
        </row>
        <row r="283">
          <cell r="A283" t="str">
            <v>Vector|||200014819|||EQTY|||DILUTE_SHARES|||False|||</v>
          </cell>
          <cell r="C283" t="str">
            <v>V_KEYWORD_EQTY_200014819_DILUTE_SHARES</v>
          </cell>
        </row>
        <row r="284">
          <cell r="A284" t="str">
            <v>Vector|||200014819|||EQTY|||NON_OP_ADD|||False|||</v>
          </cell>
          <cell r="C284" t="str">
            <v>V_KEYWORD_EQTY_200014819_NON_OP_ADD</v>
          </cell>
        </row>
        <row r="286">
          <cell r="A286" t="str">
            <v>Vector|||200014819|||EQTY|||MARGIN_TAX_RATE|||False|||</v>
          </cell>
          <cell r="C286" t="str">
            <v>V_KEYWORD_EQTY_200014819_MARGIN_TAX_RATE</v>
          </cell>
        </row>
        <row r="287">
          <cell r="A287" t="str">
            <v>Vector|||200014819|||EQTY|||NI_CONS|||False|||</v>
          </cell>
          <cell r="C287" t="str">
            <v>V_KEYWORD_EQTY_200014819_NI_CONS</v>
          </cell>
        </row>
        <row r="289">
          <cell r="A289" t="str">
            <v>Vector|||200014819|||EQTY|||BVPS|||False|||</v>
          </cell>
          <cell r="C289" t="str">
            <v>V_KEYWORD_EQTY_200014819_BVPS</v>
          </cell>
        </row>
        <row r="291">
          <cell r="A291" t="str">
            <v>Vector|||200014819|||EQTY|||CF_NI_PRE_PREF|||False|||</v>
          </cell>
          <cell r="C291" t="str">
            <v>V_KEYWORD_EQTY_200014819_CF_NI_PRE_PREF</v>
          </cell>
        </row>
        <row r="293">
          <cell r="A293" t="str">
            <v>Scalar|||200014819|||EQTY|||BETA_ANALYST|||False|||</v>
          </cell>
          <cell r="C293" t="str">
            <v>V_KEYWORD_EQTY_200014819_BETA_ANALYST</v>
          </cell>
        </row>
        <row r="294">
          <cell r="A294" t="str">
            <v>Scalar|||200014819|||EQTY|||MKT_EQ_RISK_PREM|||False|||</v>
          </cell>
          <cell r="C294" t="str">
            <v>V_KEYWORD_EQTY_200014819_MKT_EQ_RISK_PREM</v>
          </cell>
        </row>
        <row r="295">
          <cell r="A295" t="str">
            <v>Scalar|||200014819|||EQTY|||RISK_FR_RATE|||False|||</v>
          </cell>
          <cell r="C295" t="str">
            <v>V_KEYWORD_EQTY_200014819_RISK_FR_RATE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000422.SZ_Live_Sheet"/>
      <sheetName val="000422.SZ_Validation_Sheet"/>
      <sheetName val="000422.SZ_Annotation_Sheet"/>
      <sheetName val="000422.SZ_Exchange_Sheet"/>
      <sheetName val="Gas px hike"/>
      <sheetName val="Model"/>
      <sheetName val="Revenue"/>
      <sheetName val="Ratios"/>
      <sheetName val="Raw Data"/>
      <sheetName val="Act Vs Est"/>
      <sheetName val="Act Vs Est (output)"/>
      <sheetName val="Market Data"/>
      <sheetName val="Valuation"/>
      <sheetName val="Capacities"/>
      <sheetName val="Funding"/>
      <sheetName val="Factsheet"/>
      <sheetName val="Group structure"/>
      <sheetName val="Subsidiaries PL"/>
      <sheetName val="Group structure_post chg"/>
      <sheetName val="20081024_plant visit"/>
      <sheetName val="EVEBITDA"/>
      <sheetName val="3 risks"/>
      <sheetName val="DCF"/>
    </sheetNames>
    <sheetDataSet>
      <sheetData sheetId="0" refreshError="1"/>
      <sheetData sheetId="1" refreshError="1"/>
      <sheetData sheetId="2" refreshError="1">
        <row r="1">
          <cell r="A1" t="str">
            <v>Issuer: Hubei Yihua Chemical Industry</v>
          </cell>
        </row>
        <row r="5">
          <cell r="A5" t="str">
            <v>Reference Data</v>
          </cell>
        </row>
        <row r="8">
          <cell r="A8" t="str">
            <v>Income Statement</v>
          </cell>
        </row>
        <row r="29">
          <cell r="A29" t="str">
            <v>Additional Income Statement Items</v>
          </cell>
        </row>
        <row r="36">
          <cell r="A36" t="str">
            <v>Balance Sheet</v>
          </cell>
        </row>
        <row r="65">
          <cell r="A65" t="str">
            <v>Additional Balance Sheet Items</v>
          </cell>
        </row>
        <row r="79">
          <cell r="A79" t="str">
            <v>Cash Flow Statement</v>
          </cell>
        </row>
        <row r="96">
          <cell r="A96" t="str">
            <v>Additional Cash Flow Items</v>
          </cell>
        </row>
        <row r="108">
          <cell r="A108" t="str">
            <v>Other Items</v>
          </cell>
        </row>
        <row r="110">
          <cell r="A110" t="str">
            <v>Geographical Breakdown</v>
          </cell>
        </row>
        <row r="194">
          <cell r="A194" t="str">
            <v>Commodities Exposure - Sales</v>
          </cell>
        </row>
        <row r="195">
          <cell r="B195" t="str">
            <v>Sales - % Paper/pulp</v>
          </cell>
          <cell r="C195" t="str">
            <v>SALES_PAPER_PULP</v>
          </cell>
          <cell r="F195" t="e">
            <v>#N/A</v>
          </cell>
          <cell r="G195" t="e">
            <v>#N/A</v>
          </cell>
          <cell r="H195" t="e">
            <v>#N/A</v>
          </cell>
          <cell r="I195" t="e">
            <v>#N/A</v>
          </cell>
          <cell r="J195" t="e">
            <v>#N/A</v>
          </cell>
          <cell r="K195" t="e">
            <v>#N/A</v>
          </cell>
          <cell r="L195" t="e">
            <v>#N/A</v>
          </cell>
          <cell r="M195" t="e">
            <v>#N/A</v>
          </cell>
          <cell r="N195" t="e">
            <v>#N/A</v>
          </cell>
          <cell r="O195" t="e">
            <v>#N/A</v>
          </cell>
          <cell r="P195" t="e">
            <v>#N/A</v>
          </cell>
          <cell r="Q195" t="e">
            <v>#N/A</v>
          </cell>
          <cell r="R195" t="e">
            <v>#N/A</v>
          </cell>
          <cell r="S195" t="e">
            <v>#N/A</v>
          </cell>
          <cell r="T195" t="e">
            <v>#N/A</v>
          </cell>
          <cell r="U195" t="e">
            <v>#N/A</v>
          </cell>
          <cell r="V195" t="e">
            <v>#N/A</v>
          </cell>
          <cell r="W195" t="e">
            <v>#N/A</v>
          </cell>
          <cell r="X195" t="e">
            <v>#N/A</v>
          </cell>
          <cell r="Z195" t="e">
            <v>#N/A</v>
          </cell>
          <cell r="AA195" t="e">
            <v>#N/A</v>
          </cell>
          <cell r="AB195" t="e">
            <v>#N/A</v>
          </cell>
          <cell r="AC195" t="e">
            <v>#N/A</v>
          </cell>
          <cell r="AD195" t="e">
            <v>#N/A</v>
          </cell>
          <cell r="AE195" t="e">
            <v>#N/A</v>
          </cell>
          <cell r="AF195" t="e">
            <v>#N/A</v>
          </cell>
          <cell r="AG195" t="e">
            <v>#N/A</v>
          </cell>
          <cell r="AH195" t="e">
            <v>#N/A</v>
          </cell>
          <cell r="AI195" t="e">
            <v>#N/A</v>
          </cell>
          <cell r="AJ195" t="e">
            <v>#N/A</v>
          </cell>
          <cell r="AK195" t="e">
            <v>#N/A</v>
          </cell>
          <cell r="AL195" t="e">
            <v>#N/A</v>
          </cell>
          <cell r="AM195" t="e">
            <v>#N/A</v>
          </cell>
          <cell r="AN195" t="e">
            <v>#N/A</v>
          </cell>
          <cell r="AO195" t="e">
            <v>#N/A</v>
          </cell>
          <cell r="AP195" t="e">
            <v>#N/A</v>
          </cell>
          <cell r="AQ195" t="e">
            <v>#N/A</v>
          </cell>
          <cell r="AR195" t="e">
            <v>#N/A</v>
          </cell>
          <cell r="AS195" t="e">
            <v>#N/A</v>
          </cell>
          <cell r="AT195" t="e">
            <v>#N/A</v>
          </cell>
          <cell r="AU195" t="e">
            <v>#N/A</v>
          </cell>
          <cell r="AV195" t="e">
            <v>#N/A</v>
          </cell>
          <cell r="AW195" t="e">
            <v>#N/A</v>
          </cell>
          <cell r="AX195" t="e">
            <v>#N/A</v>
          </cell>
          <cell r="AY195" t="e">
            <v>#N/A</v>
          </cell>
          <cell r="AZ195" t="e">
            <v>#N/A</v>
          </cell>
          <cell r="BA195" t="e">
            <v>#N/A</v>
          </cell>
          <cell r="BB195" t="e">
            <v>#N/A</v>
          </cell>
          <cell r="BC195" t="e">
            <v>#N/A</v>
          </cell>
          <cell r="BD195" t="e">
            <v>#N/A</v>
          </cell>
          <cell r="BE195" t="e">
            <v>#N/A</v>
          </cell>
          <cell r="BF195" t="e">
            <v>#N/A</v>
          </cell>
          <cell r="BG195" t="e">
            <v>#N/A</v>
          </cell>
          <cell r="BH195" t="e">
            <v>#N/A</v>
          </cell>
          <cell r="BI195" t="e">
            <v>#N/A</v>
          </cell>
          <cell r="BJ195" t="e">
            <v>#N/A</v>
          </cell>
          <cell r="BK195" t="e">
            <v>#N/A</v>
          </cell>
          <cell r="BL195" t="e">
            <v>#N/A</v>
          </cell>
          <cell r="BM195" t="e">
            <v>#N/A</v>
          </cell>
          <cell r="BN195" t="e">
            <v>#N/A</v>
          </cell>
          <cell r="BO195" t="e">
            <v>#N/A</v>
          </cell>
          <cell r="BP195" t="e">
            <v>#N/A</v>
          </cell>
          <cell r="BQ195" t="e">
            <v>#N/A</v>
          </cell>
          <cell r="BR195" t="e">
            <v>#N/A</v>
          </cell>
          <cell r="BS195" t="e">
            <v>#N/A</v>
          </cell>
          <cell r="BT195" t="e">
            <v>#N/A</v>
          </cell>
          <cell r="BU195" t="e">
            <v>#N/A</v>
          </cell>
          <cell r="BV195" t="e">
            <v>#N/A</v>
          </cell>
          <cell r="BW195" t="e">
            <v>#N/A</v>
          </cell>
          <cell r="BX195" t="e">
            <v>#N/A</v>
          </cell>
          <cell r="BY195" t="e">
            <v>#N/A</v>
          </cell>
        </row>
        <row r="196">
          <cell r="B196" t="str">
            <v>Sales - % Lumber</v>
          </cell>
          <cell r="C196" t="str">
            <v>SALES_LUMBER</v>
          </cell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  <cell r="AV196" t="e">
            <v>#N/A</v>
          </cell>
          <cell r="AW196" t="e">
            <v>#N/A</v>
          </cell>
          <cell r="AX196" t="e">
            <v>#N/A</v>
          </cell>
          <cell r="AY196" t="e">
            <v>#N/A</v>
          </cell>
          <cell r="AZ196" t="e">
            <v>#N/A</v>
          </cell>
          <cell r="BA196" t="e">
            <v>#N/A</v>
          </cell>
          <cell r="BB196" t="e">
            <v>#N/A</v>
          </cell>
          <cell r="BC196" t="e">
            <v>#N/A</v>
          </cell>
          <cell r="BD196" t="e">
            <v>#N/A</v>
          </cell>
          <cell r="BE196" t="e">
            <v>#N/A</v>
          </cell>
          <cell r="BF196" t="e">
            <v>#N/A</v>
          </cell>
          <cell r="BG196" t="e">
            <v>#N/A</v>
          </cell>
          <cell r="BH196" t="e">
            <v>#N/A</v>
          </cell>
          <cell r="BI196" t="e">
            <v>#N/A</v>
          </cell>
          <cell r="BJ196" t="e">
            <v>#N/A</v>
          </cell>
          <cell r="BK196" t="e">
            <v>#N/A</v>
          </cell>
          <cell r="BL196" t="e">
            <v>#N/A</v>
          </cell>
          <cell r="BM196" t="e">
            <v>#N/A</v>
          </cell>
          <cell r="BN196" t="e">
            <v>#N/A</v>
          </cell>
          <cell r="BO196" t="e">
            <v>#N/A</v>
          </cell>
          <cell r="BP196" t="e">
            <v>#N/A</v>
          </cell>
          <cell r="BQ196" t="e">
            <v>#N/A</v>
          </cell>
          <cell r="BR196" t="e">
            <v>#N/A</v>
          </cell>
          <cell r="BS196" t="e">
            <v>#N/A</v>
          </cell>
          <cell r="BT196" t="e">
            <v>#N/A</v>
          </cell>
          <cell r="BU196" t="e">
            <v>#N/A</v>
          </cell>
          <cell r="BV196" t="e">
            <v>#N/A</v>
          </cell>
          <cell r="BW196" t="e">
            <v>#N/A</v>
          </cell>
          <cell r="BX196" t="e">
            <v>#N/A</v>
          </cell>
          <cell r="BY196" t="e">
            <v>#N/A</v>
          </cell>
        </row>
        <row r="197">
          <cell r="B197" t="str">
            <v>Sales - % Rubber</v>
          </cell>
          <cell r="C197" t="str">
            <v>SALES_RUBBER</v>
          </cell>
          <cell r="F197" t="e">
            <v>#N/A</v>
          </cell>
          <cell r="G197" t="e">
            <v>#N/A</v>
          </cell>
          <cell r="H197" t="e">
            <v>#N/A</v>
          </cell>
          <cell r="I197" t="e">
            <v>#N/A</v>
          </cell>
          <cell r="J197" t="e">
            <v>#N/A</v>
          </cell>
          <cell r="K197" t="e">
            <v>#N/A</v>
          </cell>
          <cell r="L197" t="e">
            <v>#N/A</v>
          </cell>
          <cell r="M197" t="e">
            <v>#N/A</v>
          </cell>
          <cell r="N197" t="e">
            <v>#N/A</v>
          </cell>
          <cell r="O197" t="e">
            <v>#N/A</v>
          </cell>
          <cell r="P197" t="e">
            <v>#N/A</v>
          </cell>
          <cell r="Q197" t="e">
            <v>#N/A</v>
          </cell>
          <cell r="R197" t="e">
            <v>#N/A</v>
          </cell>
          <cell r="S197" t="e">
            <v>#N/A</v>
          </cell>
          <cell r="T197" t="e">
            <v>#N/A</v>
          </cell>
          <cell r="U197" t="e">
            <v>#N/A</v>
          </cell>
          <cell r="V197" t="e">
            <v>#N/A</v>
          </cell>
          <cell r="W197" t="e">
            <v>#N/A</v>
          </cell>
          <cell r="X197" t="e">
            <v>#N/A</v>
          </cell>
          <cell r="Z197" t="e">
            <v>#N/A</v>
          </cell>
          <cell r="AA197" t="e">
            <v>#N/A</v>
          </cell>
          <cell r="AB197" t="e">
            <v>#N/A</v>
          </cell>
          <cell r="AC197" t="e">
            <v>#N/A</v>
          </cell>
          <cell r="AD197" t="e">
            <v>#N/A</v>
          </cell>
          <cell r="AE197" t="e">
            <v>#N/A</v>
          </cell>
          <cell r="AF197" t="e">
            <v>#N/A</v>
          </cell>
          <cell r="AG197" t="e">
            <v>#N/A</v>
          </cell>
          <cell r="AH197" t="e">
            <v>#N/A</v>
          </cell>
          <cell r="AI197" t="e">
            <v>#N/A</v>
          </cell>
          <cell r="AJ197" t="e">
            <v>#N/A</v>
          </cell>
          <cell r="AK197" t="e">
            <v>#N/A</v>
          </cell>
          <cell r="AL197" t="e">
            <v>#N/A</v>
          </cell>
          <cell r="AM197" t="e">
            <v>#N/A</v>
          </cell>
          <cell r="AN197" t="e">
            <v>#N/A</v>
          </cell>
          <cell r="AO197" t="e">
            <v>#N/A</v>
          </cell>
          <cell r="AP197" t="e">
            <v>#N/A</v>
          </cell>
          <cell r="AQ197" t="e">
            <v>#N/A</v>
          </cell>
          <cell r="AR197" t="e">
            <v>#N/A</v>
          </cell>
          <cell r="AS197" t="e">
            <v>#N/A</v>
          </cell>
          <cell r="AT197" t="e">
            <v>#N/A</v>
          </cell>
          <cell r="AU197" t="e">
            <v>#N/A</v>
          </cell>
          <cell r="AV197" t="e">
            <v>#N/A</v>
          </cell>
          <cell r="AW197" t="e">
            <v>#N/A</v>
          </cell>
          <cell r="AX197" t="e">
            <v>#N/A</v>
          </cell>
          <cell r="AY197" t="e">
            <v>#N/A</v>
          </cell>
          <cell r="AZ197" t="e">
            <v>#N/A</v>
          </cell>
          <cell r="BA197" t="e">
            <v>#N/A</v>
          </cell>
          <cell r="BB197" t="e">
            <v>#N/A</v>
          </cell>
          <cell r="BC197" t="e">
            <v>#N/A</v>
          </cell>
          <cell r="BD197" t="e">
            <v>#N/A</v>
          </cell>
          <cell r="BE197" t="e">
            <v>#N/A</v>
          </cell>
          <cell r="BF197" t="e">
            <v>#N/A</v>
          </cell>
          <cell r="BG197" t="e">
            <v>#N/A</v>
          </cell>
          <cell r="BH197" t="e">
            <v>#N/A</v>
          </cell>
          <cell r="BI197" t="e">
            <v>#N/A</v>
          </cell>
          <cell r="BJ197" t="e">
            <v>#N/A</v>
          </cell>
          <cell r="BK197" t="e">
            <v>#N/A</v>
          </cell>
          <cell r="BL197" t="e">
            <v>#N/A</v>
          </cell>
          <cell r="BM197" t="e">
            <v>#N/A</v>
          </cell>
          <cell r="BN197" t="e">
            <v>#N/A</v>
          </cell>
          <cell r="BO197" t="e">
            <v>#N/A</v>
          </cell>
          <cell r="BP197" t="e">
            <v>#N/A</v>
          </cell>
          <cell r="BQ197" t="e">
            <v>#N/A</v>
          </cell>
          <cell r="BR197" t="e">
            <v>#N/A</v>
          </cell>
          <cell r="BS197" t="e">
            <v>#N/A</v>
          </cell>
          <cell r="BT197" t="e">
            <v>#N/A</v>
          </cell>
          <cell r="BU197" t="e">
            <v>#N/A</v>
          </cell>
          <cell r="BV197" t="e">
            <v>#N/A</v>
          </cell>
          <cell r="BW197" t="e">
            <v>#N/A</v>
          </cell>
          <cell r="BX197" t="e">
            <v>#N/A</v>
          </cell>
          <cell r="BY197" t="e">
            <v>#N/A</v>
          </cell>
        </row>
        <row r="198">
          <cell r="B198" t="str">
            <v>Sales - % Potash</v>
          </cell>
          <cell r="C198" t="str">
            <v>SALES_POTASH</v>
          </cell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  <cell r="AV198" t="e">
            <v>#N/A</v>
          </cell>
          <cell r="AW198" t="e">
            <v>#N/A</v>
          </cell>
          <cell r="AX198" t="e">
            <v>#N/A</v>
          </cell>
          <cell r="AY198" t="e">
            <v>#N/A</v>
          </cell>
          <cell r="AZ198" t="e">
            <v>#N/A</v>
          </cell>
          <cell r="BA198" t="e">
            <v>#N/A</v>
          </cell>
          <cell r="BB198" t="e">
            <v>#N/A</v>
          </cell>
          <cell r="BC198" t="e">
            <v>#N/A</v>
          </cell>
          <cell r="BD198" t="e">
            <v>#N/A</v>
          </cell>
          <cell r="BE198" t="e">
            <v>#N/A</v>
          </cell>
          <cell r="BF198" t="e">
            <v>#N/A</v>
          </cell>
          <cell r="BG198" t="e">
            <v>#N/A</v>
          </cell>
          <cell r="BH198" t="e">
            <v>#N/A</v>
          </cell>
          <cell r="BI198" t="e">
            <v>#N/A</v>
          </cell>
          <cell r="BJ198" t="e">
            <v>#N/A</v>
          </cell>
          <cell r="BK198" t="e">
            <v>#N/A</v>
          </cell>
          <cell r="BL198" t="e">
            <v>#N/A</v>
          </cell>
          <cell r="BM198" t="e">
            <v>#N/A</v>
          </cell>
          <cell r="BN198" t="e">
            <v>#N/A</v>
          </cell>
          <cell r="BO198" t="e">
            <v>#N/A</v>
          </cell>
          <cell r="BP198" t="e">
            <v>#N/A</v>
          </cell>
          <cell r="BQ198" t="e">
            <v>#N/A</v>
          </cell>
          <cell r="BR198" t="e">
            <v>#N/A</v>
          </cell>
          <cell r="BS198" t="e">
            <v>#N/A</v>
          </cell>
          <cell r="BT198" t="e">
            <v>#N/A</v>
          </cell>
          <cell r="BU198" t="e">
            <v>#N/A</v>
          </cell>
          <cell r="BV198" t="e">
            <v>#N/A</v>
          </cell>
          <cell r="BW198" t="e">
            <v>#N/A</v>
          </cell>
          <cell r="BX198" t="e">
            <v>#N/A</v>
          </cell>
          <cell r="BY198" t="e">
            <v>#N/A</v>
          </cell>
        </row>
        <row r="199">
          <cell r="B199" t="str">
            <v>Sales - % Nitrogen</v>
          </cell>
          <cell r="C199" t="str">
            <v>SALES_NITROGEN</v>
          </cell>
          <cell r="F199" t="e">
            <v>#N/A</v>
          </cell>
          <cell r="G199" t="e">
            <v>#N/A</v>
          </cell>
          <cell r="H199" t="e">
            <v>#N/A</v>
          </cell>
          <cell r="I199" t="e">
            <v>#N/A</v>
          </cell>
          <cell r="J199" t="e">
            <v>#N/A</v>
          </cell>
          <cell r="K199" t="e">
            <v>#N/A</v>
          </cell>
          <cell r="L199" t="e">
            <v>#N/A</v>
          </cell>
          <cell r="M199" t="e">
            <v>#N/A</v>
          </cell>
          <cell r="N199" t="e">
            <v>#N/A</v>
          </cell>
          <cell r="O199" t="e">
            <v>#N/A</v>
          </cell>
          <cell r="P199" t="e">
            <v>#N/A</v>
          </cell>
          <cell r="Q199" t="e">
            <v>#N/A</v>
          </cell>
          <cell r="R199" t="e">
            <v>#N/A</v>
          </cell>
          <cell r="S199" t="e">
            <v>#N/A</v>
          </cell>
          <cell r="T199" t="e">
            <v>#N/A</v>
          </cell>
          <cell r="U199" t="e">
            <v>#N/A</v>
          </cell>
          <cell r="V199" t="e">
            <v>#N/A</v>
          </cell>
          <cell r="W199" t="e">
            <v>#N/A</v>
          </cell>
          <cell r="X199" t="e">
            <v>#N/A</v>
          </cell>
          <cell r="Z199" t="e">
            <v>#N/A</v>
          </cell>
          <cell r="AA199" t="e">
            <v>#N/A</v>
          </cell>
          <cell r="AB199" t="e">
            <v>#N/A</v>
          </cell>
          <cell r="AC199" t="e">
            <v>#N/A</v>
          </cell>
          <cell r="AD199" t="e">
            <v>#N/A</v>
          </cell>
          <cell r="AE199" t="e">
            <v>#N/A</v>
          </cell>
          <cell r="AF199" t="e">
            <v>#N/A</v>
          </cell>
          <cell r="AG199" t="e">
            <v>#N/A</v>
          </cell>
          <cell r="AH199" t="e">
            <v>#N/A</v>
          </cell>
          <cell r="AI199" t="e">
            <v>#N/A</v>
          </cell>
          <cell r="AJ199" t="e">
            <v>#N/A</v>
          </cell>
          <cell r="AK199" t="e">
            <v>#N/A</v>
          </cell>
          <cell r="AL199" t="e">
            <v>#N/A</v>
          </cell>
          <cell r="AM199" t="e">
            <v>#N/A</v>
          </cell>
          <cell r="AN199" t="e">
            <v>#N/A</v>
          </cell>
          <cell r="AO199" t="e">
            <v>#N/A</v>
          </cell>
          <cell r="AP199" t="e">
            <v>#N/A</v>
          </cell>
          <cell r="AQ199" t="e">
            <v>#N/A</v>
          </cell>
          <cell r="AR199" t="e">
            <v>#N/A</v>
          </cell>
          <cell r="AS199" t="e">
            <v>#N/A</v>
          </cell>
          <cell r="AT199" t="e">
            <v>#N/A</v>
          </cell>
          <cell r="AU199" t="e">
            <v>#N/A</v>
          </cell>
          <cell r="AV199" t="e">
            <v>#N/A</v>
          </cell>
          <cell r="AW199" t="e">
            <v>#N/A</v>
          </cell>
          <cell r="AX199" t="e">
            <v>#N/A</v>
          </cell>
          <cell r="AY199" t="e">
            <v>#N/A</v>
          </cell>
          <cell r="AZ199" t="e">
            <v>#N/A</v>
          </cell>
          <cell r="BA199" t="e">
            <v>#N/A</v>
          </cell>
          <cell r="BB199" t="e">
            <v>#N/A</v>
          </cell>
          <cell r="BC199" t="e">
            <v>#N/A</v>
          </cell>
          <cell r="BD199" t="e">
            <v>#N/A</v>
          </cell>
          <cell r="BE199" t="e">
            <v>#N/A</v>
          </cell>
          <cell r="BF199" t="e">
            <v>#N/A</v>
          </cell>
          <cell r="BG199" t="e">
            <v>#N/A</v>
          </cell>
          <cell r="BH199" t="e">
            <v>#N/A</v>
          </cell>
          <cell r="BI199" t="e">
            <v>#N/A</v>
          </cell>
          <cell r="BJ199" t="e">
            <v>#N/A</v>
          </cell>
          <cell r="BK199" t="e">
            <v>#N/A</v>
          </cell>
          <cell r="BL199" t="e">
            <v>#N/A</v>
          </cell>
          <cell r="BM199" t="e">
            <v>#N/A</v>
          </cell>
          <cell r="BN199" t="e">
            <v>#N/A</v>
          </cell>
          <cell r="BO199" t="e">
            <v>#N/A</v>
          </cell>
          <cell r="BP199" t="e">
            <v>#N/A</v>
          </cell>
          <cell r="BQ199" t="e">
            <v>#N/A</v>
          </cell>
          <cell r="BR199" t="e">
            <v>#N/A</v>
          </cell>
          <cell r="BS199" t="e">
            <v>#N/A</v>
          </cell>
          <cell r="BT199" t="e">
            <v>#N/A</v>
          </cell>
          <cell r="BU199" t="e">
            <v>#N/A</v>
          </cell>
          <cell r="BV199" t="e">
            <v>#N/A</v>
          </cell>
          <cell r="BW199" t="e">
            <v>#N/A</v>
          </cell>
          <cell r="BX199" t="e">
            <v>#N/A</v>
          </cell>
          <cell r="BY199" t="e">
            <v>#N/A</v>
          </cell>
        </row>
        <row r="200">
          <cell r="B200" t="str">
            <v>Sales - % Phosphate</v>
          </cell>
          <cell r="C200" t="str">
            <v>SALES_PHOSPHATE</v>
          </cell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  <cell r="AV200" t="e">
            <v>#N/A</v>
          </cell>
          <cell r="AW200" t="e">
            <v>#N/A</v>
          </cell>
          <cell r="AX200" t="e">
            <v>#N/A</v>
          </cell>
          <cell r="AY200" t="e">
            <v>#N/A</v>
          </cell>
          <cell r="AZ200" t="e">
            <v>#N/A</v>
          </cell>
          <cell r="BA200" t="e">
            <v>#N/A</v>
          </cell>
          <cell r="BB200" t="e">
            <v>#N/A</v>
          </cell>
          <cell r="BC200" t="e">
            <v>#N/A</v>
          </cell>
          <cell r="BD200" t="e">
            <v>#N/A</v>
          </cell>
          <cell r="BE200" t="e">
            <v>#N/A</v>
          </cell>
          <cell r="BF200" t="e">
            <v>#N/A</v>
          </cell>
          <cell r="BG200" t="e">
            <v>#N/A</v>
          </cell>
          <cell r="BH200" t="e">
            <v>#N/A</v>
          </cell>
          <cell r="BI200" t="e">
            <v>#N/A</v>
          </cell>
          <cell r="BJ200" t="e">
            <v>#N/A</v>
          </cell>
          <cell r="BK200" t="e">
            <v>#N/A</v>
          </cell>
          <cell r="BL200" t="e">
            <v>#N/A</v>
          </cell>
          <cell r="BM200" t="e">
            <v>#N/A</v>
          </cell>
          <cell r="BN200" t="e">
            <v>#N/A</v>
          </cell>
          <cell r="BO200" t="e">
            <v>#N/A</v>
          </cell>
          <cell r="BP200" t="e">
            <v>#N/A</v>
          </cell>
          <cell r="BQ200" t="e">
            <v>#N/A</v>
          </cell>
          <cell r="BR200" t="e">
            <v>#N/A</v>
          </cell>
          <cell r="BS200" t="e">
            <v>#N/A</v>
          </cell>
          <cell r="BT200" t="e">
            <v>#N/A</v>
          </cell>
          <cell r="BU200" t="e">
            <v>#N/A</v>
          </cell>
          <cell r="BV200" t="e">
            <v>#N/A</v>
          </cell>
          <cell r="BW200" t="e">
            <v>#N/A</v>
          </cell>
          <cell r="BX200" t="e">
            <v>#N/A</v>
          </cell>
          <cell r="BY200" t="e">
            <v>#N/A</v>
          </cell>
        </row>
        <row r="201">
          <cell r="B201" t="str">
            <v>Sales - % Wheat</v>
          </cell>
          <cell r="C201" t="str">
            <v>SALES_WHEAT</v>
          </cell>
          <cell r="F201" t="e">
            <v>#N/A</v>
          </cell>
          <cell r="G201" t="e">
            <v>#N/A</v>
          </cell>
          <cell r="H201" t="e">
            <v>#N/A</v>
          </cell>
          <cell r="I201" t="e">
            <v>#N/A</v>
          </cell>
          <cell r="J201" t="e">
            <v>#N/A</v>
          </cell>
          <cell r="K201" t="e">
            <v>#N/A</v>
          </cell>
          <cell r="L201" t="e">
            <v>#N/A</v>
          </cell>
          <cell r="M201" t="e">
            <v>#N/A</v>
          </cell>
          <cell r="N201" t="e">
            <v>#N/A</v>
          </cell>
          <cell r="O201" t="e">
            <v>#N/A</v>
          </cell>
          <cell r="P201" t="e">
            <v>#N/A</v>
          </cell>
          <cell r="Q201" t="e">
            <v>#N/A</v>
          </cell>
          <cell r="R201" t="e">
            <v>#N/A</v>
          </cell>
          <cell r="S201" t="e">
            <v>#N/A</v>
          </cell>
          <cell r="T201" t="e">
            <v>#N/A</v>
          </cell>
          <cell r="U201" t="e">
            <v>#N/A</v>
          </cell>
          <cell r="V201" t="e">
            <v>#N/A</v>
          </cell>
          <cell r="W201" t="e">
            <v>#N/A</v>
          </cell>
          <cell r="X201" t="e">
            <v>#N/A</v>
          </cell>
          <cell r="Z201" t="e">
            <v>#N/A</v>
          </cell>
          <cell r="AA201" t="e">
            <v>#N/A</v>
          </cell>
          <cell r="AB201" t="e">
            <v>#N/A</v>
          </cell>
          <cell r="AC201" t="e">
            <v>#N/A</v>
          </cell>
          <cell r="AD201" t="e">
            <v>#N/A</v>
          </cell>
          <cell r="AE201" t="e">
            <v>#N/A</v>
          </cell>
          <cell r="AF201" t="e">
            <v>#N/A</v>
          </cell>
          <cell r="AG201" t="e">
            <v>#N/A</v>
          </cell>
          <cell r="AH201" t="e">
            <v>#N/A</v>
          </cell>
          <cell r="AI201" t="e">
            <v>#N/A</v>
          </cell>
          <cell r="AJ201" t="e">
            <v>#N/A</v>
          </cell>
          <cell r="AK201" t="e">
            <v>#N/A</v>
          </cell>
          <cell r="AL201" t="e">
            <v>#N/A</v>
          </cell>
          <cell r="AM201" t="e">
            <v>#N/A</v>
          </cell>
          <cell r="AN201" t="e">
            <v>#N/A</v>
          </cell>
          <cell r="AO201" t="e">
            <v>#N/A</v>
          </cell>
          <cell r="AP201" t="e">
            <v>#N/A</v>
          </cell>
          <cell r="AQ201" t="e">
            <v>#N/A</v>
          </cell>
          <cell r="AR201" t="e">
            <v>#N/A</v>
          </cell>
          <cell r="AS201" t="e">
            <v>#N/A</v>
          </cell>
          <cell r="AT201" t="e">
            <v>#N/A</v>
          </cell>
          <cell r="AU201" t="e">
            <v>#N/A</v>
          </cell>
          <cell r="AV201" t="e">
            <v>#N/A</v>
          </cell>
          <cell r="AW201" t="e">
            <v>#N/A</v>
          </cell>
          <cell r="AX201" t="e">
            <v>#N/A</v>
          </cell>
          <cell r="AY201" t="e">
            <v>#N/A</v>
          </cell>
          <cell r="AZ201" t="e">
            <v>#N/A</v>
          </cell>
          <cell r="BA201" t="e">
            <v>#N/A</v>
          </cell>
          <cell r="BB201" t="e">
            <v>#N/A</v>
          </cell>
          <cell r="BC201" t="e">
            <v>#N/A</v>
          </cell>
          <cell r="BD201" t="e">
            <v>#N/A</v>
          </cell>
          <cell r="BE201" t="e">
            <v>#N/A</v>
          </cell>
          <cell r="BF201" t="e">
            <v>#N/A</v>
          </cell>
          <cell r="BG201" t="e">
            <v>#N/A</v>
          </cell>
          <cell r="BH201" t="e">
            <v>#N/A</v>
          </cell>
          <cell r="BI201" t="e">
            <v>#N/A</v>
          </cell>
          <cell r="BJ201" t="e">
            <v>#N/A</v>
          </cell>
          <cell r="BK201" t="e">
            <v>#N/A</v>
          </cell>
          <cell r="BL201" t="e">
            <v>#N/A</v>
          </cell>
          <cell r="BM201" t="e">
            <v>#N/A</v>
          </cell>
          <cell r="BN201" t="e">
            <v>#N/A</v>
          </cell>
          <cell r="BO201" t="e">
            <v>#N/A</v>
          </cell>
          <cell r="BP201" t="e">
            <v>#N/A</v>
          </cell>
          <cell r="BQ201" t="e">
            <v>#N/A</v>
          </cell>
          <cell r="BR201" t="e">
            <v>#N/A</v>
          </cell>
          <cell r="BS201" t="e">
            <v>#N/A</v>
          </cell>
          <cell r="BT201" t="e">
            <v>#N/A</v>
          </cell>
          <cell r="BU201" t="e">
            <v>#N/A</v>
          </cell>
          <cell r="BV201" t="e">
            <v>#N/A</v>
          </cell>
          <cell r="BW201" t="e">
            <v>#N/A</v>
          </cell>
          <cell r="BX201" t="e">
            <v>#N/A</v>
          </cell>
          <cell r="BY201" t="e">
            <v>#N/A</v>
          </cell>
        </row>
        <row r="202">
          <cell r="B202" t="str">
            <v>Sales - % Sugar</v>
          </cell>
          <cell r="C202" t="str">
            <v>SALES_SUGAR</v>
          </cell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  <cell r="AV202" t="e">
            <v>#N/A</v>
          </cell>
          <cell r="AW202" t="e">
            <v>#N/A</v>
          </cell>
          <cell r="AX202" t="e">
            <v>#N/A</v>
          </cell>
          <cell r="AY202" t="e">
            <v>#N/A</v>
          </cell>
          <cell r="AZ202" t="e">
            <v>#N/A</v>
          </cell>
          <cell r="BA202" t="e">
            <v>#N/A</v>
          </cell>
          <cell r="BB202" t="e">
            <v>#N/A</v>
          </cell>
          <cell r="BC202" t="e">
            <v>#N/A</v>
          </cell>
          <cell r="BD202" t="e">
            <v>#N/A</v>
          </cell>
          <cell r="BE202" t="e">
            <v>#N/A</v>
          </cell>
          <cell r="BF202" t="e">
            <v>#N/A</v>
          </cell>
          <cell r="BG202" t="e">
            <v>#N/A</v>
          </cell>
          <cell r="BH202" t="e">
            <v>#N/A</v>
          </cell>
          <cell r="BI202" t="e">
            <v>#N/A</v>
          </cell>
          <cell r="BJ202" t="e">
            <v>#N/A</v>
          </cell>
          <cell r="BK202" t="e">
            <v>#N/A</v>
          </cell>
          <cell r="BL202" t="e">
            <v>#N/A</v>
          </cell>
          <cell r="BM202" t="e">
            <v>#N/A</v>
          </cell>
          <cell r="BN202" t="e">
            <v>#N/A</v>
          </cell>
          <cell r="BO202" t="e">
            <v>#N/A</v>
          </cell>
          <cell r="BP202" t="e">
            <v>#N/A</v>
          </cell>
          <cell r="BQ202" t="e">
            <v>#N/A</v>
          </cell>
          <cell r="BR202" t="e">
            <v>#N/A</v>
          </cell>
          <cell r="BS202" t="e">
            <v>#N/A</v>
          </cell>
          <cell r="BT202" t="e">
            <v>#N/A</v>
          </cell>
          <cell r="BU202" t="e">
            <v>#N/A</v>
          </cell>
          <cell r="BV202" t="e">
            <v>#N/A</v>
          </cell>
          <cell r="BW202" t="e">
            <v>#N/A</v>
          </cell>
          <cell r="BX202" t="e">
            <v>#N/A</v>
          </cell>
          <cell r="BY202" t="e">
            <v>#N/A</v>
          </cell>
        </row>
        <row r="203">
          <cell r="B203" t="str">
            <v>Sales - % Soybean</v>
          </cell>
          <cell r="C203" t="str">
            <v>SALES_SOYBEAN</v>
          </cell>
          <cell r="F203" t="e">
            <v>#N/A</v>
          </cell>
          <cell r="G203" t="e">
            <v>#N/A</v>
          </cell>
          <cell r="H203" t="e">
            <v>#N/A</v>
          </cell>
          <cell r="I203" t="e">
            <v>#N/A</v>
          </cell>
          <cell r="J203" t="e">
            <v>#N/A</v>
          </cell>
          <cell r="K203" t="e">
            <v>#N/A</v>
          </cell>
          <cell r="L203" t="e">
            <v>#N/A</v>
          </cell>
          <cell r="M203" t="e">
            <v>#N/A</v>
          </cell>
          <cell r="N203" t="e">
            <v>#N/A</v>
          </cell>
          <cell r="O203" t="e">
            <v>#N/A</v>
          </cell>
          <cell r="P203" t="e">
            <v>#N/A</v>
          </cell>
          <cell r="Q203" t="e">
            <v>#N/A</v>
          </cell>
          <cell r="R203" t="e">
            <v>#N/A</v>
          </cell>
          <cell r="S203" t="e">
            <v>#N/A</v>
          </cell>
          <cell r="T203" t="e">
            <v>#N/A</v>
          </cell>
          <cell r="U203" t="e">
            <v>#N/A</v>
          </cell>
          <cell r="V203" t="e">
            <v>#N/A</v>
          </cell>
          <cell r="W203" t="e">
            <v>#N/A</v>
          </cell>
          <cell r="X203" t="e">
            <v>#N/A</v>
          </cell>
          <cell r="Z203" t="e">
            <v>#N/A</v>
          </cell>
          <cell r="AA203" t="e">
            <v>#N/A</v>
          </cell>
          <cell r="AB203" t="e">
            <v>#N/A</v>
          </cell>
          <cell r="AC203" t="e">
            <v>#N/A</v>
          </cell>
          <cell r="AD203" t="e">
            <v>#N/A</v>
          </cell>
          <cell r="AE203" t="e">
            <v>#N/A</v>
          </cell>
          <cell r="AF203" t="e">
            <v>#N/A</v>
          </cell>
          <cell r="AG203" t="e">
            <v>#N/A</v>
          </cell>
          <cell r="AH203" t="e">
            <v>#N/A</v>
          </cell>
          <cell r="AI203" t="e">
            <v>#N/A</v>
          </cell>
          <cell r="AJ203" t="e">
            <v>#N/A</v>
          </cell>
          <cell r="AK203" t="e">
            <v>#N/A</v>
          </cell>
          <cell r="AL203" t="e">
            <v>#N/A</v>
          </cell>
          <cell r="AM203" t="e">
            <v>#N/A</v>
          </cell>
          <cell r="AN203" t="e">
            <v>#N/A</v>
          </cell>
          <cell r="AO203" t="e">
            <v>#N/A</v>
          </cell>
          <cell r="AP203" t="e">
            <v>#N/A</v>
          </cell>
          <cell r="AQ203" t="e">
            <v>#N/A</v>
          </cell>
          <cell r="AR203" t="e">
            <v>#N/A</v>
          </cell>
          <cell r="AS203" t="e">
            <v>#N/A</v>
          </cell>
          <cell r="AT203" t="e">
            <v>#N/A</v>
          </cell>
          <cell r="AU203" t="e">
            <v>#N/A</v>
          </cell>
          <cell r="AV203" t="e">
            <v>#N/A</v>
          </cell>
          <cell r="AW203" t="e">
            <v>#N/A</v>
          </cell>
          <cell r="AX203" t="e">
            <v>#N/A</v>
          </cell>
          <cell r="AY203" t="e">
            <v>#N/A</v>
          </cell>
          <cell r="AZ203" t="e">
            <v>#N/A</v>
          </cell>
          <cell r="BA203" t="e">
            <v>#N/A</v>
          </cell>
          <cell r="BB203" t="e">
            <v>#N/A</v>
          </cell>
          <cell r="BC203" t="e">
            <v>#N/A</v>
          </cell>
          <cell r="BD203" t="e">
            <v>#N/A</v>
          </cell>
          <cell r="BE203" t="e">
            <v>#N/A</v>
          </cell>
          <cell r="BF203" t="e">
            <v>#N/A</v>
          </cell>
          <cell r="BG203" t="e">
            <v>#N/A</v>
          </cell>
          <cell r="BH203" t="e">
            <v>#N/A</v>
          </cell>
          <cell r="BI203" t="e">
            <v>#N/A</v>
          </cell>
          <cell r="BJ203" t="e">
            <v>#N/A</v>
          </cell>
          <cell r="BK203" t="e">
            <v>#N/A</v>
          </cell>
          <cell r="BL203" t="e">
            <v>#N/A</v>
          </cell>
          <cell r="BM203" t="e">
            <v>#N/A</v>
          </cell>
          <cell r="BN203" t="e">
            <v>#N/A</v>
          </cell>
          <cell r="BO203" t="e">
            <v>#N/A</v>
          </cell>
          <cell r="BP203" t="e">
            <v>#N/A</v>
          </cell>
          <cell r="BQ203" t="e">
            <v>#N/A</v>
          </cell>
          <cell r="BR203" t="e">
            <v>#N/A</v>
          </cell>
          <cell r="BS203" t="e">
            <v>#N/A</v>
          </cell>
          <cell r="BT203" t="e">
            <v>#N/A</v>
          </cell>
          <cell r="BU203" t="e">
            <v>#N/A</v>
          </cell>
          <cell r="BV203" t="e">
            <v>#N/A</v>
          </cell>
          <cell r="BW203" t="e">
            <v>#N/A</v>
          </cell>
          <cell r="BX203" t="e">
            <v>#N/A</v>
          </cell>
          <cell r="BY203" t="e">
            <v>#N/A</v>
          </cell>
        </row>
        <row r="204">
          <cell r="B204" t="str">
            <v>Sales - % Corn</v>
          </cell>
          <cell r="C204" t="str">
            <v>SALES_CORN</v>
          </cell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  <cell r="AV204" t="e">
            <v>#N/A</v>
          </cell>
          <cell r="AW204" t="e">
            <v>#N/A</v>
          </cell>
          <cell r="AX204" t="e">
            <v>#N/A</v>
          </cell>
          <cell r="AY204" t="e">
            <v>#N/A</v>
          </cell>
          <cell r="AZ204" t="e">
            <v>#N/A</v>
          </cell>
          <cell r="BA204" t="e">
            <v>#N/A</v>
          </cell>
          <cell r="BB204" t="e">
            <v>#N/A</v>
          </cell>
          <cell r="BC204" t="e">
            <v>#N/A</v>
          </cell>
          <cell r="BD204" t="e">
            <v>#N/A</v>
          </cell>
          <cell r="BE204" t="e">
            <v>#N/A</v>
          </cell>
          <cell r="BF204" t="e">
            <v>#N/A</v>
          </cell>
          <cell r="BG204" t="e">
            <v>#N/A</v>
          </cell>
          <cell r="BH204" t="e">
            <v>#N/A</v>
          </cell>
          <cell r="BI204" t="e">
            <v>#N/A</v>
          </cell>
          <cell r="BJ204" t="e">
            <v>#N/A</v>
          </cell>
          <cell r="BK204" t="e">
            <v>#N/A</v>
          </cell>
          <cell r="BL204" t="e">
            <v>#N/A</v>
          </cell>
          <cell r="BM204" t="e">
            <v>#N/A</v>
          </cell>
          <cell r="BN204" t="e">
            <v>#N/A</v>
          </cell>
          <cell r="BO204" t="e">
            <v>#N/A</v>
          </cell>
          <cell r="BP204" t="e">
            <v>#N/A</v>
          </cell>
          <cell r="BQ204" t="e">
            <v>#N/A</v>
          </cell>
          <cell r="BR204" t="e">
            <v>#N/A</v>
          </cell>
          <cell r="BS204" t="e">
            <v>#N/A</v>
          </cell>
          <cell r="BT204" t="e">
            <v>#N/A</v>
          </cell>
          <cell r="BU204" t="e">
            <v>#N/A</v>
          </cell>
          <cell r="BV204" t="e">
            <v>#N/A</v>
          </cell>
          <cell r="BW204" t="e">
            <v>#N/A</v>
          </cell>
          <cell r="BX204" t="e">
            <v>#N/A</v>
          </cell>
          <cell r="BY204" t="e">
            <v>#N/A</v>
          </cell>
        </row>
        <row r="205">
          <cell r="B205" t="str">
            <v>Sales - % Cotton</v>
          </cell>
          <cell r="C205" t="str">
            <v>SALES_COTTON</v>
          </cell>
          <cell r="F205" t="e">
            <v>#N/A</v>
          </cell>
          <cell r="G205" t="e">
            <v>#N/A</v>
          </cell>
          <cell r="H205" t="e">
            <v>#N/A</v>
          </cell>
          <cell r="I205" t="e">
            <v>#N/A</v>
          </cell>
          <cell r="J205" t="e">
            <v>#N/A</v>
          </cell>
          <cell r="K205" t="e">
            <v>#N/A</v>
          </cell>
          <cell r="L205" t="e">
            <v>#N/A</v>
          </cell>
          <cell r="M205" t="e">
            <v>#N/A</v>
          </cell>
          <cell r="N205" t="e">
            <v>#N/A</v>
          </cell>
          <cell r="O205" t="e">
            <v>#N/A</v>
          </cell>
          <cell r="P205" t="e">
            <v>#N/A</v>
          </cell>
          <cell r="Q205" t="e">
            <v>#N/A</v>
          </cell>
          <cell r="R205" t="e">
            <v>#N/A</v>
          </cell>
          <cell r="S205" t="e">
            <v>#N/A</v>
          </cell>
          <cell r="T205" t="e">
            <v>#N/A</v>
          </cell>
          <cell r="U205" t="e">
            <v>#N/A</v>
          </cell>
          <cell r="V205" t="e">
            <v>#N/A</v>
          </cell>
          <cell r="W205" t="e">
            <v>#N/A</v>
          </cell>
          <cell r="X205" t="e">
            <v>#N/A</v>
          </cell>
          <cell r="Z205" t="e">
            <v>#N/A</v>
          </cell>
          <cell r="AA205" t="e">
            <v>#N/A</v>
          </cell>
          <cell r="AB205" t="e">
            <v>#N/A</v>
          </cell>
          <cell r="AC205" t="e">
            <v>#N/A</v>
          </cell>
          <cell r="AD205" t="e">
            <v>#N/A</v>
          </cell>
          <cell r="AE205" t="e">
            <v>#N/A</v>
          </cell>
          <cell r="AF205" t="e">
            <v>#N/A</v>
          </cell>
          <cell r="AG205" t="e">
            <v>#N/A</v>
          </cell>
          <cell r="AH205" t="e">
            <v>#N/A</v>
          </cell>
          <cell r="AI205" t="e">
            <v>#N/A</v>
          </cell>
          <cell r="AJ205" t="e">
            <v>#N/A</v>
          </cell>
          <cell r="AK205" t="e">
            <v>#N/A</v>
          </cell>
          <cell r="AL205" t="e">
            <v>#N/A</v>
          </cell>
          <cell r="AM205" t="e">
            <v>#N/A</v>
          </cell>
          <cell r="AN205" t="e">
            <v>#N/A</v>
          </cell>
          <cell r="AO205" t="e">
            <v>#N/A</v>
          </cell>
          <cell r="AP205" t="e">
            <v>#N/A</v>
          </cell>
          <cell r="AQ205" t="e">
            <v>#N/A</v>
          </cell>
          <cell r="AR205" t="e">
            <v>#N/A</v>
          </cell>
          <cell r="AS205" t="e">
            <v>#N/A</v>
          </cell>
          <cell r="AT205" t="e">
            <v>#N/A</v>
          </cell>
          <cell r="AU205" t="e">
            <v>#N/A</v>
          </cell>
          <cell r="AV205" t="e">
            <v>#N/A</v>
          </cell>
          <cell r="AW205" t="e">
            <v>#N/A</v>
          </cell>
          <cell r="AX205" t="e">
            <v>#N/A</v>
          </cell>
          <cell r="AY205" t="e">
            <v>#N/A</v>
          </cell>
          <cell r="AZ205" t="e">
            <v>#N/A</v>
          </cell>
          <cell r="BA205" t="e">
            <v>#N/A</v>
          </cell>
          <cell r="BB205" t="e">
            <v>#N/A</v>
          </cell>
          <cell r="BC205" t="e">
            <v>#N/A</v>
          </cell>
          <cell r="BD205" t="e">
            <v>#N/A</v>
          </cell>
          <cell r="BE205" t="e">
            <v>#N/A</v>
          </cell>
          <cell r="BF205" t="e">
            <v>#N/A</v>
          </cell>
          <cell r="BG205" t="e">
            <v>#N/A</v>
          </cell>
          <cell r="BH205" t="e">
            <v>#N/A</v>
          </cell>
          <cell r="BI205" t="e">
            <v>#N/A</v>
          </cell>
          <cell r="BJ205" t="e">
            <v>#N/A</v>
          </cell>
          <cell r="BK205" t="e">
            <v>#N/A</v>
          </cell>
          <cell r="BL205" t="e">
            <v>#N/A</v>
          </cell>
          <cell r="BM205" t="e">
            <v>#N/A</v>
          </cell>
          <cell r="BN205" t="e">
            <v>#N/A</v>
          </cell>
          <cell r="BO205" t="e">
            <v>#N/A</v>
          </cell>
          <cell r="BP205" t="e">
            <v>#N/A</v>
          </cell>
          <cell r="BQ205" t="e">
            <v>#N/A</v>
          </cell>
          <cell r="BR205" t="e">
            <v>#N/A</v>
          </cell>
          <cell r="BS205" t="e">
            <v>#N/A</v>
          </cell>
          <cell r="BT205" t="e">
            <v>#N/A</v>
          </cell>
          <cell r="BU205" t="e">
            <v>#N/A</v>
          </cell>
          <cell r="BV205" t="e">
            <v>#N/A</v>
          </cell>
          <cell r="BW205" t="e">
            <v>#N/A</v>
          </cell>
          <cell r="BX205" t="e">
            <v>#N/A</v>
          </cell>
          <cell r="BY205" t="e">
            <v>#N/A</v>
          </cell>
        </row>
        <row r="206">
          <cell r="B206" t="str">
            <v>Sales - % Coffee</v>
          </cell>
          <cell r="C206" t="str">
            <v>SALES_COFFEE</v>
          </cell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  <cell r="AV206" t="e">
            <v>#N/A</v>
          </cell>
          <cell r="AW206" t="e">
            <v>#N/A</v>
          </cell>
          <cell r="AX206" t="e">
            <v>#N/A</v>
          </cell>
          <cell r="AY206" t="e">
            <v>#N/A</v>
          </cell>
          <cell r="AZ206" t="e">
            <v>#N/A</v>
          </cell>
          <cell r="BA206" t="e">
            <v>#N/A</v>
          </cell>
          <cell r="BB206" t="e">
            <v>#N/A</v>
          </cell>
          <cell r="BC206" t="e">
            <v>#N/A</v>
          </cell>
          <cell r="BD206" t="e">
            <v>#N/A</v>
          </cell>
          <cell r="BE206" t="e">
            <v>#N/A</v>
          </cell>
          <cell r="BF206" t="e">
            <v>#N/A</v>
          </cell>
          <cell r="BG206" t="e">
            <v>#N/A</v>
          </cell>
          <cell r="BH206" t="e">
            <v>#N/A</v>
          </cell>
          <cell r="BI206" t="e">
            <v>#N/A</v>
          </cell>
          <cell r="BJ206" t="e">
            <v>#N/A</v>
          </cell>
          <cell r="BK206" t="e">
            <v>#N/A</v>
          </cell>
          <cell r="BL206" t="e">
            <v>#N/A</v>
          </cell>
          <cell r="BM206" t="e">
            <v>#N/A</v>
          </cell>
          <cell r="BN206" t="e">
            <v>#N/A</v>
          </cell>
          <cell r="BO206" t="e">
            <v>#N/A</v>
          </cell>
          <cell r="BP206" t="e">
            <v>#N/A</v>
          </cell>
          <cell r="BQ206" t="e">
            <v>#N/A</v>
          </cell>
          <cell r="BR206" t="e">
            <v>#N/A</v>
          </cell>
          <cell r="BS206" t="e">
            <v>#N/A</v>
          </cell>
          <cell r="BT206" t="e">
            <v>#N/A</v>
          </cell>
          <cell r="BU206" t="e">
            <v>#N/A</v>
          </cell>
          <cell r="BV206" t="e">
            <v>#N/A</v>
          </cell>
          <cell r="BW206" t="e">
            <v>#N/A</v>
          </cell>
          <cell r="BX206" t="e">
            <v>#N/A</v>
          </cell>
          <cell r="BY206" t="e">
            <v>#N/A</v>
          </cell>
        </row>
        <row r="207">
          <cell r="B207" t="str">
            <v>Sales - % Cocoa</v>
          </cell>
          <cell r="C207" t="str">
            <v>SALES_COCOA</v>
          </cell>
          <cell r="F207" t="e">
            <v>#N/A</v>
          </cell>
          <cell r="G207" t="e">
            <v>#N/A</v>
          </cell>
          <cell r="H207" t="e">
            <v>#N/A</v>
          </cell>
          <cell r="I207" t="e">
            <v>#N/A</v>
          </cell>
          <cell r="J207" t="e">
            <v>#N/A</v>
          </cell>
          <cell r="K207" t="e">
            <v>#N/A</v>
          </cell>
          <cell r="L207" t="e">
            <v>#N/A</v>
          </cell>
          <cell r="M207" t="e">
            <v>#N/A</v>
          </cell>
          <cell r="N207" t="e">
            <v>#N/A</v>
          </cell>
          <cell r="O207" t="e">
            <v>#N/A</v>
          </cell>
          <cell r="P207" t="e">
            <v>#N/A</v>
          </cell>
          <cell r="Q207" t="e">
            <v>#N/A</v>
          </cell>
          <cell r="R207" t="e">
            <v>#N/A</v>
          </cell>
          <cell r="S207" t="e">
            <v>#N/A</v>
          </cell>
          <cell r="T207" t="e">
            <v>#N/A</v>
          </cell>
          <cell r="U207" t="e">
            <v>#N/A</v>
          </cell>
          <cell r="V207" t="e">
            <v>#N/A</v>
          </cell>
          <cell r="W207" t="e">
            <v>#N/A</v>
          </cell>
          <cell r="X207" t="e">
            <v>#N/A</v>
          </cell>
          <cell r="Z207" t="e">
            <v>#N/A</v>
          </cell>
          <cell r="AA207" t="e">
            <v>#N/A</v>
          </cell>
          <cell r="AB207" t="e">
            <v>#N/A</v>
          </cell>
          <cell r="AC207" t="e">
            <v>#N/A</v>
          </cell>
          <cell r="AD207" t="e">
            <v>#N/A</v>
          </cell>
          <cell r="AE207" t="e">
            <v>#N/A</v>
          </cell>
          <cell r="AF207" t="e">
            <v>#N/A</v>
          </cell>
          <cell r="AG207" t="e">
            <v>#N/A</v>
          </cell>
          <cell r="AH207" t="e">
            <v>#N/A</v>
          </cell>
          <cell r="AI207" t="e">
            <v>#N/A</v>
          </cell>
          <cell r="AJ207" t="e">
            <v>#N/A</v>
          </cell>
          <cell r="AK207" t="e">
            <v>#N/A</v>
          </cell>
          <cell r="AL207" t="e">
            <v>#N/A</v>
          </cell>
          <cell r="AM207" t="e">
            <v>#N/A</v>
          </cell>
          <cell r="AN207" t="e">
            <v>#N/A</v>
          </cell>
          <cell r="AO207" t="e">
            <v>#N/A</v>
          </cell>
          <cell r="AP207" t="e">
            <v>#N/A</v>
          </cell>
          <cell r="AQ207" t="e">
            <v>#N/A</v>
          </cell>
          <cell r="AR207" t="e">
            <v>#N/A</v>
          </cell>
          <cell r="AS207" t="e">
            <v>#N/A</v>
          </cell>
          <cell r="AT207" t="e">
            <v>#N/A</v>
          </cell>
          <cell r="AU207" t="e">
            <v>#N/A</v>
          </cell>
          <cell r="AV207" t="e">
            <v>#N/A</v>
          </cell>
          <cell r="AW207" t="e">
            <v>#N/A</v>
          </cell>
          <cell r="AX207" t="e">
            <v>#N/A</v>
          </cell>
          <cell r="AY207" t="e">
            <v>#N/A</v>
          </cell>
          <cell r="AZ207" t="e">
            <v>#N/A</v>
          </cell>
          <cell r="BA207" t="e">
            <v>#N/A</v>
          </cell>
          <cell r="BB207" t="e">
            <v>#N/A</v>
          </cell>
          <cell r="BC207" t="e">
            <v>#N/A</v>
          </cell>
          <cell r="BD207" t="e">
            <v>#N/A</v>
          </cell>
          <cell r="BE207" t="e">
            <v>#N/A</v>
          </cell>
          <cell r="BF207" t="e">
            <v>#N/A</v>
          </cell>
          <cell r="BG207" t="e">
            <v>#N/A</v>
          </cell>
          <cell r="BH207" t="e">
            <v>#N/A</v>
          </cell>
          <cell r="BI207" t="e">
            <v>#N/A</v>
          </cell>
          <cell r="BJ207" t="e">
            <v>#N/A</v>
          </cell>
          <cell r="BK207" t="e">
            <v>#N/A</v>
          </cell>
          <cell r="BL207" t="e">
            <v>#N/A</v>
          </cell>
          <cell r="BM207" t="e">
            <v>#N/A</v>
          </cell>
          <cell r="BN207" t="e">
            <v>#N/A</v>
          </cell>
          <cell r="BO207" t="e">
            <v>#N/A</v>
          </cell>
          <cell r="BP207" t="e">
            <v>#N/A</v>
          </cell>
          <cell r="BQ207" t="e">
            <v>#N/A</v>
          </cell>
          <cell r="BR207" t="e">
            <v>#N/A</v>
          </cell>
          <cell r="BS207" t="e">
            <v>#N/A</v>
          </cell>
          <cell r="BT207" t="e">
            <v>#N/A</v>
          </cell>
          <cell r="BU207" t="e">
            <v>#N/A</v>
          </cell>
          <cell r="BV207" t="e">
            <v>#N/A</v>
          </cell>
          <cell r="BW207" t="e">
            <v>#N/A</v>
          </cell>
          <cell r="BX207" t="e">
            <v>#N/A</v>
          </cell>
          <cell r="BY207" t="e">
            <v>#N/A</v>
          </cell>
        </row>
        <row r="208">
          <cell r="B208" t="str">
            <v>Sales - % Beef</v>
          </cell>
          <cell r="C208" t="str">
            <v>SALES_BEEF</v>
          </cell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  <cell r="AV208" t="e">
            <v>#N/A</v>
          </cell>
          <cell r="AW208" t="e">
            <v>#N/A</v>
          </cell>
          <cell r="AX208" t="e">
            <v>#N/A</v>
          </cell>
          <cell r="AY208" t="e">
            <v>#N/A</v>
          </cell>
          <cell r="AZ208" t="e">
            <v>#N/A</v>
          </cell>
          <cell r="BA208" t="e">
            <v>#N/A</v>
          </cell>
          <cell r="BB208" t="e">
            <v>#N/A</v>
          </cell>
          <cell r="BC208" t="e">
            <v>#N/A</v>
          </cell>
          <cell r="BD208" t="e">
            <v>#N/A</v>
          </cell>
          <cell r="BE208" t="e">
            <v>#N/A</v>
          </cell>
          <cell r="BF208" t="e">
            <v>#N/A</v>
          </cell>
          <cell r="BG208" t="e">
            <v>#N/A</v>
          </cell>
          <cell r="BH208" t="e">
            <v>#N/A</v>
          </cell>
          <cell r="BI208" t="e">
            <v>#N/A</v>
          </cell>
          <cell r="BJ208" t="e">
            <v>#N/A</v>
          </cell>
          <cell r="BK208" t="e">
            <v>#N/A</v>
          </cell>
          <cell r="BL208" t="e">
            <v>#N/A</v>
          </cell>
          <cell r="BM208" t="e">
            <v>#N/A</v>
          </cell>
          <cell r="BN208" t="e">
            <v>#N/A</v>
          </cell>
          <cell r="BO208" t="e">
            <v>#N/A</v>
          </cell>
          <cell r="BP208" t="e">
            <v>#N/A</v>
          </cell>
          <cell r="BQ208" t="e">
            <v>#N/A</v>
          </cell>
          <cell r="BR208" t="e">
            <v>#N/A</v>
          </cell>
          <cell r="BS208" t="e">
            <v>#N/A</v>
          </cell>
          <cell r="BT208" t="e">
            <v>#N/A</v>
          </cell>
          <cell r="BU208" t="e">
            <v>#N/A</v>
          </cell>
          <cell r="BV208" t="e">
            <v>#N/A</v>
          </cell>
          <cell r="BW208" t="e">
            <v>#N/A</v>
          </cell>
          <cell r="BX208" t="e">
            <v>#N/A</v>
          </cell>
          <cell r="BY208" t="e">
            <v>#N/A</v>
          </cell>
        </row>
        <row r="209">
          <cell r="B209" t="str">
            <v>Sales - % Pork</v>
          </cell>
          <cell r="C209" t="str">
            <v>SALES_PORK</v>
          </cell>
          <cell r="F209" t="e">
            <v>#N/A</v>
          </cell>
          <cell r="G209" t="e">
            <v>#N/A</v>
          </cell>
          <cell r="H209" t="e">
            <v>#N/A</v>
          </cell>
          <cell r="I209" t="e">
            <v>#N/A</v>
          </cell>
          <cell r="J209" t="e">
            <v>#N/A</v>
          </cell>
          <cell r="K209" t="e">
            <v>#N/A</v>
          </cell>
          <cell r="L209" t="e">
            <v>#N/A</v>
          </cell>
          <cell r="M209" t="e">
            <v>#N/A</v>
          </cell>
          <cell r="N209" t="e">
            <v>#N/A</v>
          </cell>
          <cell r="O209" t="e">
            <v>#N/A</v>
          </cell>
          <cell r="P209" t="e">
            <v>#N/A</v>
          </cell>
          <cell r="Q209" t="e">
            <v>#N/A</v>
          </cell>
          <cell r="R209" t="e">
            <v>#N/A</v>
          </cell>
          <cell r="S209" t="e">
            <v>#N/A</v>
          </cell>
          <cell r="T209" t="e">
            <v>#N/A</v>
          </cell>
          <cell r="U209" t="e">
            <v>#N/A</v>
          </cell>
          <cell r="V209" t="e">
            <v>#N/A</v>
          </cell>
          <cell r="W209" t="e">
            <v>#N/A</v>
          </cell>
          <cell r="X209" t="e">
            <v>#N/A</v>
          </cell>
          <cell r="Z209" t="e">
            <v>#N/A</v>
          </cell>
          <cell r="AA209" t="e">
            <v>#N/A</v>
          </cell>
          <cell r="AB209" t="e">
            <v>#N/A</v>
          </cell>
          <cell r="AC209" t="e">
            <v>#N/A</v>
          </cell>
          <cell r="AD209" t="e">
            <v>#N/A</v>
          </cell>
          <cell r="AE209" t="e">
            <v>#N/A</v>
          </cell>
          <cell r="AF209" t="e">
            <v>#N/A</v>
          </cell>
          <cell r="AG209" t="e">
            <v>#N/A</v>
          </cell>
          <cell r="AH209" t="e">
            <v>#N/A</v>
          </cell>
          <cell r="AI209" t="e">
            <v>#N/A</v>
          </cell>
          <cell r="AJ209" t="e">
            <v>#N/A</v>
          </cell>
          <cell r="AK209" t="e">
            <v>#N/A</v>
          </cell>
          <cell r="AL209" t="e">
            <v>#N/A</v>
          </cell>
          <cell r="AM209" t="e">
            <v>#N/A</v>
          </cell>
          <cell r="AN209" t="e">
            <v>#N/A</v>
          </cell>
          <cell r="AO209" t="e">
            <v>#N/A</v>
          </cell>
          <cell r="AP209" t="e">
            <v>#N/A</v>
          </cell>
          <cell r="AQ209" t="e">
            <v>#N/A</v>
          </cell>
          <cell r="AR209" t="e">
            <v>#N/A</v>
          </cell>
          <cell r="AS209" t="e">
            <v>#N/A</v>
          </cell>
          <cell r="AT209" t="e">
            <v>#N/A</v>
          </cell>
          <cell r="AU209" t="e">
            <v>#N/A</v>
          </cell>
          <cell r="AV209" t="e">
            <v>#N/A</v>
          </cell>
          <cell r="AW209" t="e">
            <v>#N/A</v>
          </cell>
          <cell r="AX209" t="e">
            <v>#N/A</v>
          </cell>
          <cell r="AY209" t="e">
            <v>#N/A</v>
          </cell>
          <cell r="AZ209" t="e">
            <v>#N/A</v>
          </cell>
          <cell r="BA209" t="e">
            <v>#N/A</v>
          </cell>
          <cell r="BB209" t="e">
            <v>#N/A</v>
          </cell>
          <cell r="BC209" t="e">
            <v>#N/A</v>
          </cell>
          <cell r="BD209" t="e">
            <v>#N/A</v>
          </cell>
          <cell r="BE209" t="e">
            <v>#N/A</v>
          </cell>
          <cell r="BF209" t="e">
            <v>#N/A</v>
          </cell>
          <cell r="BG209" t="e">
            <v>#N/A</v>
          </cell>
          <cell r="BH209" t="e">
            <v>#N/A</v>
          </cell>
          <cell r="BI209" t="e">
            <v>#N/A</v>
          </cell>
          <cell r="BJ209" t="e">
            <v>#N/A</v>
          </cell>
          <cell r="BK209" t="e">
            <v>#N/A</v>
          </cell>
          <cell r="BL209" t="e">
            <v>#N/A</v>
          </cell>
          <cell r="BM209" t="e">
            <v>#N/A</v>
          </cell>
          <cell r="BN209" t="e">
            <v>#N/A</v>
          </cell>
          <cell r="BO209" t="e">
            <v>#N/A</v>
          </cell>
          <cell r="BP209" t="e">
            <v>#N/A</v>
          </cell>
          <cell r="BQ209" t="e">
            <v>#N/A</v>
          </cell>
          <cell r="BR209" t="e">
            <v>#N/A</v>
          </cell>
          <cell r="BS209" t="e">
            <v>#N/A</v>
          </cell>
          <cell r="BT209" t="e">
            <v>#N/A</v>
          </cell>
          <cell r="BU209" t="e">
            <v>#N/A</v>
          </cell>
          <cell r="BV209" t="e">
            <v>#N/A</v>
          </cell>
          <cell r="BW209" t="e">
            <v>#N/A</v>
          </cell>
          <cell r="BX209" t="e">
            <v>#N/A</v>
          </cell>
          <cell r="BY209" t="e">
            <v>#N/A</v>
          </cell>
        </row>
        <row r="210">
          <cell r="B210" t="str">
            <v>Sales - % Chicken</v>
          </cell>
          <cell r="C210" t="str">
            <v>SALES_CHICKEN</v>
          </cell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  <cell r="AV210" t="e">
            <v>#N/A</v>
          </cell>
          <cell r="AW210" t="e">
            <v>#N/A</v>
          </cell>
          <cell r="AX210" t="e">
            <v>#N/A</v>
          </cell>
          <cell r="AY210" t="e">
            <v>#N/A</v>
          </cell>
          <cell r="AZ210" t="e">
            <v>#N/A</v>
          </cell>
          <cell r="BA210" t="e">
            <v>#N/A</v>
          </cell>
          <cell r="BB210" t="e">
            <v>#N/A</v>
          </cell>
          <cell r="BC210" t="e">
            <v>#N/A</v>
          </cell>
          <cell r="BD210" t="e">
            <v>#N/A</v>
          </cell>
          <cell r="BE210" t="e">
            <v>#N/A</v>
          </cell>
          <cell r="BF210" t="e">
            <v>#N/A</v>
          </cell>
          <cell r="BG210" t="e">
            <v>#N/A</v>
          </cell>
          <cell r="BH210" t="e">
            <v>#N/A</v>
          </cell>
          <cell r="BI210" t="e">
            <v>#N/A</v>
          </cell>
          <cell r="BJ210" t="e">
            <v>#N/A</v>
          </cell>
          <cell r="BK210" t="e">
            <v>#N/A</v>
          </cell>
          <cell r="BL210" t="e">
            <v>#N/A</v>
          </cell>
          <cell r="BM210" t="e">
            <v>#N/A</v>
          </cell>
          <cell r="BN210" t="e">
            <v>#N/A</v>
          </cell>
          <cell r="BO210" t="e">
            <v>#N/A</v>
          </cell>
          <cell r="BP210" t="e">
            <v>#N/A</v>
          </cell>
          <cell r="BQ210" t="e">
            <v>#N/A</v>
          </cell>
          <cell r="BR210" t="e">
            <v>#N/A</v>
          </cell>
          <cell r="BS210" t="e">
            <v>#N/A</v>
          </cell>
          <cell r="BT210" t="e">
            <v>#N/A</v>
          </cell>
          <cell r="BU210" t="e">
            <v>#N/A</v>
          </cell>
          <cell r="BV210" t="e">
            <v>#N/A</v>
          </cell>
          <cell r="BW210" t="e">
            <v>#N/A</v>
          </cell>
          <cell r="BX210" t="e">
            <v>#N/A</v>
          </cell>
          <cell r="BY210" t="e">
            <v>#N/A</v>
          </cell>
        </row>
        <row r="211">
          <cell r="B211" t="str">
            <v>Sales - % Dairy</v>
          </cell>
          <cell r="C211" t="str">
            <v>SALES_DAIRY</v>
          </cell>
          <cell r="F211" t="e">
            <v>#N/A</v>
          </cell>
          <cell r="G211" t="e">
            <v>#N/A</v>
          </cell>
          <cell r="H211" t="e">
            <v>#N/A</v>
          </cell>
          <cell r="I211" t="e">
            <v>#N/A</v>
          </cell>
          <cell r="J211" t="e">
            <v>#N/A</v>
          </cell>
          <cell r="K211" t="e">
            <v>#N/A</v>
          </cell>
          <cell r="L211" t="e">
            <v>#N/A</v>
          </cell>
          <cell r="M211" t="e">
            <v>#N/A</v>
          </cell>
          <cell r="N211" t="e">
            <v>#N/A</v>
          </cell>
          <cell r="O211" t="e">
            <v>#N/A</v>
          </cell>
          <cell r="P211" t="e">
            <v>#N/A</v>
          </cell>
          <cell r="Q211" t="e">
            <v>#N/A</v>
          </cell>
          <cell r="R211" t="e">
            <v>#N/A</v>
          </cell>
          <cell r="S211" t="e">
            <v>#N/A</v>
          </cell>
          <cell r="T211" t="e">
            <v>#N/A</v>
          </cell>
          <cell r="U211" t="e">
            <v>#N/A</v>
          </cell>
          <cell r="V211" t="e">
            <v>#N/A</v>
          </cell>
          <cell r="W211" t="e">
            <v>#N/A</v>
          </cell>
          <cell r="X211" t="e">
            <v>#N/A</v>
          </cell>
          <cell r="Z211" t="e">
            <v>#N/A</v>
          </cell>
          <cell r="AA211" t="e">
            <v>#N/A</v>
          </cell>
          <cell r="AB211" t="e">
            <v>#N/A</v>
          </cell>
          <cell r="AC211" t="e">
            <v>#N/A</v>
          </cell>
          <cell r="AD211" t="e">
            <v>#N/A</v>
          </cell>
          <cell r="AE211" t="e">
            <v>#N/A</v>
          </cell>
          <cell r="AF211" t="e">
            <v>#N/A</v>
          </cell>
          <cell r="AG211" t="e">
            <v>#N/A</v>
          </cell>
          <cell r="AH211" t="e">
            <v>#N/A</v>
          </cell>
          <cell r="AI211" t="e">
            <v>#N/A</v>
          </cell>
          <cell r="AJ211" t="e">
            <v>#N/A</v>
          </cell>
          <cell r="AK211" t="e">
            <v>#N/A</v>
          </cell>
          <cell r="AL211" t="e">
            <v>#N/A</v>
          </cell>
          <cell r="AM211" t="e">
            <v>#N/A</v>
          </cell>
          <cell r="AN211" t="e">
            <v>#N/A</v>
          </cell>
          <cell r="AO211" t="e">
            <v>#N/A</v>
          </cell>
          <cell r="AP211" t="e">
            <v>#N/A</v>
          </cell>
          <cell r="AQ211" t="e">
            <v>#N/A</v>
          </cell>
          <cell r="AR211" t="e">
            <v>#N/A</v>
          </cell>
          <cell r="AS211" t="e">
            <v>#N/A</v>
          </cell>
          <cell r="AT211" t="e">
            <v>#N/A</v>
          </cell>
          <cell r="AU211" t="e">
            <v>#N/A</v>
          </cell>
          <cell r="AV211" t="e">
            <v>#N/A</v>
          </cell>
          <cell r="AW211" t="e">
            <v>#N/A</v>
          </cell>
          <cell r="AX211" t="e">
            <v>#N/A</v>
          </cell>
          <cell r="AY211" t="e">
            <v>#N/A</v>
          </cell>
          <cell r="AZ211" t="e">
            <v>#N/A</v>
          </cell>
          <cell r="BA211" t="e">
            <v>#N/A</v>
          </cell>
          <cell r="BB211" t="e">
            <v>#N/A</v>
          </cell>
          <cell r="BC211" t="e">
            <v>#N/A</v>
          </cell>
          <cell r="BD211" t="e">
            <v>#N/A</v>
          </cell>
          <cell r="BE211" t="e">
            <v>#N/A</v>
          </cell>
          <cell r="BF211" t="e">
            <v>#N/A</v>
          </cell>
          <cell r="BG211" t="e">
            <v>#N/A</v>
          </cell>
          <cell r="BH211" t="e">
            <v>#N/A</v>
          </cell>
          <cell r="BI211" t="e">
            <v>#N/A</v>
          </cell>
          <cell r="BJ211" t="e">
            <v>#N/A</v>
          </cell>
          <cell r="BK211" t="e">
            <v>#N/A</v>
          </cell>
          <cell r="BL211" t="e">
            <v>#N/A</v>
          </cell>
          <cell r="BM211" t="e">
            <v>#N/A</v>
          </cell>
          <cell r="BN211" t="e">
            <v>#N/A</v>
          </cell>
          <cell r="BO211" t="e">
            <v>#N/A</v>
          </cell>
          <cell r="BP211" t="e">
            <v>#N/A</v>
          </cell>
          <cell r="BQ211" t="e">
            <v>#N/A</v>
          </cell>
          <cell r="BR211" t="e">
            <v>#N/A</v>
          </cell>
          <cell r="BS211" t="e">
            <v>#N/A</v>
          </cell>
          <cell r="BT211" t="e">
            <v>#N/A</v>
          </cell>
          <cell r="BU211" t="e">
            <v>#N/A</v>
          </cell>
          <cell r="BV211" t="e">
            <v>#N/A</v>
          </cell>
          <cell r="BW211" t="e">
            <v>#N/A</v>
          </cell>
          <cell r="BX211" t="e">
            <v>#N/A</v>
          </cell>
          <cell r="BY211" t="e">
            <v>#N/A</v>
          </cell>
        </row>
        <row r="212">
          <cell r="B212" t="str">
            <v>Sales - % Nuts</v>
          </cell>
          <cell r="C212" t="str">
            <v>SALES_NUTS</v>
          </cell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  <cell r="AV212" t="e">
            <v>#N/A</v>
          </cell>
          <cell r="AW212" t="e">
            <v>#N/A</v>
          </cell>
          <cell r="AX212" t="e">
            <v>#N/A</v>
          </cell>
          <cell r="AY212" t="e">
            <v>#N/A</v>
          </cell>
          <cell r="AZ212" t="e">
            <v>#N/A</v>
          </cell>
          <cell r="BA212" t="e">
            <v>#N/A</v>
          </cell>
          <cell r="BB212" t="e">
            <v>#N/A</v>
          </cell>
          <cell r="BC212" t="e">
            <v>#N/A</v>
          </cell>
          <cell r="BD212" t="e">
            <v>#N/A</v>
          </cell>
          <cell r="BE212" t="e">
            <v>#N/A</v>
          </cell>
          <cell r="BF212" t="e">
            <v>#N/A</v>
          </cell>
          <cell r="BG212" t="e">
            <v>#N/A</v>
          </cell>
          <cell r="BH212" t="e">
            <v>#N/A</v>
          </cell>
          <cell r="BI212" t="e">
            <v>#N/A</v>
          </cell>
          <cell r="BJ212" t="e">
            <v>#N/A</v>
          </cell>
          <cell r="BK212" t="e">
            <v>#N/A</v>
          </cell>
          <cell r="BL212" t="e">
            <v>#N/A</v>
          </cell>
          <cell r="BM212" t="e">
            <v>#N/A</v>
          </cell>
          <cell r="BN212" t="e">
            <v>#N/A</v>
          </cell>
          <cell r="BO212" t="e">
            <v>#N/A</v>
          </cell>
          <cell r="BP212" t="e">
            <v>#N/A</v>
          </cell>
          <cell r="BQ212" t="e">
            <v>#N/A</v>
          </cell>
          <cell r="BR212" t="e">
            <v>#N/A</v>
          </cell>
          <cell r="BS212" t="e">
            <v>#N/A</v>
          </cell>
          <cell r="BT212" t="e">
            <v>#N/A</v>
          </cell>
          <cell r="BU212" t="e">
            <v>#N/A</v>
          </cell>
          <cell r="BV212" t="e">
            <v>#N/A</v>
          </cell>
          <cell r="BW212" t="e">
            <v>#N/A</v>
          </cell>
          <cell r="BX212" t="e">
            <v>#N/A</v>
          </cell>
          <cell r="BY212" t="e">
            <v>#N/A</v>
          </cell>
        </row>
        <row r="213">
          <cell r="B213" t="str">
            <v>Sales - % Palm oil</v>
          </cell>
          <cell r="C213" t="str">
            <v>SALES_PALM_OIL</v>
          </cell>
          <cell r="F213" t="e">
            <v>#N/A</v>
          </cell>
          <cell r="G213" t="e">
            <v>#N/A</v>
          </cell>
          <cell r="H213" t="e">
            <v>#N/A</v>
          </cell>
          <cell r="I213" t="e">
            <v>#N/A</v>
          </cell>
          <cell r="J213" t="e">
            <v>#N/A</v>
          </cell>
          <cell r="K213" t="e">
            <v>#N/A</v>
          </cell>
          <cell r="L213" t="e">
            <v>#N/A</v>
          </cell>
          <cell r="M213" t="e">
            <v>#N/A</v>
          </cell>
          <cell r="N213" t="e">
            <v>#N/A</v>
          </cell>
          <cell r="O213" t="e">
            <v>#N/A</v>
          </cell>
          <cell r="P213" t="e">
            <v>#N/A</v>
          </cell>
          <cell r="Q213" t="e">
            <v>#N/A</v>
          </cell>
          <cell r="R213" t="e">
            <v>#N/A</v>
          </cell>
          <cell r="S213" t="e">
            <v>#N/A</v>
          </cell>
          <cell r="T213" t="e">
            <v>#N/A</v>
          </cell>
          <cell r="U213" t="e">
            <v>#N/A</v>
          </cell>
          <cell r="V213" t="e">
            <v>#N/A</v>
          </cell>
          <cell r="W213" t="e">
            <v>#N/A</v>
          </cell>
          <cell r="X213" t="e">
            <v>#N/A</v>
          </cell>
          <cell r="Z213" t="e">
            <v>#N/A</v>
          </cell>
          <cell r="AA213" t="e">
            <v>#N/A</v>
          </cell>
          <cell r="AB213" t="e">
            <v>#N/A</v>
          </cell>
          <cell r="AC213" t="e">
            <v>#N/A</v>
          </cell>
          <cell r="AD213" t="e">
            <v>#N/A</v>
          </cell>
          <cell r="AE213" t="e">
            <v>#N/A</v>
          </cell>
          <cell r="AF213" t="e">
            <v>#N/A</v>
          </cell>
          <cell r="AG213" t="e">
            <v>#N/A</v>
          </cell>
          <cell r="AH213" t="e">
            <v>#N/A</v>
          </cell>
          <cell r="AI213" t="e">
            <v>#N/A</v>
          </cell>
          <cell r="AJ213" t="e">
            <v>#N/A</v>
          </cell>
          <cell r="AK213" t="e">
            <v>#N/A</v>
          </cell>
          <cell r="AL213" t="e">
            <v>#N/A</v>
          </cell>
          <cell r="AM213" t="e">
            <v>#N/A</v>
          </cell>
          <cell r="AN213" t="e">
            <v>#N/A</v>
          </cell>
          <cell r="AO213" t="e">
            <v>#N/A</v>
          </cell>
          <cell r="AP213" t="e">
            <v>#N/A</v>
          </cell>
          <cell r="AQ213" t="e">
            <v>#N/A</v>
          </cell>
          <cell r="AR213" t="e">
            <v>#N/A</v>
          </cell>
          <cell r="AS213" t="e">
            <v>#N/A</v>
          </cell>
          <cell r="AT213" t="e">
            <v>#N/A</v>
          </cell>
          <cell r="AU213" t="e">
            <v>#N/A</v>
          </cell>
          <cell r="AV213" t="e">
            <v>#N/A</v>
          </cell>
          <cell r="AW213" t="e">
            <v>#N/A</v>
          </cell>
          <cell r="AX213" t="e">
            <v>#N/A</v>
          </cell>
          <cell r="AY213" t="e">
            <v>#N/A</v>
          </cell>
          <cell r="AZ213" t="e">
            <v>#N/A</v>
          </cell>
          <cell r="BA213" t="e">
            <v>#N/A</v>
          </cell>
          <cell r="BB213" t="e">
            <v>#N/A</v>
          </cell>
          <cell r="BC213" t="e">
            <v>#N/A</v>
          </cell>
          <cell r="BD213" t="e">
            <v>#N/A</v>
          </cell>
          <cell r="BE213" t="e">
            <v>#N/A</v>
          </cell>
          <cell r="BF213" t="e">
            <v>#N/A</v>
          </cell>
          <cell r="BG213" t="e">
            <v>#N/A</v>
          </cell>
          <cell r="BH213" t="e">
            <v>#N/A</v>
          </cell>
          <cell r="BI213" t="e">
            <v>#N/A</v>
          </cell>
          <cell r="BJ213" t="e">
            <v>#N/A</v>
          </cell>
          <cell r="BK213" t="e">
            <v>#N/A</v>
          </cell>
          <cell r="BL213" t="e">
            <v>#N/A</v>
          </cell>
          <cell r="BM213" t="e">
            <v>#N/A</v>
          </cell>
          <cell r="BN213" t="e">
            <v>#N/A</v>
          </cell>
          <cell r="BO213" t="e">
            <v>#N/A</v>
          </cell>
          <cell r="BP213" t="e">
            <v>#N/A</v>
          </cell>
          <cell r="BQ213" t="e">
            <v>#N/A</v>
          </cell>
          <cell r="BR213" t="e">
            <v>#N/A</v>
          </cell>
          <cell r="BS213" t="e">
            <v>#N/A</v>
          </cell>
          <cell r="BT213" t="e">
            <v>#N/A</v>
          </cell>
          <cell r="BU213" t="e">
            <v>#N/A</v>
          </cell>
          <cell r="BV213" t="e">
            <v>#N/A</v>
          </cell>
          <cell r="BW213" t="e">
            <v>#N/A</v>
          </cell>
          <cell r="BX213" t="e">
            <v>#N/A</v>
          </cell>
          <cell r="BY213" t="e">
            <v>#N/A</v>
          </cell>
        </row>
        <row r="214">
          <cell r="B214" t="str">
            <v>Sales - % Other edible oil</v>
          </cell>
          <cell r="C214" t="str">
            <v>SALES_OTH_EDIBLE_OIL</v>
          </cell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  <cell r="AV214" t="e">
            <v>#N/A</v>
          </cell>
          <cell r="AW214" t="e">
            <v>#N/A</v>
          </cell>
          <cell r="AX214" t="e">
            <v>#N/A</v>
          </cell>
          <cell r="AY214" t="e">
            <v>#N/A</v>
          </cell>
          <cell r="AZ214" t="e">
            <v>#N/A</v>
          </cell>
          <cell r="BA214" t="e">
            <v>#N/A</v>
          </cell>
          <cell r="BB214" t="e">
            <v>#N/A</v>
          </cell>
          <cell r="BC214" t="e">
            <v>#N/A</v>
          </cell>
          <cell r="BD214" t="e">
            <v>#N/A</v>
          </cell>
          <cell r="BE214" t="e">
            <v>#N/A</v>
          </cell>
          <cell r="BF214" t="e">
            <v>#N/A</v>
          </cell>
          <cell r="BG214" t="e">
            <v>#N/A</v>
          </cell>
          <cell r="BH214" t="e">
            <v>#N/A</v>
          </cell>
          <cell r="BI214" t="e">
            <v>#N/A</v>
          </cell>
          <cell r="BJ214" t="e">
            <v>#N/A</v>
          </cell>
          <cell r="BK214" t="e">
            <v>#N/A</v>
          </cell>
          <cell r="BL214" t="e">
            <v>#N/A</v>
          </cell>
          <cell r="BM214" t="e">
            <v>#N/A</v>
          </cell>
          <cell r="BN214" t="e">
            <v>#N/A</v>
          </cell>
          <cell r="BO214" t="e">
            <v>#N/A</v>
          </cell>
          <cell r="BP214" t="e">
            <v>#N/A</v>
          </cell>
          <cell r="BQ214" t="e">
            <v>#N/A</v>
          </cell>
          <cell r="BR214" t="e">
            <v>#N/A</v>
          </cell>
          <cell r="BS214" t="e">
            <v>#N/A</v>
          </cell>
          <cell r="BT214" t="e">
            <v>#N/A</v>
          </cell>
          <cell r="BU214" t="e">
            <v>#N/A</v>
          </cell>
          <cell r="BV214" t="e">
            <v>#N/A</v>
          </cell>
          <cell r="BW214" t="e">
            <v>#N/A</v>
          </cell>
          <cell r="BX214" t="e">
            <v>#N/A</v>
          </cell>
          <cell r="BY214" t="e">
            <v>#N/A</v>
          </cell>
        </row>
        <row r="215">
          <cell r="B215" t="str">
            <v>Sales - % Tobacco leaf</v>
          </cell>
          <cell r="C215" t="str">
            <v>SALES_TOBACCO_LEAF</v>
          </cell>
          <cell r="F215" t="e">
            <v>#N/A</v>
          </cell>
          <cell r="G215" t="e">
            <v>#N/A</v>
          </cell>
          <cell r="H215" t="e">
            <v>#N/A</v>
          </cell>
          <cell r="I215" t="e">
            <v>#N/A</v>
          </cell>
          <cell r="J215" t="e">
            <v>#N/A</v>
          </cell>
          <cell r="K215" t="e">
            <v>#N/A</v>
          </cell>
          <cell r="L215" t="e">
            <v>#N/A</v>
          </cell>
          <cell r="M215" t="e">
            <v>#N/A</v>
          </cell>
          <cell r="N215" t="e">
            <v>#N/A</v>
          </cell>
          <cell r="O215" t="e">
            <v>#N/A</v>
          </cell>
          <cell r="P215" t="e">
            <v>#N/A</v>
          </cell>
          <cell r="Q215" t="e">
            <v>#N/A</v>
          </cell>
          <cell r="R215" t="e">
            <v>#N/A</v>
          </cell>
          <cell r="S215" t="e">
            <v>#N/A</v>
          </cell>
          <cell r="T215" t="e">
            <v>#N/A</v>
          </cell>
          <cell r="U215" t="e">
            <v>#N/A</v>
          </cell>
          <cell r="V215" t="e">
            <v>#N/A</v>
          </cell>
          <cell r="W215" t="e">
            <v>#N/A</v>
          </cell>
          <cell r="X215" t="e">
            <v>#N/A</v>
          </cell>
          <cell r="Z215" t="e">
            <v>#N/A</v>
          </cell>
          <cell r="AA215" t="e">
            <v>#N/A</v>
          </cell>
          <cell r="AB215" t="e">
            <v>#N/A</v>
          </cell>
          <cell r="AC215" t="e">
            <v>#N/A</v>
          </cell>
          <cell r="AD215" t="e">
            <v>#N/A</v>
          </cell>
          <cell r="AE215" t="e">
            <v>#N/A</v>
          </cell>
          <cell r="AF215" t="e">
            <v>#N/A</v>
          </cell>
          <cell r="AG215" t="e">
            <v>#N/A</v>
          </cell>
          <cell r="AH215" t="e">
            <v>#N/A</v>
          </cell>
          <cell r="AI215" t="e">
            <v>#N/A</v>
          </cell>
          <cell r="AJ215" t="e">
            <v>#N/A</v>
          </cell>
          <cell r="AK215" t="e">
            <v>#N/A</v>
          </cell>
          <cell r="AL215" t="e">
            <v>#N/A</v>
          </cell>
          <cell r="AM215" t="e">
            <v>#N/A</v>
          </cell>
          <cell r="AN215" t="e">
            <v>#N/A</v>
          </cell>
          <cell r="AO215" t="e">
            <v>#N/A</v>
          </cell>
          <cell r="AP215" t="e">
            <v>#N/A</v>
          </cell>
          <cell r="AQ215" t="e">
            <v>#N/A</v>
          </cell>
          <cell r="AR215" t="e">
            <v>#N/A</v>
          </cell>
          <cell r="AS215" t="e">
            <v>#N/A</v>
          </cell>
          <cell r="AT215" t="e">
            <v>#N/A</v>
          </cell>
          <cell r="AU215" t="e">
            <v>#N/A</v>
          </cell>
          <cell r="AV215" t="e">
            <v>#N/A</v>
          </cell>
          <cell r="AW215" t="e">
            <v>#N/A</v>
          </cell>
          <cell r="AX215" t="e">
            <v>#N/A</v>
          </cell>
          <cell r="AY215" t="e">
            <v>#N/A</v>
          </cell>
          <cell r="AZ215" t="e">
            <v>#N/A</v>
          </cell>
          <cell r="BA215" t="e">
            <v>#N/A</v>
          </cell>
          <cell r="BB215" t="e">
            <v>#N/A</v>
          </cell>
          <cell r="BC215" t="e">
            <v>#N/A</v>
          </cell>
          <cell r="BD215" t="e">
            <v>#N/A</v>
          </cell>
          <cell r="BE215" t="e">
            <v>#N/A</v>
          </cell>
          <cell r="BF215" t="e">
            <v>#N/A</v>
          </cell>
          <cell r="BG215" t="e">
            <v>#N/A</v>
          </cell>
          <cell r="BH215" t="e">
            <v>#N/A</v>
          </cell>
          <cell r="BI215" t="e">
            <v>#N/A</v>
          </cell>
          <cell r="BJ215" t="e">
            <v>#N/A</v>
          </cell>
          <cell r="BK215" t="e">
            <v>#N/A</v>
          </cell>
          <cell r="BL215" t="e">
            <v>#N/A</v>
          </cell>
          <cell r="BM215" t="e">
            <v>#N/A</v>
          </cell>
          <cell r="BN215" t="e">
            <v>#N/A</v>
          </cell>
          <cell r="BO215" t="e">
            <v>#N/A</v>
          </cell>
          <cell r="BP215" t="e">
            <v>#N/A</v>
          </cell>
          <cell r="BQ215" t="e">
            <v>#N/A</v>
          </cell>
          <cell r="BR215" t="e">
            <v>#N/A</v>
          </cell>
          <cell r="BS215" t="e">
            <v>#N/A</v>
          </cell>
          <cell r="BT215" t="e">
            <v>#N/A</v>
          </cell>
          <cell r="BU215" t="e">
            <v>#N/A</v>
          </cell>
          <cell r="BV215" t="e">
            <v>#N/A</v>
          </cell>
          <cell r="BW215" t="e">
            <v>#N/A</v>
          </cell>
          <cell r="BX215" t="e">
            <v>#N/A</v>
          </cell>
          <cell r="BY215" t="e">
            <v>#N/A</v>
          </cell>
        </row>
        <row r="216">
          <cell r="B216" t="str">
            <v>Sales - % Other commodity</v>
          </cell>
          <cell r="C216" t="str">
            <v>SALES_OTH_COMMODITY</v>
          </cell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  <cell r="AV216" t="e">
            <v>#N/A</v>
          </cell>
          <cell r="AW216" t="e">
            <v>#N/A</v>
          </cell>
          <cell r="AX216" t="e">
            <v>#N/A</v>
          </cell>
          <cell r="AY216" t="e">
            <v>#N/A</v>
          </cell>
          <cell r="AZ216" t="e">
            <v>#N/A</v>
          </cell>
          <cell r="BA216" t="e">
            <v>#N/A</v>
          </cell>
          <cell r="BB216" t="e">
            <v>#N/A</v>
          </cell>
          <cell r="BC216" t="e">
            <v>#N/A</v>
          </cell>
          <cell r="BD216" t="e">
            <v>#N/A</v>
          </cell>
          <cell r="BE216" t="e">
            <v>#N/A</v>
          </cell>
          <cell r="BF216" t="e">
            <v>#N/A</v>
          </cell>
          <cell r="BG216" t="e">
            <v>#N/A</v>
          </cell>
          <cell r="BH216" t="e">
            <v>#N/A</v>
          </cell>
          <cell r="BI216" t="e">
            <v>#N/A</v>
          </cell>
          <cell r="BJ216" t="e">
            <v>#N/A</v>
          </cell>
          <cell r="BK216" t="e">
            <v>#N/A</v>
          </cell>
          <cell r="BL216" t="e">
            <v>#N/A</v>
          </cell>
          <cell r="BM216" t="e">
            <v>#N/A</v>
          </cell>
          <cell r="BN216" t="e">
            <v>#N/A</v>
          </cell>
          <cell r="BO216" t="e">
            <v>#N/A</v>
          </cell>
          <cell r="BP216" t="e">
            <v>#N/A</v>
          </cell>
          <cell r="BQ216" t="e">
            <v>#N/A</v>
          </cell>
          <cell r="BR216" t="e">
            <v>#N/A</v>
          </cell>
          <cell r="BS216" t="e">
            <v>#N/A</v>
          </cell>
          <cell r="BT216" t="e">
            <v>#N/A</v>
          </cell>
          <cell r="BU216" t="e">
            <v>#N/A</v>
          </cell>
          <cell r="BV216" t="e">
            <v>#N/A</v>
          </cell>
          <cell r="BW216" t="e">
            <v>#N/A</v>
          </cell>
          <cell r="BX216" t="e">
            <v>#N/A</v>
          </cell>
          <cell r="BY216" t="e">
            <v>#N/A</v>
          </cell>
        </row>
        <row r="217">
          <cell r="A217" t="str">
            <v>Commodities Exposure - Expense</v>
          </cell>
        </row>
        <row r="218">
          <cell r="B218" t="str">
            <v>Expense - % Oil/Petrol/Fuel</v>
          </cell>
          <cell r="C218" t="str">
            <v>EXP_OIL_PETRO_FUEL</v>
          </cell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  <cell r="AV218" t="e">
            <v>#N/A</v>
          </cell>
          <cell r="AW218" t="e">
            <v>#N/A</v>
          </cell>
          <cell r="AX218" t="e">
            <v>#N/A</v>
          </cell>
          <cell r="AY218" t="e">
            <v>#N/A</v>
          </cell>
          <cell r="AZ218" t="e">
            <v>#N/A</v>
          </cell>
          <cell r="BA218" t="e">
            <v>#N/A</v>
          </cell>
          <cell r="BB218" t="e">
            <v>#N/A</v>
          </cell>
          <cell r="BC218" t="e">
            <v>#N/A</v>
          </cell>
          <cell r="BD218" t="e">
            <v>#N/A</v>
          </cell>
          <cell r="BE218" t="e">
            <v>#N/A</v>
          </cell>
          <cell r="BF218" t="e">
            <v>#N/A</v>
          </cell>
          <cell r="BG218" t="e">
            <v>#N/A</v>
          </cell>
          <cell r="BH218" t="e">
            <v>#N/A</v>
          </cell>
          <cell r="BI218" t="e">
            <v>#N/A</v>
          </cell>
          <cell r="BJ218" t="e">
            <v>#N/A</v>
          </cell>
          <cell r="BK218" t="e">
            <v>#N/A</v>
          </cell>
          <cell r="BL218" t="e">
            <v>#N/A</v>
          </cell>
          <cell r="BM218" t="e">
            <v>#N/A</v>
          </cell>
          <cell r="BN218" t="e">
            <v>#N/A</v>
          </cell>
          <cell r="BO218" t="e">
            <v>#N/A</v>
          </cell>
          <cell r="BP218" t="e">
            <v>#N/A</v>
          </cell>
          <cell r="BQ218" t="e">
            <v>#N/A</v>
          </cell>
          <cell r="BR218" t="e">
            <v>#N/A</v>
          </cell>
          <cell r="BS218" t="e">
            <v>#N/A</v>
          </cell>
          <cell r="BT218" t="e">
            <v>#N/A</v>
          </cell>
          <cell r="BU218" t="e">
            <v>#N/A</v>
          </cell>
          <cell r="BV218" t="e">
            <v>#N/A</v>
          </cell>
          <cell r="BW218" t="e">
            <v>#N/A</v>
          </cell>
          <cell r="BX218" t="e">
            <v>#N/A</v>
          </cell>
          <cell r="BY218" t="e">
            <v>#N/A</v>
          </cell>
        </row>
        <row r="219">
          <cell r="B219" t="str">
            <v>Expense - % Oil derivatives/NGLs/plastics</v>
          </cell>
          <cell r="C219" t="str">
            <v>EXP_OIL_DERIV_NGLS_PLASTICS</v>
          </cell>
          <cell r="F219" t="e">
            <v>#N/A</v>
          </cell>
          <cell r="G219" t="e">
            <v>#N/A</v>
          </cell>
          <cell r="H219" t="e">
            <v>#N/A</v>
          </cell>
          <cell r="I219" t="e">
            <v>#N/A</v>
          </cell>
          <cell r="J219" t="e">
            <v>#N/A</v>
          </cell>
          <cell r="K219" t="e">
            <v>#N/A</v>
          </cell>
          <cell r="L219" t="e">
            <v>#N/A</v>
          </cell>
          <cell r="M219" t="e">
            <v>#N/A</v>
          </cell>
          <cell r="N219" t="e">
            <v>#N/A</v>
          </cell>
          <cell r="O219" t="e">
            <v>#N/A</v>
          </cell>
          <cell r="P219" t="e">
            <v>#N/A</v>
          </cell>
          <cell r="Q219" t="e">
            <v>#N/A</v>
          </cell>
          <cell r="R219" t="e">
            <v>#N/A</v>
          </cell>
          <cell r="S219" t="e">
            <v>#N/A</v>
          </cell>
          <cell r="T219" t="e">
            <v>#N/A</v>
          </cell>
          <cell r="U219" t="e">
            <v>#N/A</v>
          </cell>
          <cell r="V219" t="e">
            <v>#N/A</v>
          </cell>
          <cell r="W219" t="e">
            <v>#N/A</v>
          </cell>
          <cell r="X219" t="e">
            <v>#N/A</v>
          </cell>
          <cell r="Z219" t="e">
            <v>#N/A</v>
          </cell>
          <cell r="AA219" t="e">
            <v>#N/A</v>
          </cell>
          <cell r="AB219" t="e">
            <v>#N/A</v>
          </cell>
          <cell r="AC219" t="e">
            <v>#N/A</v>
          </cell>
          <cell r="AD219" t="e">
            <v>#N/A</v>
          </cell>
          <cell r="AE219" t="e">
            <v>#N/A</v>
          </cell>
          <cell r="AF219" t="e">
            <v>#N/A</v>
          </cell>
          <cell r="AG219" t="e">
            <v>#N/A</v>
          </cell>
          <cell r="AH219" t="e">
            <v>#N/A</v>
          </cell>
          <cell r="AI219" t="e">
            <v>#N/A</v>
          </cell>
          <cell r="AJ219" t="e">
            <v>#N/A</v>
          </cell>
          <cell r="AK219" t="e">
            <v>#N/A</v>
          </cell>
          <cell r="AL219" t="e">
            <v>#N/A</v>
          </cell>
          <cell r="AM219" t="e">
            <v>#N/A</v>
          </cell>
          <cell r="AN219" t="e">
            <v>#N/A</v>
          </cell>
          <cell r="AO219" t="e">
            <v>#N/A</v>
          </cell>
          <cell r="AP219" t="e">
            <v>#N/A</v>
          </cell>
          <cell r="AQ219" t="e">
            <v>#N/A</v>
          </cell>
          <cell r="AR219" t="e">
            <v>#N/A</v>
          </cell>
          <cell r="AS219" t="e">
            <v>#N/A</v>
          </cell>
          <cell r="AT219" t="e">
            <v>#N/A</v>
          </cell>
          <cell r="AU219" t="e">
            <v>#N/A</v>
          </cell>
          <cell r="AV219" t="e">
            <v>#N/A</v>
          </cell>
          <cell r="AW219" t="e">
            <v>#N/A</v>
          </cell>
          <cell r="AX219" t="e">
            <v>#N/A</v>
          </cell>
          <cell r="AY219" t="e">
            <v>#N/A</v>
          </cell>
          <cell r="AZ219" t="e">
            <v>#N/A</v>
          </cell>
          <cell r="BA219" t="e">
            <v>#N/A</v>
          </cell>
          <cell r="BB219" t="e">
            <v>#N/A</v>
          </cell>
          <cell r="BC219" t="e">
            <v>#N/A</v>
          </cell>
          <cell r="BD219" t="e">
            <v>#N/A</v>
          </cell>
          <cell r="BE219" t="e">
            <v>#N/A</v>
          </cell>
          <cell r="BF219" t="e">
            <v>#N/A</v>
          </cell>
          <cell r="BG219" t="e">
            <v>#N/A</v>
          </cell>
          <cell r="BH219" t="e">
            <v>#N/A</v>
          </cell>
          <cell r="BI219" t="e">
            <v>#N/A</v>
          </cell>
          <cell r="BJ219" t="e">
            <v>#N/A</v>
          </cell>
          <cell r="BK219" t="e">
            <v>#N/A</v>
          </cell>
          <cell r="BL219" t="e">
            <v>#N/A</v>
          </cell>
          <cell r="BM219" t="e">
            <v>#N/A</v>
          </cell>
          <cell r="BN219" t="e">
            <v>#N/A</v>
          </cell>
          <cell r="BO219" t="e">
            <v>#N/A</v>
          </cell>
          <cell r="BP219" t="e">
            <v>#N/A</v>
          </cell>
          <cell r="BQ219" t="e">
            <v>#N/A</v>
          </cell>
          <cell r="BR219" t="e">
            <v>#N/A</v>
          </cell>
          <cell r="BS219" t="e">
            <v>#N/A</v>
          </cell>
          <cell r="BT219" t="e">
            <v>#N/A</v>
          </cell>
          <cell r="BU219" t="e">
            <v>#N/A</v>
          </cell>
          <cell r="BV219" t="e">
            <v>#N/A</v>
          </cell>
          <cell r="BW219" t="e">
            <v>#N/A</v>
          </cell>
          <cell r="BX219" t="e">
            <v>#N/A</v>
          </cell>
          <cell r="BY219" t="e">
            <v>#N/A</v>
          </cell>
        </row>
        <row r="220">
          <cell r="B220" t="str">
            <v>Expense - % Nat Gas</v>
          </cell>
          <cell r="C220" t="str">
            <v>EXP_NAT_GAS</v>
          </cell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  <cell r="AV220" t="e">
            <v>#N/A</v>
          </cell>
          <cell r="AW220" t="e">
            <v>#N/A</v>
          </cell>
          <cell r="AX220" t="e">
            <v>#N/A</v>
          </cell>
          <cell r="AY220" t="e">
            <v>#N/A</v>
          </cell>
          <cell r="AZ220" t="e">
            <v>#N/A</v>
          </cell>
          <cell r="BA220" t="e">
            <v>#N/A</v>
          </cell>
          <cell r="BB220" t="e">
            <v>#N/A</v>
          </cell>
          <cell r="BC220" t="e">
            <v>#N/A</v>
          </cell>
          <cell r="BD220" t="e">
            <v>#N/A</v>
          </cell>
          <cell r="BE220" t="e">
            <v>#N/A</v>
          </cell>
          <cell r="BF220" t="e">
            <v>#N/A</v>
          </cell>
          <cell r="BG220" t="e">
            <v>#N/A</v>
          </cell>
          <cell r="BH220" t="e">
            <v>#N/A</v>
          </cell>
          <cell r="BI220" t="e">
            <v>#N/A</v>
          </cell>
          <cell r="BJ220" t="e">
            <v>#N/A</v>
          </cell>
          <cell r="BK220" t="e">
            <v>#N/A</v>
          </cell>
          <cell r="BL220" t="e">
            <v>#N/A</v>
          </cell>
          <cell r="BM220" t="e">
            <v>#N/A</v>
          </cell>
          <cell r="BN220" t="e">
            <v>#N/A</v>
          </cell>
          <cell r="BO220" t="e">
            <v>#N/A</v>
          </cell>
          <cell r="BP220" t="e">
            <v>#N/A</v>
          </cell>
          <cell r="BQ220" t="e">
            <v>#N/A</v>
          </cell>
          <cell r="BR220" t="e">
            <v>#N/A</v>
          </cell>
          <cell r="BS220" t="e">
            <v>#N/A</v>
          </cell>
          <cell r="BT220" t="e">
            <v>#N/A</v>
          </cell>
          <cell r="BU220" t="e">
            <v>#N/A</v>
          </cell>
          <cell r="BV220" t="e">
            <v>#N/A</v>
          </cell>
          <cell r="BW220" t="e">
            <v>#N/A</v>
          </cell>
          <cell r="BX220" t="e">
            <v>#N/A</v>
          </cell>
          <cell r="BY220" t="e">
            <v>#N/A</v>
          </cell>
        </row>
        <row r="221">
          <cell r="B221" t="str">
            <v>Expense - % Potash</v>
          </cell>
          <cell r="C221" t="str">
            <v>EXP_POTASH</v>
          </cell>
          <cell r="F221" t="e">
            <v>#N/A</v>
          </cell>
          <cell r="G221" t="e">
            <v>#N/A</v>
          </cell>
          <cell r="H221" t="e">
            <v>#N/A</v>
          </cell>
          <cell r="I221" t="e">
            <v>#N/A</v>
          </cell>
          <cell r="J221" t="e">
            <v>#N/A</v>
          </cell>
          <cell r="K221" t="e">
            <v>#N/A</v>
          </cell>
          <cell r="L221" t="e">
            <v>#N/A</v>
          </cell>
          <cell r="M221" t="e">
            <v>#N/A</v>
          </cell>
          <cell r="N221" t="e">
            <v>#N/A</v>
          </cell>
          <cell r="O221" t="e">
            <v>#N/A</v>
          </cell>
          <cell r="P221" t="e">
            <v>#N/A</v>
          </cell>
          <cell r="Q221" t="e">
            <v>#N/A</v>
          </cell>
          <cell r="R221" t="e">
            <v>#N/A</v>
          </cell>
          <cell r="S221" t="e">
            <v>#N/A</v>
          </cell>
          <cell r="T221" t="e">
            <v>#N/A</v>
          </cell>
          <cell r="U221" t="e">
            <v>#N/A</v>
          </cell>
          <cell r="V221" t="e">
            <v>#N/A</v>
          </cell>
          <cell r="W221" t="e">
            <v>#N/A</v>
          </cell>
          <cell r="X221" t="e">
            <v>#N/A</v>
          </cell>
          <cell r="Z221" t="e">
            <v>#N/A</v>
          </cell>
          <cell r="AA221" t="e">
            <v>#N/A</v>
          </cell>
          <cell r="AB221" t="e">
            <v>#N/A</v>
          </cell>
          <cell r="AC221" t="e">
            <v>#N/A</v>
          </cell>
          <cell r="AD221" t="e">
            <v>#N/A</v>
          </cell>
          <cell r="AE221" t="e">
            <v>#N/A</v>
          </cell>
          <cell r="AF221" t="e">
            <v>#N/A</v>
          </cell>
          <cell r="AG221" t="e">
            <v>#N/A</v>
          </cell>
          <cell r="AH221" t="e">
            <v>#N/A</v>
          </cell>
          <cell r="AI221" t="e">
            <v>#N/A</v>
          </cell>
          <cell r="AJ221" t="e">
            <v>#N/A</v>
          </cell>
          <cell r="AK221" t="e">
            <v>#N/A</v>
          </cell>
          <cell r="AL221" t="e">
            <v>#N/A</v>
          </cell>
          <cell r="AM221" t="e">
            <v>#N/A</v>
          </cell>
          <cell r="AN221" t="e">
            <v>#N/A</v>
          </cell>
          <cell r="AO221" t="e">
            <v>#N/A</v>
          </cell>
          <cell r="AP221" t="e">
            <v>#N/A</v>
          </cell>
          <cell r="AQ221" t="e">
            <v>#N/A</v>
          </cell>
          <cell r="AR221" t="e">
            <v>#N/A</v>
          </cell>
          <cell r="AS221" t="e">
            <v>#N/A</v>
          </cell>
          <cell r="AT221" t="e">
            <v>#N/A</v>
          </cell>
          <cell r="AU221" t="e">
            <v>#N/A</v>
          </cell>
          <cell r="AV221" t="e">
            <v>#N/A</v>
          </cell>
          <cell r="AW221" t="e">
            <v>#N/A</v>
          </cell>
          <cell r="AX221" t="e">
            <v>#N/A</v>
          </cell>
          <cell r="AY221" t="e">
            <v>#N/A</v>
          </cell>
          <cell r="AZ221" t="e">
            <v>#N/A</v>
          </cell>
          <cell r="BA221" t="e">
            <v>#N/A</v>
          </cell>
          <cell r="BB221" t="e">
            <v>#N/A</v>
          </cell>
          <cell r="BC221" t="e">
            <v>#N/A</v>
          </cell>
          <cell r="BD221" t="e">
            <v>#N/A</v>
          </cell>
          <cell r="BE221" t="e">
            <v>#N/A</v>
          </cell>
          <cell r="BF221" t="e">
            <v>#N/A</v>
          </cell>
          <cell r="BG221" t="e">
            <v>#N/A</v>
          </cell>
          <cell r="BH221" t="e">
            <v>#N/A</v>
          </cell>
          <cell r="BI221" t="e">
            <v>#N/A</v>
          </cell>
          <cell r="BJ221" t="e">
            <v>#N/A</v>
          </cell>
          <cell r="BK221" t="e">
            <v>#N/A</v>
          </cell>
          <cell r="BL221" t="e">
            <v>#N/A</v>
          </cell>
          <cell r="BM221" t="e">
            <v>#N/A</v>
          </cell>
          <cell r="BN221" t="e">
            <v>#N/A</v>
          </cell>
          <cell r="BO221" t="e">
            <v>#N/A</v>
          </cell>
          <cell r="BP221" t="e">
            <v>#N/A</v>
          </cell>
          <cell r="BQ221" t="e">
            <v>#N/A</v>
          </cell>
          <cell r="BR221" t="e">
            <v>#N/A</v>
          </cell>
          <cell r="BS221" t="e">
            <v>#N/A</v>
          </cell>
          <cell r="BT221" t="e">
            <v>#N/A</v>
          </cell>
          <cell r="BU221" t="e">
            <v>#N/A</v>
          </cell>
          <cell r="BV221" t="e">
            <v>#N/A</v>
          </cell>
          <cell r="BW221" t="e">
            <v>#N/A</v>
          </cell>
          <cell r="BX221" t="e">
            <v>#N/A</v>
          </cell>
          <cell r="BY221" t="e">
            <v>#N/A</v>
          </cell>
        </row>
        <row r="222">
          <cell r="B222" t="str">
            <v>Expense - % Nitrogen</v>
          </cell>
          <cell r="C222" t="str">
            <v>EXP_NITROGEN</v>
          </cell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  <cell r="AV222" t="e">
            <v>#N/A</v>
          </cell>
          <cell r="AW222" t="e">
            <v>#N/A</v>
          </cell>
          <cell r="AX222" t="e">
            <v>#N/A</v>
          </cell>
          <cell r="AY222" t="e">
            <v>#N/A</v>
          </cell>
          <cell r="AZ222" t="e">
            <v>#N/A</v>
          </cell>
          <cell r="BA222" t="e">
            <v>#N/A</v>
          </cell>
          <cell r="BB222" t="e">
            <v>#N/A</v>
          </cell>
          <cell r="BC222" t="e">
            <v>#N/A</v>
          </cell>
          <cell r="BD222" t="e">
            <v>#N/A</v>
          </cell>
          <cell r="BE222" t="e">
            <v>#N/A</v>
          </cell>
          <cell r="BF222" t="e">
            <v>#N/A</v>
          </cell>
          <cell r="BG222" t="e">
            <v>#N/A</v>
          </cell>
          <cell r="BH222" t="e">
            <v>#N/A</v>
          </cell>
          <cell r="BI222" t="e">
            <v>#N/A</v>
          </cell>
          <cell r="BJ222" t="e">
            <v>#N/A</v>
          </cell>
          <cell r="BK222" t="e">
            <v>#N/A</v>
          </cell>
          <cell r="BL222" t="e">
            <v>#N/A</v>
          </cell>
          <cell r="BM222" t="e">
            <v>#N/A</v>
          </cell>
          <cell r="BN222" t="e">
            <v>#N/A</v>
          </cell>
          <cell r="BO222" t="e">
            <v>#N/A</v>
          </cell>
          <cell r="BP222" t="e">
            <v>#N/A</v>
          </cell>
          <cell r="BQ222" t="e">
            <v>#N/A</v>
          </cell>
          <cell r="BR222" t="e">
            <v>#N/A</v>
          </cell>
          <cell r="BS222" t="e">
            <v>#N/A</v>
          </cell>
          <cell r="BT222" t="e">
            <v>#N/A</v>
          </cell>
          <cell r="BU222" t="e">
            <v>#N/A</v>
          </cell>
          <cell r="BV222" t="e">
            <v>#N/A</v>
          </cell>
          <cell r="BW222" t="e">
            <v>#N/A</v>
          </cell>
          <cell r="BX222" t="e">
            <v>#N/A</v>
          </cell>
          <cell r="BY222" t="e">
            <v>#N/A</v>
          </cell>
        </row>
        <row r="223">
          <cell r="B223" t="str">
            <v>Expense - % Phosphate</v>
          </cell>
          <cell r="C223" t="str">
            <v>EXP_PHOSPHATE</v>
          </cell>
          <cell r="F223" t="e">
            <v>#N/A</v>
          </cell>
          <cell r="G223" t="e">
            <v>#N/A</v>
          </cell>
          <cell r="H223" t="e">
            <v>#N/A</v>
          </cell>
          <cell r="I223" t="e">
            <v>#N/A</v>
          </cell>
          <cell r="J223" t="e">
            <v>#N/A</v>
          </cell>
          <cell r="K223" t="e">
            <v>#N/A</v>
          </cell>
          <cell r="L223" t="e">
            <v>#N/A</v>
          </cell>
          <cell r="M223" t="e">
            <v>#N/A</v>
          </cell>
          <cell r="N223" t="e">
            <v>#N/A</v>
          </cell>
          <cell r="O223" t="e">
            <v>#N/A</v>
          </cell>
          <cell r="P223" t="e">
            <v>#N/A</v>
          </cell>
          <cell r="Q223" t="e">
            <v>#N/A</v>
          </cell>
          <cell r="R223" t="e">
            <v>#N/A</v>
          </cell>
          <cell r="S223" t="e">
            <v>#N/A</v>
          </cell>
          <cell r="T223" t="e">
            <v>#N/A</v>
          </cell>
          <cell r="U223" t="e">
            <v>#N/A</v>
          </cell>
          <cell r="V223" t="e">
            <v>#N/A</v>
          </cell>
          <cell r="W223" t="e">
            <v>#N/A</v>
          </cell>
          <cell r="X223" t="e">
            <v>#N/A</v>
          </cell>
          <cell r="Z223" t="e">
            <v>#N/A</v>
          </cell>
          <cell r="AA223" t="e">
            <v>#N/A</v>
          </cell>
          <cell r="AB223" t="e">
            <v>#N/A</v>
          </cell>
          <cell r="AC223" t="e">
            <v>#N/A</v>
          </cell>
          <cell r="AD223" t="e">
            <v>#N/A</v>
          </cell>
          <cell r="AE223" t="e">
            <v>#N/A</v>
          </cell>
          <cell r="AF223" t="e">
            <v>#N/A</v>
          </cell>
          <cell r="AG223" t="e">
            <v>#N/A</v>
          </cell>
          <cell r="AH223" t="e">
            <v>#N/A</v>
          </cell>
          <cell r="AI223" t="e">
            <v>#N/A</v>
          </cell>
          <cell r="AJ223" t="e">
            <v>#N/A</v>
          </cell>
          <cell r="AK223" t="e">
            <v>#N/A</v>
          </cell>
          <cell r="AL223" t="e">
            <v>#N/A</v>
          </cell>
          <cell r="AM223" t="e">
            <v>#N/A</v>
          </cell>
          <cell r="AN223" t="e">
            <v>#N/A</v>
          </cell>
          <cell r="AO223" t="e">
            <v>#N/A</v>
          </cell>
          <cell r="AP223" t="e">
            <v>#N/A</v>
          </cell>
          <cell r="AQ223" t="e">
            <v>#N/A</v>
          </cell>
          <cell r="AR223" t="e">
            <v>#N/A</v>
          </cell>
          <cell r="AS223" t="e">
            <v>#N/A</v>
          </cell>
          <cell r="AT223" t="e">
            <v>#N/A</v>
          </cell>
          <cell r="AU223" t="e">
            <v>#N/A</v>
          </cell>
          <cell r="AV223" t="e">
            <v>#N/A</v>
          </cell>
          <cell r="AW223" t="e">
            <v>#N/A</v>
          </cell>
          <cell r="AX223" t="e">
            <v>#N/A</v>
          </cell>
          <cell r="AY223" t="e">
            <v>#N/A</v>
          </cell>
          <cell r="AZ223" t="e">
            <v>#N/A</v>
          </cell>
          <cell r="BA223" t="e">
            <v>#N/A</v>
          </cell>
          <cell r="BB223" t="e">
            <v>#N/A</v>
          </cell>
          <cell r="BC223" t="e">
            <v>#N/A</v>
          </cell>
          <cell r="BD223" t="e">
            <v>#N/A</v>
          </cell>
          <cell r="BE223" t="e">
            <v>#N/A</v>
          </cell>
          <cell r="BF223" t="e">
            <v>#N/A</v>
          </cell>
          <cell r="BG223" t="e">
            <v>#N/A</v>
          </cell>
          <cell r="BH223" t="e">
            <v>#N/A</v>
          </cell>
          <cell r="BI223" t="e">
            <v>#N/A</v>
          </cell>
          <cell r="BJ223" t="e">
            <v>#N/A</v>
          </cell>
          <cell r="BK223" t="e">
            <v>#N/A</v>
          </cell>
          <cell r="BL223" t="e">
            <v>#N/A</v>
          </cell>
          <cell r="BM223" t="e">
            <v>#N/A</v>
          </cell>
          <cell r="BN223" t="e">
            <v>#N/A</v>
          </cell>
          <cell r="BO223" t="e">
            <v>#N/A</v>
          </cell>
          <cell r="BP223" t="e">
            <v>#N/A</v>
          </cell>
          <cell r="BQ223" t="e">
            <v>#N/A</v>
          </cell>
          <cell r="BR223" t="e">
            <v>#N/A</v>
          </cell>
          <cell r="BS223" t="e">
            <v>#N/A</v>
          </cell>
          <cell r="BT223" t="e">
            <v>#N/A</v>
          </cell>
          <cell r="BU223" t="e">
            <v>#N/A</v>
          </cell>
          <cell r="BV223" t="e">
            <v>#N/A</v>
          </cell>
          <cell r="BW223" t="e">
            <v>#N/A</v>
          </cell>
          <cell r="BX223" t="e">
            <v>#N/A</v>
          </cell>
          <cell r="BY223" t="e">
            <v>#N/A</v>
          </cell>
        </row>
        <row r="224">
          <cell r="B224" t="str">
            <v>Expense - % Wheat</v>
          </cell>
          <cell r="C224" t="str">
            <v>EXP_WHEAT</v>
          </cell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  <cell r="AV224" t="e">
            <v>#N/A</v>
          </cell>
          <cell r="AW224" t="e">
            <v>#N/A</v>
          </cell>
          <cell r="AX224" t="e">
            <v>#N/A</v>
          </cell>
          <cell r="AY224" t="e">
            <v>#N/A</v>
          </cell>
          <cell r="AZ224" t="e">
            <v>#N/A</v>
          </cell>
          <cell r="BA224" t="e">
            <v>#N/A</v>
          </cell>
          <cell r="BB224" t="e">
            <v>#N/A</v>
          </cell>
          <cell r="BC224" t="e">
            <v>#N/A</v>
          </cell>
          <cell r="BD224" t="e">
            <v>#N/A</v>
          </cell>
          <cell r="BE224" t="e">
            <v>#N/A</v>
          </cell>
          <cell r="BF224" t="e">
            <v>#N/A</v>
          </cell>
          <cell r="BG224" t="e">
            <v>#N/A</v>
          </cell>
          <cell r="BH224" t="e">
            <v>#N/A</v>
          </cell>
          <cell r="BI224" t="e">
            <v>#N/A</v>
          </cell>
          <cell r="BJ224" t="e">
            <v>#N/A</v>
          </cell>
          <cell r="BK224" t="e">
            <v>#N/A</v>
          </cell>
          <cell r="BL224" t="e">
            <v>#N/A</v>
          </cell>
          <cell r="BM224" t="e">
            <v>#N/A</v>
          </cell>
          <cell r="BN224" t="e">
            <v>#N/A</v>
          </cell>
          <cell r="BO224" t="e">
            <v>#N/A</v>
          </cell>
          <cell r="BP224" t="e">
            <v>#N/A</v>
          </cell>
          <cell r="BQ224" t="e">
            <v>#N/A</v>
          </cell>
          <cell r="BR224" t="e">
            <v>#N/A</v>
          </cell>
          <cell r="BS224" t="e">
            <v>#N/A</v>
          </cell>
          <cell r="BT224" t="e">
            <v>#N/A</v>
          </cell>
          <cell r="BU224" t="e">
            <v>#N/A</v>
          </cell>
          <cell r="BV224" t="e">
            <v>#N/A</v>
          </cell>
          <cell r="BW224" t="e">
            <v>#N/A</v>
          </cell>
          <cell r="BX224" t="e">
            <v>#N/A</v>
          </cell>
          <cell r="BY224" t="e">
            <v>#N/A</v>
          </cell>
        </row>
        <row r="225">
          <cell r="B225" t="str">
            <v>Expense - % Sugar</v>
          </cell>
          <cell r="C225" t="str">
            <v>EXP_SUGAR</v>
          </cell>
          <cell r="F225" t="e">
            <v>#N/A</v>
          </cell>
          <cell r="G225" t="e">
            <v>#N/A</v>
          </cell>
          <cell r="H225" t="e">
            <v>#N/A</v>
          </cell>
          <cell r="I225" t="e">
            <v>#N/A</v>
          </cell>
          <cell r="J225" t="e">
            <v>#N/A</v>
          </cell>
          <cell r="K225" t="e">
            <v>#N/A</v>
          </cell>
          <cell r="L225" t="e">
            <v>#N/A</v>
          </cell>
          <cell r="M225" t="e">
            <v>#N/A</v>
          </cell>
          <cell r="N225" t="e">
            <v>#N/A</v>
          </cell>
          <cell r="O225" t="e">
            <v>#N/A</v>
          </cell>
          <cell r="P225" t="e">
            <v>#N/A</v>
          </cell>
          <cell r="Q225" t="e">
            <v>#N/A</v>
          </cell>
          <cell r="R225" t="e">
            <v>#N/A</v>
          </cell>
          <cell r="S225" t="e">
            <v>#N/A</v>
          </cell>
          <cell r="T225" t="e">
            <v>#N/A</v>
          </cell>
          <cell r="U225" t="e">
            <v>#N/A</v>
          </cell>
          <cell r="V225" t="e">
            <v>#N/A</v>
          </cell>
          <cell r="W225" t="e">
            <v>#N/A</v>
          </cell>
          <cell r="X225" t="e">
            <v>#N/A</v>
          </cell>
          <cell r="Z225" t="e">
            <v>#N/A</v>
          </cell>
          <cell r="AA225" t="e">
            <v>#N/A</v>
          </cell>
          <cell r="AB225" t="e">
            <v>#N/A</v>
          </cell>
          <cell r="AC225" t="e">
            <v>#N/A</v>
          </cell>
          <cell r="AD225" t="e">
            <v>#N/A</v>
          </cell>
          <cell r="AE225" t="e">
            <v>#N/A</v>
          </cell>
          <cell r="AF225" t="e">
            <v>#N/A</v>
          </cell>
          <cell r="AG225" t="e">
            <v>#N/A</v>
          </cell>
          <cell r="AH225" t="e">
            <v>#N/A</v>
          </cell>
          <cell r="AI225" t="e">
            <v>#N/A</v>
          </cell>
          <cell r="AJ225" t="e">
            <v>#N/A</v>
          </cell>
          <cell r="AK225" t="e">
            <v>#N/A</v>
          </cell>
          <cell r="AL225" t="e">
            <v>#N/A</v>
          </cell>
          <cell r="AM225" t="e">
            <v>#N/A</v>
          </cell>
          <cell r="AN225" t="e">
            <v>#N/A</v>
          </cell>
          <cell r="AO225" t="e">
            <v>#N/A</v>
          </cell>
          <cell r="AP225" t="e">
            <v>#N/A</v>
          </cell>
          <cell r="AQ225" t="e">
            <v>#N/A</v>
          </cell>
          <cell r="AR225" t="e">
            <v>#N/A</v>
          </cell>
          <cell r="AS225" t="e">
            <v>#N/A</v>
          </cell>
          <cell r="AT225" t="e">
            <v>#N/A</v>
          </cell>
          <cell r="AU225" t="e">
            <v>#N/A</v>
          </cell>
          <cell r="AV225" t="e">
            <v>#N/A</v>
          </cell>
          <cell r="AW225" t="e">
            <v>#N/A</v>
          </cell>
          <cell r="AX225" t="e">
            <v>#N/A</v>
          </cell>
          <cell r="AY225" t="e">
            <v>#N/A</v>
          </cell>
          <cell r="AZ225" t="e">
            <v>#N/A</v>
          </cell>
          <cell r="BA225" t="e">
            <v>#N/A</v>
          </cell>
          <cell r="BB225" t="e">
            <v>#N/A</v>
          </cell>
          <cell r="BC225" t="e">
            <v>#N/A</v>
          </cell>
          <cell r="BD225" t="e">
            <v>#N/A</v>
          </cell>
          <cell r="BE225" t="e">
            <v>#N/A</v>
          </cell>
          <cell r="BF225" t="e">
            <v>#N/A</v>
          </cell>
          <cell r="BG225" t="e">
            <v>#N/A</v>
          </cell>
          <cell r="BH225" t="e">
            <v>#N/A</v>
          </cell>
          <cell r="BI225" t="e">
            <v>#N/A</v>
          </cell>
          <cell r="BJ225" t="e">
            <v>#N/A</v>
          </cell>
          <cell r="BK225" t="e">
            <v>#N/A</v>
          </cell>
          <cell r="BL225" t="e">
            <v>#N/A</v>
          </cell>
          <cell r="BM225" t="e">
            <v>#N/A</v>
          </cell>
          <cell r="BN225" t="e">
            <v>#N/A</v>
          </cell>
          <cell r="BO225" t="e">
            <v>#N/A</v>
          </cell>
          <cell r="BP225" t="e">
            <v>#N/A</v>
          </cell>
          <cell r="BQ225" t="e">
            <v>#N/A</v>
          </cell>
          <cell r="BR225" t="e">
            <v>#N/A</v>
          </cell>
          <cell r="BS225" t="e">
            <v>#N/A</v>
          </cell>
          <cell r="BT225" t="e">
            <v>#N/A</v>
          </cell>
          <cell r="BU225" t="e">
            <v>#N/A</v>
          </cell>
          <cell r="BV225" t="e">
            <v>#N/A</v>
          </cell>
          <cell r="BW225" t="e">
            <v>#N/A</v>
          </cell>
          <cell r="BX225" t="e">
            <v>#N/A</v>
          </cell>
          <cell r="BY225" t="e">
            <v>#N/A</v>
          </cell>
        </row>
        <row r="226">
          <cell r="B226" t="str">
            <v>Expense - % Soybean</v>
          </cell>
          <cell r="C226" t="str">
            <v>EXP_SOYBEAN</v>
          </cell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  <cell r="AV226" t="e">
            <v>#N/A</v>
          </cell>
          <cell r="AW226" t="e">
            <v>#N/A</v>
          </cell>
          <cell r="AX226" t="e">
            <v>#N/A</v>
          </cell>
          <cell r="AY226" t="e">
            <v>#N/A</v>
          </cell>
          <cell r="AZ226" t="e">
            <v>#N/A</v>
          </cell>
          <cell r="BA226" t="e">
            <v>#N/A</v>
          </cell>
          <cell r="BB226" t="e">
            <v>#N/A</v>
          </cell>
          <cell r="BC226" t="e">
            <v>#N/A</v>
          </cell>
          <cell r="BD226" t="e">
            <v>#N/A</v>
          </cell>
          <cell r="BE226" t="e">
            <v>#N/A</v>
          </cell>
          <cell r="BF226" t="e">
            <v>#N/A</v>
          </cell>
          <cell r="BG226" t="e">
            <v>#N/A</v>
          </cell>
          <cell r="BH226" t="e">
            <v>#N/A</v>
          </cell>
          <cell r="BI226" t="e">
            <v>#N/A</v>
          </cell>
          <cell r="BJ226" t="e">
            <v>#N/A</v>
          </cell>
          <cell r="BK226" t="e">
            <v>#N/A</v>
          </cell>
          <cell r="BL226" t="e">
            <v>#N/A</v>
          </cell>
          <cell r="BM226" t="e">
            <v>#N/A</v>
          </cell>
          <cell r="BN226" t="e">
            <v>#N/A</v>
          </cell>
          <cell r="BO226" t="e">
            <v>#N/A</v>
          </cell>
          <cell r="BP226" t="e">
            <v>#N/A</v>
          </cell>
          <cell r="BQ226" t="e">
            <v>#N/A</v>
          </cell>
          <cell r="BR226" t="e">
            <v>#N/A</v>
          </cell>
          <cell r="BS226" t="e">
            <v>#N/A</v>
          </cell>
          <cell r="BT226" t="e">
            <v>#N/A</v>
          </cell>
          <cell r="BU226" t="e">
            <v>#N/A</v>
          </cell>
          <cell r="BV226" t="e">
            <v>#N/A</v>
          </cell>
          <cell r="BW226" t="e">
            <v>#N/A</v>
          </cell>
          <cell r="BX226" t="e">
            <v>#N/A</v>
          </cell>
          <cell r="BY226" t="e">
            <v>#N/A</v>
          </cell>
        </row>
        <row r="227">
          <cell r="B227" t="str">
            <v>Expense - % Corn</v>
          </cell>
          <cell r="C227" t="str">
            <v>EXP_CORN</v>
          </cell>
          <cell r="F227" t="e">
            <v>#N/A</v>
          </cell>
          <cell r="G227" t="e">
            <v>#N/A</v>
          </cell>
          <cell r="H227" t="e">
            <v>#N/A</v>
          </cell>
          <cell r="I227" t="e">
            <v>#N/A</v>
          </cell>
          <cell r="J227" t="e">
            <v>#N/A</v>
          </cell>
          <cell r="K227" t="e">
            <v>#N/A</v>
          </cell>
          <cell r="L227" t="e">
            <v>#N/A</v>
          </cell>
          <cell r="M227" t="e">
            <v>#N/A</v>
          </cell>
          <cell r="N227" t="e">
            <v>#N/A</v>
          </cell>
          <cell r="O227" t="e">
            <v>#N/A</v>
          </cell>
          <cell r="P227" t="e">
            <v>#N/A</v>
          </cell>
          <cell r="Q227" t="e">
            <v>#N/A</v>
          </cell>
          <cell r="R227" t="e">
            <v>#N/A</v>
          </cell>
          <cell r="S227" t="e">
            <v>#N/A</v>
          </cell>
          <cell r="T227" t="e">
            <v>#N/A</v>
          </cell>
          <cell r="U227" t="e">
            <v>#N/A</v>
          </cell>
          <cell r="V227" t="e">
            <v>#N/A</v>
          </cell>
          <cell r="W227" t="e">
            <v>#N/A</v>
          </cell>
          <cell r="X227" t="e">
            <v>#N/A</v>
          </cell>
          <cell r="Z227" t="e">
            <v>#N/A</v>
          </cell>
          <cell r="AA227" t="e">
            <v>#N/A</v>
          </cell>
          <cell r="AB227" t="e">
            <v>#N/A</v>
          </cell>
          <cell r="AC227" t="e">
            <v>#N/A</v>
          </cell>
          <cell r="AD227" t="e">
            <v>#N/A</v>
          </cell>
          <cell r="AE227" t="e">
            <v>#N/A</v>
          </cell>
          <cell r="AF227" t="e">
            <v>#N/A</v>
          </cell>
          <cell r="AG227" t="e">
            <v>#N/A</v>
          </cell>
          <cell r="AH227" t="e">
            <v>#N/A</v>
          </cell>
          <cell r="AI227" t="e">
            <v>#N/A</v>
          </cell>
          <cell r="AJ227" t="e">
            <v>#N/A</v>
          </cell>
          <cell r="AK227" t="e">
            <v>#N/A</v>
          </cell>
          <cell r="AL227" t="e">
            <v>#N/A</v>
          </cell>
          <cell r="AM227" t="e">
            <v>#N/A</v>
          </cell>
          <cell r="AN227" t="e">
            <v>#N/A</v>
          </cell>
          <cell r="AO227" t="e">
            <v>#N/A</v>
          </cell>
          <cell r="AP227" t="e">
            <v>#N/A</v>
          </cell>
          <cell r="AQ227" t="e">
            <v>#N/A</v>
          </cell>
          <cell r="AR227" t="e">
            <v>#N/A</v>
          </cell>
          <cell r="AS227" t="e">
            <v>#N/A</v>
          </cell>
          <cell r="AT227" t="e">
            <v>#N/A</v>
          </cell>
          <cell r="AU227" t="e">
            <v>#N/A</v>
          </cell>
          <cell r="AV227" t="e">
            <v>#N/A</v>
          </cell>
          <cell r="AW227" t="e">
            <v>#N/A</v>
          </cell>
          <cell r="AX227" t="e">
            <v>#N/A</v>
          </cell>
          <cell r="AY227" t="e">
            <v>#N/A</v>
          </cell>
          <cell r="AZ227" t="e">
            <v>#N/A</v>
          </cell>
          <cell r="BA227" t="e">
            <v>#N/A</v>
          </cell>
          <cell r="BB227" t="e">
            <v>#N/A</v>
          </cell>
          <cell r="BC227" t="e">
            <v>#N/A</v>
          </cell>
          <cell r="BD227" t="e">
            <v>#N/A</v>
          </cell>
          <cell r="BE227" t="e">
            <v>#N/A</v>
          </cell>
          <cell r="BF227" t="e">
            <v>#N/A</v>
          </cell>
          <cell r="BG227" t="e">
            <v>#N/A</v>
          </cell>
          <cell r="BH227" t="e">
            <v>#N/A</v>
          </cell>
          <cell r="BI227" t="e">
            <v>#N/A</v>
          </cell>
          <cell r="BJ227" t="e">
            <v>#N/A</v>
          </cell>
          <cell r="BK227" t="e">
            <v>#N/A</v>
          </cell>
          <cell r="BL227" t="e">
            <v>#N/A</v>
          </cell>
          <cell r="BM227" t="e">
            <v>#N/A</v>
          </cell>
          <cell r="BN227" t="e">
            <v>#N/A</v>
          </cell>
          <cell r="BO227" t="e">
            <v>#N/A</v>
          </cell>
          <cell r="BP227" t="e">
            <v>#N/A</v>
          </cell>
          <cell r="BQ227" t="e">
            <v>#N/A</v>
          </cell>
          <cell r="BR227" t="e">
            <v>#N/A</v>
          </cell>
          <cell r="BS227" t="e">
            <v>#N/A</v>
          </cell>
          <cell r="BT227" t="e">
            <v>#N/A</v>
          </cell>
          <cell r="BU227" t="e">
            <v>#N/A</v>
          </cell>
          <cell r="BV227" t="e">
            <v>#N/A</v>
          </cell>
          <cell r="BW227" t="e">
            <v>#N/A</v>
          </cell>
          <cell r="BX227" t="e">
            <v>#N/A</v>
          </cell>
          <cell r="BY227" t="e">
            <v>#N/A</v>
          </cell>
        </row>
        <row r="228">
          <cell r="B228" t="str">
            <v>Expense - % Cotton</v>
          </cell>
          <cell r="C228" t="str">
            <v>EXP_COTTON</v>
          </cell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  <cell r="AV228" t="e">
            <v>#N/A</v>
          </cell>
          <cell r="AW228" t="e">
            <v>#N/A</v>
          </cell>
          <cell r="AX228" t="e">
            <v>#N/A</v>
          </cell>
          <cell r="AY228" t="e">
            <v>#N/A</v>
          </cell>
          <cell r="AZ228" t="e">
            <v>#N/A</v>
          </cell>
          <cell r="BA228" t="e">
            <v>#N/A</v>
          </cell>
          <cell r="BB228" t="e">
            <v>#N/A</v>
          </cell>
          <cell r="BC228" t="e">
            <v>#N/A</v>
          </cell>
          <cell r="BD228" t="e">
            <v>#N/A</v>
          </cell>
          <cell r="BE228" t="e">
            <v>#N/A</v>
          </cell>
          <cell r="BF228" t="e">
            <v>#N/A</v>
          </cell>
          <cell r="BG228" t="e">
            <v>#N/A</v>
          </cell>
          <cell r="BH228" t="e">
            <v>#N/A</v>
          </cell>
          <cell r="BI228" t="e">
            <v>#N/A</v>
          </cell>
          <cell r="BJ228" t="e">
            <v>#N/A</v>
          </cell>
          <cell r="BK228" t="e">
            <v>#N/A</v>
          </cell>
          <cell r="BL228" t="e">
            <v>#N/A</v>
          </cell>
          <cell r="BM228" t="e">
            <v>#N/A</v>
          </cell>
          <cell r="BN228" t="e">
            <v>#N/A</v>
          </cell>
          <cell r="BO228" t="e">
            <v>#N/A</v>
          </cell>
          <cell r="BP228" t="e">
            <v>#N/A</v>
          </cell>
          <cell r="BQ228" t="e">
            <v>#N/A</v>
          </cell>
          <cell r="BR228" t="e">
            <v>#N/A</v>
          </cell>
          <cell r="BS228" t="e">
            <v>#N/A</v>
          </cell>
          <cell r="BT228" t="e">
            <v>#N/A</v>
          </cell>
          <cell r="BU228" t="e">
            <v>#N/A</v>
          </cell>
          <cell r="BV228" t="e">
            <v>#N/A</v>
          </cell>
          <cell r="BW228" t="e">
            <v>#N/A</v>
          </cell>
          <cell r="BX228" t="e">
            <v>#N/A</v>
          </cell>
          <cell r="BY228" t="e">
            <v>#N/A</v>
          </cell>
        </row>
        <row r="229">
          <cell r="B229" t="str">
            <v>Expense - % Coffee</v>
          </cell>
          <cell r="C229" t="str">
            <v>EXP_COFFEE</v>
          </cell>
          <cell r="F229" t="e">
            <v>#N/A</v>
          </cell>
          <cell r="G229" t="e">
            <v>#N/A</v>
          </cell>
          <cell r="H229" t="e">
            <v>#N/A</v>
          </cell>
          <cell r="I229" t="e">
            <v>#N/A</v>
          </cell>
          <cell r="J229" t="e">
            <v>#N/A</v>
          </cell>
          <cell r="K229" t="e">
            <v>#N/A</v>
          </cell>
          <cell r="L229" t="e">
            <v>#N/A</v>
          </cell>
          <cell r="M229" t="e">
            <v>#N/A</v>
          </cell>
          <cell r="N229" t="e">
            <v>#N/A</v>
          </cell>
          <cell r="O229" t="e">
            <v>#N/A</v>
          </cell>
          <cell r="P229" t="e">
            <v>#N/A</v>
          </cell>
          <cell r="Q229" t="e">
            <v>#N/A</v>
          </cell>
          <cell r="R229" t="e">
            <v>#N/A</v>
          </cell>
          <cell r="S229" t="e">
            <v>#N/A</v>
          </cell>
          <cell r="T229" t="e">
            <v>#N/A</v>
          </cell>
          <cell r="U229" t="e">
            <v>#N/A</v>
          </cell>
          <cell r="V229" t="e">
            <v>#N/A</v>
          </cell>
          <cell r="W229" t="e">
            <v>#N/A</v>
          </cell>
          <cell r="X229" t="e">
            <v>#N/A</v>
          </cell>
          <cell r="Z229" t="e">
            <v>#N/A</v>
          </cell>
          <cell r="AA229" t="e">
            <v>#N/A</v>
          </cell>
          <cell r="AB229" t="e">
            <v>#N/A</v>
          </cell>
          <cell r="AC229" t="e">
            <v>#N/A</v>
          </cell>
          <cell r="AD229" t="e">
            <v>#N/A</v>
          </cell>
          <cell r="AE229" t="e">
            <v>#N/A</v>
          </cell>
          <cell r="AF229" t="e">
            <v>#N/A</v>
          </cell>
          <cell r="AG229" t="e">
            <v>#N/A</v>
          </cell>
          <cell r="AH229" t="e">
            <v>#N/A</v>
          </cell>
          <cell r="AI229" t="e">
            <v>#N/A</v>
          </cell>
          <cell r="AJ229" t="e">
            <v>#N/A</v>
          </cell>
          <cell r="AK229" t="e">
            <v>#N/A</v>
          </cell>
          <cell r="AL229" t="e">
            <v>#N/A</v>
          </cell>
          <cell r="AM229" t="e">
            <v>#N/A</v>
          </cell>
          <cell r="AN229" t="e">
            <v>#N/A</v>
          </cell>
          <cell r="AO229" t="e">
            <v>#N/A</v>
          </cell>
          <cell r="AP229" t="e">
            <v>#N/A</v>
          </cell>
          <cell r="AQ229" t="e">
            <v>#N/A</v>
          </cell>
          <cell r="AR229" t="e">
            <v>#N/A</v>
          </cell>
          <cell r="AS229" t="e">
            <v>#N/A</v>
          </cell>
          <cell r="AT229" t="e">
            <v>#N/A</v>
          </cell>
          <cell r="AU229" t="e">
            <v>#N/A</v>
          </cell>
          <cell r="AV229" t="e">
            <v>#N/A</v>
          </cell>
          <cell r="AW229" t="e">
            <v>#N/A</v>
          </cell>
          <cell r="AX229" t="e">
            <v>#N/A</v>
          </cell>
          <cell r="AY229" t="e">
            <v>#N/A</v>
          </cell>
          <cell r="AZ229" t="e">
            <v>#N/A</v>
          </cell>
          <cell r="BA229" t="e">
            <v>#N/A</v>
          </cell>
          <cell r="BB229" t="e">
            <v>#N/A</v>
          </cell>
          <cell r="BC229" t="e">
            <v>#N/A</v>
          </cell>
          <cell r="BD229" t="e">
            <v>#N/A</v>
          </cell>
          <cell r="BE229" t="e">
            <v>#N/A</v>
          </cell>
          <cell r="BF229" t="e">
            <v>#N/A</v>
          </cell>
          <cell r="BG229" t="e">
            <v>#N/A</v>
          </cell>
          <cell r="BH229" t="e">
            <v>#N/A</v>
          </cell>
          <cell r="BI229" t="e">
            <v>#N/A</v>
          </cell>
          <cell r="BJ229" t="e">
            <v>#N/A</v>
          </cell>
          <cell r="BK229" t="e">
            <v>#N/A</v>
          </cell>
          <cell r="BL229" t="e">
            <v>#N/A</v>
          </cell>
          <cell r="BM229" t="e">
            <v>#N/A</v>
          </cell>
          <cell r="BN229" t="e">
            <v>#N/A</v>
          </cell>
          <cell r="BO229" t="e">
            <v>#N/A</v>
          </cell>
          <cell r="BP229" t="e">
            <v>#N/A</v>
          </cell>
          <cell r="BQ229" t="e">
            <v>#N/A</v>
          </cell>
          <cell r="BR229" t="e">
            <v>#N/A</v>
          </cell>
          <cell r="BS229" t="e">
            <v>#N/A</v>
          </cell>
          <cell r="BT229" t="e">
            <v>#N/A</v>
          </cell>
          <cell r="BU229" t="e">
            <v>#N/A</v>
          </cell>
          <cell r="BV229" t="e">
            <v>#N/A</v>
          </cell>
          <cell r="BW229" t="e">
            <v>#N/A</v>
          </cell>
          <cell r="BX229" t="e">
            <v>#N/A</v>
          </cell>
          <cell r="BY229" t="e">
            <v>#N/A</v>
          </cell>
        </row>
        <row r="230">
          <cell r="B230" t="str">
            <v>Expense - % Cocoa</v>
          </cell>
          <cell r="C230" t="str">
            <v>EXP_COCOA</v>
          </cell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  <cell r="AV230" t="e">
            <v>#N/A</v>
          </cell>
          <cell r="AW230" t="e">
            <v>#N/A</v>
          </cell>
          <cell r="AX230" t="e">
            <v>#N/A</v>
          </cell>
          <cell r="AY230" t="e">
            <v>#N/A</v>
          </cell>
          <cell r="AZ230" t="e">
            <v>#N/A</v>
          </cell>
          <cell r="BA230" t="e">
            <v>#N/A</v>
          </cell>
          <cell r="BB230" t="e">
            <v>#N/A</v>
          </cell>
          <cell r="BC230" t="e">
            <v>#N/A</v>
          </cell>
          <cell r="BD230" t="e">
            <v>#N/A</v>
          </cell>
          <cell r="BE230" t="e">
            <v>#N/A</v>
          </cell>
          <cell r="BF230" t="e">
            <v>#N/A</v>
          </cell>
          <cell r="BG230" t="e">
            <v>#N/A</v>
          </cell>
          <cell r="BH230" t="e">
            <v>#N/A</v>
          </cell>
          <cell r="BI230" t="e">
            <v>#N/A</v>
          </cell>
          <cell r="BJ230" t="e">
            <v>#N/A</v>
          </cell>
          <cell r="BK230" t="e">
            <v>#N/A</v>
          </cell>
          <cell r="BL230" t="e">
            <v>#N/A</v>
          </cell>
          <cell r="BM230" t="e">
            <v>#N/A</v>
          </cell>
          <cell r="BN230" t="e">
            <v>#N/A</v>
          </cell>
          <cell r="BO230" t="e">
            <v>#N/A</v>
          </cell>
          <cell r="BP230" t="e">
            <v>#N/A</v>
          </cell>
          <cell r="BQ230" t="e">
            <v>#N/A</v>
          </cell>
          <cell r="BR230" t="e">
            <v>#N/A</v>
          </cell>
          <cell r="BS230" t="e">
            <v>#N/A</v>
          </cell>
          <cell r="BT230" t="e">
            <v>#N/A</v>
          </cell>
          <cell r="BU230" t="e">
            <v>#N/A</v>
          </cell>
          <cell r="BV230" t="e">
            <v>#N/A</v>
          </cell>
          <cell r="BW230" t="e">
            <v>#N/A</v>
          </cell>
          <cell r="BX230" t="e">
            <v>#N/A</v>
          </cell>
          <cell r="BY230" t="e">
            <v>#N/A</v>
          </cell>
        </row>
        <row r="231">
          <cell r="B231" t="str">
            <v>Expense - % Beef</v>
          </cell>
          <cell r="C231" t="str">
            <v>EXP_BEEF</v>
          </cell>
          <cell r="F231" t="e">
            <v>#N/A</v>
          </cell>
          <cell r="G231" t="e">
            <v>#N/A</v>
          </cell>
          <cell r="H231" t="e">
            <v>#N/A</v>
          </cell>
          <cell r="I231" t="e">
            <v>#N/A</v>
          </cell>
          <cell r="J231" t="e">
            <v>#N/A</v>
          </cell>
          <cell r="K231" t="e">
            <v>#N/A</v>
          </cell>
          <cell r="L231" t="e">
            <v>#N/A</v>
          </cell>
          <cell r="M231" t="e">
            <v>#N/A</v>
          </cell>
          <cell r="N231" t="e">
            <v>#N/A</v>
          </cell>
          <cell r="O231" t="e">
            <v>#N/A</v>
          </cell>
          <cell r="P231" t="e">
            <v>#N/A</v>
          </cell>
          <cell r="Q231" t="e">
            <v>#N/A</v>
          </cell>
          <cell r="R231" t="e">
            <v>#N/A</v>
          </cell>
          <cell r="S231" t="e">
            <v>#N/A</v>
          </cell>
          <cell r="T231" t="e">
            <v>#N/A</v>
          </cell>
          <cell r="U231" t="e">
            <v>#N/A</v>
          </cell>
          <cell r="V231" t="e">
            <v>#N/A</v>
          </cell>
          <cell r="W231" t="e">
            <v>#N/A</v>
          </cell>
          <cell r="X231" t="e">
            <v>#N/A</v>
          </cell>
          <cell r="Z231" t="e">
            <v>#N/A</v>
          </cell>
          <cell r="AA231" t="e">
            <v>#N/A</v>
          </cell>
          <cell r="AB231" t="e">
            <v>#N/A</v>
          </cell>
          <cell r="AC231" t="e">
            <v>#N/A</v>
          </cell>
          <cell r="AD231" t="e">
            <v>#N/A</v>
          </cell>
          <cell r="AE231" t="e">
            <v>#N/A</v>
          </cell>
          <cell r="AF231" t="e">
            <v>#N/A</v>
          </cell>
          <cell r="AG231" t="e">
            <v>#N/A</v>
          </cell>
          <cell r="AH231" t="e">
            <v>#N/A</v>
          </cell>
          <cell r="AI231" t="e">
            <v>#N/A</v>
          </cell>
          <cell r="AJ231" t="e">
            <v>#N/A</v>
          </cell>
          <cell r="AK231" t="e">
            <v>#N/A</v>
          </cell>
          <cell r="AL231" t="e">
            <v>#N/A</v>
          </cell>
          <cell r="AM231" t="e">
            <v>#N/A</v>
          </cell>
          <cell r="AN231" t="e">
            <v>#N/A</v>
          </cell>
          <cell r="AO231" t="e">
            <v>#N/A</v>
          </cell>
          <cell r="AP231" t="e">
            <v>#N/A</v>
          </cell>
          <cell r="AQ231" t="e">
            <v>#N/A</v>
          </cell>
          <cell r="AR231" t="e">
            <v>#N/A</v>
          </cell>
          <cell r="AS231" t="e">
            <v>#N/A</v>
          </cell>
          <cell r="AT231" t="e">
            <v>#N/A</v>
          </cell>
          <cell r="AU231" t="e">
            <v>#N/A</v>
          </cell>
          <cell r="AV231" t="e">
            <v>#N/A</v>
          </cell>
          <cell r="AW231" t="e">
            <v>#N/A</v>
          </cell>
          <cell r="AX231" t="e">
            <v>#N/A</v>
          </cell>
          <cell r="AY231" t="e">
            <v>#N/A</v>
          </cell>
          <cell r="AZ231" t="e">
            <v>#N/A</v>
          </cell>
          <cell r="BA231" t="e">
            <v>#N/A</v>
          </cell>
          <cell r="BB231" t="e">
            <v>#N/A</v>
          </cell>
          <cell r="BC231" t="e">
            <v>#N/A</v>
          </cell>
          <cell r="BD231" t="e">
            <v>#N/A</v>
          </cell>
          <cell r="BE231" t="e">
            <v>#N/A</v>
          </cell>
          <cell r="BF231" t="e">
            <v>#N/A</v>
          </cell>
          <cell r="BG231" t="e">
            <v>#N/A</v>
          </cell>
          <cell r="BH231" t="e">
            <v>#N/A</v>
          </cell>
          <cell r="BI231" t="e">
            <v>#N/A</v>
          </cell>
          <cell r="BJ231" t="e">
            <v>#N/A</v>
          </cell>
          <cell r="BK231" t="e">
            <v>#N/A</v>
          </cell>
          <cell r="BL231" t="e">
            <v>#N/A</v>
          </cell>
          <cell r="BM231" t="e">
            <v>#N/A</v>
          </cell>
          <cell r="BN231" t="e">
            <v>#N/A</v>
          </cell>
          <cell r="BO231" t="e">
            <v>#N/A</v>
          </cell>
          <cell r="BP231" t="e">
            <v>#N/A</v>
          </cell>
          <cell r="BQ231" t="e">
            <v>#N/A</v>
          </cell>
          <cell r="BR231" t="e">
            <v>#N/A</v>
          </cell>
          <cell r="BS231" t="e">
            <v>#N/A</v>
          </cell>
          <cell r="BT231" t="e">
            <v>#N/A</v>
          </cell>
          <cell r="BU231" t="e">
            <v>#N/A</v>
          </cell>
          <cell r="BV231" t="e">
            <v>#N/A</v>
          </cell>
          <cell r="BW231" t="e">
            <v>#N/A</v>
          </cell>
          <cell r="BX231" t="e">
            <v>#N/A</v>
          </cell>
          <cell r="BY231" t="e">
            <v>#N/A</v>
          </cell>
        </row>
        <row r="232">
          <cell r="B232" t="str">
            <v>Expense - % Pork</v>
          </cell>
          <cell r="C232" t="str">
            <v>EXP_PORK</v>
          </cell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  <cell r="AV232" t="e">
            <v>#N/A</v>
          </cell>
          <cell r="AW232" t="e">
            <v>#N/A</v>
          </cell>
          <cell r="AX232" t="e">
            <v>#N/A</v>
          </cell>
          <cell r="AY232" t="e">
            <v>#N/A</v>
          </cell>
          <cell r="AZ232" t="e">
            <v>#N/A</v>
          </cell>
          <cell r="BA232" t="e">
            <v>#N/A</v>
          </cell>
          <cell r="BB232" t="e">
            <v>#N/A</v>
          </cell>
          <cell r="BC232" t="e">
            <v>#N/A</v>
          </cell>
          <cell r="BD232" t="e">
            <v>#N/A</v>
          </cell>
          <cell r="BE232" t="e">
            <v>#N/A</v>
          </cell>
          <cell r="BF232" t="e">
            <v>#N/A</v>
          </cell>
          <cell r="BG232" t="e">
            <v>#N/A</v>
          </cell>
          <cell r="BH232" t="e">
            <v>#N/A</v>
          </cell>
          <cell r="BI232" t="e">
            <v>#N/A</v>
          </cell>
          <cell r="BJ232" t="e">
            <v>#N/A</v>
          </cell>
          <cell r="BK232" t="e">
            <v>#N/A</v>
          </cell>
          <cell r="BL232" t="e">
            <v>#N/A</v>
          </cell>
          <cell r="BM232" t="e">
            <v>#N/A</v>
          </cell>
          <cell r="BN232" t="e">
            <v>#N/A</v>
          </cell>
          <cell r="BO232" t="e">
            <v>#N/A</v>
          </cell>
          <cell r="BP232" t="e">
            <v>#N/A</v>
          </cell>
          <cell r="BQ232" t="e">
            <v>#N/A</v>
          </cell>
          <cell r="BR232" t="e">
            <v>#N/A</v>
          </cell>
          <cell r="BS232" t="e">
            <v>#N/A</v>
          </cell>
          <cell r="BT232" t="e">
            <v>#N/A</v>
          </cell>
          <cell r="BU232" t="e">
            <v>#N/A</v>
          </cell>
          <cell r="BV232" t="e">
            <v>#N/A</v>
          </cell>
          <cell r="BW232" t="e">
            <v>#N/A</v>
          </cell>
          <cell r="BX232" t="e">
            <v>#N/A</v>
          </cell>
          <cell r="BY232" t="e">
            <v>#N/A</v>
          </cell>
        </row>
        <row r="233">
          <cell r="B233" t="str">
            <v>Expense - % Chicken</v>
          </cell>
          <cell r="C233" t="str">
            <v>EXP_CHICKEN</v>
          </cell>
          <cell r="F233" t="e">
            <v>#N/A</v>
          </cell>
          <cell r="G233" t="e">
            <v>#N/A</v>
          </cell>
          <cell r="H233" t="e">
            <v>#N/A</v>
          </cell>
          <cell r="I233" t="e">
            <v>#N/A</v>
          </cell>
          <cell r="J233" t="e">
            <v>#N/A</v>
          </cell>
          <cell r="K233" t="e">
            <v>#N/A</v>
          </cell>
          <cell r="L233" t="e">
            <v>#N/A</v>
          </cell>
          <cell r="M233" t="e">
            <v>#N/A</v>
          </cell>
          <cell r="N233" t="e">
            <v>#N/A</v>
          </cell>
          <cell r="O233" t="e">
            <v>#N/A</v>
          </cell>
          <cell r="P233" t="e">
            <v>#N/A</v>
          </cell>
          <cell r="Q233" t="e">
            <v>#N/A</v>
          </cell>
          <cell r="R233" t="e">
            <v>#N/A</v>
          </cell>
          <cell r="S233" t="e">
            <v>#N/A</v>
          </cell>
          <cell r="T233" t="e">
            <v>#N/A</v>
          </cell>
          <cell r="U233" t="e">
            <v>#N/A</v>
          </cell>
          <cell r="V233" t="e">
            <v>#N/A</v>
          </cell>
          <cell r="W233" t="e">
            <v>#N/A</v>
          </cell>
          <cell r="X233" t="e">
            <v>#N/A</v>
          </cell>
          <cell r="Z233" t="e">
            <v>#N/A</v>
          </cell>
          <cell r="AA233" t="e">
            <v>#N/A</v>
          </cell>
          <cell r="AB233" t="e">
            <v>#N/A</v>
          </cell>
          <cell r="AC233" t="e">
            <v>#N/A</v>
          </cell>
          <cell r="AD233" t="e">
            <v>#N/A</v>
          </cell>
          <cell r="AE233" t="e">
            <v>#N/A</v>
          </cell>
          <cell r="AF233" t="e">
            <v>#N/A</v>
          </cell>
          <cell r="AG233" t="e">
            <v>#N/A</v>
          </cell>
          <cell r="AH233" t="e">
            <v>#N/A</v>
          </cell>
          <cell r="AI233" t="e">
            <v>#N/A</v>
          </cell>
          <cell r="AJ233" t="e">
            <v>#N/A</v>
          </cell>
          <cell r="AK233" t="e">
            <v>#N/A</v>
          </cell>
          <cell r="AL233" t="e">
            <v>#N/A</v>
          </cell>
          <cell r="AM233" t="e">
            <v>#N/A</v>
          </cell>
          <cell r="AN233" t="e">
            <v>#N/A</v>
          </cell>
          <cell r="AO233" t="e">
            <v>#N/A</v>
          </cell>
          <cell r="AP233" t="e">
            <v>#N/A</v>
          </cell>
          <cell r="AQ233" t="e">
            <v>#N/A</v>
          </cell>
          <cell r="AR233" t="e">
            <v>#N/A</v>
          </cell>
          <cell r="AS233" t="e">
            <v>#N/A</v>
          </cell>
          <cell r="AT233" t="e">
            <v>#N/A</v>
          </cell>
          <cell r="AU233" t="e">
            <v>#N/A</v>
          </cell>
          <cell r="AV233" t="e">
            <v>#N/A</v>
          </cell>
          <cell r="AW233" t="e">
            <v>#N/A</v>
          </cell>
          <cell r="AX233" t="e">
            <v>#N/A</v>
          </cell>
          <cell r="AY233" t="e">
            <v>#N/A</v>
          </cell>
          <cell r="AZ233" t="e">
            <v>#N/A</v>
          </cell>
          <cell r="BA233" t="e">
            <v>#N/A</v>
          </cell>
          <cell r="BB233" t="e">
            <v>#N/A</v>
          </cell>
          <cell r="BC233" t="e">
            <v>#N/A</v>
          </cell>
          <cell r="BD233" t="e">
            <v>#N/A</v>
          </cell>
          <cell r="BE233" t="e">
            <v>#N/A</v>
          </cell>
          <cell r="BF233" t="e">
            <v>#N/A</v>
          </cell>
          <cell r="BG233" t="e">
            <v>#N/A</v>
          </cell>
          <cell r="BH233" t="e">
            <v>#N/A</v>
          </cell>
          <cell r="BI233" t="e">
            <v>#N/A</v>
          </cell>
          <cell r="BJ233" t="e">
            <v>#N/A</v>
          </cell>
          <cell r="BK233" t="e">
            <v>#N/A</v>
          </cell>
          <cell r="BL233" t="e">
            <v>#N/A</v>
          </cell>
          <cell r="BM233" t="e">
            <v>#N/A</v>
          </cell>
          <cell r="BN233" t="e">
            <v>#N/A</v>
          </cell>
          <cell r="BO233" t="e">
            <v>#N/A</v>
          </cell>
          <cell r="BP233" t="e">
            <v>#N/A</v>
          </cell>
          <cell r="BQ233" t="e">
            <v>#N/A</v>
          </cell>
          <cell r="BR233" t="e">
            <v>#N/A</v>
          </cell>
          <cell r="BS233" t="e">
            <v>#N/A</v>
          </cell>
          <cell r="BT233" t="e">
            <v>#N/A</v>
          </cell>
          <cell r="BU233" t="e">
            <v>#N/A</v>
          </cell>
          <cell r="BV233" t="e">
            <v>#N/A</v>
          </cell>
          <cell r="BW233" t="e">
            <v>#N/A</v>
          </cell>
          <cell r="BX233" t="e">
            <v>#N/A</v>
          </cell>
          <cell r="BY233" t="e">
            <v>#N/A</v>
          </cell>
        </row>
        <row r="234">
          <cell r="B234" t="str">
            <v>Expense - % Dairy</v>
          </cell>
          <cell r="C234" t="str">
            <v>EXP_DAIRY</v>
          </cell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  <cell r="AV234" t="e">
            <v>#N/A</v>
          </cell>
          <cell r="AW234" t="e">
            <v>#N/A</v>
          </cell>
          <cell r="AX234" t="e">
            <v>#N/A</v>
          </cell>
          <cell r="AY234" t="e">
            <v>#N/A</v>
          </cell>
          <cell r="AZ234" t="e">
            <v>#N/A</v>
          </cell>
          <cell r="BA234" t="e">
            <v>#N/A</v>
          </cell>
          <cell r="BB234" t="e">
            <v>#N/A</v>
          </cell>
          <cell r="BC234" t="e">
            <v>#N/A</v>
          </cell>
          <cell r="BD234" t="e">
            <v>#N/A</v>
          </cell>
          <cell r="BE234" t="e">
            <v>#N/A</v>
          </cell>
          <cell r="BF234" t="e">
            <v>#N/A</v>
          </cell>
          <cell r="BG234" t="e">
            <v>#N/A</v>
          </cell>
          <cell r="BH234" t="e">
            <v>#N/A</v>
          </cell>
          <cell r="BI234" t="e">
            <v>#N/A</v>
          </cell>
          <cell r="BJ234" t="e">
            <v>#N/A</v>
          </cell>
          <cell r="BK234" t="e">
            <v>#N/A</v>
          </cell>
          <cell r="BL234" t="e">
            <v>#N/A</v>
          </cell>
          <cell r="BM234" t="e">
            <v>#N/A</v>
          </cell>
          <cell r="BN234" t="e">
            <v>#N/A</v>
          </cell>
          <cell r="BO234" t="e">
            <v>#N/A</v>
          </cell>
          <cell r="BP234" t="e">
            <v>#N/A</v>
          </cell>
          <cell r="BQ234" t="e">
            <v>#N/A</v>
          </cell>
          <cell r="BR234" t="e">
            <v>#N/A</v>
          </cell>
          <cell r="BS234" t="e">
            <v>#N/A</v>
          </cell>
          <cell r="BT234" t="e">
            <v>#N/A</v>
          </cell>
          <cell r="BU234" t="e">
            <v>#N/A</v>
          </cell>
          <cell r="BV234" t="e">
            <v>#N/A</v>
          </cell>
          <cell r="BW234" t="e">
            <v>#N/A</v>
          </cell>
          <cell r="BX234" t="e">
            <v>#N/A</v>
          </cell>
          <cell r="BY234" t="e">
            <v>#N/A</v>
          </cell>
        </row>
        <row r="235">
          <cell r="B235" t="str">
            <v>Expense - % Nuts</v>
          </cell>
          <cell r="C235" t="str">
            <v>EXP_NUTS</v>
          </cell>
          <cell r="F235" t="e">
            <v>#N/A</v>
          </cell>
          <cell r="G235" t="e">
            <v>#N/A</v>
          </cell>
          <cell r="H235" t="e">
            <v>#N/A</v>
          </cell>
          <cell r="I235" t="e">
            <v>#N/A</v>
          </cell>
          <cell r="J235" t="e">
            <v>#N/A</v>
          </cell>
          <cell r="K235" t="e">
            <v>#N/A</v>
          </cell>
          <cell r="L235" t="e">
            <v>#N/A</v>
          </cell>
          <cell r="M235" t="e">
            <v>#N/A</v>
          </cell>
          <cell r="N235" t="e">
            <v>#N/A</v>
          </cell>
          <cell r="O235" t="e">
            <v>#N/A</v>
          </cell>
          <cell r="P235" t="e">
            <v>#N/A</v>
          </cell>
          <cell r="Q235" t="e">
            <v>#N/A</v>
          </cell>
          <cell r="R235" t="e">
            <v>#N/A</v>
          </cell>
          <cell r="S235" t="e">
            <v>#N/A</v>
          </cell>
          <cell r="T235" t="e">
            <v>#N/A</v>
          </cell>
          <cell r="U235" t="e">
            <v>#N/A</v>
          </cell>
          <cell r="V235" t="e">
            <v>#N/A</v>
          </cell>
          <cell r="W235" t="e">
            <v>#N/A</v>
          </cell>
          <cell r="X235" t="e">
            <v>#N/A</v>
          </cell>
          <cell r="Z235" t="e">
            <v>#N/A</v>
          </cell>
          <cell r="AA235" t="e">
            <v>#N/A</v>
          </cell>
          <cell r="AB235" t="e">
            <v>#N/A</v>
          </cell>
          <cell r="AC235" t="e">
            <v>#N/A</v>
          </cell>
          <cell r="AD235" t="e">
            <v>#N/A</v>
          </cell>
          <cell r="AE235" t="e">
            <v>#N/A</v>
          </cell>
          <cell r="AF235" t="e">
            <v>#N/A</v>
          </cell>
          <cell r="AG235" t="e">
            <v>#N/A</v>
          </cell>
          <cell r="AH235" t="e">
            <v>#N/A</v>
          </cell>
          <cell r="AI235" t="e">
            <v>#N/A</v>
          </cell>
          <cell r="AJ235" t="e">
            <v>#N/A</v>
          </cell>
          <cell r="AK235" t="e">
            <v>#N/A</v>
          </cell>
          <cell r="AL235" t="e">
            <v>#N/A</v>
          </cell>
          <cell r="AM235" t="e">
            <v>#N/A</v>
          </cell>
          <cell r="AN235" t="e">
            <v>#N/A</v>
          </cell>
          <cell r="AO235" t="e">
            <v>#N/A</v>
          </cell>
          <cell r="AP235" t="e">
            <v>#N/A</v>
          </cell>
          <cell r="AQ235" t="e">
            <v>#N/A</v>
          </cell>
          <cell r="AR235" t="e">
            <v>#N/A</v>
          </cell>
          <cell r="AS235" t="e">
            <v>#N/A</v>
          </cell>
          <cell r="AT235" t="e">
            <v>#N/A</v>
          </cell>
          <cell r="AU235" t="e">
            <v>#N/A</v>
          </cell>
          <cell r="AV235" t="e">
            <v>#N/A</v>
          </cell>
          <cell r="AW235" t="e">
            <v>#N/A</v>
          </cell>
          <cell r="AX235" t="e">
            <v>#N/A</v>
          </cell>
          <cell r="AY235" t="e">
            <v>#N/A</v>
          </cell>
          <cell r="AZ235" t="e">
            <v>#N/A</v>
          </cell>
          <cell r="BA235" t="e">
            <v>#N/A</v>
          </cell>
          <cell r="BB235" t="e">
            <v>#N/A</v>
          </cell>
          <cell r="BC235" t="e">
            <v>#N/A</v>
          </cell>
          <cell r="BD235" t="e">
            <v>#N/A</v>
          </cell>
          <cell r="BE235" t="e">
            <v>#N/A</v>
          </cell>
          <cell r="BF235" t="e">
            <v>#N/A</v>
          </cell>
          <cell r="BG235" t="e">
            <v>#N/A</v>
          </cell>
          <cell r="BH235" t="e">
            <v>#N/A</v>
          </cell>
          <cell r="BI235" t="e">
            <v>#N/A</v>
          </cell>
          <cell r="BJ235" t="e">
            <v>#N/A</v>
          </cell>
          <cell r="BK235" t="e">
            <v>#N/A</v>
          </cell>
          <cell r="BL235" t="e">
            <v>#N/A</v>
          </cell>
          <cell r="BM235" t="e">
            <v>#N/A</v>
          </cell>
          <cell r="BN235" t="e">
            <v>#N/A</v>
          </cell>
          <cell r="BO235" t="e">
            <v>#N/A</v>
          </cell>
          <cell r="BP235" t="e">
            <v>#N/A</v>
          </cell>
          <cell r="BQ235" t="e">
            <v>#N/A</v>
          </cell>
          <cell r="BR235" t="e">
            <v>#N/A</v>
          </cell>
          <cell r="BS235" t="e">
            <v>#N/A</v>
          </cell>
          <cell r="BT235" t="e">
            <v>#N/A</v>
          </cell>
          <cell r="BU235" t="e">
            <v>#N/A</v>
          </cell>
          <cell r="BV235" t="e">
            <v>#N/A</v>
          </cell>
          <cell r="BW235" t="e">
            <v>#N/A</v>
          </cell>
          <cell r="BX235" t="e">
            <v>#N/A</v>
          </cell>
          <cell r="BY235" t="e">
            <v>#N/A</v>
          </cell>
        </row>
        <row r="236">
          <cell r="B236" t="str">
            <v>Expense - % Palm oil</v>
          </cell>
          <cell r="C236" t="str">
            <v>EXP_PALM_OIL</v>
          </cell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  <cell r="AV236" t="e">
            <v>#N/A</v>
          </cell>
          <cell r="AW236" t="e">
            <v>#N/A</v>
          </cell>
          <cell r="AX236" t="e">
            <v>#N/A</v>
          </cell>
          <cell r="AY236" t="e">
            <v>#N/A</v>
          </cell>
          <cell r="AZ236" t="e">
            <v>#N/A</v>
          </cell>
          <cell r="BA236" t="e">
            <v>#N/A</v>
          </cell>
          <cell r="BB236" t="e">
            <v>#N/A</v>
          </cell>
          <cell r="BC236" t="e">
            <v>#N/A</v>
          </cell>
          <cell r="BD236" t="e">
            <v>#N/A</v>
          </cell>
          <cell r="BE236" t="e">
            <v>#N/A</v>
          </cell>
          <cell r="BF236" t="e">
            <v>#N/A</v>
          </cell>
          <cell r="BG236" t="e">
            <v>#N/A</v>
          </cell>
          <cell r="BH236" t="e">
            <v>#N/A</v>
          </cell>
          <cell r="BI236" t="e">
            <v>#N/A</v>
          </cell>
          <cell r="BJ236" t="e">
            <v>#N/A</v>
          </cell>
          <cell r="BK236" t="e">
            <v>#N/A</v>
          </cell>
          <cell r="BL236" t="e">
            <v>#N/A</v>
          </cell>
          <cell r="BM236" t="e">
            <v>#N/A</v>
          </cell>
          <cell r="BN236" t="e">
            <v>#N/A</v>
          </cell>
          <cell r="BO236" t="e">
            <v>#N/A</v>
          </cell>
          <cell r="BP236" t="e">
            <v>#N/A</v>
          </cell>
          <cell r="BQ236" t="e">
            <v>#N/A</v>
          </cell>
          <cell r="BR236" t="e">
            <v>#N/A</v>
          </cell>
          <cell r="BS236" t="e">
            <v>#N/A</v>
          </cell>
          <cell r="BT236" t="e">
            <v>#N/A</v>
          </cell>
          <cell r="BU236" t="e">
            <v>#N/A</v>
          </cell>
          <cell r="BV236" t="e">
            <v>#N/A</v>
          </cell>
          <cell r="BW236" t="e">
            <v>#N/A</v>
          </cell>
          <cell r="BX236" t="e">
            <v>#N/A</v>
          </cell>
          <cell r="BY236" t="e">
            <v>#N/A</v>
          </cell>
        </row>
        <row r="237">
          <cell r="B237" t="str">
            <v>Expense - % Other edible oil</v>
          </cell>
          <cell r="C237" t="str">
            <v>EXP_OTH_EDIBLE_OIL</v>
          </cell>
          <cell r="F237" t="e">
            <v>#N/A</v>
          </cell>
          <cell r="G237" t="e">
            <v>#N/A</v>
          </cell>
          <cell r="H237" t="e">
            <v>#N/A</v>
          </cell>
          <cell r="I237" t="e">
            <v>#N/A</v>
          </cell>
          <cell r="J237" t="e">
            <v>#N/A</v>
          </cell>
          <cell r="K237" t="e">
            <v>#N/A</v>
          </cell>
          <cell r="L237" t="e">
            <v>#N/A</v>
          </cell>
          <cell r="M237" t="e">
            <v>#N/A</v>
          </cell>
          <cell r="N237" t="e">
            <v>#N/A</v>
          </cell>
          <cell r="O237" t="e">
            <v>#N/A</v>
          </cell>
          <cell r="P237" t="e">
            <v>#N/A</v>
          </cell>
          <cell r="Q237" t="e">
            <v>#N/A</v>
          </cell>
          <cell r="R237" t="e">
            <v>#N/A</v>
          </cell>
          <cell r="S237" t="e">
            <v>#N/A</v>
          </cell>
          <cell r="T237" t="e">
            <v>#N/A</v>
          </cell>
          <cell r="U237" t="e">
            <v>#N/A</v>
          </cell>
          <cell r="V237" t="e">
            <v>#N/A</v>
          </cell>
          <cell r="W237" t="e">
            <v>#N/A</v>
          </cell>
          <cell r="X237" t="e">
            <v>#N/A</v>
          </cell>
          <cell r="Z237" t="e">
            <v>#N/A</v>
          </cell>
          <cell r="AA237" t="e">
            <v>#N/A</v>
          </cell>
          <cell r="AB237" t="e">
            <v>#N/A</v>
          </cell>
          <cell r="AC237" t="e">
            <v>#N/A</v>
          </cell>
          <cell r="AD237" t="e">
            <v>#N/A</v>
          </cell>
          <cell r="AE237" t="e">
            <v>#N/A</v>
          </cell>
          <cell r="AF237" t="e">
            <v>#N/A</v>
          </cell>
          <cell r="AG237" t="e">
            <v>#N/A</v>
          </cell>
          <cell r="AH237" t="e">
            <v>#N/A</v>
          </cell>
          <cell r="AI237" t="e">
            <v>#N/A</v>
          </cell>
          <cell r="AJ237" t="e">
            <v>#N/A</v>
          </cell>
          <cell r="AK237" t="e">
            <v>#N/A</v>
          </cell>
          <cell r="AL237" t="e">
            <v>#N/A</v>
          </cell>
          <cell r="AM237" t="e">
            <v>#N/A</v>
          </cell>
          <cell r="AN237" t="e">
            <v>#N/A</v>
          </cell>
          <cell r="AO237" t="e">
            <v>#N/A</v>
          </cell>
          <cell r="AP237" t="e">
            <v>#N/A</v>
          </cell>
          <cell r="AQ237" t="e">
            <v>#N/A</v>
          </cell>
          <cell r="AR237" t="e">
            <v>#N/A</v>
          </cell>
          <cell r="AS237" t="e">
            <v>#N/A</v>
          </cell>
          <cell r="AT237" t="e">
            <v>#N/A</v>
          </cell>
          <cell r="AU237" t="e">
            <v>#N/A</v>
          </cell>
          <cell r="AV237" t="e">
            <v>#N/A</v>
          </cell>
          <cell r="AW237" t="e">
            <v>#N/A</v>
          </cell>
          <cell r="AX237" t="e">
            <v>#N/A</v>
          </cell>
          <cell r="AY237" t="e">
            <v>#N/A</v>
          </cell>
          <cell r="AZ237" t="e">
            <v>#N/A</v>
          </cell>
          <cell r="BA237" t="e">
            <v>#N/A</v>
          </cell>
          <cell r="BB237" t="e">
            <v>#N/A</v>
          </cell>
          <cell r="BC237" t="e">
            <v>#N/A</v>
          </cell>
          <cell r="BD237" t="e">
            <v>#N/A</v>
          </cell>
          <cell r="BE237" t="e">
            <v>#N/A</v>
          </cell>
          <cell r="BF237" t="e">
            <v>#N/A</v>
          </cell>
          <cell r="BG237" t="e">
            <v>#N/A</v>
          </cell>
          <cell r="BH237" t="e">
            <v>#N/A</v>
          </cell>
          <cell r="BI237" t="e">
            <v>#N/A</v>
          </cell>
          <cell r="BJ237" t="e">
            <v>#N/A</v>
          </cell>
          <cell r="BK237" t="e">
            <v>#N/A</v>
          </cell>
          <cell r="BL237" t="e">
            <v>#N/A</v>
          </cell>
          <cell r="BM237" t="e">
            <v>#N/A</v>
          </cell>
          <cell r="BN237" t="e">
            <v>#N/A</v>
          </cell>
          <cell r="BO237" t="e">
            <v>#N/A</v>
          </cell>
          <cell r="BP237" t="e">
            <v>#N/A</v>
          </cell>
          <cell r="BQ237" t="e">
            <v>#N/A</v>
          </cell>
          <cell r="BR237" t="e">
            <v>#N/A</v>
          </cell>
          <cell r="BS237" t="e">
            <v>#N/A</v>
          </cell>
          <cell r="BT237" t="e">
            <v>#N/A</v>
          </cell>
          <cell r="BU237" t="e">
            <v>#N/A</v>
          </cell>
          <cell r="BV237" t="e">
            <v>#N/A</v>
          </cell>
          <cell r="BW237" t="e">
            <v>#N/A</v>
          </cell>
          <cell r="BX237" t="e">
            <v>#N/A</v>
          </cell>
          <cell r="BY237" t="e">
            <v>#N/A</v>
          </cell>
        </row>
        <row r="238">
          <cell r="B238" t="str">
            <v>Expense - % Tobacco leaf</v>
          </cell>
          <cell r="C238" t="str">
            <v>EXP_TOBACCO_LEAF</v>
          </cell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  <cell r="AV238" t="e">
            <v>#N/A</v>
          </cell>
          <cell r="AW238" t="e">
            <v>#N/A</v>
          </cell>
          <cell r="AX238" t="e">
            <v>#N/A</v>
          </cell>
          <cell r="AY238" t="e">
            <v>#N/A</v>
          </cell>
          <cell r="AZ238" t="e">
            <v>#N/A</v>
          </cell>
          <cell r="BA238" t="e">
            <v>#N/A</v>
          </cell>
          <cell r="BB238" t="e">
            <v>#N/A</v>
          </cell>
          <cell r="BC238" t="e">
            <v>#N/A</v>
          </cell>
          <cell r="BD238" t="e">
            <v>#N/A</v>
          </cell>
          <cell r="BE238" t="e">
            <v>#N/A</v>
          </cell>
          <cell r="BF238" t="e">
            <v>#N/A</v>
          </cell>
          <cell r="BG238" t="e">
            <v>#N/A</v>
          </cell>
          <cell r="BH238" t="e">
            <v>#N/A</v>
          </cell>
          <cell r="BI238" t="e">
            <v>#N/A</v>
          </cell>
          <cell r="BJ238" t="e">
            <v>#N/A</v>
          </cell>
          <cell r="BK238" t="e">
            <v>#N/A</v>
          </cell>
          <cell r="BL238" t="e">
            <v>#N/A</v>
          </cell>
          <cell r="BM238" t="e">
            <v>#N/A</v>
          </cell>
          <cell r="BN238" t="e">
            <v>#N/A</v>
          </cell>
          <cell r="BO238" t="e">
            <v>#N/A</v>
          </cell>
          <cell r="BP238" t="e">
            <v>#N/A</v>
          </cell>
          <cell r="BQ238" t="e">
            <v>#N/A</v>
          </cell>
          <cell r="BR238" t="e">
            <v>#N/A</v>
          </cell>
          <cell r="BS238" t="e">
            <v>#N/A</v>
          </cell>
          <cell r="BT238" t="e">
            <v>#N/A</v>
          </cell>
          <cell r="BU238" t="e">
            <v>#N/A</v>
          </cell>
          <cell r="BV238" t="e">
            <v>#N/A</v>
          </cell>
          <cell r="BW238" t="e">
            <v>#N/A</v>
          </cell>
          <cell r="BX238" t="e">
            <v>#N/A</v>
          </cell>
          <cell r="BY238" t="e">
            <v>#N/A</v>
          </cell>
        </row>
        <row r="239">
          <cell r="B239" t="str">
            <v>Expense - % Water</v>
          </cell>
          <cell r="C239" t="str">
            <v>EXP_WATER</v>
          </cell>
          <cell r="F239" t="e">
            <v>#N/A</v>
          </cell>
          <cell r="G239" t="e">
            <v>#N/A</v>
          </cell>
          <cell r="H239" t="e">
            <v>#N/A</v>
          </cell>
          <cell r="I239" t="e">
            <v>#N/A</v>
          </cell>
          <cell r="J239" t="e">
            <v>#N/A</v>
          </cell>
          <cell r="K239" t="e">
            <v>#N/A</v>
          </cell>
          <cell r="L239" t="e">
            <v>#N/A</v>
          </cell>
          <cell r="M239" t="e">
            <v>#N/A</v>
          </cell>
          <cell r="N239" t="e">
            <v>#N/A</v>
          </cell>
          <cell r="O239" t="e">
            <v>#N/A</v>
          </cell>
          <cell r="P239" t="e">
            <v>#N/A</v>
          </cell>
          <cell r="Q239" t="e">
            <v>#N/A</v>
          </cell>
          <cell r="R239" t="e">
            <v>#N/A</v>
          </cell>
          <cell r="S239" t="e">
            <v>#N/A</v>
          </cell>
          <cell r="T239" t="e">
            <v>#N/A</v>
          </cell>
          <cell r="U239" t="e">
            <v>#N/A</v>
          </cell>
          <cell r="V239" t="e">
            <v>#N/A</v>
          </cell>
          <cell r="W239" t="e">
            <v>#N/A</v>
          </cell>
          <cell r="X239" t="e">
            <v>#N/A</v>
          </cell>
          <cell r="Z239" t="e">
            <v>#N/A</v>
          </cell>
          <cell r="AA239" t="e">
            <v>#N/A</v>
          </cell>
          <cell r="AB239" t="e">
            <v>#N/A</v>
          </cell>
          <cell r="AC239" t="e">
            <v>#N/A</v>
          </cell>
          <cell r="AD239" t="e">
            <v>#N/A</v>
          </cell>
          <cell r="AE239" t="e">
            <v>#N/A</v>
          </cell>
          <cell r="AF239" t="e">
            <v>#N/A</v>
          </cell>
          <cell r="AG239" t="e">
            <v>#N/A</v>
          </cell>
          <cell r="AH239" t="e">
            <v>#N/A</v>
          </cell>
          <cell r="AI239" t="e">
            <v>#N/A</v>
          </cell>
          <cell r="AJ239" t="e">
            <v>#N/A</v>
          </cell>
          <cell r="AK239" t="e">
            <v>#N/A</v>
          </cell>
          <cell r="AL239" t="e">
            <v>#N/A</v>
          </cell>
          <cell r="AM239" t="e">
            <v>#N/A</v>
          </cell>
          <cell r="AN239" t="e">
            <v>#N/A</v>
          </cell>
          <cell r="AO239" t="e">
            <v>#N/A</v>
          </cell>
          <cell r="AP239" t="e">
            <v>#N/A</v>
          </cell>
          <cell r="AQ239" t="e">
            <v>#N/A</v>
          </cell>
          <cell r="AR239" t="e">
            <v>#N/A</v>
          </cell>
          <cell r="AS239" t="e">
            <v>#N/A</v>
          </cell>
          <cell r="AT239" t="e">
            <v>#N/A</v>
          </cell>
          <cell r="AU239" t="e">
            <v>#N/A</v>
          </cell>
          <cell r="AV239" t="e">
            <v>#N/A</v>
          </cell>
          <cell r="AW239" t="e">
            <v>#N/A</v>
          </cell>
          <cell r="AX239" t="e">
            <v>#N/A</v>
          </cell>
          <cell r="AY239" t="e">
            <v>#N/A</v>
          </cell>
          <cell r="AZ239" t="e">
            <v>#N/A</v>
          </cell>
          <cell r="BA239" t="e">
            <v>#N/A</v>
          </cell>
          <cell r="BB239" t="e">
            <v>#N/A</v>
          </cell>
          <cell r="BC239" t="e">
            <v>#N/A</v>
          </cell>
          <cell r="BD239" t="e">
            <v>#N/A</v>
          </cell>
          <cell r="BE239" t="e">
            <v>#N/A</v>
          </cell>
          <cell r="BF239" t="e">
            <v>#N/A</v>
          </cell>
          <cell r="BG239" t="e">
            <v>#N/A</v>
          </cell>
          <cell r="BH239" t="e">
            <v>#N/A</v>
          </cell>
          <cell r="BI239" t="e">
            <v>#N/A</v>
          </cell>
          <cell r="BJ239" t="e">
            <v>#N/A</v>
          </cell>
          <cell r="BK239" t="e">
            <v>#N/A</v>
          </cell>
          <cell r="BL239" t="e">
            <v>#N/A</v>
          </cell>
          <cell r="BM239" t="e">
            <v>#N/A</v>
          </cell>
          <cell r="BN239" t="e">
            <v>#N/A</v>
          </cell>
          <cell r="BO239" t="e">
            <v>#N/A</v>
          </cell>
          <cell r="BP239" t="e">
            <v>#N/A</v>
          </cell>
          <cell r="BQ239" t="e">
            <v>#N/A</v>
          </cell>
          <cell r="BR239" t="e">
            <v>#N/A</v>
          </cell>
          <cell r="BS239" t="e">
            <v>#N/A</v>
          </cell>
          <cell r="BT239" t="e">
            <v>#N/A</v>
          </cell>
          <cell r="BU239" t="e">
            <v>#N/A</v>
          </cell>
          <cell r="BV239" t="e">
            <v>#N/A</v>
          </cell>
          <cell r="BW239" t="e">
            <v>#N/A</v>
          </cell>
          <cell r="BX239" t="e">
            <v>#N/A</v>
          </cell>
          <cell r="BY239" t="e">
            <v>#N/A</v>
          </cell>
        </row>
        <row r="240">
          <cell r="B240" t="str">
            <v>Expense - % Other commodity</v>
          </cell>
          <cell r="C240" t="str">
            <v>EXP_OTH_COMMODITY</v>
          </cell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  <cell r="AV240" t="e">
            <v>#N/A</v>
          </cell>
          <cell r="AW240" t="e">
            <v>#N/A</v>
          </cell>
          <cell r="AX240" t="e">
            <v>#N/A</v>
          </cell>
          <cell r="AY240" t="e">
            <v>#N/A</v>
          </cell>
          <cell r="AZ240" t="e">
            <v>#N/A</v>
          </cell>
          <cell r="BA240" t="e">
            <v>#N/A</v>
          </cell>
          <cell r="BB240" t="e">
            <v>#N/A</v>
          </cell>
          <cell r="BC240" t="e">
            <v>#N/A</v>
          </cell>
          <cell r="BD240" t="e">
            <v>#N/A</v>
          </cell>
          <cell r="BE240" t="e">
            <v>#N/A</v>
          </cell>
          <cell r="BF240" t="e">
            <v>#N/A</v>
          </cell>
          <cell r="BG240" t="e">
            <v>#N/A</v>
          </cell>
          <cell r="BH240" t="e">
            <v>#N/A</v>
          </cell>
          <cell r="BI240" t="e">
            <v>#N/A</v>
          </cell>
          <cell r="BJ240" t="e">
            <v>#N/A</v>
          </cell>
          <cell r="BK240" t="e">
            <v>#N/A</v>
          </cell>
          <cell r="BL240" t="e">
            <v>#N/A</v>
          </cell>
          <cell r="BM240" t="e">
            <v>#N/A</v>
          </cell>
          <cell r="BN240" t="e">
            <v>#N/A</v>
          </cell>
          <cell r="BO240" t="e">
            <v>#N/A</v>
          </cell>
          <cell r="BP240" t="e">
            <v>#N/A</v>
          </cell>
          <cell r="BQ240" t="e">
            <v>#N/A</v>
          </cell>
          <cell r="BR240" t="e">
            <v>#N/A</v>
          </cell>
          <cell r="BS240" t="e">
            <v>#N/A</v>
          </cell>
          <cell r="BT240" t="e">
            <v>#N/A</v>
          </cell>
          <cell r="BU240" t="e">
            <v>#N/A</v>
          </cell>
          <cell r="BV240" t="e">
            <v>#N/A</v>
          </cell>
          <cell r="BW240" t="e">
            <v>#N/A</v>
          </cell>
          <cell r="BX240" t="e">
            <v>#N/A</v>
          </cell>
          <cell r="BY240" t="e">
            <v>#N/A</v>
          </cell>
        </row>
        <row r="241">
          <cell r="A241" t="str">
            <v>FX Exposure - Sales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Valuation"/>
      <sheetName val="AFOSHEET"/>
      <sheetName val="Act Vs Est"/>
      <sheetName val="Act Vs Est_output"/>
      <sheetName val="Model"/>
      <sheetName val="Raw Data"/>
      <sheetName val="Revenue"/>
      <sheetName val="Basic Data"/>
      <sheetName val="Industry Data"/>
      <sheetName val="Company Data"/>
      <sheetName val="002456.SZ_Live_Sheet"/>
      <sheetName val="002456.SZ_Validation_Sheet"/>
      <sheetName val="002456.SZ_Annotation_Sheet"/>
      <sheetName val="002456.SZ_Exchange_Sheet"/>
      <sheetName val="Ratios"/>
      <sheetName val="Market Data"/>
      <sheetName val="Sheet2"/>
      <sheetName val="Sheet1"/>
      <sheetName val="Exhibit"/>
      <sheetName val="First tak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Issuer: Shenzhen O-Film Tech Co Ltd</v>
          </cell>
          <cell r="C1">
            <v>2880701530</v>
          </cell>
          <cell r="F1">
            <v>2007</v>
          </cell>
          <cell r="G1">
            <v>2008</v>
          </cell>
          <cell r="H1">
            <v>2009</v>
          </cell>
          <cell r="I1">
            <v>2010</v>
          </cell>
          <cell r="J1" t="str">
            <v>2011 Q1</v>
          </cell>
          <cell r="K1" t="str">
            <v>2011 Q2</v>
          </cell>
          <cell r="L1" t="str">
            <v>2011 Q3</v>
          </cell>
          <cell r="M1" t="str">
            <v>2011 Q4</v>
          </cell>
          <cell r="N1">
            <v>2011</v>
          </cell>
          <cell r="O1" t="str">
            <v>2012 Q1</v>
          </cell>
          <cell r="P1" t="str">
            <v>2012 Q2</v>
          </cell>
          <cell r="Q1" t="str">
            <v>2012 Q3</v>
          </cell>
          <cell r="R1" t="str">
            <v>2012 Q4</v>
          </cell>
          <cell r="S1">
            <v>2012</v>
          </cell>
          <cell r="T1" t="str">
            <v>2013 Q1</v>
          </cell>
          <cell r="U1" t="str">
            <v>2013 Q2</v>
          </cell>
          <cell r="V1" t="str">
            <v>2013 Q3</v>
          </cell>
          <cell r="W1" t="str">
            <v>2013 Q4</v>
          </cell>
          <cell r="X1">
            <v>2013</v>
          </cell>
          <cell r="Y1" t="str">
            <v>2014 Q1</v>
          </cell>
          <cell r="Z1" t="str">
            <v>2014 Q2</v>
          </cell>
          <cell r="AA1" t="str">
            <v>2014 Q3</v>
          </cell>
          <cell r="AB1" t="str">
            <v>2014 Q4</v>
          </cell>
          <cell r="AC1">
            <v>2014</v>
          </cell>
          <cell r="AD1">
            <v>2015</v>
          </cell>
          <cell r="AE1">
            <v>2016</v>
          </cell>
          <cell r="AF1">
            <v>2017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Estimate</v>
          </cell>
          <cell r="Z2" t="str">
            <v>Estimate</v>
          </cell>
          <cell r="AA2" t="str">
            <v>Estimate</v>
          </cell>
          <cell r="AB2" t="str">
            <v>Estimate</v>
          </cell>
          <cell r="AD2" t="str">
            <v>Estimate</v>
          </cell>
          <cell r="AE2" t="str">
            <v>Estimate</v>
          </cell>
          <cell r="AF2" t="str">
            <v>Estimate</v>
          </cell>
        </row>
        <row r="3">
          <cell r="F3">
            <v>39447</v>
          </cell>
          <cell r="G3">
            <v>39813</v>
          </cell>
          <cell r="H3">
            <v>40178</v>
          </cell>
          <cell r="I3">
            <v>40543</v>
          </cell>
          <cell r="J3">
            <v>40633</v>
          </cell>
          <cell r="K3">
            <v>40724</v>
          </cell>
          <cell r="L3">
            <v>40816</v>
          </cell>
          <cell r="M3">
            <v>40908</v>
          </cell>
          <cell r="N3">
            <v>40908</v>
          </cell>
          <cell r="O3">
            <v>40999</v>
          </cell>
          <cell r="P3">
            <v>41090</v>
          </cell>
          <cell r="Q3">
            <v>41182</v>
          </cell>
          <cell r="R3">
            <v>41274</v>
          </cell>
          <cell r="S3">
            <v>41274</v>
          </cell>
          <cell r="T3">
            <v>41364</v>
          </cell>
          <cell r="U3">
            <v>41455</v>
          </cell>
          <cell r="V3">
            <v>41547</v>
          </cell>
          <cell r="W3">
            <v>41639</v>
          </cell>
          <cell r="X3">
            <v>41639</v>
          </cell>
          <cell r="Y3">
            <v>41729</v>
          </cell>
          <cell r="Z3">
            <v>41820</v>
          </cell>
          <cell r="AA3">
            <v>41912</v>
          </cell>
          <cell r="AB3">
            <v>42004</v>
          </cell>
          <cell r="AD3">
            <v>42369</v>
          </cell>
          <cell r="AE3">
            <v>42735</v>
          </cell>
          <cell r="AF3">
            <v>43100</v>
          </cell>
        </row>
        <row r="4">
          <cell r="A4" t="str">
            <v>Issuer: Shenzhen O-Film Tech Co Ltd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Shenzhen O-Film Tech Co Ltd</v>
          </cell>
        </row>
        <row r="7">
          <cell r="B7" t="str">
            <v>Reporting Currency</v>
          </cell>
          <cell r="C7" t="str">
            <v>CURRENCY_ISO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>
            <v>0</v>
          </cell>
        </row>
        <row r="10">
          <cell r="B10" t="str">
            <v>Compensation &amp; benfits expense</v>
          </cell>
          <cell r="C10" t="str">
            <v>PERSONNEL</v>
          </cell>
          <cell r="D10">
            <v>0</v>
          </cell>
        </row>
        <row r="11">
          <cell r="B11" t="str">
            <v>Cost of goods sold, COGS</v>
          </cell>
          <cell r="C11" t="str">
            <v>COST_GD_SD</v>
          </cell>
          <cell r="D11">
            <v>0</v>
          </cell>
        </row>
        <row r="12">
          <cell r="B12" t="str">
            <v>SG&amp;A, selling, general and admin. expense</v>
          </cell>
          <cell r="C12" t="str">
            <v>SEL_GL_AD</v>
          </cell>
          <cell r="D12">
            <v>0</v>
          </cell>
        </row>
        <row r="13">
          <cell r="B13" t="str">
            <v>Total operating expense</v>
          </cell>
          <cell r="C13" t="str">
            <v>OP_COST</v>
          </cell>
          <cell r="D13">
            <v>0</v>
          </cell>
        </row>
        <row r="14">
          <cell r="B14" t="str">
            <v>R&amp;D expense</v>
          </cell>
          <cell r="C14" t="str">
            <v>RD_EXP</v>
          </cell>
          <cell r="D14">
            <v>0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>
            <v>0</v>
          </cell>
        </row>
        <row r="17">
          <cell r="B17" t="str">
            <v>Total operating expense (excl. D&amp;A)</v>
          </cell>
          <cell r="C17" t="str">
            <v>TOT_OPS_EXP</v>
          </cell>
          <cell r="D17">
            <v>0</v>
          </cell>
        </row>
        <row r="18">
          <cell r="B18" t="str">
            <v>EBITDA</v>
          </cell>
          <cell r="C18" t="str">
            <v>EBITDA_CALC</v>
          </cell>
          <cell r="D18">
            <v>0</v>
          </cell>
        </row>
        <row r="19">
          <cell r="B19" t="str">
            <v>Depreciation</v>
          </cell>
          <cell r="C19" t="str">
            <v>DEPREC</v>
          </cell>
          <cell r="D19">
            <v>0</v>
          </cell>
        </row>
        <row r="20">
          <cell r="B20" t="str">
            <v>Amortization</v>
          </cell>
          <cell r="C20" t="str">
            <v>GOODWILL_AMORT</v>
          </cell>
          <cell r="D20">
            <v>0</v>
          </cell>
        </row>
        <row r="21">
          <cell r="B21" t="str">
            <v>EBIT, operating profit</v>
          </cell>
          <cell r="C21" t="str">
            <v>EBIT</v>
          </cell>
          <cell r="D21">
            <v>0</v>
          </cell>
        </row>
        <row r="22">
          <cell r="B22" t="str">
            <v>Interest income</v>
          </cell>
          <cell r="C22" t="str">
            <v>INT_INC_IND</v>
          </cell>
          <cell r="D22">
            <v>0</v>
          </cell>
        </row>
        <row r="23">
          <cell r="B23" t="str">
            <v>Interest expense</v>
          </cell>
          <cell r="C23" t="str">
            <v>INT_EXP_IND</v>
          </cell>
          <cell r="D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>
            <v>0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>
            <v>0</v>
          </cell>
        </row>
        <row r="28">
          <cell r="B28" t="str">
            <v>Pre-tax profit</v>
          </cell>
          <cell r="C28" t="str">
            <v>PT_PROF</v>
          </cell>
          <cell r="D28">
            <v>0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>
            <v>0</v>
          </cell>
        </row>
        <row r="31">
          <cell r="B31" t="str">
            <v>Lease payments</v>
          </cell>
          <cell r="C31" t="str">
            <v>LEASE_PAY</v>
          </cell>
          <cell r="D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>
            <v>0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>
            <v>0</v>
          </cell>
        </row>
        <row r="34">
          <cell r="B34" t="str">
            <v>Gross interest charge</v>
          </cell>
          <cell r="C34" t="str">
            <v>NET_INT_CH</v>
          </cell>
          <cell r="D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>
            <v>0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>
            <v>0</v>
          </cell>
        </row>
        <row r="38">
          <cell r="B38" t="str">
            <v>Accounts receivable</v>
          </cell>
          <cell r="C38" t="str">
            <v>DEBTORS</v>
          </cell>
          <cell r="D38">
            <v>0</v>
          </cell>
        </row>
        <row r="39">
          <cell r="B39" t="str">
            <v>Inventory</v>
          </cell>
          <cell r="C39" t="str">
            <v>STOCKS</v>
          </cell>
          <cell r="D39">
            <v>0</v>
          </cell>
        </row>
        <row r="40">
          <cell r="B40" t="str">
            <v>Other current assets</v>
          </cell>
          <cell r="C40" t="str">
            <v>OTH_CUR_ASS</v>
          </cell>
          <cell r="D40">
            <v>0</v>
          </cell>
        </row>
        <row r="41">
          <cell r="B41" t="str">
            <v>Total current assets</v>
          </cell>
          <cell r="C41" t="str">
            <v>CUR_ASS</v>
          </cell>
          <cell r="D41">
            <v>0</v>
          </cell>
        </row>
        <row r="42">
          <cell r="B42" t="str">
            <v>Gross fixed assets, PP&amp;E</v>
          </cell>
          <cell r="C42" t="str">
            <v>GR_FIX_ASS</v>
          </cell>
          <cell r="D42">
            <v>0</v>
          </cell>
        </row>
        <row r="43">
          <cell r="B43" t="str">
            <v>Accumulated depreciation</v>
          </cell>
          <cell r="C43" t="str">
            <v>ACC_DDA</v>
          </cell>
          <cell r="D43">
            <v>0</v>
          </cell>
        </row>
        <row r="44">
          <cell r="B44" t="str">
            <v>Net PP&amp;E</v>
          </cell>
          <cell r="C44" t="str">
            <v>NET_FIX_ASS</v>
          </cell>
          <cell r="D44">
            <v>0</v>
          </cell>
        </row>
        <row r="45">
          <cell r="B45" t="str">
            <v>Gross intangibles</v>
          </cell>
          <cell r="C45" t="str">
            <v>GR_INTANG</v>
          </cell>
          <cell r="D45">
            <v>0</v>
          </cell>
        </row>
        <row r="46">
          <cell r="B46" t="str">
            <v>Accumulated amortization</v>
          </cell>
          <cell r="C46" t="str">
            <v>ACC_AMORT</v>
          </cell>
          <cell r="D46">
            <v>0</v>
          </cell>
        </row>
        <row r="47">
          <cell r="B47" t="str">
            <v>Net intangible assets</v>
          </cell>
          <cell r="C47" t="str">
            <v>NET_INTANG</v>
          </cell>
          <cell r="D47">
            <v>0</v>
          </cell>
        </row>
        <row r="48">
          <cell r="B48" t="str">
            <v>Equity method investments</v>
          </cell>
          <cell r="C48" t="str">
            <v>FIX_ASS_INV</v>
          </cell>
          <cell r="D48">
            <v>0</v>
          </cell>
        </row>
        <row r="49">
          <cell r="B49" t="str">
            <v>Investments in securities</v>
          </cell>
          <cell r="C49" t="str">
            <v>INV_SECUR</v>
          </cell>
          <cell r="D49">
            <v>0</v>
          </cell>
        </row>
        <row r="50">
          <cell r="B50" t="str">
            <v>Other long-term assets</v>
          </cell>
          <cell r="C50" t="str">
            <v>OTH_LT_ASS</v>
          </cell>
          <cell r="D50">
            <v>0</v>
          </cell>
        </row>
        <row r="51">
          <cell r="B51" t="str">
            <v>Total assets</v>
          </cell>
          <cell r="C51" t="str">
            <v>TOT_ASSET</v>
          </cell>
          <cell r="D51">
            <v>0</v>
          </cell>
        </row>
        <row r="52">
          <cell r="B52" t="str">
            <v>Accounts payable</v>
          </cell>
          <cell r="C52" t="str">
            <v>ACC_PAY_GQ</v>
          </cell>
          <cell r="D52">
            <v>0</v>
          </cell>
        </row>
        <row r="53">
          <cell r="B53" t="str">
            <v>Short-term debt</v>
          </cell>
          <cell r="C53" t="str">
            <v>SHORT_T_DEBT</v>
          </cell>
          <cell r="D53">
            <v>0</v>
          </cell>
        </row>
        <row r="54">
          <cell r="B54" t="str">
            <v>Other current liabilities</v>
          </cell>
          <cell r="C54" t="str">
            <v>OTH_CUR_LIABS</v>
          </cell>
          <cell r="D54">
            <v>0</v>
          </cell>
        </row>
        <row r="55">
          <cell r="B55" t="str">
            <v>Total current liabilities</v>
          </cell>
          <cell r="C55" t="str">
            <v>SHORT_TERM_LIABS</v>
          </cell>
          <cell r="D55">
            <v>0</v>
          </cell>
        </row>
        <row r="56">
          <cell r="B56" t="str">
            <v>Long-term  debt</v>
          </cell>
          <cell r="C56" t="str">
            <v>LT_DEBT</v>
          </cell>
          <cell r="D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>
            <v>0</v>
          </cell>
        </row>
        <row r="58">
          <cell r="B58" t="str">
            <v>Total long-term liabilities</v>
          </cell>
          <cell r="C58" t="str">
            <v>TOT_LT_LIAB</v>
          </cell>
          <cell r="D58">
            <v>0</v>
          </cell>
        </row>
        <row r="59">
          <cell r="B59" t="str">
            <v>Total liabilities</v>
          </cell>
          <cell r="C59" t="str">
            <v>TOT_LIAB</v>
          </cell>
          <cell r="D59">
            <v>0</v>
          </cell>
        </row>
        <row r="60">
          <cell r="B60" t="str">
            <v>Preferred shares</v>
          </cell>
          <cell r="C60" t="str">
            <v>PREF_SH</v>
          </cell>
          <cell r="D60">
            <v>0</v>
          </cell>
        </row>
        <row r="61">
          <cell r="B61" t="str">
            <v>Total common equity</v>
          </cell>
          <cell r="C61" t="str">
            <v>ORD_SH_FUND</v>
          </cell>
          <cell r="D61">
            <v>0</v>
          </cell>
        </row>
        <row r="62">
          <cell r="B62" t="str">
            <v>Minority interest</v>
          </cell>
          <cell r="C62" t="str">
            <v>MINORITIES</v>
          </cell>
          <cell r="D62">
            <v>0</v>
          </cell>
        </row>
        <row r="63">
          <cell r="B63" t="str">
            <v>Total shareholders' equity</v>
          </cell>
          <cell r="C63" t="str">
            <v>EQ</v>
          </cell>
          <cell r="D63">
            <v>0</v>
          </cell>
        </row>
        <row r="64">
          <cell r="B64" t="str">
            <v>Total liabilities and equity</v>
          </cell>
          <cell r="C64" t="str">
            <v>TOT_LIAB_EQ</v>
          </cell>
          <cell r="D64">
            <v>0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>
            <v>0</v>
          </cell>
        </row>
        <row r="67">
          <cell r="B67" t="str">
            <v>Capitalized leases</v>
          </cell>
          <cell r="C67" t="str">
            <v>CAP_LEASES</v>
          </cell>
          <cell r="D67">
            <v>0</v>
          </cell>
        </row>
        <row r="68">
          <cell r="B68" t="str">
            <v>Deferred income taxes</v>
          </cell>
          <cell r="C68" t="str">
            <v>DEF_INC_TAX</v>
          </cell>
          <cell r="D68">
            <v>0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>
            <v>0</v>
          </cell>
        </row>
        <row r="70">
          <cell r="B70" t="str">
            <v>Net debt adjustment</v>
          </cell>
          <cell r="C70" t="str">
            <v>NET_DEBT_ADJ</v>
          </cell>
          <cell r="D70">
            <v>0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>
            <v>0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>
            <v>0</v>
          </cell>
        </row>
        <row r="76">
          <cell r="B76" t="str">
            <v>Other GCI adjustments</v>
          </cell>
          <cell r="C76" t="str">
            <v>OTH_GCI_ADJ</v>
          </cell>
          <cell r="D76">
            <v>0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>
            <v>0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>
            <v>0</v>
          </cell>
        </row>
        <row r="81">
          <cell r="B81" t="str">
            <v>Depreciation &amp; amortization add-back</v>
          </cell>
          <cell r="C81" t="str">
            <v>DEPR_AMORT</v>
          </cell>
          <cell r="D81">
            <v>0</v>
          </cell>
        </row>
        <row r="82">
          <cell r="B82" t="str">
            <v>(Increase)/decrease in working capital</v>
          </cell>
          <cell r="C82" t="str">
            <v>WORK_CAP</v>
          </cell>
          <cell r="D82">
            <v>0</v>
          </cell>
        </row>
        <row r="83">
          <cell r="B83" t="str">
            <v>Other operating cash flow items</v>
          </cell>
          <cell r="C83" t="str">
            <v>OTH_OP_CF</v>
          </cell>
          <cell r="D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>
            <v>0</v>
          </cell>
        </row>
        <row r="85">
          <cell r="B85" t="str">
            <v>Capital expenditures, Capex</v>
          </cell>
          <cell r="C85" t="str">
            <v>CAPEX</v>
          </cell>
          <cell r="D85">
            <v>0</v>
          </cell>
        </row>
        <row r="86">
          <cell r="B86" t="str">
            <v>Acquisitions</v>
          </cell>
          <cell r="C86" t="str">
            <v>ACQ</v>
          </cell>
          <cell r="D86">
            <v>0</v>
          </cell>
        </row>
        <row r="87">
          <cell r="B87" t="str">
            <v>Divestitures</v>
          </cell>
          <cell r="C87" t="str">
            <v>DIVEST</v>
          </cell>
          <cell r="D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>
            <v>0</v>
          </cell>
        </row>
        <row r="89">
          <cell r="B89" t="str">
            <v>Cash flow from investing</v>
          </cell>
          <cell r="C89" t="str">
            <v>CF_INV</v>
          </cell>
          <cell r="D89">
            <v>0</v>
          </cell>
        </row>
        <row r="90">
          <cell r="B90" t="str">
            <v>Dividends paid</v>
          </cell>
          <cell r="C90" t="str">
            <v>DIV_PAID</v>
          </cell>
          <cell r="D90">
            <v>0</v>
          </cell>
        </row>
        <row r="91">
          <cell r="B91" t="str">
            <v>Common stock issuance/(repurchase)</v>
          </cell>
          <cell r="C91" t="str">
            <v>SH_REPUR</v>
          </cell>
          <cell r="D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>
            <v>0</v>
          </cell>
        </row>
        <row r="94">
          <cell r="B94" t="str">
            <v>Cash flow from financing</v>
          </cell>
          <cell r="C94" t="str">
            <v>CF_FIN</v>
          </cell>
          <cell r="D94">
            <v>0</v>
          </cell>
        </row>
        <row r="95">
          <cell r="B95" t="str">
            <v>Total cash flow</v>
          </cell>
          <cell r="C95" t="str">
            <v>TOT_CF</v>
          </cell>
          <cell r="D95">
            <v>0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>
            <v>0</v>
          </cell>
        </row>
        <row r="98">
          <cell r="B98" t="str">
            <v>Profit/(loss) on sale of assets</v>
          </cell>
          <cell r="C98" t="str">
            <v>PL_SALE_ASSETS</v>
          </cell>
          <cell r="D98">
            <v>0</v>
          </cell>
        </row>
        <row r="99">
          <cell r="B99" t="str">
            <v>Other non-cash adjustments</v>
          </cell>
          <cell r="C99" t="str">
            <v>OTH_NONCASH_ADJ</v>
          </cell>
          <cell r="D99">
            <v>0</v>
          </cell>
        </row>
        <row r="100">
          <cell r="B100" t="str">
            <v>Other DACF adjustments</v>
          </cell>
          <cell r="C100" t="str">
            <v>OTH_DACF_ADJ</v>
          </cell>
          <cell r="D100">
            <v>0</v>
          </cell>
        </row>
        <row r="101">
          <cell r="B101" t="str">
            <v>Cash interest expense</v>
          </cell>
          <cell r="C101" t="str">
            <v>CASH_INT_EXP</v>
          </cell>
          <cell r="D101">
            <v>0</v>
          </cell>
        </row>
        <row r="102">
          <cell r="B102" t="str">
            <v>Cash tax expense</v>
          </cell>
          <cell r="C102" t="str">
            <v>CASH_TAX_EXP</v>
          </cell>
          <cell r="D102">
            <v>0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>
            <v>0</v>
          </cell>
        </row>
        <row r="104">
          <cell r="B104" t="str">
            <v>Capex maintenance</v>
          </cell>
          <cell r="C104" t="str">
            <v>CAPEX_MAINTENANCE</v>
          </cell>
          <cell r="D104">
            <v>0</v>
          </cell>
        </row>
        <row r="105">
          <cell r="B105" t="str">
            <v>Capex expansion</v>
          </cell>
          <cell r="C105" t="str">
            <v>CAPEX_EXPANSION</v>
          </cell>
          <cell r="D105">
            <v>0</v>
          </cell>
        </row>
        <row r="106">
          <cell r="B106" t="str">
            <v>Non-PP&amp;E capex</v>
          </cell>
          <cell r="C106" t="str">
            <v>NONPPE_CAPEX</v>
          </cell>
          <cell r="D106">
            <v>0</v>
          </cell>
        </row>
        <row r="107">
          <cell r="B107" t="str">
            <v>Dividends paid to minorities</v>
          </cell>
          <cell r="C107" t="str">
            <v>DIVDS_PD_MINORITIES</v>
          </cell>
          <cell r="D107">
            <v>0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3">
          <cell r="B113" t="str">
            <v>Sales - % Brazil</v>
          </cell>
          <cell r="C113" t="str">
            <v>SALES_BRAZIL</v>
          </cell>
        </row>
        <row r="114">
          <cell r="B114" t="str">
            <v>Sales - % Other Americas</v>
          </cell>
          <cell r="C114" t="str">
            <v>SALES_OTH_AM</v>
          </cell>
        </row>
        <row r="115">
          <cell r="B115" t="str">
            <v>Sales - Total % EMEA</v>
          </cell>
          <cell r="C115" t="str">
            <v>SALES_TOT_EMEA</v>
          </cell>
        </row>
        <row r="116">
          <cell r="B116" t="str">
            <v>Sales - % UK</v>
          </cell>
          <cell r="C116" t="str">
            <v>SALES_UK</v>
          </cell>
        </row>
        <row r="117">
          <cell r="B117" t="str">
            <v>Sales - % Western Europe-Ex UK</v>
          </cell>
          <cell r="C117" t="str">
            <v>SALES_EU_EX_UK</v>
          </cell>
        </row>
        <row r="118">
          <cell r="B118" t="str">
            <v>Sales - % Central &amp; Eastern Europe</v>
          </cell>
          <cell r="C118" t="str">
            <v>SALES_CEE</v>
          </cell>
        </row>
        <row r="119">
          <cell r="B119" t="str">
            <v>Sales - % Middle East</v>
          </cell>
          <cell r="C119" t="str">
            <v>SALES_ME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</row>
        <row r="122">
          <cell r="B122" t="str">
            <v>Sales - % Other EMEA</v>
          </cell>
          <cell r="C122" t="str">
            <v>SALES_OTH_EMEA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</row>
        <row r="124">
          <cell r="B124" t="str">
            <v>Sales - % Japan</v>
          </cell>
          <cell r="C124" t="str">
            <v>SALES_JAPAN</v>
          </cell>
        </row>
        <row r="125">
          <cell r="B125" t="str">
            <v>Sales - % China</v>
          </cell>
          <cell r="C125" t="str">
            <v>SALES_CHINA</v>
          </cell>
        </row>
        <row r="126">
          <cell r="B126" t="str">
            <v>Sales - % India</v>
          </cell>
          <cell r="C126" t="str">
            <v>SALES_INDIA</v>
          </cell>
        </row>
        <row r="127">
          <cell r="B127" t="str">
            <v>Sales - % South Korea</v>
          </cell>
          <cell r="C127" t="str">
            <v>SALES_SK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</row>
        <row r="130">
          <cell r="B130" t="str">
            <v>Sales - % Others</v>
          </cell>
          <cell r="C130" t="str">
            <v>SALES_OTHER</v>
          </cell>
        </row>
        <row r="131">
          <cell r="B131" t="str">
            <v>Sales -% Consumer (C)</v>
          </cell>
          <cell r="C131" t="str">
            <v>SALES_CONS</v>
          </cell>
        </row>
        <row r="132">
          <cell r="B132" t="str">
            <v>Sales -% Industry (I)</v>
          </cell>
          <cell r="C132" t="str">
            <v>SALES_IND</v>
          </cell>
        </row>
        <row r="133">
          <cell r="B133" t="str">
            <v>Sales -% Government (G)</v>
          </cell>
          <cell r="C133" t="str">
            <v>SALES_GOV</v>
          </cell>
        </row>
        <row r="134">
          <cell r="B134" t="str">
            <v>Sales - % Industry Sub-Segment: Financial Services</v>
          </cell>
          <cell r="C134" t="str">
            <v>SALES_FINAN</v>
          </cell>
        </row>
        <row r="135">
          <cell r="A135" t="str">
            <v>Commodities Exposure - Expense</v>
          </cell>
        </row>
        <row r="136">
          <cell r="B136" t="str">
            <v>Expense - % Oil/Petrol/Fuel</v>
          </cell>
          <cell r="C136" t="str">
            <v>EXP_OIL_PETRO_FUEL</v>
          </cell>
        </row>
        <row r="137">
          <cell r="B137" t="str">
            <v>Expense - % Oil derivatives/NGLs/plastics</v>
          </cell>
          <cell r="C137" t="str">
            <v>EXP_OIL_DERIV_NGLS_PLASTICS</v>
          </cell>
        </row>
        <row r="138">
          <cell r="B138" t="str">
            <v>Expense - % Paper/pulp</v>
          </cell>
          <cell r="C138" t="str">
            <v>EXP_PAPER_PULP</v>
          </cell>
        </row>
        <row r="139">
          <cell r="B139" t="str">
            <v>Expense - % Glass</v>
          </cell>
          <cell r="C139" t="str">
            <v>EXP_GLASS</v>
          </cell>
        </row>
        <row r="140">
          <cell r="B140" t="str">
            <v>Expense - % Water</v>
          </cell>
          <cell r="C140" t="str">
            <v>EXP_WATER</v>
          </cell>
        </row>
        <row r="141">
          <cell r="B141" t="str">
            <v>Expense - % Other commodity</v>
          </cell>
          <cell r="C141" t="str">
            <v>EXP_OTH_COMMODITY</v>
          </cell>
        </row>
        <row r="142">
          <cell r="B142" t="str">
            <v>Expense - % Other (Non-Commodity) cost</v>
          </cell>
          <cell r="C142" t="str">
            <v>EXP_OTH_COST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</row>
        <row r="145">
          <cell r="B145" t="str">
            <v>Sales - % FX: Euro</v>
          </cell>
          <cell r="C145" t="str">
            <v>SALES_FX_EUR</v>
          </cell>
        </row>
        <row r="146">
          <cell r="B146" t="str">
            <v>Sales - % FX: New Russian Ruble</v>
          </cell>
          <cell r="C146" t="str">
            <v>SALES_FX_RUB</v>
          </cell>
        </row>
        <row r="147">
          <cell r="B147" t="str">
            <v>Sales - % FX: U.S. Dollar</v>
          </cell>
          <cell r="C147" t="str">
            <v>SALES_FX_USD</v>
          </cell>
        </row>
        <row r="148">
          <cell r="B148" t="str">
            <v>Sales - % FX: Brazilian Real</v>
          </cell>
          <cell r="C148" t="str">
            <v>SALES_FX_BRL</v>
          </cell>
        </row>
        <row r="149">
          <cell r="B149" t="str">
            <v>Sales - % FX: Japanese Yen</v>
          </cell>
          <cell r="C149" t="str">
            <v>SALES_FX_YEN</v>
          </cell>
        </row>
        <row r="150">
          <cell r="B150" t="str">
            <v>Sales - % FX: Chinese Renminbi</v>
          </cell>
          <cell r="C150" t="str">
            <v>SALES_FX_CNY</v>
          </cell>
        </row>
        <row r="151">
          <cell r="B151" t="str">
            <v>Sales - % FX: Indian Rupee</v>
          </cell>
          <cell r="C151" t="str">
            <v>SALES_FX_INR</v>
          </cell>
        </row>
        <row r="152">
          <cell r="B152" t="str">
            <v>Sales - % FX: South Korean Won</v>
          </cell>
          <cell r="C152" t="str">
            <v>SALES_FX_KRW</v>
          </cell>
        </row>
        <row r="153">
          <cell r="B153" t="str">
            <v>Sales - % FX: Taiwan Dollar</v>
          </cell>
          <cell r="C153" t="str">
            <v>SALES_FX_TWD</v>
          </cell>
        </row>
        <row r="154">
          <cell r="B154" t="str">
            <v>Sales - % FX: Other Currency</v>
          </cell>
          <cell r="C154" t="str">
            <v>SALES_FX_OTH</v>
          </cell>
        </row>
        <row r="155">
          <cell r="A155" t="str">
            <v>Security: Shenzhen O-Film Tech Co Ltd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002456.SZ</v>
          </cell>
        </row>
        <row r="158">
          <cell r="B158" t="str">
            <v>Security Name</v>
          </cell>
          <cell r="C158" t="str">
            <v>Security Name</v>
          </cell>
          <cell r="E158" t="str">
            <v>Shenzhen O-Film Tech Co Ltd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</row>
        <row r="161">
          <cell r="B161" t="str">
            <v>Pricing Currency</v>
          </cell>
          <cell r="C161" t="str">
            <v>PRICE_CURRENCY_ISO</v>
          </cell>
        </row>
        <row r="162">
          <cell r="B162" t="str">
            <v>Reporting Currency</v>
          </cell>
          <cell r="C162" t="str">
            <v>CURRENCY_ISO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</row>
        <row r="165">
          <cell r="B165" t="str">
            <v>Asia Pacific Conviction List</v>
          </cell>
          <cell r="C165" t="str">
            <v>AEJ_CONVICTION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>
            <v>0</v>
          </cell>
        </row>
        <row r="168">
          <cell r="B168" t="str">
            <v>Target price period</v>
          </cell>
          <cell r="C168" t="str">
            <v>TP_PERIOD</v>
          </cell>
        </row>
        <row r="169">
          <cell r="B169" t="str">
            <v>Current shares outstanding (mn)</v>
          </cell>
          <cell r="C169" t="str">
            <v>NUM_SH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</row>
        <row r="183">
          <cell r="B183" t="str">
            <v>Target price methodology</v>
          </cell>
          <cell r="C183" t="str">
            <v>PRI_TARG_METH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>
            <v>0</v>
          </cell>
        </row>
        <row r="186">
          <cell r="B186" t="str">
            <v>DPS, dividend per share (Pub)</v>
          </cell>
          <cell r="C186" t="str">
            <v>DPS_PUB</v>
          </cell>
          <cell r="D186">
            <v>0</v>
          </cell>
        </row>
        <row r="187">
          <cell r="B187" t="str">
            <v>Special dividend per share</v>
          </cell>
          <cell r="C187" t="str">
            <v>DPS_SPECIAL_PUB</v>
          </cell>
          <cell r="D187">
            <v>0</v>
          </cell>
        </row>
        <row r="188">
          <cell r="B188" t="str">
            <v>EBITDA (Pub)</v>
          </cell>
          <cell r="C188" t="str">
            <v>EBITDA_PUB</v>
          </cell>
          <cell r="D188">
            <v>0</v>
          </cell>
        </row>
        <row r="189">
          <cell r="B189" t="str">
            <v>EPS (Pub)</v>
          </cell>
          <cell r="C189" t="str">
            <v>EPS_PUB</v>
          </cell>
          <cell r="D189">
            <v>0</v>
          </cell>
        </row>
        <row r="190">
          <cell r="B190" t="str">
            <v>EV adjustment (Pub)</v>
          </cell>
          <cell r="C190" t="str">
            <v>EV_ADJ_PUB</v>
          </cell>
          <cell r="D190">
            <v>0</v>
          </cell>
        </row>
        <row r="191">
          <cell r="B191" t="str">
            <v>Net debt (Pub)</v>
          </cell>
          <cell r="C191" t="str">
            <v>NET_DEBT_PUB</v>
          </cell>
          <cell r="D191">
            <v>0</v>
          </cell>
        </row>
        <row r="192">
          <cell r="B192" t="str">
            <v>Net income (Pub)</v>
          </cell>
          <cell r="C192" t="str">
            <v>NI_PUB</v>
          </cell>
          <cell r="D192">
            <v>0</v>
          </cell>
        </row>
        <row r="193">
          <cell r="B193" t="str">
            <v>EBIT, operating profit (Pub)</v>
          </cell>
          <cell r="C193" t="str">
            <v>EBIT_PUB</v>
          </cell>
          <cell r="D193">
            <v>0</v>
          </cell>
        </row>
        <row r="194">
          <cell r="B194" t="str">
            <v>Pre-tax profit (Pub)</v>
          </cell>
          <cell r="C194" t="str">
            <v>PTP_PUB</v>
          </cell>
          <cell r="D194">
            <v>0</v>
          </cell>
        </row>
        <row r="195">
          <cell r="B195" t="str">
            <v>Sales, revenue (Pub)</v>
          </cell>
          <cell r="C195" t="str">
            <v>REVS_PUB</v>
          </cell>
          <cell r="D195">
            <v>0</v>
          </cell>
        </row>
        <row r="196">
          <cell r="B196" t="str">
            <v>Total shareholders' equity (Pub)</v>
          </cell>
          <cell r="C196" t="str">
            <v>EQ_PUB</v>
          </cell>
          <cell r="D196">
            <v>0</v>
          </cell>
        </row>
        <row r="197">
          <cell r="B197" t="str">
            <v>EPS (consensus)</v>
          </cell>
          <cell r="C197" t="str">
            <v>EPS_CONS_PUB</v>
          </cell>
          <cell r="D197">
            <v>0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>
            <v>0</v>
          </cell>
        </row>
        <row r="200">
          <cell r="B200" t="str">
            <v>Minority interest</v>
          </cell>
          <cell r="C200" t="str">
            <v>INC_MINORITY</v>
          </cell>
          <cell r="D200">
            <v>0</v>
          </cell>
        </row>
        <row r="201">
          <cell r="B201" t="str">
            <v>Net income (pre-preferred dividends)</v>
          </cell>
          <cell r="C201" t="str">
            <v>NI_PRE_PREF</v>
          </cell>
          <cell r="D201">
            <v>0</v>
          </cell>
        </row>
        <row r="202">
          <cell r="B202" t="str">
            <v>Preferred dividends</v>
          </cell>
          <cell r="C202" t="str">
            <v>PREF_DIV</v>
          </cell>
          <cell r="D202">
            <v>0</v>
          </cell>
        </row>
        <row r="203">
          <cell r="B203" t="str">
            <v>Net income (pre-exceptionals)</v>
          </cell>
          <cell r="C203" t="str">
            <v>NET_EARNING</v>
          </cell>
          <cell r="D203">
            <v>0</v>
          </cell>
        </row>
        <row r="204">
          <cell r="B204" t="str">
            <v>Post-tax exceptionals</v>
          </cell>
          <cell r="C204" t="str">
            <v>TAX_EXC</v>
          </cell>
          <cell r="D204">
            <v>0</v>
          </cell>
        </row>
        <row r="205">
          <cell r="B205" t="str">
            <v>Net income (post-exceptionals)</v>
          </cell>
          <cell r="C205" t="str">
            <v>NET_INC</v>
          </cell>
          <cell r="D205">
            <v>0</v>
          </cell>
        </row>
        <row r="206">
          <cell r="B206" t="str">
            <v>EPS (pre-exceptionals, basic)</v>
          </cell>
          <cell r="C206" t="str">
            <v>EPS</v>
          </cell>
          <cell r="D206">
            <v>0</v>
          </cell>
        </row>
        <row r="207">
          <cell r="B207" t="str">
            <v>EPS (pre-exceptionals, diluted)</v>
          </cell>
          <cell r="C207" t="str">
            <v>EPS_FUL_DIL</v>
          </cell>
          <cell r="D207">
            <v>0</v>
          </cell>
        </row>
        <row r="208">
          <cell r="B208" t="str">
            <v>EPS (post-exceptionals, basic)</v>
          </cell>
          <cell r="C208" t="str">
            <v>EPS_POST_BASIC</v>
          </cell>
          <cell r="D208">
            <v>0</v>
          </cell>
        </row>
        <row r="209">
          <cell r="B209" t="str">
            <v>EPS (post-exceptionals, diluted)</v>
          </cell>
          <cell r="C209" t="str">
            <v>FULLY_DIL_EPS</v>
          </cell>
          <cell r="D209">
            <v>0</v>
          </cell>
        </row>
        <row r="210">
          <cell r="B210" t="str">
            <v>Common dividends paid</v>
          </cell>
          <cell r="C210" t="str">
            <v>COMMON_DIV_PAID</v>
          </cell>
          <cell r="D210">
            <v>0</v>
          </cell>
        </row>
        <row r="211">
          <cell r="B211" t="str">
            <v>DPS, dividend per share</v>
          </cell>
          <cell r="C211" t="str">
            <v>DPS</v>
          </cell>
          <cell r="D211">
            <v>0</v>
          </cell>
        </row>
        <row r="212">
          <cell r="B212" t="str">
            <v>Weighted average shares outstanding, basic</v>
          </cell>
          <cell r="C212" t="str">
            <v>SH</v>
          </cell>
        </row>
        <row r="213">
          <cell r="B213" t="str">
            <v>Diluted average shares outstanding (mn)</v>
          </cell>
          <cell r="C213" t="str">
            <v>DILUTE_SHARES</v>
          </cell>
        </row>
        <row r="214">
          <cell r="B214" t="str">
            <v>Period-end shares outstanding</v>
          </cell>
          <cell r="C214" t="str">
            <v>NON_OP_ADD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</row>
        <row r="217">
          <cell r="B217" t="str">
            <v>Net income (consensus) (Pub)</v>
          </cell>
          <cell r="C217" t="str">
            <v>NI_CONS</v>
          </cell>
          <cell r="D217">
            <v>0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>
            <v>0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>
            <v>0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</row>
      </sheetData>
      <sheetData sheetId="15" refreshError="1">
        <row r="1">
          <cell r="A1" t="str">
            <v>8983391a-7c85-4dcb-9bf6-7b856ea579ef</v>
          </cell>
        </row>
        <row r="2">
          <cell r="A2" t="str">
            <v>N:\DLu\SLi\Models\O-Film\WIP\[GS O-Film model 20140730WIP.xlsm]002456.SZ_Validation_Sheet</v>
          </cell>
        </row>
        <row r="3">
          <cell r="A3" t="str">
            <v>Enabled</v>
          </cell>
          <cell r="Y3" t="str">
            <v>ERROR</v>
          </cell>
        </row>
        <row r="7">
          <cell r="A7" t="str">
            <v>Scalar|||208014792|||ISSR|||CURRENCY_ISO|||False|||</v>
          </cell>
          <cell r="C7" t="str">
            <v>V_KEYWORD_ISSR_208014792_CURRENCY_ISO</v>
          </cell>
          <cell r="E7" t="str">
            <v>ERROR</v>
          </cell>
        </row>
        <row r="9">
          <cell r="A9" t="str">
            <v>Vector|||208014792|||ISSR|||SALES|||False|||</v>
          </cell>
          <cell r="C9" t="str">
            <v>V_KEYWORD_ISSR_208014792_SALES</v>
          </cell>
        </row>
        <row r="10">
          <cell r="A10" t="str">
            <v>Vector|||208014792|||ISSR|||PERSONNEL|||False|||</v>
          </cell>
          <cell r="C10" t="str">
            <v>V_KEYWORD_ISSR_208014792_PERSONNEL</v>
          </cell>
        </row>
        <row r="11">
          <cell r="A11" t="str">
            <v>Vector|||208014792|||ISSR|||COST_GD_SD|||False|||</v>
          </cell>
          <cell r="C11" t="str">
            <v>V_KEYWORD_ISSR_208014792_COST_GD_SD</v>
          </cell>
        </row>
        <row r="12">
          <cell r="A12" t="str">
            <v>Vector|||208014792|||ISSR|||SEL_GL_AD|||False|||</v>
          </cell>
          <cell r="C12" t="str">
            <v>V_KEYWORD_ISSR_208014792_SEL_GL_AD</v>
          </cell>
        </row>
        <row r="13">
          <cell r="A13" t="str">
            <v>Vector|||208014792|||ISSR|||OP_COST|||False|||</v>
          </cell>
          <cell r="C13" t="str">
            <v>V_KEYWORD_ISSR_208014792_OP_COST</v>
          </cell>
        </row>
        <row r="14">
          <cell r="A14" t="str">
            <v>Vector|||208014792|||ISSR|||RD_EXP|||False|||</v>
          </cell>
          <cell r="C14" t="str">
            <v>V_KEYWORD_ISSR_208014792_RD_EXP</v>
          </cell>
        </row>
        <row r="15">
          <cell r="A15" t="str">
            <v>Vector|||208014792|||ISSR|||OTH_OP_INC_EXP|||False|||</v>
          </cell>
          <cell r="C15" t="str">
            <v>V_KEYWORD_ISSR_208014792_OTH_OP_INC_EXP</v>
          </cell>
        </row>
        <row r="16">
          <cell r="A16" t="str">
            <v>Vector|||208014792|||ISSR|||TOT_OPS_EXP_DDA|||False|||</v>
          </cell>
          <cell r="C16" t="str">
            <v>V_KEYWORD_ISSR_208014792_TOT_OPS_EXP_DDA</v>
          </cell>
        </row>
        <row r="17">
          <cell r="A17" t="str">
            <v>Vector|||208014792|||ISSR|||TOT_OPS_EXP|||False|||</v>
          </cell>
          <cell r="C17" t="str">
            <v>V_KEYWORD_ISSR_208014792_TOT_OPS_EXP</v>
          </cell>
        </row>
        <row r="18">
          <cell r="A18" t="str">
            <v>Vector|||208014792|||ISSR|||EBITDA_CALC|||False|||</v>
          </cell>
          <cell r="C18" t="str">
            <v>V_KEYWORD_ISSR_208014792_EBITDA_CALC</v>
          </cell>
        </row>
        <row r="19">
          <cell r="A19" t="str">
            <v>Vector|||208014792|||ISSR|||DEPREC|||False|||</v>
          </cell>
          <cell r="C19" t="str">
            <v>V_KEYWORD_ISSR_208014792_DEPREC</v>
          </cell>
        </row>
        <row r="20">
          <cell r="A20" t="str">
            <v>Vector|||208014792|||ISSR|||GOODWILL_AMORT|||False|||</v>
          </cell>
          <cell r="C20" t="str">
            <v>V_KEYWORD_ISSR_208014792_GOODWILL_AMORT</v>
          </cell>
        </row>
        <row r="21">
          <cell r="A21" t="str">
            <v>Vector|||208014792|||ISSR|||EBIT|||False|||</v>
          </cell>
          <cell r="C21" t="str">
            <v>V_KEYWORD_ISSR_208014792_EBIT</v>
          </cell>
        </row>
        <row r="22">
          <cell r="A22" t="str">
            <v>Vector|||208014792|||ISSR|||INT_INC_IND|||False|||</v>
          </cell>
          <cell r="C22" t="str">
            <v>V_KEYWORD_ISSR_208014792_INT_INC_IND</v>
          </cell>
        </row>
        <row r="23">
          <cell r="A23" t="str">
            <v>Vector|||208014792|||ISSR|||INT_EXP_IND|||False|||</v>
          </cell>
          <cell r="C23" t="str">
            <v>V_KEYWORD_ISSR_208014792_INT_EXP_IND</v>
          </cell>
        </row>
        <row r="24">
          <cell r="A24" t="str">
            <v>Vector|||208014792|||ISSR|||NET_INT_EXP|||False|||</v>
          </cell>
          <cell r="C24" t="str">
            <v>V_KEYWORD_ISSR_208014792_NET_INT_EXP</v>
          </cell>
        </row>
        <row r="25">
          <cell r="A25" t="str">
            <v>Vector|||208014792|||ISSR|||ASSOCIATE|||False|||</v>
          </cell>
          <cell r="C25" t="str">
            <v>V_KEYWORD_ISSR_208014792_ASSOCIATE</v>
          </cell>
        </row>
        <row r="26">
          <cell r="A26" t="str">
            <v>Vector|||208014792|||ISSR|||PROFIT_ON_DISP|||False|||</v>
          </cell>
          <cell r="C26" t="str">
            <v>V_KEYWORD_ISSR_208014792_PROFIT_ON_DISP</v>
          </cell>
        </row>
        <row r="27">
          <cell r="A27" t="str">
            <v>Vector|||208014792|||ISSR|||OTH_COST_INC|||False|||</v>
          </cell>
          <cell r="C27" t="str">
            <v>V_KEYWORD_ISSR_208014792_OTH_COST_INC</v>
          </cell>
        </row>
        <row r="28">
          <cell r="A28" t="str">
            <v>Vector|||208014792|||ISSR|||PT_PROF|||False|||</v>
          </cell>
          <cell r="C28" t="str">
            <v>V_KEYWORD_ISSR_208014792_PT_PROF</v>
          </cell>
        </row>
        <row r="30">
          <cell r="A30" t="str">
            <v>Vector|||208014792|||ISSR|||CONTRIB_MARGIN_RATIO|||False|||</v>
          </cell>
          <cell r="C30" t="str">
            <v>V_KEYWORD_ISSR_208014792_CONTRIB_MARGIN_RATIO</v>
          </cell>
        </row>
        <row r="31">
          <cell r="A31" t="str">
            <v>Vector|||208014792|||ISSR|||LEASE_PAY|||False|||</v>
          </cell>
          <cell r="C31" t="str">
            <v>V_KEYWORD_ISSR_208014792_LEASE_PAY</v>
          </cell>
        </row>
        <row r="32">
          <cell r="A32" t="str">
            <v>Vector|||208014792|||ISSR|||LEASE_DEEM_INT|||False|||</v>
          </cell>
          <cell r="C32" t="str">
            <v>V_KEYWORD_ISSR_208014792_LEASE_DEEM_INT</v>
          </cell>
        </row>
        <row r="33">
          <cell r="A33" t="str">
            <v>Vector|||208014792|||ISSR|||LEASE_DEEM_DEPR|||False|||</v>
          </cell>
          <cell r="C33" t="str">
            <v>V_KEYWORD_ISSR_208014792_LEASE_DEEM_DEPR</v>
          </cell>
        </row>
        <row r="34">
          <cell r="A34" t="str">
            <v>Vector|||208014792|||ISSR|||NET_INT_CH|||False|||</v>
          </cell>
          <cell r="C34" t="str">
            <v>V_KEYWORD_ISSR_208014792_NET_INT_CH</v>
          </cell>
        </row>
        <row r="35">
          <cell r="A35" t="str">
            <v>Vector|||208014792|||ISSR|||ASSOCIATE_OP|||False|||</v>
          </cell>
          <cell r="C35" t="str">
            <v>V_KEYWORD_ISSR_208014792_ASSOCIATE_OP</v>
          </cell>
        </row>
        <row r="37">
          <cell r="A37" t="str">
            <v>Vector|||208014792|||ISSR|||CASH_EQ|||False|||</v>
          </cell>
          <cell r="C37" t="str">
            <v>V_KEYWORD_ISSR_208014792_CASH_EQ</v>
          </cell>
        </row>
        <row r="38">
          <cell r="A38" t="str">
            <v>Vector|||208014792|||ISSR|||DEBTORS|||False|||</v>
          </cell>
          <cell r="C38" t="str">
            <v>V_KEYWORD_ISSR_208014792_DEBTORS</v>
          </cell>
        </row>
        <row r="39">
          <cell r="A39" t="str">
            <v>Vector|||208014792|||ISSR|||STOCKS|||False|||</v>
          </cell>
          <cell r="C39" t="str">
            <v>V_KEYWORD_ISSR_208014792_STOCKS</v>
          </cell>
        </row>
        <row r="40">
          <cell r="A40" t="str">
            <v>Vector|||208014792|||ISSR|||OTH_CUR_ASS|||False|||</v>
          </cell>
          <cell r="C40" t="str">
            <v>V_KEYWORD_ISSR_208014792_OTH_CUR_ASS</v>
          </cell>
        </row>
        <row r="41">
          <cell r="A41" t="str">
            <v>Vector|||208014792|||ISSR|||CUR_ASS|||False|||</v>
          </cell>
          <cell r="C41" t="str">
            <v>V_KEYWORD_ISSR_208014792_CUR_ASS</v>
          </cell>
        </row>
        <row r="42">
          <cell r="A42" t="str">
            <v>Vector|||208014792|||ISSR|||GR_FIX_ASS|||False|||</v>
          </cell>
          <cell r="C42" t="str">
            <v>V_KEYWORD_ISSR_208014792_GR_FIX_ASS</v>
          </cell>
        </row>
        <row r="43">
          <cell r="A43" t="str">
            <v>Vector|||208014792|||ISSR|||ACC_DDA|||False|||</v>
          </cell>
          <cell r="C43" t="str">
            <v>V_KEYWORD_ISSR_208014792_ACC_DDA</v>
          </cell>
        </row>
        <row r="44">
          <cell r="A44" t="str">
            <v>Vector|||208014792|||ISSR|||NET_FIX_ASS|||False|||</v>
          </cell>
          <cell r="C44" t="str">
            <v>V_KEYWORD_ISSR_208014792_NET_FIX_ASS</v>
          </cell>
        </row>
        <row r="45">
          <cell r="A45" t="str">
            <v>Vector|||208014792|||ISSR|||GR_INTANG|||False|||</v>
          </cell>
          <cell r="C45" t="str">
            <v>V_KEYWORD_ISSR_208014792_GR_INTANG</v>
          </cell>
        </row>
        <row r="46">
          <cell r="A46" t="str">
            <v>Vector|||208014792|||ISSR|||ACC_AMORT|||False|||</v>
          </cell>
          <cell r="C46" t="str">
            <v>V_KEYWORD_ISSR_208014792_ACC_AMORT</v>
          </cell>
        </row>
        <row r="47">
          <cell r="A47" t="str">
            <v>Vector|||208014792|||ISSR|||NET_INTANG|||False|||</v>
          </cell>
          <cell r="C47" t="str">
            <v>V_KEYWORD_ISSR_208014792_NET_INTANG</v>
          </cell>
        </row>
        <row r="48">
          <cell r="A48" t="str">
            <v>Vector|||208014792|||ISSR|||FIX_ASS_INV|||False|||</v>
          </cell>
          <cell r="C48" t="str">
            <v>V_KEYWORD_ISSR_208014792_FIX_ASS_INV</v>
          </cell>
        </row>
        <row r="49">
          <cell r="A49" t="str">
            <v>Vector|||208014792|||ISSR|||INV_SECUR|||False|||</v>
          </cell>
          <cell r="C49" t="str">
            <v>V_KEYWORD_ISSR_208014792_INV_SECUR</v>
          </cell>
        </row>
        <row r="50">
          <cell r="A50" t="str">
            <v>Vector|||208014792|||ISSR|||OTH_LT_ASS|||False|||</v>
          </cell>
          <cell r="C50" t="str">
            <v>V_KEYWORD_ISSR_208014792_OTH_LT_ASS</v>
          </cell>
        </row>
        <row r="51">
          <cell r="A51" t="str">
            <v>Vector|||208014792|||ISSR|||TOT_ASSET|||False|||</v>
          </cell>
          <cell r="C51" t="str">
            <v>V_KEYWORD_ISSR_208014792_TOT_ASSET</v>
          </cell>
        </row>
        <row r="52">
          <cell r="A52" t="str">
            <v>Vector|||208014792|||ISSR|||ACC_PAY_GQ|||False|||</v>
          </cell>
          <cell r="C52" t="str">
            <v>V_KEYWORD_ISSR_208014792_ACC_PAY_GQ</v>
          </cell>
        </row>
        <row r="53">
          <cell r="A53" t="str">
            <v>Vector|||208014792|||ISSR|||SHORT_T_DEBT|||False|||</v>
          </cell>
          <cell r="C53" t="str">
            <v>V_KEYWORD_ISSR_208014792_SHORT_T_DEBT</v>
          </cell>
        </row>
        <row r="54">
          <cell r="A54" t="str">
            <v>Vector|||208014792|||ISSR|||OTH_CUR_LIABS|||False|||</v>
          </cell>
          <cell r="C54" t="str">
            <v>V_KEYWORD_ISSR_208014792_OTH_CUR_LIABS</v>
          </cell>
        </row>
        <row r="55">
          <cell r="A55" t="str">
            <v>Vector|||208014792|||ISSR|||SHORT_TERM_LIABS|||False|||</v>
          </cell>
          <cell r="C55" t="str">
            <v>V_KEYWORD_ISSR_208014792_SHORT_TERM_LIABS</v>
          </cell>
        </row>
        <row r="56">
          <cell r="A56" t="str">
            <v>Vector|||208014792|||ISSR|||LT_DEBT|||False|||</v>
          </cell>
          <cell r="C56" t="str">
            <v>V_KEYWORD_ISSR_208014792_LT_DEBT</v>
          </cell>
        </row>
        <row r="57">
          <cell r="A57" t="str">
            <v>Vector|||208014792|||ISSR|||OTH_LT_CRED_GQ|||False|||</v>
          </cell>
          <cell r="C57" t="str">
            <v>V_KEYWORD_ISSR_208014792_OTH_LT_CRED_GQ</v>
          </cell>
        </row>
        <row r="58">
          <cell r="A58" t="str">
            <v>Vector|||208014792|||ISSR|||TOT_LT_LIAB|||False|||</v>
          </cell>
          <cell r="C58" t="str">
            <v>V_KEYWORD_ISSR_208014792_TOT_LT_LIAB</v>
          </cell>
        </row>
        <row r="59">
          <cell r="A59" t="str">
            <v>Vector|||208014792|||ISSR|||TOT_LIAB|||False|||</v>
          </cell>
          <cell r="C59" t="str">
            <v>V_KEYWORD_ISSR_208014792_TOT_LIAB</v>
          </cell>
        </row>
        <row r="60">
          <cell r="A60" t="str">
            <v>Vector|||208014792|||ISSR|||PREF_SH|||False|||</v>
          </cell>
          <cell r="C60" t="str">
            <v>V_KEYWORD_ISSR_208014792_PREF_SH</v>
          </cell>
        </row>
        <row r="61">
          <cell r="A61" t="str">
            <v>Vector|||208014792|||ISSR|||ORD_SH_FUND|||False|||</v>
          </cell>
          <cell r="C61" t="str">
            <v>V_KEYWORD_ISSR_208014792_ORD_SH_FUND</v>
          </cell>
        </row>
        <row r="62">
          <cell r="A62" t="str">
            <v>Vector|||208014792|||ISSR|||MINORITIES|||False|||</v>
          </cell>
          <cell r="C62" t="str">
            <v>V_KEYWORD_ISSR_208014792_MINORITIES</v>
          </cell>
        </row>
        <row r="63">
          <cell r="A63" t="str">
            <v>Vector|||208014792|||ISSR|||EQ|||False|||</v>
          </cell>
          <cell r="C63" t="str">
            <v>V_KEYWORD_ISSR_208014792_EQ</v>
          </cell>
        </row>
        <row r="64">
          <cell r="A64" t="str">
            <v>Vector|||208014792|||ISSR|||TOT_LIAB_EQ|||False|||</v>
          </cell>
          <cell r="C64" t="str">
            <v>V_KEYWORD_ISSR_208014792_TOT_LIAB_EQ</v>
          </cell>
        </row>
        <row r="66">
          <cell r="A66" t="str">
            <v>Vector|||208014792|||ISSR|||NET_DEBT|||False|||</v>
          </cell>
          <cell r="C66" t="str">
            <v>V_KEYWORD_ISSR_208014792_NET_DEBT</v>
          </cell>
        </row>
        <row r="67">
          <cell r="A67" t="str">
            <v>Vector|||208014792|||ISSR|||CAP_LEASES|||False|||</v>
          </cell>
          <cell r="C67" t="str">
            <v>V_KEYWORD_ISSR_208014792_CAP_LEASES</v>
          </cell>
        </row>
        <row r="68">
          <cell r="A68" t="str">
            <v>Vector|||208014792|||ISSR|||DEF_INC_TAX|||False|||</v>
          </cell>
          <cell r="C68" t="str">
            <v>V_KEYWORD_ISSR_208014792_DEF_INC_TAX</v>
          </cell>
        </row>
        <row r="69">
          <cell r="A69" t="str">
            <v>Vector|||208014792|||ISSR|||MV_ASSOCIATES|||False|||</v>
          </cell>
          <cell r="C69" t="str">
            <v>V_KEYWORD_ISSR_208014792_MV_ASSOCIATES</v>
          </cell>
        </row>
        <row r="70">
          <cell r="A70" t="str">
            <v>Vector|||208014792|||ISSR|||NET_DEBT_ADJ|||False|||</v>
          </cell>
          <cell r="C70" t="str">
            <v>V_KEYWORD_ISSR_208014792_NET_DEBT_ADJ</v>
          </cell>
        </row>
        <row r="71">
          <cell r="A71" t="str">
            <v>Vector|||208014792|||ISSR|||CO_BOR_MARGIN|||False|||</v>
          </cell>
          <cell r="C71" t="str">
            <v>V_KEYWORD_ISSR_208014792_CO_BOR_MARGIN</v>
          </cell>
        </row>
        <row r="72">
          <cell r="A72" t="str">
            <v>Vector|||208014792|||ISSR|||UNF_PENS|||False|||</v>
          </cell>
          <cell r="C72" t="str">
            <v>V_KEYWORD_ISSR_208014792_UNF_PENS</v>
          </cell>
        </row>
        <row r="73">
          <cell r="A73" t="str">
            <v>Vector|||208014792|||ISSR|||UNF_PENS_OFF|||False|||</v>
          </cell>
          <cell r="C73" t="str">
            <v>V_KEYWORD_ISSR_208014792_UNF_PENS_OFF</v>
          </cell>
        </row>
        <row r="74">
          <cell r="A74" t="str">
            <v>Vector|||208014792|||ISSR|||UNF_PENS_LIAB_OTH|||False|||</v>
          </cell>
          <cell r="C74" t="str">
            <v>V_KEYWORD_ISSR_208014792_UNF_PENS_LIAB_OTH</v>
          </cell>
        </row>
        <row r="75">
          <cell r="A75" t="str">
            <v>Vector|||208014792|||ISSR|||ADJ_UNF_PENS_GOOD|||False|||</v>
          </cell>
          <cell r="C75" t="str">
            <v>V_KEYWORD_ISSR_208014792_ADJ_UNF_PENS_GOOD</v>
          </cell>
        </row>
        <row r="76">
          <cell r="A76" t="str">
            <v>Vector|||208014792|||ISSR|||OTH_GCI_ADJ|||False|||</v>
          </cell>
          <cell r="C76" t="str">
            <v>V_KEYWORD_ISSR_208014792_OTH_GCI_ADJ</v>
          </cell>
        </row>
        <row r="77">
          <cell r="A77" t="str">
            <v>Vector|||208014792|||ISSR|||GCI_INFL|||False|||</v>
          </cell>
          <cell r="C77" t="str">
            <v>V_KEYWORD_ISSR_208014792_GCI_INFL</v>
          </cell>
        </row>
        <row r="78">
          <cell r="A78" t="str">
            <v>Vector|||208014792|||ISSR|||BAL_MINO_INT|||False|||</v>
          </cell>
          <cell r="C78" t="str">
            <v>V_KEYWORD_ISSR_208014792_BAL_MINO_INT</v>
          </cell>
        </row>
        <row r="80">
          <cell r="A80" t="str">
            <v>Vector|||208014792|||ISSR|||CF_INC_MINORITY|||False|||</v>
          </cell>
          <cell r="C80" t="str">
            <v>V_KEYWORD_ISSR_208014792_CF_INC_MINORITY</v>
          </cell>
        </row>
        <row r="81">
          <cell r="A81" t="str">
            <v>Vector|||208014792|||ISSR|||DEPR_AMORT|||False|||</v>
          </cell>
          <cell r="C81" t="str">
            <v>V_KEYWORD_ISSR_208014792_DEPR_AMORT</v>
          </cell>
        </row>
        <row r="82">
          <cell r="A82" t="str">
            <v>Vector|||208014792|||ISSR|||WORK_CAP|||False|||</v>
          </cell>
          <cell r="C82" t="str">
            <v>V_KEYWORD_ISSR_208014792_WORK_CAP</v>
          </cell>
        </row>
        <row r="83">
          <cell r="A83" t="str">
            <v>Vector|||208014792|||ISSR|||OTH_OP_CF|||False|||</v>
          </cell>
          <cell r="C83" t="str">
            <v>V_KEYWORD_ISSR_208014792_OTH_OP_CF</v>
          </cell>
        </row>
        <row r="84">
          <cell r="A84" t="str">
            <v>Vector|||208014792|||ISSR|||CF_OPS|||False|||</v>
          </cell>
          <cell r="C84" t="str">
            <v>V_KEYWORD_ISSR_208014792_CF_OPS</v>
          </cell>
        </row>
        <row r="85">
          <cell r="A85" t="str">
            <v>Vector|||208014792|||ISSR|||CAPEX|||False|||</v>
          </cell>
          <cell r="C85" t="str">
            <v>V_KEYWORD_ISSR_208014792_CAPEX</v>
          </cell>
        </row>
        <row r="86">
          <cell r="A86" t="str">
            <v>Vector|||208014792|||ISSR|||ACQ|||False|||</v>
          </cell>
          <cell r="C86" t="str">
            <v>V_KEYWORD_ISSR_208014792_ACQ</v>
          </cell>
        </row>
        <row r="87">
          <cell r="A87" t="str">
            <v>Vector|||208014792|||ISSR|||DIVEST|||False|||</v>
          </cell>
          <cell r="C87" t="str">
            <v>V_KEYWORD_ISSR_208014792_DIVEST</v>
          </cell>
        </row>
        <row r="88">
          <cell r="A88" t="str">
            <v>Vector|||208014792|||ISSR|||OTH_INV_CF|||False|||</v>
          </cell>
          <cell r="C88" t="str">
            <v>V_KEYWORD_ISSR_208014792_OTH_INV_CF</v>
          </cell>
        </row>
        <row r="89">
          <cell r="A89" t="str">
            <v>Vector|||208014792|||ISSR|||CF_INV|||False|||</v>
          </cell>
          <cell r="C89" t="str">
            <v>V_KEYWORD_ISSR_208014792_CF_INV</v>
          </cell>
        </row>
        <row r="90">
          <cell r="A90" t="str">
            <v>Vector|||208014792|||ISSR|||DIV_PAID|||False|||</v>
          </cell>
          <cell r="C90" t="str">
            <v>V_KEYWORD_ISSR_208014792_DIV_PAID</v>
          </cell>
        </row>
        <row r="91">
          <cell r="A91" t="str">
            <v>Vector|||208014792|||ISSR|||SH_REPUR|||False|||</v>
          </cell>
          <cell r="C91" t="str">
            <v>V_KEYWORD_ISSR_208014792_SH_REPUR</v>
          </cell>
        </row>
        <row r="92">
          <cell r="A92" t="str">
            <v>Vector|||208014792|||ISSR|||CHG_LT_DEBT|||False|||</v>
          </cell>
          <cell r="C92" t="str">
            <v>V_KEYWORD_ISSR_208014792_CHG_LT_DEBT</v>
          </cell>
        </row>
        <row r="93">
          <cell r="A93" t="str">
            <v>Vector|||208014792|||ISSR|||OTH_FIN_CF|||False|||</v>
          </cell>
          <cell r="C93" t="str">
            <v>V_KEYWORD_ISSR_208014792_OTH_FIN_CF</v>
          </cell>
        </row>
        <row r="94">
          <cell r="A94" t="str">
            <v>Vector|||208014792|||ISSR|||CF_FIN|||False|||</v>
          </cell>
          <cell r="C94" t="str">
            <v>V_KEYWORD_ISSR_208014792_CF_FIN</v>
          </cell>
        </row>
        <row r="95">
          <cell r="A95" t="str">
            <v>Vector|||208014792|||ISSR|||TOT_CF|||False|||</v>
          </cell>
          <cell r="C95" t="str">
            <v>V_KEYWORD_ISSR_208014792_TOT_CF</v>
          </cell>
        </row>
        <row r="97">
          <cell r="A97" t="str">
            <v>Vector|||208014792|||ISSR|||ASSOC_JV_ADDBK|||False|||</v>
          </cell>
          <cell r="C97" t="str">
            <v>V_KEYWORD_ISSR_208014792_ASSOC_JV_ADDBK</v>
          </cell>
        </row>
        <row r="98">
          <cell r="A98" t="str">
            <v>Vector|||208014792|||ISSR|||PL_SALE_ASSETS|||False|||</v>
          </cell>
          <cell r="C98" t="str">
            <v>V_KEYWORD_ISSR_208014792_PL_SALE_ASSETS</v>
          </cell>
        </row>
        <row r="99">
          <cell r="A99" t="str">
            <v>Vector|||208014792|||ISSR|||OTH_NONCASH_ADJ|||False|||</v>
          </cell>
          <cell r="C99" t="str">
            <v>V_KEYWORD_ISSR_208014792_OTH_NONCASH_ADJ</v>
          </cell>
        </row>
        <row r="100">
          <cell r="A100" t="str">
            <v>Vector|||208014792|||ISSR|||OTH_DACF_ADJ|||False|||</v>
          </cell>
          <cell r="C100" t="str">
            <v>V_KEYWORD_ISSR_208014792_OTH_DACF_ADJ</v>
          </cell>
        </row>
        <row r="101">
          <cell r="A101" t="str">
            <v>Vector|||208014792|||ISSR|||CASH_INT_EXP|||False|||</v>
          </cell>
          <cell r="C101" t="str">
            <v>V_KEYWORD_ISSR_208014792_CASH_INT_EXP</v>
          </cell>
        </row>
        <row r="102">
          <cell r="A102" t="str">
            <v>Vector|||208014792|||ISSR|||CASH_TAX_EXP|||False|||</v>
          </cell>
          <cell r="C102" t="str">
            <v>V_KEYWORD_ISSR_208014792_CASH_TAX_EXP</v>
          </cell>
        </row>
        <row r="103">
          <cell r="A103" t="str">
            <v>Vector|||208014792|||ISSR|||DIVDS_ASSOC_JV|||False|||</v>
          </cell>
          <cell r="C103" t="str">
            <v>V_KEYWORD_ISSR_208014792_DIVDS_ASSOC_JV</v>
          </cell>
        </row>
        <row r="104">
          <cell r="A104" t="str">
            <v>Vector|||208014792|||ISSR|||CAPEX_MAINTENANCE|||False|||</v>
          </cell>
          <cell r="C104" t="str">
            <v>V_KEYWORD_ISSR_208014792_CAPEX_MAINTENANCE</v>
          </cell>
        </row>
        <row r="105">
          <cell r="A105" t="str">
            <v>Vector|||208014792|||ISSR|||CAPEX_EXPANSION|||False|||</v>
          </cell>
          <cell r="C105" t="str">
            <v>V_KEYWORD_ISSR_208014792_CAPEX_EXPANSION</v>
          </cell>
        </row>
        <row r="106">
          <cell r="A106" t="str">
            <v>Vector|||208014792|||ISSR|||NONPPE_CAPEX|||False|||</v>
          </cell>
          <cell r="C106" t="str">
            <v>V_KEYWORD_ISSR_208014792_NONPPE_CAPEX</v>
          </cell>
        </row>
        <row r="107">
          <cell r="A107" t="str">
            <v>Vector|||208014792|||ISSR|||DIVDS_PD_MINORITIES|||False|||</v>
          </cell>
          <cell r="C107" t="str">
            <v>V_KEYWORD_ISSR_208014792_DIVDS_PD_MINORITIES</v>
          </cell>
        </row>
        <row r="109">
          <cell r="A109" t="str">
            <v>Vector|||208014792|||ISSR|||EMPLOYEES|||False|||</v>
          </cell>
          <cell r="C109" t="str">
            <v>V_KEYWORD_ISSR_208014792_EMPLOYEES</v>
          </cell>
        </row>
        <row r="111">
          <cell r="A111" t="str">
            <v>Vector|||208014792|||ISSR|||SALES_TOT_AM|||False|||</v>
          </cell>
          <cell r="C111" t="str">
            <v>V_KEYWORD_ISSR_208014792_SALES_TOT_AM</v>
          </cell>
        </row>
        <row r="112">
          <cell r="A112" t="str">
            <v>Vector|||208014792|||ISSR|||SALES_US|||False|||</v>
          </cell>
          <cell r="C112" t="str">
            <v>V_KEYWORD_ISSR_208014792_SALES_US</v>
          </cell>
        </row>
        <row r="113">
          <cell r="A113" t="str">
            <v>Vector|||208014792|||ISSR|||SALES_BRAZIL|||False|||</v>
          </cell>
          <cell r="C113" t="str">
            <v>V_KEYWORD_ISSR_208014792_SALES_BRAZIL</v>
          </cell>
        </row>
        <row r="114">
          <cell r="A114" t="str">
            <v>Vector|||208014792|||ISSR|||SALES_OTH_AM|||False|||</v>
          </cell>
          <cell r="C114" t="str">
            <v>V_KEYWORD_ISSR_208014792_SALES_OTH_AM</v>
          </cell>
        </row>
        <row r="115">
          <cell r="A115" t="str">
            <v>Vector|||208014792|||ISSR|||SALES_TOT_EMEA|||False|||</v>
          </cell>
          <cell r="C115" t="str">
            <v>V_KEYWORD_ISSR_208014792_SALES_TOT_EMEA</v>
          </cell>
        </row>
        <row r="116">
          <cell r="A116" t="str">
            <v>Vector|||208014792|||ISSR|||SALES_UK|||False|||</v>
          </cell>
          <cell r="C116" t="str">
            <v>V_KEYWORD_ISSR_208014792_SALES_UK</v>
          </cell>
        </row>
        <row r="117">
          <cell r="A117" t="str">
            <v>Vector|||208014792|||ISSR|||SALES_EU_EX_UK|||False|||</v>
          </cell>
          <cell r="C117" t="str">
            <v>V_KEYWORD_ISSR_208014792_SALES_EU_EX_UK</v>
          </cell>
        </row>
        <row r="118">
          <cell r="A118" t="str">
            <v>Vector|||208014792|||ISSR|||SALES_CEE|||False|||</v>
          </cell>
          <cell r="C118" t="str">
            <v>V_KEYWORD_ISSR_208014792_SALES_CEE</v>
          </cell>
        </row>
        <row r="119">
          <cell r="A119" t="str">
            <v>Vector|||208014792|||ISSR|||SALES_ME|||False|||</v>
          </cell>
          <cell r="C119" t="str">
            <v>V_KEYWORD_ISSR_208014792_SALES_ME</v>
          </cell>
        </row>
        <row r="120">
          <cell r="A120" t="str">
            <v>Vector|||208014792|||ISSR|||SALES_TOT_AFRICA|||False|||</v>
          </cell>
          <cell r="C120" t="str">
            <v>V_KEYWORD_ISSR_208014792_SALES_TOT_AFRICA</v>
          </cell>
        </row>
        <row r="121">
          <cell r="A121" t="str">
            <v>Vector|||208014792|||ISSR|||SALES_RUSSIA|||False|||</v>
          </cell>
          <cell r="C121" t="str">
            <v>V_KEYWORD_ISSR_208014792_SALES_RUSSIA</v>
          </cell>
        </row>
        <row r="122">
          <cell r="A122" t="str">
            <v>Vector|||208014792|||ISSR|||SALES_OTH_EMEA|||False|||</v>
          </cell>
          <cell r="C122" t="str">
            <v>V_KEYWORD_ISSR_208014792_SALES_OTH_EMEA</v>
          </cell>
        </row>
        <row r="123">
          <cell r="A123" t="str">
            <v>Vector|||208014792|||ISSR|||SALES_TOT_ASIA|||False|||</v>
          </cell>
          <cell r="C123" t="str">
            <v>V_KEYWORD_ISSR_208014792_SALES_TOT_ASIA</v>
          </cell>
        </row>
        <row r="124">
          <cell r="A124" t="str">
            <v>Vector|||208014792|||ISSR|||SALES_JAPAN|||False|||</v>
          </cell>
          <cell r="C124" t="str">
            <v>V_KEYWORD_ISSR_208014792_SALES_JAPAN</v>
          </cell>
        </row>
        <row r="125">
          <cell r="A125" t="str">
            <v>Vector|||208014792|||ISSR|||SALES_CHINA|||False|||</v>
          </cell>
          <cell r="C125" t="str">
            <v>V_KEYWORD_ISSR_208014792_SALES_CHINA</v>
          </cell>
        </row>
        <row r="126">
          <cell r="A126" t="str">
            <v>Vector|||208014792|||ISSR|||SALES_INDIA|||False|||</v>
          </cell>
          <cell r="C126" t="str">
            <v>V_KEYWORD_ISSR_208014792_SALES_INDIA</v>
          </cell>
        </row>
        <row r="127">
          <cell r="A127" t="str">
            <v>Vector|||208014792|||ISSR|||SALES_SK|||False|||</v>
          </cell>
          <cell r="C127" t="str">
            <v>V_KEYWORD_ISSR_208014792_SALES_SK</v>
          </cell>
        </row>
        <row r="128">
          <cell r="A128" t="str">
            <v>Vector|||208014792|||ISSR|||SALES_TAIWAN|||False|||</v>
          </cell>
          <cell r="C128" t="str">
            <v>V_KEYWORD_ISSR_208014792_SALES_TAIWAN</v>
          </cell>
        </row>
        <row r="129">
          <cell r="A129" t="str">
            <v>Vector|||208014792|||ISSR|||SALES_OTH_AEJ|||False|||</v>
          </cell>
          <cell r="C129" t="str">
            <v>V_KEYWORD_ISSR_208014792_SALES_OTH_AEJ</v>
          </cell>
        </row>
        <row r="130">
          <cell r="A130" t="str">
            <v>Vector|||208014792|||ISSR|||SALES_OTHER|||False|||</v>
          </cell>
          <cell r="C130" t="str">
            <v>V_KEYWORD_ISSR_208014792_SALES_OTHER</v>
          </cell>
        </row>
        <row r="131">
          <cell r="A131" t="str">
            <v>Vector|||208014792|||ISSR|||SALES_CONS|||False|||</v>
          </cell>
          <cell r="C131" t="str">
            <v>V_KEYWORD_ISSR_208014792_SALES_CONS</v>
          </cell>
        </row>
        <row r="132">
          <cell r="A132" t="str">
            <v>Vector|||208014792|||ISSR|||SALES_IND|||False|||</v>
          </cell>
          <cell r="C132" t="str">
            <v>V_KEYWORD_ISSR_208014792_SALES_IND</v>
          </cell>
        </row>
        <row r="133">
          <cell r="A133" t="str">
            <v>Vector|||208014792|||ISSR|||SALES_GOV|||False|||</v>
          </cell>
          <cell r="C133" t="str">
            <v>V_KEYWORD_ISSR_208014792_SALES_GOV</v>
          </cell>
        </row>
        <row r="134">
          <cell r="A134" t="str">
            <v>Vector|||208014792|||ISSR|||SALES_FINAN|||False|||</v>
          </cell>
          <cell r="C134" t="str">
            <v>V_KEYWORD_ISSR_208014792_SALES_FINAN</v>
          </cell>
        </row>
        <row r="136">
          <cell r="A136" t="str">
            <v>Vector|||208014792|||ISSR|||EXP_OIL_PETRO_FUEL|||False|||</v>
          </cell>
          <cell r="C136" t="str">
            <v>V_KEYWORD_ISSR_208014792_EXP_OIL_PETRO_FUEL</v>
          </cell>
        </row>
        <row r="137">
          <cell r="A137" t="str">
            <v>Vector|||208014792|||ISSR|||EXP_OIL_DERIV_NGLS_PLASTICS|||False|||</v>
          </cell>
          <cell r="C137" t="str">
            <v>V_KEYWORD_ISSR_208014792_EXP_OIL_DERIV_NGLS_PLASTICS</v>
          </cell>
        </row>
        <row r="138">
          <cell r="A138" t="str">
            <v>Vector|||208014792|||ISSR|||EXP_PAPER_PULP|||False|||</v>
          </cell>
          <cell r="C138" t="str">
            <v>V_KEYWORD_ISSR_208014792_EXP_PAPER_PULP</v>
          </cell>
        </row>
        <row r="139">
          <cell r="A139" t="str">
            <v>Vector|||208014792|||ISSR|||EXP_GLASS|||False|||</v>
          </cell>
          <cell r="C139" t="str">
            <v>V_KEYWORD_ISSR_208014792_EXP_GLASS</v>
          </cell>
        </row>
        <row r="140">
          <cell r="A140" t="str">
            <v>Vector|||208014792|||ISSR|||EXP_WATER|||False|||</v>
          </cell>
          <cell r="C140" t="str">
            <v>V_KEYWORD_ISSR_208014792_EXP_WATER</v>
          </cell>
        </row>
        <row r="141">
          <cell r="A141" t="str">
            <v>Vector|||208014792|||ISSR|||EXP_OTH_COMMODITY|||False|||</v>
          </cell>
          <cell r="C141" t="str">
            <v>V_KEYWORD_ISSR_208014792_EXP_OTH_COMMODITY</v>
          </cell>
        </row>
        <row r="142">
          <cell r="A142" t="str">
            <v>Vector|||208014792|||ISSR|||EXP_OTH_COST|||False|||</v>
          </cell>
          <cell r="C142" t="str">
            <v>V_KEYWORD_ISSR_208014792_EXP_OTH_COST</v>
          </cell>
        </row>
        <row r="144">
          <cell r="A144" t="str">
            <v>Vector|||208014792|||ISSR|||SALES_FX_GPB|||False|||</v>
          </cell>
          <cell r="C144" t="str">
            <v>V_KEYWORD_ISSR_208014792_SALES_FX_GPB</v>
          </cell>
        </row>
        <row r="145">
          <cell r="A145" t="str">
            <v>Vector|||208014792|||ISSR|||SALES_FX_EUR|||False|||</v>
          </cell>
          <cell r="C145" t="str">
            <v>V_KEYWORD_ISSR_208014792_SALES_FX_EUR</v>
          </cell>
        </row>
        <row r="146">
          <cell r="A146" t="str">
            <v>Vector|||208014792|||ISSR|||SALES_FX_RUB|||False|||</v>
          </cell>
          <cell r="C146" t="str">
            <v>V_KEYWORD_ISSR_208014792_SALES_FX_RUB</v>
          </cell>
        </row>
        <row r="147">
          <cell r="A147" t="str">
            <v>Vector|||208014792|||ISSR|||SALES_FX_USD|||False|||</v>
          </cell>
          <cell r="C147" t="str">
            <v>V_KEYWORD_ISSR_208014792_SALES_FX_USD</v>
          </cell>
        </row>
        <row r="148">
          <cell r="A148" t="str">
            <v>Vector|||208014792|||ISSR|||SALES_FX_BRL|||False|||</v>
          </cell>
          <cell r="C148" t="str">
            <v>V_KEYWORD_ISSR_208014792_SALES_FX_BRL</v>
          </cell>
        </row>
        <row r="149">
          <cell r="A149" t="str">
            <v>Vector|||208014792|||ISSR|||SALES_FX_YEN|||False|||</v>
          </cell>
          <cell r="C149" t="str">
            <v>V_KEYWORD_ISSR_208014792_SALES_FX_YEN</v>
          </cell>
        </row>
        <row r="150">
          <cell r="A150" t="str">
            <v>Vector|||208014792|||ISSR|||SALES_FX_CNY|||False|||</v>
          </cell>
          <cell r="C150" t="str">
            <v>V_KEYWORD_ISSR_208014792_SALES_FX_CNY</v>
          </cell>
        </row>
        <row r="151">
          <cell r="A151" t="str">
            <v>Vector|||208014792|||ISSR|||SALES_FX_INR|||False|||</v>
          </cell>
          <cell r="C151" t="str">
            <v>V_KEYWORD_ISSR_208014792_SALES_FX_INR</v>
          </cell>
        </row>
        <row r="152">
          <cell r="A152" t="str">
            <v>Vector|||208014792|||ISSR|||SALES_FX_KRW|||False|||</v>
          </cell>
          <cell r="C152" t="str">
            <v>V_KEYWORD_ISSR_208014792_SALES_FX_KRW</v>
          </cell>
        </row>
        <row r="153">
          <cell r="A153" t="str">
            <v>Vector|||208014792|||ISSR|||SALES_FX_TWD|||False|||</v>
          </cell>
          <cell r="C153" t="str">
            <v>V_KEYWORD_ISSR_208014792_SALES_FX_TWD</v>
          </cell>
        </row>
        <row r="154">
          <cell r="A154" t="str">
            <v>Vector|||208014792|||ISSR|||SALES_FX_OTH|||False|||</v>
          </cell>
          <cell r="C154" t="str">
            <v>V_KEYWORD_ISSR_208014792_SALES_FX_OTH</v>
          </cell>
        </row>
        <row r="160">
          <cell r="A160" t="str">
            <v>Scalar|||200017310|||EQTY|||PUB_CURRENCY_ISO|||False|||</v>
          </cell>
          <cell r="C160" t="str">
            <v>V_KEYWORD_EQTY_200017310_PUB_CURRENCY_ISO</v>
          </cell>
          <cell r="E160" t="str">
            <v>ERROR</v>
          </cell>
        </row>
        <row r="161">
          <cell r="A161" t="str">
            <v>Scalar|||200017310|||EQTY|||PRICE_CURRENCY_ISO|||False|||</v>
          </cell>
          <cell r="C161" t="str">
            <v>V_KEYWORD_EQTY_200017310_PRICE_CURRENCY_ISO</v>
          </cell>
          <cell r="E161" t="str">
            <v>ERROR</v>
          </cell>
        </row>
        <row r="162">
          <cell r="A162" t="str">
            <v>Scalar|||200017310|||EQTY|||CURRENCY_ISO|||False|||</v>
          </cell>
          <cell r="C162" t="str">
            <v>V_KEYWORD_EQTY_200017310_CURRENCY_ISO</v>
          </cell>
        </row>
        <row r="164">
          <cell r="A164" t="str">
            <v>Scalar|||200017310|||EQTY|||AEJ_LIST|||False|||</v>
          </cell>
          <cell r="C164" t="str">
            <v>V_KEYWORD_EQTY_200017310_AEJ_LIST</v>
          </cell>
        </row>
        <row r="165">
          <cell r="A165" t="str">
            <v>Scalar|||200017310|||EQTY|||AEJ_CONVICTION|||False|||</v>
          </cell>
          <cell r="C165" t="str">
            <v>V_KEYWORD_EQTY_200017310_AEJ_CONVICTION</v>
          </cell>
        </row>
        <row r="166">
          <cell r="A166" t="str">
            <v>Scalar|||200017310|||EQTY|||LEGAL_RATING|||False|||</v>
          </cell>
          <cell r="C166" t="str">
            <v>V_KEYWORD_EQTY_200017310_LEGAL_RATING</v>
          </cell>
        </row>
        <row r="167">
          <cell r="A167" t="str">
            <v>Scalar|||200017310|||EQTY|||TARGET_PRICE|||False|||</v>
          </cell>
          <cell r="C167" t="str">
            <v>V_KEYWORD_EQTY_200017310_TARGET_PRICE</v>
          </cell>
          <cell r="E167" t="str">
            <v>ERROR</v>
          </cell>
        </row>
        <row r="168">
          <cell r="A168" t="str">
            <v>Scalar|||200017310|||EQTY|||TP_PERIOD|||False|||</v>
          </cell>
          <cell r="C168" t="str">
            <v>V_KEYWORD_EQTY_200017310_TP_PERIOD</v>
          </cell>
          <cell r="E168" t="str">
            <v>ERROR</v>
          </cell>
        </row>
        <row r="169">
          <cell r="A169" t="str">
            <v>Scalar|||200017310|||EQTY|||NUM_SH|||False|||</v>
          </cell>
          <cell r="C169" t="str">
            <v>V_KEYWORD_EQTY_200017310_NUM_SH</v>
          </cell>
        </row>
        <row r="170">
          <cell r="A170" t="str">
            <v>Scalar|||200017310|||EQTY|||FREE_FLOAT|||False|||</v>
          </cell>
          <cell r="C170" t="str">
            <v>V_KEYWORD_EQTY_200017310_FREE_FLOAT</v>
          </cell>
        </row>
        <row r="171">
          <cell r="A171" t="str">
            <v>Scalar|||200017310|||EQTY|||FOREIGN_HOLDNG|||False|||</v>
          </cell>
          <cell r="C171" t="str">
            <v>V_KEYWORD_EQTY_200017310_FOREIGN_HOLDNG</v>
          </cell>
        </row>
        <row r="172">
          <cell r="A172" t="str">
            <v>Scalar|||200017310|||EQTY|||CATALYST1_DATE|||True|||</v>
          </cell>
          <cell r="C172" t="str">
            <v>V_KEYWORD_EQTY_200017310_CATALYST1_DATE</v>
          </cell>
        </row>
        <row r="173">
          <cell r="A173" t="str">
            <v>Scalar|||200017310|||EQTY|||CATALYST1_EVENT|||False|||</v>
          </cell>
          <cell r="C173" t="str">
            <v>V_KEYWORD_EQTY_200017310_CATALYST1_EVENT</v>
          </cell>
        </row>
        <row r="174">
          <cell r="A174" t="str">
            <v>Scalar|||200017310|||EQTY|||CATALYST2_DATE|||True|||</v>
          </cell>
          <cell r="C174" t="str">
            <v>V_KEYWORD_EQTY_200017310_CATALYST2_DATE</v>
          </cell>
        </row>
        <row r="175">
          <cell r="A175" t="str">
            <v>Scalar|||200017310|||EQTY|||CATALYST2_EVENT|||False|||</v>
          </cell>
          <cell r="C175" t="str">
            <v>V_KEYWORD_EQTY_200017310_CATALYST2_EVENT</v>
          </cell>
        </row>
        <row r="176">
          <cell r="A176" t="str">
            <v>Scalar|||200017310|||EQTY|||CATALYST3_DATE|||True|||</v>
          </cell>
          <cell r="C176" t="str">
            <v>V_KEYWORD_EQTY_200017310_CATALYST3_DATE</v>
          </cell>
        </row>
        <row r="177">
          <cell r="A177" t="str">
            <v>Scalar|||200017310|||EQTY|||CATALYST3_EVENT|||False|||</v>
          </cell>
          <cell r="C177" t="str">
            <v>V_KEYWORD_EQTY_200017310_CATALYST3_EVENT</v>
          </cell>
        </row>
        <row r="178">
          <cell r="A178" t="str">
            <v>Scalar|||200017310|||EQTY|||CATALYST4_DATE|||True|||</v>
          </cell>
          <cell r="C178" t="str">
            <v>V_KEYWORD_EQTY_200017310_CATALYST4_DATE</v>
          </cell>
        </row>
        <row r="179">
          <cell r="A179" t="str">
            <v>Scalar|||200017310|||EQTY|||CATALYST4_EVENT|||False|||</v>
          </cell>
          <cell r="C179" t="str">
            <v>V_KEYWORD_EQTY_200017310_CATALYST4_EVENT</v>
          </cell>
        </row>
        <row r="180">
          <cell r="A180" t="str">
            <v>Scalar|||200017310|||EQTY|||CATALYST5_DATE|||True|||</v>
          </cell>
          <cell r="C180" t="str">
            <v>V_KEYWORD_EQTY_200017310_CATALYST5_DATE</v>
          </cell>
        </row>
        <row r="181">
          <cell r="A181" t="str">
            <v>Scalar|||200017310|||EQTY|||CATALYST5_EVENT|||False|||</v>
          </cell>
          <cell r="C181" t="str">
            <v>V_KEYWORD_EQTY_200017310_CATALYST5_EVENT</v>
          </cell>
        </row>
        <row r="182">
          <cell r="A182" t="str">
            <v>Scalar|||200017310|||EQTY|||PRI_TARG_MULT|||False|||</v>
          </cell>
          <cell r="C182" t="str">
            <v>V_KEYWORD_EQTY_200017310_PRI_TARG_MULT</v>
          </cell>
        </row>
        <row r="183">
          <cell r="A183" t="str">
            <v>Scalar|||200017310|||EQTY|||PRI_TARG_METH|||False|||</v>
          </cell>
          <cell r="C183" t="str">
            <v>V_KEYWORD_EQTY_200017310_PRI_TARG_METH</v>
          </cell>
        </row>
        <row r="185">
          <cell r="A185" t="str">
            <v>Vector|||200017310|||EQTY|||BVPS_PUB|||False|||</v>
          </cell>
          <cell r="C185" t="str">
            <v>V_KEYWORD_EQTY_200017310_BVPS_PUB</v>
          </cell>
        </row>
        <row r="186">
          <cell r="A186" t="str">
            <v>Vector|||200017310|||EQTY|||DPS_PUB|||False|||</v>
          </cell>
          <cell r="C186" t="str">
            <v>V_KEYWORD_EQTY_200017310_DPS_PUB</v>
          </cell>
        </row>
        <row r="187">
          <cell r="A187" t="str">
            <v>Vector|||200017310|||EQTY|||DPS_SPECIAL_PUB|||False|||</v>
          </cell>
          <cell r="C187" t="str">
            <v>V_KEYWORD_EQTY_200017310_DPS_SPECIAL_PUB</v>
          </cell>
        </row>
        <row r="188">
          <cell r="A188" t="str">
            <v>Vector|||200017310|||EQTY|||EBITDA_PUB|||False|||</v>
          </cell>
          <cell r="C188" t="str">
            <v>V_KEYWORD_EQTY_200017310_EBITDA_PUB</v>
          </cell>
        </row>
        <row r="189">
          <cell r="A189" t="str">
            <v>Vector|||200017310|||EQTY|||EPS_PUB|||False|||</v>
          </cell>
          <cell r="C189" t="str">
            <v>V_KEYWORD_EQTY_200017310_EPS_PUB</v>
          </cell>
          <cell r="F189" t="str">
            <v>ERROR</v>
          </cell>
          <cell r="G189" t="str">
            <v>ERROR</v>
          </cell>
          <cell r="H189" t="str">
            <v>ERROR</v>
          </cell>
          <cell r="I189" t="str">
            <v>ERROR</v>
          </cell>
          <cell r="J189" t="str">
            <v>ERROR</v>
          </cell>
          <cell r="K189" t="str">
            <v>ERROR</v>
          </cell>
          <cell r="L189" t="str">
            <v>ERROR</v>
          </cell>
          <cell r="M189" t="str">
            <v>ERROR</v>
          </cell>
          <cell r="N189" t="str">
            <v>ERROR</v>
          </cell>
          <cell r="O189" t="str">
            <v>ERROR</v>
          </cell>
          <cell r="P189" t="str">
            <v>ERROR</v>
          </cell>
          <cell r="Q189" t="str">
            <v>ERROR</v>
          </cell>
          <cell r="R189" t="str">
            <v>ERROR</v>
          </cell>
          <cell r="S189" t="str">
            <v>ERROR</v>
          </cell>
          <cell r="T189" t="str">
            <v>ERROR</v>
          </cell>
          <cell r="U189" t="str">
            <v>ERROR</v>
          </cell>
          <cell r="V189" t="str">
            <v>ERROR</v>
          </cell>
          <cell r="W189" t="str">
            <v>ERROR</v>
          </cell>
          <cell r="X189" t="str">
            <v>ERROR</v>
          </cell>
          <cell r="Y189" t="str">
            <v>ERROR</v>
          </cell>
          <cell r="Z189" t="str">
            <v>ERROR</v>
          </cell>
          <cell r="AA189" t="str">
            <v>ERROR</v>
          </cell>
          <cell r="AB189" t="str">
            <v>ERROR</v>
          </cell>
          <cell r="AC189" t="str">
            <v>ERROR</v>
          </cell>
          <cell r="AD189" t="str">
            <v>ERROR</v>
          </cell>
          <cell r="AE189" t="str">
            <v>ERROR</v>
          </cell>
          <cell r="AF189" t="str">
            <v>ERROR</v>
          </cell>
        </row>
        <row r="190">
          <cell r="A190" t="str">
            <v>Vector|||200017310|||EQTY|||EV_ADJ_PUB|||False|||</v>
          </cell>
          <cell r="C190" t="str">
            <v>V_KEYWORD_EQTY_200017310_EV_ADJ_PUB</v>
          </cell>
        </row>
        <row r="191">
          <cell r="A191" t="str">
            <v>Vector|||200017310|||EQTY|||NET_DEBT_PUB|||False|||</v>
          </cell>
          <cell r="C191" t="str">
            <v>V_KEYWORD_EQTY_200017310_NET_DEBT_PUB</v>
          </cell>
        </row>
        <row r="192">
          <cell r="A192" t="str">
            <v>Vector|||200017310|||EQTY|||NI_PUB|||False|||</v>
          </cell>
          <cell r="C192" t="str">
            <v>V_KEYWORD_EQTY_200017310_NI_PUB</v>
          </cell>
        </row>
        <row r="193">
          <cell r="A193" t="str">
            <v>Vector|||200017310|||EQTY|||EBIT_PUB|||False|||</v>
          </cell>
          <cell r="C193" t="str">
            <v>V_KEYWORD_EQTY_200017310_EBIT_PUB</v>
          </cell>
        </row>
        <row r="194">
          <cell r="A194" t="str">
            <v>Vector|||200017310|||EQTY|||PTP_PUB|||False|||</v>
          </cell>
          <cell r="C194" t="str">
            <v>V_KEYWORD_EQTY_200017310_PTP_PUB</v>
          </cell>
        </row>
        <row r="195">
          <cell r="A195" t="str">
            <v>Vector|||200017310|||EQTY|||REVS_PUB|||False|||</v>
          </cell>
          <cell r="C195" t="str">
            <v>V_KEYWORD_EQTY_200017310_REVS_PUB</v>
          </cell>
        </row>
        <row r="196">
          <cell r="A196" t="str">
            <v>Vector|||200017310|||EQTY|||EQ_PUB|||False|||</v>
          </cell>
          <cell r="C196" t="str">
            <v>V_KEYWORD_EQTY_200017310_EQ_PUB</v>
          </cell>
        </row>
        <row r="197">
          <cell r="A197" t="str">
            <v>Vector|||200017310|||EQTY|||EPS_CONS_PUB|||False|||</v>
          </cell>
          <cell r="C197" t="str">
            <v>V_KEYWORD_EQTY_200017310_EPS_CONS_PUB</v>
          </cell>
        </row>
        <row r="199">
          <cell r="A199" t="str">
            <v>Vector|||200017310|||EQTY|||PROV_INC_TAX|||False|||</v>
          </cell>
          <cell r="C199" t="str">
            <v>V_KEYWORD_EQTY_200017310_PROV_INC_TAX</v>
          </cell>
        </row>
        <row r="200">
          <cell r="A200" t="str">
            <v>Vector|||200017310|||EQTY|||INC_MINORITY|||False|||</v>
          </cell>
          <cell r="C200" t="str">
            <v>V_KEYWORD_EQTY_200017310_INC_MINORITY</v>
          </cell>
        </row>
        <row r="201">
          <cell r="A201" t="str">
            <v>Vector|||200017310|||EQTY|||NI_PRE_PREF|||False|||</v>
          </cell>
          <cell r="C201" t="str">
            <v>V_KEYWORD_EQTY_200017310_NI_PRE_PREF</v>
          </cell>
        </row>
        <row r="202">
          <cell r="A202" t="str">
            <v>Vector|||200017310|||EQTY|||PREF_DIV|||False|||</v>
          </cell>
          <cell r="C202" t="str">
            <v>V_KEYWORD_EQTY_200017310_PREF_DIV</v>
          </cell>
        </row>
        <row r="203">
          <cell r="A203" t="str">
            <v>Vector|||200017310|||EQTY|||NET_EARNING|||False|||</v>
          </cell>
          <cell r="C203" t="str">
            <v>V_KEYWORD_EQTY_200017310_NET_EARNING</v>
          </cell>
        </row>
        <row r="204">
          <cell r="A204" t="str">
            <v>Vector|||200017310|||EQTY|||TAX_EXC|||False|||</v>
          </cell>
          <cell r="C204" t="str">
            <v>V_KEYWORD_EQTY_200017310_TAX_EXC</v>
          </cell>
        </row>
        <row r="205">
          <cell r="A205" t="str">
            <v>Vector|||200017310|||EQTY|||NET_INC|||False|||</v>
          </cell>
          <cell r="C205" t="str">
            <v>V_KEYWORD_EQTY_200017310_NET_INC</v>
          </cell>
        </row>
        <row r="206">
          <cell r="A206" t="str">
            <v>Vector|||200017310|||EQTY|||EPS|||False|||</v>
          </cell>
          <cell r="C206" t="str">
            <v>V_KEYWORD_EQTY_200017310_EPS</v>
          </cell>
        </row>
        <row r="207">
          <cell r="A207" t="str">
            <v>Vector|||200017310|||EQTY|||EPS_FUL_DIL|||False|||</v>
          </cell>
          <cell r="C207" t="str">
            <v>V_KEYWORD_EQTY_200017310_EPS_FUL_DIL</v>
          </cell>
        </row>
        <row r="208">
          <cell r="A208" t="str">
            <v>Vector|||200017310|||EQTY|||EPS_POST_BASIC|||False|||</v>
          </cell>
          <cell r="C208" t="str">
            <v>V_KEYWORD_EQTY_200017310_EPS_POST_BASIC</v>
          </cell>
        </row>
        <row r="209">
          <cell r="A209" t="str">
            <v>Vector|||200017310|||EQTY|||FULLY_DIL_EPS|||False|||</v>
          </cell>
          <cell r="C209" t="str">
            <v>V_KEYWORD_EQTY_200017310_FULLY_DIL_EPS</v>
          </cell>
        </row>
        <row r="210">
          <cell r="A210" t="str">
            <v>Vector|||200017310|||EQTY|||COMMON_DIV_PAID|||False|||</v>
          </cell>
          <cell r="C210" t="str">
            <v>V_KEYWORD_EQTY_200017310_COMMON_DIV_PAID</v>
          </cell>
        </row>
        <row r="211">
          <cell r="A211" t="str">
            <v>Vector|||200017310|||EQTY|||DPS|||False|||</v>
          </cell>
          <cell r="C211" t="str">
            <v>V_KEYWORD_EQTY_200017310_DPS</v>
          </cell>
        </row>
        <row r="212">
          <cell r="A212" t="str">
            <v>Vector|||200017310|||EQTY|||SH|||False|||</v>
          </cell>
          <cell r="C212" t="str">
            <v>V_KEYWORD_EQTY_200017310_SH</v>
          </cell>
        </row>
        <row r="213">
          <cell r="A213" t="str">
            <v>Vector|||200017310|||EQTY|||DILUTE_SHARES|||False|||</v>
          </cell>
          <cell r="C213" t="str">
            <v>V_KEYWORD_EQTY_200017310_DILUTE_SHARES</v>
          </cell>
        </row>
        <row r="214">
          <cell r="A214" t="str">
            <v>Vector|||200017310|||EQTY|||NON_OP_ADD|||False|||</v>
          </cell>
          <cell r="C214" t="str">
            <v>V_KEYWORD_EQTY_200017310_NON_OP_ADD</v>
          </cell>
        </row>
        <row r="216">
          <cell r="A216" t="str">
            <v>Vector|||200017310|||EQTY|||MARGIN_TAX_RATE|||False|||</v>
          </cell>
          <cell r="C216" t="str">
            <v>V_KEYWORD_EQTY_200017310_MARGIN_TAX_RATE</v>
          </cell>
        </row>
        <row r="217">
          <cell r="A217" t="str">
            <v>Vector|||200017310|||EQTY|||NI_CONS|||False|||</v>
          </cell>
          <cell r="C217" t="str">
            <v>V_KEYWORD_EQTY_200017310_NI_CONS</v>
          </cell>
        </row>
        <row r="219">
          <cell r="A219" t="str">
            <v>Vector|||200017310|||EQTY|||BVPS|||False|||</v>
          </cell>
          <cell r="C219" t="str">
            <v>V_KEYWORD_EQTY_200017310_BVPS</v>
          </cell>
        </row>
        <row r="221">
          <cell r="A221" t="str">
            <v>Vector|||200017310|||EQTY|||CF_NI_PRE_PREF|||False|||</v>
          </cell>
          <cell r="C221" t="str">
            <v>V_KEYWORD_EQTY_200017310_CF_NI_PRE_PREF</v>
          </cell>
        </row>
        <row r="223">
          <cell r="A223" t="str">
            <v>Scalar|||200017310|||EQTY|||BETA_ANALYST|||False|||</v>
          </cell>
          <cell r="C223" t="str">
            <v>V_KEYWORD_EQTY_200017310_BETA_ANALYST</v>
          </cell>
        </row>
        <row r="224">
          <cell r="A224" t="str">
            <v>Scalar|||200017310|||EQTY|||MKT_EQ_RISK_PREM|||False|||</v>
          </cell>
          <cell r="C224" t="str">
            <v>V_KEYWORD_EQTY_200017310_MKT_EQ_RISK_PREM</v>
          </cell>
        </row>
        <row r="225">
          <cell r="A225" t="str">
            <v>Scalar|||200017310|||EQTY|||RISK_FR_RATE|||False|||</v>
          </cell>
          <cell r="C225" t="str">
            <v>V_KEYWORD_EQTY_200017310_RISK_FR_RATE</v>
          </cell>
        </row>
      </sheetData>
      <sheetData sheetId="16" refreshError="1">
        <row r="1">
          <cell r="A1" t="str">
            <v>Issuer: Shenzhen O-Film Tech Co Ltd</v>
          </cell>
          <cell r="F1">
            <v>2007</v>
          </cell>
          <cell r="G1">
            <v>2008</v>
          </cell>
          <cell r="H1">
            <v>2009</v>
          </cell>
          <cell r="I1">
            <v>2010</v>
          </cell>
          <cell r="J1" t="str">
            <v>2011 Q1</v>
          </cell>
          <cell r="K1" t="str">
            <v>2011 Q2</v>
          </cell>
          <cell r="L1" t="str">
            <v>2011 Q3</v>
          </cell>
          <cell r="M1" t="str">
            <v>2011 Q4</v>
          </cell>
          <cell r="N1">
            <v>2011</v>
          </cell>
          <cell r="O1" t="str">
            <v>2012 Q1</v>
          </cell>
          <cell r="P1" t="str">
            <v>2012 Q2</v>
          </cell>
          <cell r="Q1" t="str">
            <v>2012 Q3</v>
          </cell>
          <cell r="R1" t="str">
            <v>2012 Q4</v>
          </cell>
          <cell r="S1">
            <v>2012</v>
          </cell>
          <cell r="T1" t="str">
            <v>2013 Q1</v>
          </cell>
          <cell r="U1" t="str">
            <v>2013 Q2</v>
          </cell>
          <cell r="V1" t="str">
            <v>2013 Q3</v>
          </cell>
          <cell r="W1" t="str">
            <v>2013 Q4</v>
          </cell>
          <cell r="X1">
            <v>2013</v>
          </cell>
          <cell r="Y1" t="str">
            <v>2014 Q1</v>
          </cell>
          <cell r="Z1" t="str">
            <v>2014 Q2</v>
          </cell>
          <cell r="AA1" t="str">
            <v>2014 Q3</v>
          </cell>
          <cell r="AB1" t="str">
            <v>2014 Q4</v>
          </cell>
          <cell r="AC1">
            <v>2014</v>
          </cell>
          <cell r="AD1">
            <v>2015</v>
          </cell>
          <cell r="AE1">
            <v>2016</v>
          </cell>
          <cell r="AF1">
            <v>2017</v>
          </cell>
        </row>
        <row r="4">
          <cell r="A4" t="str">
            <v>Issuer: Shenzhen O-Film Tech Co Ltd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Shenzhen O-Film Tech Co Ltd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e">
            <v>#NAME?</v>
          </cell>
        </row>
        <row r="10">
          <cell r="B10" t="str">
            <v>Compensation &amp; benfits expense</v>
          </cell>
          <cell r="C10" t="str">
            <v>PERSONNEL</v>
          </cell>
          <cell r="D10" t="e">
            <v>#NAME?</v>
          </cell>
        </row>
        <row r="11">
          <cell r="B11" t="str">
            <v>Cost of goods sold, COGS</v>
          </cell>
          <cell r="C11" t="str">
            <v>COST_GD_SD</v>
          </cell>
          <cell r="D11" t="e">
            <v>#NAME?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e">
            <v>#NAME?</v>
          </cell>
        </row>
        <row r="13">
          <cell r="B13" t="str">
            <v>Total operating expense</v>
          </cell>
          <cell r="C13" t="str">
            <v>OP_COST</v>
          </cell>
          <cell r="D13" t="e">
            <v>#NAME?</v>
          </cell>
        </row>
        <row r="14">
          <cell r="B14" t="str">
            <v>R&amp;D expense</v>
          </cell>
          <cell r="C14" t="str">
            <v>RD_EXP</v>
          </cell>
          <cell r="D14" t="e">
            <v>#NAME?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e">
            <v>#NAME?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e">
            <v>#NAME?</v>
          </cell>
        </row>
        <row r="17">
          <cell r="B17" t="str">
            <v>Total operating expense (excl. D&amp;A)</v>
          </cell>
          <cell r="C17" t="str">
            <v>TOT_OPS_EXP</v>
          </cell>
          <cell r="D17" t="e">
            <v>#NAME?</v>
          </cell>
        </row>
        <row r="18">
          <cell r="B18" t="str">
            <v>EBITDA</v>
          </cell>
          <cell r="C18" t="str">
            <v>EBITDA_CALC</v>
          </cell>
          <cell r="D18" t="e">
            <v>#NAME?</v>
          </cell>
        </row>
        <row r="19">
          <cell r="B19" t="str">
            <v>Depreciation</v>
          </cell>
          <cell r="C19" t="str">
            <v>DEPREC</v>
          </cell>
          <cell r="D19" t="e">
            <v>#NAME?</v>
          </cell>
        </row>
        <row r="20">
          <cell r="B20" t="str">
            <v>Amortization</v>
          </cell>
          <cell r="C20" t="str">
            <v>GOODWILL_AMORT</v>
          </cell>
          <cell r="D20" t="e">
            <v>#NAME?</v>
          </cell>
        </row>
        <row r="21">
          <cell r="B21" t="str">
            <v>EBIT, operating profit</v>
          </cell>
          <cell r="C21" t="str">
            <v>EBIT</v>
          </cell>
          <cell r="D21" t="e">
            <v>#NAME?</v>
          </cell>
        </row>
        <row r="22">
          <cell r="B22" t="str">
            <v>Interest income</v>
          </cell>
          <cell r="C22" t="str">
            <v>INT_INC_IND</v>
          </cell>
          <cell r="D22" t="e">
            <v>#NAME?</v>
          </cell>
        </row>
        <row r="23">
          <cell r="B23" t="str">
            <v>Interest expense</v>
          </cell>
          <cell r="C23" t="str">
            <v>INT_EXP_IND</v>
          </cell>
          <cell r="D23" t="e">
            <v>#NAME?</v>
          </cell>
        </row>
        <row r="24">
          <cell r="B24" t="str">
            <v>Net interest income/(expense)</v>
          </cell>
          <cell r="C24" t="str">
            <v>NET_INT_EXP</v>
          </cell>
          <cell r="D24" t="e">
            <v>#NAME?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e">
            <v>#NAME?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e">
            <v>#NAME?</v>
          </cell>
        </row>
        <row r="27">
          <cell r="B27" t="str">
            <v>Other non-ops income/(expense)</v>
          </cell>
          <cell r="C27" t="str">
            <v>OTH_COST_INC</v>
          </cell>
          <cell r="D27" t="e">
            <v>#NAME?</v>
          </cell>
        </row>
        <row r="28">
          <cell r="B28" t="str">
            <v>Pre-tax profit</v>
          </cell>
          <cell r="C28" t="str">
            <v>PT_PROF</v>
          </cell>
          <cell r="D28" t="e">
            <v>#NAME?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e">
            <v>#NAME?</v>
          </cell>
        </row>
        <row r="31">
          <cell r="B31" t="str">
            <v>Lease payments</v>
          </cell>
          <cell r="C31" t="str">
            <v>LEASE_PAY</v>
          </cell>
          <cell r="D31" t="e">
            <v>#NAME?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e">
            <v>#NAME?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e">
            <v>#NAME?</v>
          </cell>
        </row>
        <row r="34">
          <cell r="B34" t="str">
            <v>Gross interest charge</v>
          </cell>
          <cell r="C34" t="str">
            <v>NET_INT_CH</v>
          </cell>
          <cell r="D34" t="e">
            <v>#NAME?</v>
          </cell>
        </row>
        <row r="35">
          <cell r="B35" t="str">
            <v>Income from associates (operating)</v>
          </cell>
          <cell r="C35" t="str">
            <v>ASSOCIATE_OP</v>
          </cell>
          <cell r="D35" t="e">
            <v>#NAME?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e">
            <v>#NAME?</v>
          </cell>
        </row>
        <row r="38">
          <cell r="B38" t="str">
            <v>Accounts receivable</v>
          </cell>
          <cell r="C38" t="str">
            <v>DEBTORS</v>
          </cell>
          <cell r="D38" t="e">
            <v>#NAME?</v>
          </cell>
        </row>
        <row r="39">
          <cell r="B39" t="str">
            <v>Inventory</v>
          </cell>
          <cell r="C39" t="str">
            <v>STOCKS</v>
          </cell>
          <cell r="D39" t="e">
            <v>#NAME?</v>
          </cell>
        </row>
        <row r="40">
          <cell r="B40" t="str">
            <v>Other current assets</v>
          </cell>
          <cell r="C40" t="str">
            <v>OTH_CUR_ASS</v>
          </cell>
          <cell r="D40" t="e">
            <v>#NAME?</v>
          </cell>
        </row>
        <row r="41">
          <cell r="B41" t="str">
            <v>Total current assets</v>
          </cell>
          <cell r="C41" t="str">
            <v>CUR_ASS</v>
          </cell>
          <cell r="D41" t="e">
            <v>#NAME?</v>
          </cell>
        </row>
        <row r="42">
          <cell r="B42" t="str">
            <v>Gross fixed assets, PP&amp;E</v>
          </cell>
          <cell r="C42" t="str">
            <v>GR_FIX_ASS</v>
          </cell>
          <cell r="D42" t="e">
            <v>#NAME?</v>
          </cell>
        </row>
        <row r="43">
          <cell r="B43" t="str">
            <v>Accumulated depreciation</v>
          </cell>
          <cell r="C43" t="str">
            <v>ACC_DDA</v>
          </cell>
          <cell r="D43" t="e">
            <v>#NAME?</v>
          </cell>
        </row>
        <row r="44">
          <cell r="B44" t="str">
            <v>Net PP&amp;E</v>
          </cell>
          <cell r="C44" t="str">
            <v>NET_FIX_ASS</v>
          </cell>
          <cell r="D44" t="e">
            <v>#NAME?</v>
          </cell>
        </row>
        <row r="45">
          <cell r="B45" t="str">
            <v>Gross intangibles</v>
          </cell>
          <cell r="C45" t="str">
            <v>GR_INTANG</v>
          </cell>
          <cell r="D45" t="e">
            <v>#NAME?</v>
          </cell>
        </row>
        <row r="46">
          <cell r="B46" t="str">
            <v>Accumulated amortization</v>
          </cell>
          <cell r="C46" t="str">
            <v>ACC_AMORT</v>
          </cell>
          <cell r="D46" t="e">
            <v>#NAME?</v>
          </cell>
        </row>
        <row r="47">
          <cell r="B47" t="str">
            <v>Net intangible assets</v>
          </cell>
          <cell r="C47" t="str">
            <v>NET_INTANG</v>
          </cell>
          <cell r="D47" t="e">
            <v>#NAME?</v>
          </cell>
        </row>
        <row r="48">
          <cell r="B48" t="str">
            <v>Equity method investments</v>
          </cell>
          <cell r="C48" t="str">
            <v>FIX_ASS_INV</v>
          </cell>
          <cell r="D48" t="e">
            <v>#NAME?</v>
          </cell>
        </row>
        <row r="49">
          <cell r="B49" t="str">
            <v>Investments in securities</v>
          </cell>
          <cell r="C49" t="str">
            <v>INV_SECUR</v>
          </cell>
          <cell r="D49" t="e">
            <v>#NAME?</v>
          </cell>
        </row>
        <row r="50">
          <cell r="B50" t="str">
            <v>Other long-term assets</v>
          </cell>
          <cell r="C50" t="str">
            <v>OTH_LT_ASS</v>
          </cell>
          <cell r="D50" t="e">
            <v>#NAME?</v>
          </cell>
        </row>
        <row r="51">
          <cell r="B51" t="str">
            <v>Total assets</v>
          </cell>
          <cell r="C51" t="str">
            <v>TOT_ASSET</v>
          </cell>
          <cell r="D51" t="e">
            <v>#NAME?</v>
          </cell>
        </row>
        <row r="52">
          <cell r="B52" t="str">
            <v>Accounts payable</v>
          </cell>
          <cell r="C52" t="str">
            <v>ACC_PAY_GQ</v>
          </cell>
          <cell r="D52" t="e">
            <v>#NAME?</v>
          </cell>
        </row>
        <row r="53">
          <cell r="B53" t="str">
            <v>Short-term debt</v>
          </cell>
          <cell r="C53" t="str">
            <v>SHORT_T_DEBT</v>
          </cell>
          <cell r="D53" t="e">
            <v>#NAME?</v>
          </cell>
        </row>
        <row r="54">
          <cell r="B54" t="str">
            <v>Other current liabilities</v>
          </cell>
          <cell r="C54" t="str">
            <v>OTH_CUR_LIABS</v>
          </cell>
          <cell r="D54" t="e">
            <v>#NAME?</v>
          </cell>
        </row>
        <row r="55">
          <cell r="B55" t="str">
            <v>Total current liabilities</v>
          </cell>
          <cell r="C55" t="str">
            <v>SHORT_TERM_LIABS</v>
          </cell>
          <cell r="D55" t="e">
            <v>#NAME?</v>
          </cell>
        </row>
        <row r="56">
          <cell r="B56" t="str">
            <v>Long-term  debt</v>
          </cell>
          <cell r="C56" t="str">
            <v>LT_DEBT</v>
          </cell>
          <cell r="D56" t="e">
            <v>#NAME?</v>
          </cell>
        </row>
        <row r="57">
          <cell r="B57" t="str">
            <v>Other long-term liabilities</v>
          </cell>
          <cell r="C57" t="str">
            <v>OTH_LT_CRED_GQ</v>
          </cell>
          <cell r="D57" t="e">
            <v>#NAME?</v>
          </cell>
        </row>
        <row r="58">
          <cell r="B58" t="str">
            <v>Total long-term liabilities</v>
          </cell>
          <cell r="C58" t="str">
            <v>TOT_LT_LIAB</v>
          </cell>
          <cell r="D58" t="e">
            <v>#NAME?</v>
          </cell>
        </row>
        <row r="59">
          <cell r="B59" t="str">
            <v>Total liabilities</v>
          </cell>
          <cell r="C59" t="str">
            <v>TOT_LIAB</v>
          </cell>
          <cell r="D59" t="e">
            <v>#NAME?</v>
          </cell>
        </row>
        <row r="60">
          <cell r="B60" t="str">
            <v>Preferred shares</v>
          </cell>
          <cell r="C60" t="str">
            <v>PREF_SH</v>
          </cell>
          <cell r="D60" t="e">
            <v>#NAME?</v>
          </cell>
        </row>
        <row r="61">
          <cell r="B61" t="str">
            <v>Total common equity</v>
          </cell>
          <cell r="C61" t="str">
            <v>ORD_SH_FUND</v>
          </cell>
          <cell r="D61" t="e">
            <v>#NAME?</v>
          </cell>
        </row>
        <row r="62">
          <cell r="B62" t="str">
            <v>Minority interest</v>
          </cell>
          <cell r="C62" t="str">
            <v>MINORITIES</v>
          </cell>
          <cell r="D62" t="e">
            <v>#NAME?</v>
          </cell>
        </row>
        <row r="63">
          <cell r="B63" t="str">
            <v>Total shareholders' equity</v>
          </cell>
          <cell r="C63" t="str">
            <v>EQ</v>
          </cell>
          <cell r="D63" t="e">
            <v>#NAME?</v>
          </cell>
        </row>
        <row r="64">
          <cell r="B64" t="str">
            <v>Total liabilities and equity</v>
          </cell>
          <cell r="C64" t="str">
            <v>TOT_LIAB_EQ</v>
          </cell>
          <cell r="D64" t="e">
            <v>#NAME?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e">
            <v>#NAME?</v>
          </cell>
        </row>
        <row r="67">
          <cell r="B67" t="str">
            <v>Capitalized leases</v>
          </cell>
          <cell r="C67" t="str">
            <v>CAP_LEASES</v>
          </cell>
          <cell r="D67" t="e">
            <v>#NAME?</v>
          </cell>
        </row>
        <row r="68">
          <cell r="B68" t="str">
            <v>Deferred income taxes</v>
          </cell>
          <cell r="C68" t="str">
            <v>DEF_INC_TAX</v>
          </cell>
          <cell r="D68" t="e">
            <v>#NAME?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e">
            <v>#NAME?</v>
          </cell>
        </row>
        <row r="70">
          <cell r="B70" t="str">
            <v>Net debt adjustment</v>
          </cell>
          <cell r="C70" t="str">
            <v>NET_DEBT_ADJ</v>
          </cell>
          <cell r="D70" t="e">
            <v>#NAME?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 t="e">
            <v>#NAME?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e">
            <v>#NAME?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e">
            <v>#NAME?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e">
            <v>#NAME?</v>
          </cell>
        </row>
        <row r="76">
          <cell r="B76" t="str">
            <v>Other GCI adjustments</v>
          </cell>
          <cell r="C76" t="str">
            <v>OTH_GCI_ADJ</v>
          </cell>
          <cell r="D76" t="e">
            <v>#NAME?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 t="e">
            <v>#NAME?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e">
            <v>#NAME?</v>
          </cell>
        </row>
        <row r="81">
          <cell r="B81" t="str">
            <v>Depreciation &amp; amortization add-back</v>
          </cell>
          <cell r="C81" t="str">
            <v>DEPR_AMORT</v>
          </cell>
          <cell r="D81" t="e">
            <v>#NAME?</v>
          </cell>
        </row>
        <row r="82">
          <cell r="B82" t="str">
            <v>(Increase)/decrease in working capital</v>
          </cell>
          <cell r="C82" t="str">
            <v>WORK_CAP</v>
          </cell>
          <cell r="D82" t="e">
            <v>#NAME?</v>
          </cell>
        </row>
        <row r="83">
          <cell r="B83" t="str">
            <v>Other operating cash flow items</v>
          </cell>
          <cell r="C83" t="str">
            <v>OTH_OP_CF</v>
          </cell>
          <cell r="D83" t="e">
            <v>#NAME?</v>
          </cell>
        </row>
        <row r="84">
          <cell r="B84" t="str">
            <v>Cash flow from operating activities</v>
          </cell>
          <cell r="C84" t="str">
            <v>CF_OPS</v>
          </cell>
          <cell r="D84" t="e">
            <v>#NAME?</v>
          </cell>
        </row>
        <row r="85">
          <cell r="B85" t="str">
            <v>Capital expenditures, Capex</v>
          </cell>
          <cell r="C85" t="str">
            <v>CAPEX</v>
          </cell>
          <cell r="D85" t="e">
            <v>#NAME?</v>
          </cell>
        </row>
        <row r="86">
          <cell r="B86" t="str">
            <v>Acquisitions</v>
          </cell>
          <cell r="C86" t="str">
            <v>ACQ</v>
          </cell>
          <cell r="D86" t="e">
            <v>#NAME?</v>
          </cell>
        </row>
        <row r="87">
          <cell r="B87" t="str">
            <v>Divestitures</v>
          </cell>
          <cell r="C87" t="str">
            <v>DIVEST</v>
          </cell>
          <cell r="D87" t="e">
            <v>#NAME?</v>
          </cell>
        </row>
        <row r="88">
          <cell r="B88" t="str">
            <v>Other investing cash flow items</v>
          </cell>
          <cell r="C88" t="str">
            <v>OTH_INV_CF</v>
          </cell>
          <cell r="D88" t="e">
            <v>#NAME?</v>
          </cell>
        </row>
        <row r="89">
          <cell r="B89" t="str">
            <v>Cash flow from investing</v>
          </cell>
          <cell r="C89" t="str">
            <v>CF_INV</v>
          </cell>
          <cell r="D89" t="e">
            <v>#NAME?</v>
          </cell>
        </row>
        <row r="90">
          <cell r="B90" t="str">
            <v>Dividends paid</v>
          </cell>
          <cell r="C90" t="str">
            <v>DIV_PAID</v>
          </cell>
          <cell r="D90" t="e">
            <v>#NAME?</v>
          </cell>
        </row>
        <row r="91">
          <cell r="B91" t="str">
            <v>Common stock issuance/(repurchase)</v>
          </cell>
          <cell r="C91" t="str">
            <v>SH_REPUR</v>
          </cell>
          <cell r="D91" t="e">
            <v>#NAME?</v>
          </cell>
        </row>
        <row r="92">
          <cell r="B92" t="str">
            <v>Increase/(decrease) in total debt</v>
          </cell>
          <cell r="C92" t="str">
            <v>CHG_LT_DEBT</v>
          </cell>
          <cell r="D92" t="e">
            <v>#NAME?</v>
          </cell>
        </row>
        <row r="93">
          <cell r="B93" t="str">
            <v>Other financing cash flow items</v>
          </cell>
          <cell r="C93" t="str">
            <v>OTH_FIN_CF</v>
          </cell>
          <cell r="D93" t="e">
            <v>#NAME?</v>
          </cell>
        </row>
        <row r="94">
          <cell r="B94" t="str">
            <v>Cash flow from financing</v>
          </cell>
          <cell r="C94" t="str">
            <v>CF_FIN</v>
          </cell>
          <cell r="D94" t="e">
            <v>#NAME?</v>
          </cell>
        </row>
        <row r="95">
          <cell r="B95" t="str">
            <v>Total cash flow</v>
          </cell>
          <cell r="C95" t="str">
            <v>TOT_CF</v>
          </cell>
          <cell r="D95" t="e">
            <v>#NAME?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e">
            <v>#NAME?</v>
          </cell>
        </row>
        <row r="98">
          <cell r="B98" t="str">
            <v>Profit/(loss) on sale of assets</v>
          </cell>
          <cell r="C98" t="str">
            <v>PL_SALE_ASSETS</v>
          </cell>
          <cell r="D98" t="e">
            <v>#NAME?</v>
          </cell>
        </row>
        <row r="99">
          <cell r="B99" t="str">
            <v>Other non-cash adjustments</v>
          </cell>
          <cell r="C99" t="str">
            <v>OTH_NONCASH_ADJ</v>
          </cell>
          <cell r="D99" t="e">
            <v>#NAME?</v>
          </cell>
        </row>
        <row r="100">
          <cell r="B100" t="str">
            <v>Other DACF adjustments</v>
          </cell>
          <cell r="C100" t="str">
            <v>OTH_DACF_ADJ</v>
          </cell>
          <cell r="D100" t="e">
            <v>#NAME?</v>
          </cell>
        </row>
        <row r="101">
          <cell r="B101" t="str">
            <v>Cash interest expense</v>
          </cell>
          <cell r="C101" t="str">
            <v>CASH_INT_EXP</v>
          </cell>
          <cell r="D101" t="e">
            <v>#NAME?</v>
          </cell>
        </row>
        <row r="102">
          <cell r="B102" t="str">
            <v>Cash tax expense</v>
          </cell>
          <cell r="C102" t="str">
            <v>CASH_TAX_EXP</v>
          </cell>
          <cell r="D102" t="e">
            <v>#NAME?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e">
            <v>#NAME?</v>
          </cell>
        </row>
        <row r="104">
          <cell r="B104" t="str">
            <v>Capex maintenance</v>
          </cell>
          <cell r="C104" t="str">
            <v>CAPEX_MAINTENANCE</v>
          </cell>
          <cell r="D104" t="e">
            <v>#NAME?</v>
          </cell>
        </row>
        <row r="105">
          <cell r="B105" t="str">
            <v>Capex expansion</v>
          </cell>
          <cell r="C105" t="str">
            <v>CAPEX_EXPANSION</v>
          </cell>
          <cell r="D105" t="e">
            <v>#NAME?</v>
          </cell>
        </row>
        <row r="106">
          <cell r="B106" t="str">
            <v>Non-PP&amp;E capex</v>
          </cell>
          <cell r="C106" t="str">
            <v>NONPPE_CAPEX</v>
          </cell>
          <cell r="D106" t="e">
            <v>#NAME?</v>
          </cell>
        </row>
        <row r="107">
          <cell r="B107" t="str">
            <v>Dividends paid to minorities</v>
          </cell>
          <cell r="C107" t="str">
            <v>DIVDS_PD_MINORITIES</v>
          </cell>
          <cell r="D107" t="e">
            <v>#NAME?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3">
          <cell r="B113" t="str">
            <v>Sales - % Brazil</v>
          </cell>
          <cell r="C113" t="str">
            <v>SALES_BRAZIL</v>
          </cell>
        </row>
        <row r="114">
          <cell r="B114" t="str">
            <v>Sales - % Other Americas</v>
          </cell>
          <cell r="C114" t="str">
            <v>SALES_OTH_AM</v>
          </cell>
        </row>
        <row r="115">
          <cell r="B115" t="str">
            <v>Sales - Total % EMEA</v>
          </cell>
          <cell r="C115" t="str">
            <v>SALES_TOT_EMEA</v>
          </cell>
        </row>
        <row r="116">
          <cell r="B116" t="str">
            <v>Sales - % UK</v>
          </cell>
          <cell r="C116" t="str">
            <v>SALES_UK</v>
          </cell>
        </row>
        <row r="117">
          <cell r="B117" t="str">
            <v>Sales - % Western Europe-Ex UK</v>
          </cell>
          <cell r="C117" t="str">
            <v>SALES_EU_EX_UK</v>
          </cell>
        </row>
        <row r="118">
          <cell r="B118" t="str">
            <v>Sales - % Central &amp; Eastern Europe</v>
          </cell>
          <cell r="C118" t="str">
            <v>SALES_CEE</v>
          </cell>
        </row>
        <row r="119">
          <cell r="B119" t="str">
            <v>Sales - % Middle East</v>
          </cell>
          <cell r="C119" t="str">
            <v>SALES_ME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</row>
        <row r="122">
          <cell r="B122" t="str">
            <v>Sales - % Other EMEA</v>
          </cell>
          <cell r="C122" t="str">
            <v>SALES_OTH_EMEA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</row>
        <row r="124">
          <cell r="B124" t="str">
            <v>Sales - % Japan</v>
          </cell>
          <cell r="C124" t="str">
            <v>SALES_JAPAN</v>
          </cell>
        </row>
        <row r="125">
          <cell r="B125" t="str">
            <v>Sales - % China</v>
          </cell>
          <cell r="C125" t="str">
            <v>SALES_CHINA</v>
          </cell>
        </row>
        <row r="126">
          <cell r="B126" t="str">
            <v>Sales - % India</v>
          </cell>
          <cell r="C126" t="str">
            <v>SALES_INDIA</v>
          </cell>
        </row>
        <row r="127">
          <cell r="B127" t="str">
            <v>Sales - % South Korea</v>
          </cell>
          <cell r="C127" t="str">
            <v>SALES_SK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</row>
        <row r="130">
          <cell r="B130" t="str">
            <v>Sales - % Others</v>
          </cell>
          <cell r="C130" t="str">
            <v>SALES_OTHER</v>
          </cell>
        </row>
        <row r="131">
          <cell r="B131" t="str">
            <v>Sales -% Consumer (C)</v>
          </cell>
          <cell r="C131" t="str">
            <v>SALES_CONS</v>
          </cell>
        </row>
        <row r="132">
          <cell r="B132" t="str">
            <v>Sales -% Industry (I)</v>
          </cell>
          <cell r="C132" t="str">
            <v>SALES_IND</v>
          </cell>
        </row>
        <row r="133">
          <cell r="B133" t="str">
            <v>Sales -% Government (G)</v>
          </cell>
          <cell r="C133" t="str">
            <v>SALES_GOV</v>
          </cell>
        </row>
        <row r="134">
          <cell r="B134" t="str">
            <v>Sales - % Industry Sub-Segment: Financial Services</v>
          </cell>
          <cell r="C134" t="str">
            <v>SALES_FINAN</v>
          </cell>
        </row>
        <row r="135">
          <cell r="A135" t="str">
            <v>Commodities Exposure - Expense</v>
          </cell>
        </row>
        <row r="136">
          <cell r="B136" t="str">
            <v>Expense - % Oil/Petrol/Fuel</v>
          </cell>
          <cell r="C136" t="str">
            <v>EXP_OIL_PETRO_FUEL</v>
          </cell>
        </row>
        <row r="137">
          <cell r="B137" t="str">
            <v>Expense - % Oil derivatives/NGLs/plastics</v>
          </cell>
          <cell r="C137" t="str">
            <v>EXP_OIL_DERIV_NGLS_PLASTICS</v>
          </cell>
        </row>
        <row r="138">
          <cell r="B138" t="str">
            <v>Expense - % Paper/pulp</v>
          </cell>
          <cell r="C138" t="str">
            <v>EXP_PAPER_PULP</v>
          </cell>
        </row>
        <row r="139">
          <cell r="B139" t="str">
            <v>Expense - % Glass</v>
          </cell>
          <cell r="C139" t="str">
            <v>EXP_GLASS</v>
          </cell>
        </row>
        <row r="140">
          <cell r="B140" t="str">
            <v>Expense - % Water</v>
          </cell>
          <cell r="C140" t="str">
            <v>EXP_WATER</v>
          </cell>
        </row>
        <row r="141">
          <cell r="B141" t="str">
            <v>Expense - % Other commodity</v>
          </cell>
          <cell r="C141" t="str">
            <v>EXP_OTH_COMMODITY</v>
          </cell>
        </row>
        <row r="142">
          <cell r="B142" t="str">
            <v>Expense - % Other (Non-Commodity) cost</v>
          </cell>
          <cell r="C142" t="str">
            <v>EXP_OTH_COST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</row>
        <row r="145">
          <cell r="B145" t="str">
            <v>Sales - % FX: Euro</v>
          </cell>
          <cell r="C145" t="str">
            <v>SALES_FX_EUR</v>
          </cell>
        </row>
        <row r="146">
          <cell r="B146" t="str">
            <v>Sales - % FX: New Russian Ruble</v>
          </cell>
          <cell r="C146" t="str">
            <v>SALES_FX_RUB</v>
          </cell>
        </row>
        <row r="147">
          <cell r="B147" t="str">
            <v>Sales - % FX: U.S. Dollar</v>
          </cell>
          <cell r="C147" t="str">
            <v>SALES_FX_USD</v>
          </cell>
        </row>
        <row r="148">
          <cell r="B148" t="str">
            <v>Sales - % FX: Brazilian Real</v>
          </cell>
          <cell r="C148" t="str">
            <v>SALES_FX_BRL</v>
          </cell>
        </row>
        <row r="149">
          <cell r="B149" t="str">
            <v>Sales - % FX: Japanese Yen</v>
          </cell>
          <cell r="C149" t="str">
            <v>SALES_FX_YEN</v>
          </cell>
        </row>
        <row r="150">
          <cell r="B150" t="str">
            <v>Sales - % FX: Chinese Renminbi</v>
          </cell>
          <cell r="C150" t="str">
            <v>SALES_FX_CNY</v>
          </cell>
        </row>
        <row r="151">
          <cell r="B151" t="str">
            <v>Sales - % FX: Indian Rupee</v>
          </cell>
          <cell r="C151" t="str">
            <v>SALES_FX_INR</v>
          </cell>
        </row>
        <row r="152">
          <cell r="B152" t="str">
            <v>Sales - % FX: South Korean Won</v>
          </cell>
          <cell r="C152" t="str">
            <v>SALES_FX_KRW</v>
          </cell>
        </row>
        <row r="153">
          <cell r="B153" t="str">
            <v>Sales - % FX: Taiwan Dollar</v>
          </cell>
          <cell r="C153" t="str">
            <v>SALES_FX_TWD</v>
          </cell>
        </row>
        <row r="154">
          <cell r="B154" t="str">
            <v>Sales - % FX: Other Currency</v>
          </cell>
          <cell r="C154" t="str">
            <v>SALES_FX_OTH</v>
          </cell>
        </row>
        <row r="155">
          <cell r="A155" t="str">
            <v>Security: Shenzhen O-Film Tech Co Ltd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002456.SZ</v>
          </cell>
        </row>
        <row r="158">
          <cell r="B158" t="str">
            <v>Security Name</v>
          </cell>
          <cell r="C158" t="str">
            <v>Security Name</v>
          </cell>
          <cell r="E158" t="str">
            <v>Shenzhen O-Film Tech Co Ltd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  <cell r="E160" t="str">
            <v>CNY</v>
          </cell>
        </row>
        <row r="161">
          <cell r="B161" t="str">
            <v>Pricing Currency</v>
          </cell>
          <cell r="C161" t="str">
            <v>PRICE_CURRENCY_ISO</v>
          </cell>
          <cell r="E161" t="str">
            <v>CNY</v>
          </cell>
        </row>
        <row r="162">
          <cell r="B162" t="str">
            <v>Reporting Currency</v>
          </cell>
          <cell r="C162" t="str">
            <v>CURRENCY_ISO</v>
          </cell>
          <cell r="E162" t="str">
            <v>CNY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</row>
        <row r="165">
          <cell r="B165" t="str">
            <v>Asia Pacific Conviction List</v>
          </cell>
          <cell r="C165" t="str">
            <v>AEJ_CONVICTION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 t="e">
            <v>#NAME?</v>
          </cell>
        </row>
        <row r="168">
          <cell r="B168" t="str">
            <v>Target price period</v>
          </cell>
          <cell r="C168" t="str">
            <v>TP_PERIOD</v>
          </cell>
        </row>
        <row r="169">
          <cell r="B169" t="str">
            <v>Current shares outstanding (mn)</v>
          </cell>
          <cell r="C169" t="str">
            <v>NUM_SH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</row>
        <row r="183">
          <cell r="B183" t="str">
            <v>Target price methodology</v>
          </cell>
          <cell r="C183" t="str">
            <v>PRI_TARG_METH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 t="e">
            <v>#NAME?</v>
          </cell>
        </row>
        <row r="186">
          <cell r="B186" t="str">
            <v>DPS, dividend per share (Pub)</v>
          </cell>
          <cell r="C186" t="str">
            <v>DPS_PUB</v>
          </cell>
          <cell r="D186" t="e">
            <v>#NAME?</v>
          </cell>
        </row>
        <row r="187">
          <cell r="B187" t="str">
            <v>Special dividend per share</v>
          </cell>
          <cell r="C187" t="str">
            <v>DPS_SPECIAL_PUB</v>
          </cell>
          <cell r="D187" t="e">
            <v>#NAME?</v>
          </cell>
        </row>
        <row r="188">
          <cell r="B188" t="str">
            <v>EBITDA (Pub)</v>
          </cell>
          <cell r="C188" t="str">
            <v>EBITDA_PUB</v>
          </cell>
          <cell r="D188" t="e">
            <v>#NAME?</v>
          </cell>
        </row>
        <row r="189">
          <cell r="B189" t="str">
            <v>EPS (Pub)</v>
          </cell>
          <cell r="C189" t="str">
            <v>EPS_PUB</v>
          </cell>
          <cell r="D189" t="e">
            <v>#NAME?</v>
          </cell>
        </row>
        <row r="190">
          <cell r="B190" t="str">
            <v>EV adjustment (Pub)</v>
          </cell>
          <cell r="C190" t="str">
            <v>EV_ADJ_PUB</v>
          </cell>
          <cell r="D190" t="e">
            <v>#NAME?</v>
          </cell>
        </row>
        <row r="191">
          <cell r="B191" t="str">
            <v>Net debt (Pub)</v>
          </cell>
          <cell r="C191" t="str">
            <v>NET_DEBT_PUB</v>
          </cell>
          <cell r="D191" t="e">
            <v>#NAME?</v>
          </cell>
        </row>
        <row r="192">
          <cell r="B192" t="str">
            <v>Net income (Pub)</v>
          </cell>
          <cell r="C192" t="str">
            <v>NI_PUB</v>
          </cell>
          <cell r="D192" t="e">
            <v>#NAME?</v>
          </cell>
        </row>
        <row r="193">
          <cell r="B193" t="str">
            <v>EBIT, operating profit (Pub)</v>
          </cell>
          <cell r="C193" t="str">
            <v>EBIT_PUB</v>
          </cell>
          <cell r="D193" t="e">
            <v>#NAME?</v>
          </cell>
        </row>
        <row r="194">
          <cell r="B194" t="str">
            <v>Pre-tax profit (Pub)</v>
          </cell>
          <cell r="C194" t="str">
            <v>PTP_PUB</v>
          </cell>
          <cell r="D194" t="e">
            <v>#NAME?</v>
          </cell>
        </row>
        <row r="195">
          <cell r="B195" t="str">
            <v>Sales, revenue (Pub)</v>
          </cell>
          <cell r="C195" t="str">
            <v>REVS_PUB</v>
          </cell>
          <cell r="D195" t="e">
            <v>#NAME?</v>
          </cell>
        </row>
        <row r="196">
          <cell r="B196" t="str">
            <v>Total shareholders' equity (Pub)</v>
          </cell>
          <cell r="C196" t="str">
            <v>EQ_PUB</v>
          </cell>
          <cell r="D196" t="e">
            <v>#NAME?</v>
          </cell>
        </row>
        <row r="197">
          <cell r="B197" t="str">
            <v>EPS (consensus)</v>
          </cell>
          <cell r="C197" t="str">
            <v>EPS_CONS_PUB</v>
          </cell>
          <cell r="D197" t="e">
            <v>#NAME?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 t="e">
            <v>#NAME?</v>
          </cell>
        </row>
        <row r="200">
          <cell r="B200" t="str">
            <v>Minority interest</v>
          </cell>
          <cell r="C200" t="str">
            <v>INC_MINORITY</v>
          </cell>
          <cell r="D200" t="e">
            <v>#NAME?</v>
          </cell>
        </row>
        <row r="201">
          <cell r="B201" t="str">
            <v>Net income (pre-preferred dividends)</v>
          </cell>
          <cell r="C201" t="str">
            <v>NI_PRE_PREF</v>
          </cell>
          <cell r="D201" t="e">
            <v>#NAME?</v>
          </cell>
        </row>
        <row r="202">
          <cell r="B202" t="str">
            <v>Preferred dividends</v>
          </cell>
          <cell r="C202" t="str">
            <v>PREF_DIV</v>
          </cell>
          <cell r="D202" t="e">
            <v>#NAME?</v>
          </cell>
        </row>
        <row r="203">
          <cell r="B203" t="str">
            <v>Net income (pre-exceptionals)</v>
          </cell>
          <cell r="C203" t="str">
            <v>NET_EARNING</v>
          </cell>
          <cell r="D203" t="e">
            <v>#NAME?</v>
          </cell>
        </row>
        <row r="204">
          <cell r="B204" t="str">
            <v>Post-tax exceptionals</v>
          </cell>
          <cell r="C204" t="str">
            <v>TAX_EXC</v>
          </cell>
          <cell r="D204" t="e">
            <v>#NAME?</v>
          </cell>
        </row>
        <row r="205">
          <cell r="B205" t="str">
            <v>Net income (post-exceptionals)</v>
          </cell>
          <cell r="C205" t="str">
            <v>NET_INC</v>
          </cell>
          <cell r="D205" t="e">
            <v>#NAME?</v>
          </cell>
        </row>
        <row r="206">
          <cell r="B206" t="str">
            <v>EPS (pre-exceptionals, basic)</v>
          </cell>
          <cell r="C206" t="str">
            <v>EPS</v>
          </cell>
          <cell r="D206" t="e">
            <v>#NAME?</v>
          </cell>
        </row>
        <row r="207">
          <cell r="B207" t="str">
            <v>EPS (pre-exceptionals, diluted)</v>
          </cell>
          <cell r="C207" t="str">
            <v>EPS_FUL_DIL</v>
          </cell>
          <cell r="D207" t="e">
            <v>#NAME?</v>
          </cell>
        </row>
        <row r="208">
          <cell r="B208" t="str">
            <v>EPS (post-exceptionals, basic)</v>
          </cell>
          <cell r="C208" t="str">
            <v>EPS_POST_BASIC</v>
          </cell>
          <cell r="D208" t="e">
            <v>#NAME?</v>
          </cell>
        </row>
        <row r="209">
          <cell r="B209" t="str">
            <v>EPS (post-exceptionals, diluted)</v>
          </cell>
          <cell r="C209" t="str">
            <v>FULLY_DIL_EPS</v>
          </cell>
          <cell r="D209" t="e">
            <v>#NAME?</v>
          </cell>
        </row>
        <row r="210">
          <cell r="B210" t="str">
            <v>Common dividends paid</v>
          </cell>
          <cell r="C210" t="str">
            <v>COMMON_DIV_PAID</v>
          </cell>
          <cell r="D210" t="e">
            <v>#NAME?</v>
          </cell>
        </row>
        <row r="211">
          <cell r="B211" t="str">
            <v>DPS, dividend per share</v>
          </cell>
          <cell r="C211" t="str">
            <v>DPS</v>
          </cell>
          <cell r="D211" t="e">
            <v>#NAME?</v>
          </cell>
        </row>
        <row r="212">
          <cell r="B212" t="str">
            <v>Weighted average shares outstanding, basic</v>
          </cell>
          <cell r="C212" t="str">
            <v>SH</v>
          </cell>
        </row>
        <row r="213">
          <cell r="B213" t="str">
            <v>Diluted average shares outstanding (mn)</v>
          </cell>
          <cell r="C213" t="str">
            <v>DILUTE_SHARES</v>
          </cell>
        </row>
        <row r="214">
          <cell r="B214" t="str">
            <v>Period-end shares outstanding</v>
          </cell>
          <cell r="C214" t="str">
            <v>NON_OP_ADD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</row>
        <row r="217">
          <cell r="B217" t="str">
            <v>Net income (consensus) (Pub)</v>
          </cell>
          <cell r="C217" t="str">
            <v>NI_CONS</v>
          </cell>
          <cell r="D217" t="e">
            <v>#NAME?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 t="e">
            <v>#NAME?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 t="e">
            <v>#NAME?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</row>
      </sheetData>
      <sheetData sheetId="17" refreshError="1">
        <row r="1">
          <cell r="A1" t="str">
            <v>Issuer: Shenzhen O-Film Tech Co Ltd</v>
          </cell>
          <cell r="F1" t="str">
            <v>2007</v>
          </cell>
          <cell r="G1" t="str">
            <v>2008</v>
          </cell>
          <cell r="H1" t="str">
            <v>2009</v>
          </cell>
          <cell r="I1" t="str">
            <v>2010</v>
          </cell>
          <cell r="J1" t="str">
            <v>2011 Q1</v>
          </cell>
          <cell r="K1" t="str">
            <v>2011 Q2</v>
          </cell>
          <cell r="L1" t="str">
            <v>2011 Q3</v>
          </cell>
          <cell r="M1" t="str">
            <v>2011 Q4</v>
          </cell>
          <cell r="N1" t="str">
            <v>2011</v>
          </cell>
          <cell r="O1" t="str">
            <v>2012 Q1</v>
          </cell>
          <cell r="P1" t="str">
            <v>2012 Q2</v>
          </cell>
          <cell r="Q1" t="str">
            <v>2012 Q3</v>
          </cell>
          <cell r="R1" t="str">
            <v>2012 Q4</v>
          </cell>
          <cell r="S1" t="str">
            <v>2012</v>
          </cell>
          <cell r="T1" t="str">
            <v>2013 Q1</v>
          </cell>
          <cell r="U1" t="str">
            <v>2013 Q2</v>
          </cell>
          <cell r="V1" t="str">
            <v>2013 Q3</v>
          </cell>
          <cell r="W1" t="str">
            <v>2013 Q4</v>
          </cell>
          <cell r="X1" t="str">
            <v>2013</v>
          </cell>
          <cell r="Y1" t="str">
            <v>2014 Q1</v>
          </cell>
          <cell r="Z1" t="str">
            <v>2014 Q2</v>
          </cell>
          <cell r="AA1" t="str">
            <v>2014 Q3</v>
          </cell>
          <cell r="AB1" t="str">
            <v>2014 Q4</v>
          </cell>
          <cell r="AC1">
            <v>2014</v>
          </cell>
          <cell r="AD1" t="str">
            <v>2015</v>
          </cell>
          <cell r="AE1" t="str">
            <v>2016</v>
          </cell>
          <cell r="AF1" t="str">
            <v>2017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Estimate</v>
          </cell>
          <cell r="Z2" t="str">
            <v>Estimate</v>
          </cell>
          <cell r="AA2" t="str">
            <v>Estimate</v>
          </cell>
          <cell r="AB2" t="str">
            <v>Estimate</v>
          </cell>
          <cell r="AC2" t="str">
            <v>Estimate</v>
          </cell>
          <cell r="AD2" t="str">
            <v>Estimate</v>
          </cell>
          <cell r="AE2" t="str">
            <v>Estimate</v>
          </cell>
          <cell r="AF2" t="str">
            <v>Estimate</v>
          </cell>
        </row>
        <row r="3">
          <cell r="F3">
            <v>39447</v>
          </cell>
          <cell r="G3">
            <v>39813</v>
          </cell>
          <cell r="H3">
            <v>40178</v>
          </cell>
          <cell r="I3">
            <v>40543</v>
          </cell>
          <cell r="J3">
            <v>40633</v>
          </cell>
          <cell r="K3">
            <v>40724</v>
          </cell>
          <cell r="L3">
            <v>40816</v>
          </cell>
          <cell r="M3">
            <v>40908</v>
          </cell>
          <cell r="N3">
            <v>40908</v>
          </cell>
          <cell r="O3">
            <v>40999</v>
          </cell>
          <cell r="P3">
            <v>41090</v>
          </cell>
          <cell r="Q3">
            <v>41182</v>
          </cell>
          <cell r="R3">
            <v>41274</v>
          </cell>
          <cell r="S3">
            <v>41274</v>
          </cell>
          <cell r="T3">
            <v>41364</v>
          </cell>
          <cell r="U3">
            <v>41455</v>
          </cell>
          <cell r="V3">
            <v>41547</v>
          </cell>
          <cell r="W3">
            <v>41639</v>
          </cell>
          <cell r="X3">
            <v>41639</v>
          </cell>
          <cell r="Y3">
            <v>41729</v>
          </cell>
          <cell r="Z3">
            <v>41820</v>
          </cell>
          <cell r="AA3">
            <v>41912</v>
          </cell>
          <cell r="AB3">
            <v>42004</v>
          </cell>
          <cell r="AC3">
            <v>42004</v>
          </cell>
          <cell r="AD3">
            <v>42369</v>
          </cell>
          <cell r="AE3">
            <v>42735</v>
          </cell>
          <cell r="AF3">
            <v>43100</v>
          </cell>
        </row>
        <row r="4">
          <cell r="A4" t="str">
            <v>Issuer: Shenzhen O-Film Tech Co Ltd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Shenzhen O-Film Tech Co Ltd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153.44289642999999</v>
          </cell>
          <cell r="G9">
            <v>230.68217597</v>
          </cell>
          <cell r="H9">
            <v>372.89676544000002</v>
          </cell>
          <cell r="I9">
            <v>618.17208788999994</v>
          </cell>
          <cell r="J9">
            <v>235.94299531000001</v>
          </cell>
          <cell r="K9">
            <v>190.40241835000006</v>
          </cell>
          <cell r="L9">
            <v>222.32953271999986</v>
          </cell>
          <cell r="M9">
            <v>596.52382822000004</v>
          </cell>
          <cell r="N9">
            <v>1245.1987746</v>
          </cell>
          <cell r="O9">
            <v>363.02041435000001</v>
          </cell>
          <cell r="P9">
            <v>923.62575711999989</v>
          </cell>
          <cell r="Q9">
            <v>1181.6799306299999</v>
          </cell>
          <cell r="R9">
            <v>1463.3951140400004</v>
          </cell>
          <cell r="S9">
            <v>3931.7212161400003</v>
          </cell>
          <cell r="T9">
            <v>1199.8611961199999</v>
          </cell>
          <cell r="U9">
            <v>2103.4240542000002</v>
          </cell>
          <cell r="V9">
            <v>2474.0075534799998</v>
          </cell>
          <cell r="W9">
            <v>3324.4714846500019</v>
          </cell>
          <cell r="X9">
            <v>9101.7642884500019</v>
          </cell>
          <cell r="Y9">
            <v>3032.7159968799997</v>
          </cell>
          <cell r="Z9">
            <v>5277.4992620200001</v>
          </cell>
          <cell r="AA9">
            <v>4348.3419025372614</v>
          </cell>
          <cell r="AB9">
            <v>3824.628885631696</v>
          </cell>
          <cell r="AC9">
            <v>16483.186047068957</v>
          </cell>
          <cell r="AD9">
            <v>23617.975808735078</v>
          </cell>
          <cell r="AE9">
            <v>31803.840118887339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-102.31434471999999</v>
          </cell>
          <cell r="G11">
            <v>-165.91039534000001</v>
          </cell>
          <cell r="H11">
            <v>-274.19099625000001</v>
          </cell>
          <cell r="I11">
            <v>-478.16008868999995</v>
          </cell>
          <cell r="N11">
            <v>-1073.6250480199999</v>
          </cell>
          <cell r="S11">
            <v>-3143.6910416199999</v>
          </cell>
          <cell r="X11">
            <v>-7614.4086568000002</v>
          </cell>
          <cell r="AC11">
            <v>-14576.640193147763</v>
          </cell>
          <cell r="AD11">
            <v>-20585.61918849645</v>
          </cell>
          <cell r="AE11">
            <v>-28083.50556766006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-15.001100340000001</v>
          </cell>
          <cell r="G12">
            <v>-22.433480769999999</v>
          </cell>
          <cell r="H12">
            <v>-33.060564380000002</v>
          </cell>
          <cell r="I12">
            <v>-72.024588080000001</v>
          </cell>
          <cell r="N12">
            <v>-115.53141611999999</v>
          </cell>
          <cell r="S12">
            <v>-340.10147713000003</v>
          </cell>
          <cell r="X12">
            <v>-648.88994353999999</v>
          </cell>
          <cell r="AC12">
            <v>-1013.2232101187496</v>
          </cell>
          <cell r="AD12">
            <v>-1389.4530717451553</v>
          </cell>
          <cell r="AE12">
            <v>-1793.3708129534944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-117.31544506</v>
          </cell>
          <cell r="G13">
            <v>-188.34387611</v>
          </cell>
          <cell r="H13">
            <v>-307.25156063000003</v>
          </cell>
          <cell r="I13">
            <v>-550.1846767699999</v>
          </cell>
          <cell r="N13">
            <v>-1189.1564641399998</v>
          </cell>
          <cell r="S13">
            <v>-3483.79251875</v>
          </cell>
          <cell r="X13">
            <v>-8263.2986003400001</v>
          </cell>
          <cell r="AC13">
            <v>-15589.863403266512</v>
          </cell>
          <cell r="AD13">
            <v>-21975.072260241606</v>
          </cell>
          <cell r="AE13">
            <v>-29876.876380613554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-117.31544506</v>
          </cell>
          <cell r="G16">
            <v>-188.34387611</v>
          </cell>
          <cell r="H16">
            <v>-307.25156062999997</v>
          </cell>
          <cell r="I16">
            <v>-550.1846767699999</v>
          </cell>
          <cell r="N16">
            <v>-1189.1564641399998</v>
          </cell>
          <cell r="S16">
            <v>-3483.7925187500005</v>
          </cell>
          <cell r="X16">
            <v>-8263.2986003400001</v>
          </cell>
          <cell r="AC16">
            <v>-15589.863403266512</v>
          </cell>
          <cell r="AD16">
            <v>-21975.072260241606</v>
          </cell>
          <cell r="AE16">
            <v>-29876.876380613554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-107.02692433</v>
          </cell>
          <cell r="G17">
            <v>-175.86493665</v>
          </cell>
          <cell r="H17">
            <v>-288.41931519000002</v>
          </cell>
          <cell r="I17">
            <v>-526.47888371999989</v>
          </cell>
          <cell r="N17">
            <v>-1147.2583552099998</v>
          </cell>
          <cell r="S17">
            <v>-3382.8742661800002</v>
          </cell>
          <cell r="X17">
            <v>-8057.14704893</v>
          </cell>
          <cell r="AC17">
            <v>-15343.558402231291</v>
          </cell>
          <cell r="AD17">
            <v>-21690.235494065473</v>
          </cell>
          <cell r="AE17">
            <v>-29525.287539178589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46.415972099999991</v>
          </cell>
          <cell r="G18">
            <v>54.817239319999999</v>
          </cell>
          <cell r="H18">
            <v>84.477450250000004</v>
          </cell>
          <cell r="I18">
            <v>91.693204170000058</v>
          </cell>
          <cell r="N18">
            <v>97.940419390000216</v>
          </cell>
          <cell r="S18">
            <v>548.84694996000007</v>
          </cell>
          <cell r="X18">
            <v>1044.6172395200019</v>
          </cell>
          <cell r="AC18">
            <v>1139.6276448376666</v>
          </cell>
          <cell r="AD18">
            <v>1927.7403146696051</v>
          </cell>
          <cell r="AE18">
            <v>2278.5525797087503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-8.3417076100000003</v>
          </cell>
          <cell r="G19">
            <v>-11.859347120000001</v>
          </cell>
          <cell r="H19">
            <v>-18.522718470000001</v>
          </cell>
          <cell r="I19">
            <v>-21.551493829999998</v>
          </cell>
          <cell r="N19">
            <v>-34.315345430000001</v>
          </cell>
          <cell r="S19">
            <v>-91.463051900000011</v>
          </cell>
          <cell r="X19">
            <v>-161.05502568</v>
          </cell>
          <cell r="AC19">
            <v>-201.20847530522215</v>
          </cell>
          <cell r="AD19">
            <v>-244.53064405036483</v>
          </cell>
          <cell r="AE19">
            <v>-315.56425961808753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-1.9468131199999998</v>
          </cell>
          <cell r="G20">
            <v>-0.61959233999999996</v>
          </cell>
          <cell r="H20">
            <v>-0.30952696999999996</v>
          </cell>
          <cell r="I20">
            <v>-2.15429922</v>
          </cell>
          <cell r="N20">
            <v>-7.5827634999999995</v>
          </cell>
          <cell r="S20">
            <v>-9.4552006700000018</v>
          </cell>
          <cell r="X20">
            <v>-45.096525729999996</v>
          </cell>
          <cell r="AC20">
            <v>-45.096525729999996</v>
          </cell>
          <cell r="AD20">
            <v>-40.306122125767772</v>
          </cell>
          <cell r="AE20">
            <v>-36.024581816877507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36.127451369999989</v>
          </cell>
          <cell r="G21">
            <v>42.338299860000006</v>
          </cell>
          <cell r="H21">
            <v>65.645204810000052</v>
          </cell>
          <cell r="I21">
            <v>67.987411120000047</v>
          </cell>
          <cell r="J21">
            <v>11.43561626</v>
          </cell>
          <cell r="K21">
            <v>-15.954511979999925</v>
          </cell>
          <cell r="L21">
            <v>5.2976356199998875</v>
          </cell>
          <cell r="M21">
            <v>55.263570560000126</v>
          </cell>
          <cell r="N21">
            <v>56.042310460000181</v>
          </cell>
          <cell r="O21">
            <v>43.516171260000007</v>
          </cell>
          <cell r="P21">
            <v>126.99603577000006</v>
          </cell>
          <cell r="Q21">
            <v>149.4106194499999</v>
          </cell>
          <cell r="R21">
            <v>128.00587091000043</v>
          </cell>
          <cell r="S21">
            <v>447.9286973899998</v>
          </cell>
          <cell r="T21">
            <v>116.72198414999991</v>
          </cell>
          <cell r="U21">
            <v>201.04185348000027</v>
          </cell>
          <cell r="V21">
            <v>235.11720071000019</v>
          </cell>
          <cell r="W21">
            <v>285.58464977000125</v>
          </cell>
          <cell r="X21">
            <v>838.46568811000179</v>
          </cell>
          <cell r="Y21">
            <v>210.76101747999959</v>
          </cell>
          <cell r="Z21">
            <v>298.69866775000008</v>
          </cell>
          <cell r="AA21">
            <v>67.97075831855625</v>
          </cell>
          <cell r="AB21">
            <v>315.89220025388943</v>
          </cell>
          <cell r="AC21">
            <v>893.32264380244487</v>
          </cell>
          <cell r="AD21">
            <v>1642.903548493472</v>
          </cell>
          <cell r="AE21">
            <v>1926.9637382737856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N22">
            <v>0</v>
          </cell>
          <cell r="S22">
            <v>0</v>
          </cell>
          <cell r="X22">
            <v>0</v>
          </cell>
          <cell r="AC22">
            <v>0</v>
          </cell>
          <cell r="AD22">
            <v>0</v>
          </cell>
          <cell r="AE22">
            <v>0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-3.1448698500000001</v>
          </cell>
          <cell r="G23">
            <v>-4.7926274600000003</v>
          </cell>
          <cell r="H23">
            <v>-9.7493563399999985</v>
          </cell>
          <cell r="I23">
            <v>-11.223587680000001</v>
          </cell>
          <cell r="N23">
            <v>-40.861985679999997</v>
          </cell>
          <cell r="S23">
            <v>-118.64897892</v>
          </cell>
          <cell r="X23">
            <v>-179.10936559000001</v>
          </cell>
          <cell r="AC23">
            <v>-342.31056199220001</v>
          </cell>
          <cell r="AD23">
            <v>-283.87912200623998</v>
          </cell>
          <cell r="AE23">
            <v>-312.67912200623999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-3.1448698500000001</v>
          </cell>
          <cell r="G24">
            <v>-4.7926274600000003</v>
          </cell>
          <cell r="H24">
            <v>-9.7493563399999985</v>
          </cell>
          <cell r="I24">
            <v>-11.223587680000001</v>
          </cell>
          <cell r="N24">
            <v>-40.861985679999997</v>
          </cell>
          <cell r="S24">
            <v>-118.64897892</v>
          </cell>
          <cell r="X24">
            <v>-179.10936559000001</v>
          </cell>
          <cell r="AC24">
            <v>-342.31056199220001</v>
          </cell>
          <cell r="AD24">
            <v>-283.87912200623998</v>
          </cell>
          <cell r="AE24">
            <v>-312.67912200623999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N25">
            <v>0</v>
          </cell>
          <cell r="S25">
            <v>0</v>
          </cell>
          <cell r="X25">
            <v>0</v>
          </cell>
          <cell r="AC25">
            <v>0</v>
          </cell>
          <cell r="AD25">
            <v>0</v>
          </cell>
          <cell r="AE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N26">
            <v>0</v>
          </cell>
          <cell r="S26">
            <v>0</v>
          </cell>
          <cell r="X26">
            <v>0</v>
          </cell>
          <cell r="AC26">
            <v>0</v>
          </cell>
          <cell r="AD26">
            <v>0</v>
          </cell>
          <cell r="AE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0.47850350000001018</v>
          </cell>
          <cell r="G27">
            <v>2.5494010199999853</v>
          </cell>
          <cell r="H27">
            <v>0.77960057999995769</v>
          </cell>
          <cell r="I27">
            <v>4.3978709399999403</v>
          </cell>
          <cell r="N27">
            <v>10.34994551999992</v>
          </cell>
          <cell r="S27">
            <v>48.837122480000644</v>
          </cell>
          <cell r="X27">
            <v>22.439452079999995</v>
          </cell>
          <cell r="AC27">
            <v>37.322158369999613</v>
          </cell>
          <cell r="AD27">
            <v>47.653570734700793</v>
          </cell>
          <cell r="AE27">
            <v>61.158856410828037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33.461085019999999</v>
          </cell>
          <cell r="G28">
            <v>40.095073419999991</v>
          </cell>
          <cell r="H28">
            <v>56.675449050000012</v>
          </cell>
          <cell r="I28">
            <v>61.161694379999986</v>
          </cell>
          <cell r="N28">
            <v>25.530270300000105</v>
          </cell>
          <cell r="S28">
            <v>378.11684095000044</v>
          </cell>
          <cell r="X28">
            <v>681.79577460000178</v>
          </cell>
          <cell r="AC28">
            <v>588.33424018024448</v>
          </cell>
          <cell r="AD28">
            <v>1406.6779972219329</v>
          </cell>
          <cell r="AE28">
            <v>1675.4434726783736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N31">
            <v>0</v>
          </cell>
          <cell r="S31">
            <v>0</v>
          </cell>
          <cell r="X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-3.1448698500000001</v>
          </cell>
          <cell r="G34">
            <v>-4.7926274600000003</v>
          </cell>
          <cell r="H34">
            <v>-9.7493563399999985</v>
          </cell>
          <cell r="I34">
            <v>-11.223587680000001</v>
          </cell>
          <cell r="N34">
            <v>-40.861985679999997</v>
          </cell>
          <cell r="S34">
            <v>-118.64897892</v>
          </cell>
          <cell r="X34">
            <v>-179.10936559000001</v>
          </cell>
          <cell r="AC34">
            <v>-342.31056199220001</v>
          </cell>
          <cell r="AD34">
            <v>-283.87912200623998</v>
          </cell>
          <cell r="AE34">
            <v>-312.67912200623999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15.011378239999999</v>
          </cell>
          <cell r="G37">
            <v>22.43589004</v>
          </cell>
          <cell r="H37">
            <v>39.388786689999996</v>
          </cell>
          <cell r="I37">
            <v>270.40923051999999</v>
          </cell>
          <cell r="N37">
            <v>378.1238985</v>
          </cell>
          <cell r="S37">
            <v>805.66053599000008</v>
          </cell>
          <cell r="X37">
            <v>1660.4542604200001</v>
          </cell>
          <cell r="AC37">
            <v>1117.7873294663104</v>
          </cell>
          <cell r="AD37">
            <v>865.55378412215862</v>
          </cell>
          <cell r="AE37">
            <v>305.11365694268272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42.703867889999991</v>
          </cell>
          <cell r="G38">
            <v>50.749068440000002</v>
          </cell>
          <cell r="H38">
            <v>95.750146750000013</v>
          </cell>
          <cell r="I38">
            <v>195.06186792</v>
          </cell>
          <cell r="N38">
            <v>451.75953032999996</v>
          </cell>
          <cell r="S38">
            <v>1422.3774533399999</v>
          </cell>
          <cell r="X38">
            <v>2007.89787312</v>
          </cell>
          <cell r="AC38">
            <v>3636.2789847403578</v>
          </cell>
          <cell r="AD38">
            <v>5210.2517589844838</v>
          </cell>
          <cell r="AE38">
            <v>7016.0971991769038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19.089687399999999</v>
          </cell>
          <cell r="G39">
            <v>43.28974101</v>
          </cell>
          <cell r="H39">
            <v>61.215639009999997</v>
          </cell>
          <cell r="I39">
            <v>164.99722951000001</v>
          </cell>
          <cell r="N39">
            <v>388.66726509</v>
          </cell>
          <cell r="S39">
            <v>626.20570579999992</v>
          </cell>
          <cell r="X39">
            <v>1820.06781473</v>
          </cell>
          <cell r="AC39">
            <v>3484.2460994991461</v>
          </cell>
          <cell r="AD39">
            <v>4920.5689660234902</v>
          </cell>
          <cell r="AE39">
            <v>6712.784526325876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11.226613969999999</v>
          </cell>
          <cell r="G40">
            <v>27.292108799999994</v>
          </cell>
          <cell r="H40">
            <v>13.562677270000002</v>
          </cell>
          <cell r="I40">
            <v>385.32133166000006</v>
          </cell>
          <cell r="N40">
            <v>194.14645773999996</v>
          </cell>
          <cell r="S40">
            <v>126.26204256000017</v>
          </cell>
          <cell r="X40">
            <v>315.63777290000053</v>
          </cell>
          <cell r="AC40">
            <v>315.63777290000007</v>
          </cell>
          <cell r="AD40">
            <v>315.6377728999978</v>
          </cell>
          <cell r="AE40">
            <v>315.63777289999871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88.031547499999988</v>
          </cell>
          <cell r="G41">
            <v>143.76680829</v>
          </cell>
          <cell r="H41">
            <v>209.91724972</v>
          </cell>
          <cell r="I41">
            <v>1015.7896596099999</v>
          </cell>
          <cell r="N41">
            <v>1412.6971516599999</v>
          </cell>
          <cell r="S41">
            <v>2980.5057376899999</v>
          </cell>
          <cell r="X41">
            <v>5804.0577211700001</v>
          </cell>
          <cell r="AC41">
            <v>8553.9501866058145</v>
          </cell>
          <cell r="AD41">
            <v>11312.012282030131</v>
          </cell>
          <cell r="AE41">
            <v>14349.633155345462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152.53175035000001</v>
          </cell>
          <cell r="G42">
            <v>205.01059026000001</v>
          </cell>
          <cell r="H42">
            <v>241.45530453000001</v>
          </cell>
          <cell r="I42">
            <v>317.73081886</v>
          </cell>
          <cell r="N42">
            <v>935.14727561000007</v>
          </cell>
          <cell r="S42">
            <v>1620.2763486400002</v>
          </cell>
          <cell r="X42">
            <v>3192.7011080500006</v>
          </cell>
          <cell r="AC42">
            <v>4511.355991815517</v>
          </cell>
          <cell r="AD42">
            <v>5928.4345403396219</v>
          </cell>
          <cell r="AE42">
            <v>7836.664947472862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N43">
            <v>0</v>
          </cell>
          <cell r="S43">
            <v>0</v>
          </cell>
          <cell r="X43">
            <v>0</v>
          </cell>
          <cell r="AC43">
            <v>-201.20847530522215</v>
          </cell>
          <cell r="AD43">
            <v>-445.73911935558698</v>
          </cell>
          <cell r="AE43">
            <v>-761.30337897367451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152.53175035000001</v>
          </cell>
          <cell r="G44">
            <v>205.01059026000001</v>
          </cell>
          <cell r="H44">
            <v>241.45530453000001</v>
          </cell>
          <cell r="I44">
            <v>317.73081886</v>
          </cell>
          <cell r="N44">
            <v>935.14727561000007</v>
          </cell>
          <cell r="S44">
            <v>1620.2763486400002</v>
          </cell>
          <cell r="X44">
            <v>3192.7011080500006</v>
          </cell>
          <cell r="AC44">
            <v>4310.1475165102947</v>
          </cell>
          <cell r="AD44">
            <v>5482.6954209840351</v>
          </cell>
          <cell r="AE44">
            <v>7075.3615684991873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4.6739281900000007</v>
          </cell>
          <cell r="G45">
            <v>4.23352197</v>
          </cell>
          <cell r="H45">
            <v>5.2145760599999997</v>
          </cell>
          <cell r="I45">
            <v>16.889879989999997</v>
          </cell>
          <cell r="N45">
            <v>31.919749589999999</v>
          </cell>
          <cell r="S45">
            <v>173.19336441999999</v>
          </cell>
          <cell r="X45">
            <v>424.53555085000005</v>
          </cell>
          <cell r="AC45">
            <v>424.53555085000005</v>
          </cell>
          <cell r="AD45">
            <v>424.53555085000005</v>
          </cell>
          <cell r="AE45">
            <v>424.53555085000005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N46">
            <v>0</v>
          </cell>
          <cell r="S46">
            <v>0</v>
          </cell>
          <cell r="X46">
            <v>0</v>
          </cell>
          <cell r="AC46">
            <v>-45.096525729999996</v>
          </cell>
          <cell r="AD46">
            <v>-85.402647855767768</v>
          </cell>
          <cell r="AE46">
            <v>-121.42722967264527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4.6739281900000007</v>
          </cell>
          <cell r="G47">
            <v>4.23352197</v>
          </cell>
          <cell r="H47">
            <v>5.2145760599999997</v>
          </cell>
          <cell r="I47">
            <v>16.889879989999997</v>
          </cell>
          <cell r="N47">
            <v>31.919749589999999</v>
          </cell>
          <cell r="S47">
            <v>173.19336441999999</v>
          </cell>
          <cell r="X47">
            <v>424.53555085000005</v>
          </cell>
          <cell r="AC47">
            <v>379.43902512000005</v>
          </cell>
          <cell r="AD47">
            <v>339.13290299423227</v>
          </cell>
          <cell r="AE47">
            <v>303.10832117735481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N49">
            <v>0</v>
          </cell>
          <cell r="S49">
            <v>0</v>
          </cell>
          <cell r="X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0.17844081999998895</v>
          </cell>
          <cell r="G50">
            <v>0.2074972800000392</v>
          </cell>
          <cell r="H50">
            <v>0.21828925000001131</v>
          </cell>
          <cell r="I50">
            <v>0.14768542000007301</v>
          </cell>
          <cell r="N50">
            <v>0.9585579899996155</v>
          </cell>
          <cell r="S50">
            <v>4.5108574899996654</v>
          </cell>
          <cell r="X50">
            <v>98.729809860000955</v>
          </cell>
          <cell r="AC50">
            <v>98.729809860000557</v>
          </cell>
          <cell r="AD50">
            <v>98.729809859999818</v>
          </cell>
          <cell r="AE50">
            <v>98.729809859998568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245.41566685999999</v>
          </cell>
          <cell r="G51">
            <v>353.21841780000005</v>
          </cell>
          <cell r="H51">
            <v>456.80541956000002</v>
          </cell>
          <cell r="I51">
            <v>1350.55804388</v>
          </cell>
          <cell r="N51">
            <v>2380.7227348499996</v>
          </cell>
          <cell r="S51">
            <v>4778.4863082399997</v>
          </cell>
          <cell r="X51">
            <v>9520.0241899300017</v>
          </cell>
          <cell r="AC51">
            <v>13342.26653809611</v>
          </cell>
          <cell r="AD51">
            <v>17232.570415868398</v>
          </cell>
          <cell r="AE51">
            <v>21826.832854882003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16.777339259999998</v>
          </cell>
          <cell r="G52">
            <v>41.451026480000003</v>
          </cell>
          <cell r="H52">
            <v>57.21758543</v>
          </cell>
          <cell r="I52">
            <v>136.06581438000001</v>
          </cell>
          <cell r="N52">
            <v>402.62323929999997</v>
          </cell>
          <cell r="S52">
            <v>1198.2719779500001</v>
          </cell>
          <cell r="X52">
            <v>2951.1503393500002</v>
          </cell>
          <cell r="AC52">
            <v>5649.5334820484113</v>
          </cell>
          <cell r="AD52">
            <v>7978.460283926006</v>
          </cell>
          <cell r="AE52">
            <v>10884.449564198705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19.3</v>
          </cell>
          <cell r="G53">
            <v>22.561091929999996</v>
          </cell>
          <cell r="H53">
            <v>75.731891500000003</v>
          </cell>
          <cell r="I53">
            <v>177.4443804</v>
          </cell>
          <cell r="N53">
            <v>711.04892512000004</v>
          </cell>
          <cell r="S53">
            <v>1776.92917029</v>
          </cell>
          <cell r="X53">
            <v>2411.63414478</v>
          </cell>
          <cell r="AC53">
            <v>3111.63414478</v>
          </cell>
          <cell r="AD53">
            <v>3511.63414478</v>
          </cell>
          <cell r="AE53">
            <v>3911.63414478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4.0646655600000052</v>
          </cell>
          <cell r="G54">
            <v>3.7481227399999995</v>
          </cell>
          <cell r="H54">
            <v>11.659776179999994</v>
          </cell>
          <cell r="I54">
            <v>10.404384339999979</v>
          </cell>
          <cell r="N54">
            <v>-28.003794750000111</v>
          </cell>
          <cell r="S54">
            <v>275.77183497999977</v>
          </cell>
          <cell r="X54">
            <v>243.38690675999987</v>
          </cell>
          <cell r="AC54">
            <v>234.13493430825702</v>
          </cell>
          <cell r="AD54">
            <v>343.80754708714858</v>
          </cell>
          <cell r="AE54">
            <v>379.43341810902757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40.142004820000004</v>
          </cell>
          <cell r="G55">
            <v>67.760241149999999</v>
          </cell>
          <cell r="H55">
            <v>144.60925311</v>
          </cell>
          <cell r="I55">
            <v>323.91457911999998</v>
          </cell>
          <cell r="N55">
            <v>1085.6683696699999</v>
          </cell>
          <cell r="S55">
            <v>3250.9729832200001</v>
          </cell>
          <cell r="X55">
            <v>5606.1713908900001</v>
          </cell>
          <cell r="AC55">
            <v>8995.3025611366684</v>
          </cell>
          <cell r="AD55">
            <v>11833.901975793155</v>
          </cell>
          <cell r="AE55">
            <v>15175.517127087733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48</v>
          </cell>
          <cell r="G56">
            <v>89.4</v>
          </cell>
          <cell r="H56">
            <v>67.058999999999997</v>
          </cell>
          <cell r="I56">
            <v>51.075000000000003</v>
          </cell>
          <cell r="N56">
            <v>322.11547139999999</v>
          </cell>
          <cell r="S56">
            <v>233.48712739999999</v>
          </cell>
          <cell r="X56">
            <v>631.13143863999994</v>
          </cell>
          <cell r="AC56">
            <v>631.13143863999994</v>
          </cell>
          <cell r="AD56">
            <v>631.13143863999994</v>
          </cell>
          <cell r="AE56">
            <v>631.13143863999994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1.574395000000095E-2</v>
          </cell>
          <cell r="G57">
            <v>1.9486123899999939</v>
          </cell>
          <cell r="H57">
            <v>0</v>
          </cell>
          <cell r="I57">
            <v>7.4428481699999978</v>
          </cell>
          <cell r="N57">
            <v>1.8773399999986395E-2</v>
          </cell>
          <cell r="S57">
            <v>0</v>
          </cell>
          <cell r="X57">
            <v>16.092030479999949</v>
          </cell>
          <cell r="AC57">
            <v>16.092030479999949</v>
          </cell>
          <cell r="AD57">
            <v>16.092030479999949</v>
          </cell>
          <cell r="AE57">
            <v>16.092030479999949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48.015743950000001</v>
          </cell>
          <cell r="G58">
            <v>91.34861239</v>
          </cell>
          <cell r="H58">
            <v>67.058999999999997</v>
          </cell>
          <cell r="I58">
            <v>58.517848170000001</v>
          </cell>
          <cell r="N58">
            <v>322.13424479999998</v>
          </cell>
          <cell r="S58">
            <v>233.48712739999999</v>
          </cell>
          <cell r="X58">
            <v>647.22346911999989</v>
          </cell>
          <cell r="AC58">
            <v>647.22346911999989</v>
          </cell>
          <cell r="AD58">
            <v>647.22346911999989</v>
          </cell>
          <cell r="AE58">
            <v>647.22346911999989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88.157748770000012</v>
          </cell>
          <cell r="G59">
            <v>159.10885353999998</v>
          </cell>
          <cell r="H59">
            <v>211.66825310999999</v>
          </cell>
          <cell r="I59">
            <v>382.43242728999996</v>
          </cell>
          <cell r="N59">
            <v>1407.80261447</v>
          </cell>
          <cell r="S59">
            <v>3484.4601106200003</v>
          </cell>
          <cell r="X59">
            <v>6253.3948600100002</v>
          </cell>
          <cell r="AC59">
            <v>9642.5260302566676</v>
          </cell>
          <cell r="AD59">
            <v>12481.125444913154</v>
          </cell>
          <cell r="AE59">
            <v>15822.740596207732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N60">
            <v>0</v>
          </cell>
          <cell r="S60">
            <v>0</v>
          </cell>
          <cell r="X60">
            <v>0</v>
          </cell>
          <cell r="AC60">
            <v>0</v>
          </cell>
          <cell r="AD60">
            <v>0</v>
          </cell>
          <cell r="AE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157.25791809000003</v>
          </cell>
          <cell r="G61">
            <v>194.10956426000001</v>
          </cell>
          <cell r="H61">
            <v>245.13716645000002</v>
          </cell>
          <cell r="I61">
            <v>968.12561659000005</v>
          </cell>
          <cell r="N61">
            <v>972.92012037999996</v>
          </cell>
          <cell r="S61">
            <v>1294.0261976199999</v>
          </cell>
          <cell r="X61">
            <v>3266.6293299200001</v>
          </cell>
          <cell r="AC61">
            <v>3699.7405078394404</v>
          </cell>
          <cell r="AD61">
            <v>4751.4449709552455</v>
          </cell>
          <cell r="AE61">
            <v>6004.0922586742718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N62">
            <v>0</v>
          </cell>
          <cell r="S62">
            <v>0</v>
          </cell>
          <cell r="X62">
            <v>0</v>
          </cell>
          <cell r="AC62">
            <v>0</v>
          </cell>
          <cell r="AD62">
            <v>0</v>
          </cell>
          <cell r="AE62">
            <v>0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157.25791809000003</v>
          </cell>
          <cell r="G63">
            <v>194.10956426000001</v>
          </cell>
          <cell r="H63">
            <v>245.13716645000002</v>
          </cell>
          <cell r="I63">
            <v>968.12561659000005</v>
          </cell>
          <cell r="N63">
            <v>972.92012037999996</v>
          </cell>
          <cell r="S63">
            <v>1294.0261976199999</v>
          </cell>
          <cell r="X63">
            <v>3266.6293299200001</v>
          </cell>
          <cell r="AC63">
            <v>3699.7405078394404</v>
          </cell>
          <cell r="AD63">
            <v>4751.4449709552455</v>
          </cell>
          <cell r="AE63">
            <v>6004.0922586742718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245.41566686000004</v>
          </cell>
          <cell r="G64">
            <v>353.2184178</v>
          </cell>
          <cell r="H64">
            <v>456.80541956000002</v>
          </cell>
          <cell r="I64">
            <v>1350.55804388</v>
          </cell>
          <cell r="N64">
            <v>2380.7227348500001</v>
          </cell>
          <cell r="S64">
            <v>4778.4863082400007</v>
          </cell>
          <cell r="X64">
            <v>9520.0241899299999</v>
          </cell>
          <cell r="AC64">
            <v>13342.266538096108</v>
          </cell>
          <cell r="AD64">
            <v>17232.570415868398</v>
          </cell>
          <cell r="AE64">
            <v>21826.832854882003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52.288621759999998</v>
          </cell>
          <cell r="G66">
            <v>89.525201890000005</v>
          </cell>
          <cell r="H66">
            <v>103.40210481</v>
          </cell>
          <cell r="I66">
            <v>-41.889850120000006</v>
          </cell>
          <cell r="N66">
            <v>655.04049802000009</v>
          </cell>
          <cell r="S66">
            <v>1204.7557616999998</v>
          </cell>
          <cell r="X66">
            <v>1382.3113229999999</v>
          </cell>
          <cell r="AC66">
            <v>2624.9782539536895</v>
          </cell>
          <cell r="AD66">
            <v>3277.211799297841</v>
          </cell>
          <cell r="AE66">
            <v>4237.6519264773169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N67">
            <v>0</v>
          </cell>
          <cell r="S67">
            <v>0</v>
          </cell>
          <cell r="X67">
            <v>0</v>
          </cell>
          <cell r="AC67">
            <v>0</v>
          </cell>
          <cell r="AD67">
            <v>0</v>
          </cell>
          <cell r="AE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N69">
            <v>0</v>
          </cell>
          <cell r="S69">
            <v>0</v>
          </cell>
          <cell r="X69">
            <v>0</v>
          </cell>
          <cell r="AC69">
            <v>0</v>
          </cell>
          <cell r="AD69">
            <v>0</v>
          </cell>
          <cell r="AE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S71">
            <v>5.9017119517151523E-2</v>
          </cell>
          <cell r="X71">
            <v>5.8864004038288453E-2</v>
          </cell>
          <cell r="AC71">
            <v>9.1459257696660065E-2</v>
          </cell>
          <cell r="AD71">
            <v>6.8524061110860082E-2</v>
          </cell>
          <cell r="AE71">
            <v>6.8830124791700351E-2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N72">
            <v>0</v>
          </cell>
          <cell r="S72">
            <v>0</v>
          </cell>
          <cell r="X72">
            <v>0</v>
          </cell>
          <cell r="AC72">
            <v>0</v>
          </cell>
          <cell r="AD72">
            <v>0</v>
          </cell>
          <cell r="AE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N74">
            <v>0</v>
          </cell>
          <cell r="S74">
            <v>0</v>
          </cell>
          <cell r="X74">
            <v>0</v>
          </cell>
          <cell r="AC74">
            <v>0</v>
          </cell>
          <cell r="AD74">
            <v>0</v>
          </cell>
          <cell r="AE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-4.6739281900000007</v>
          </cell>
          <cell r="G75">
            <v>-4.23352197</v>
          </cell>
          <cell r="H75">
            <v>-5.2145760599999997</v>
          </cell>
          <cell r="I75">
            <v>-16.889879989999997</v>
          </cell>
          <cell r="N75">
            <v>-31.919749589999999</v>
          </cell>
          <cell r="S75">
            <v>-173.19336441999999</v>
          </cell>
          <cell r="X75">
            <v>-424.53555085000005</v>
          </cell>
          <cell r="AC75">
            <v>-379.43902512000005</v>
          </cell>
          <cell r="AD75">
            <v>-339.13290299423227</v>
          </cell>
          <cell r="AE75">
            <v>-303.10832117735481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N77">
            <v>1</v>
          </cell>
          <cell r="S77">
            <v>1</v>
          </cell>
          <cell r="X77">
            <v>1</v>
          </cell>
          <cell r="AC77">
            <v>1</v>
          </cell>
          <cell r="AD77">
            <v>1</v>
          </cell>
          <cell r="AE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N78">
            <v>0</v>
          </cell>
          <cell r="S78">
            <v>0</v>
          </cell>
          <cell r="X78">
            <v>0</v>
          </cell>
          <cell r="AC78">
            <v>0</v>
          </cell>
          <cell r="AD78">
            <v>0</v>
          </cell>
          <cell r="AE78">
            <v>0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N80">
            <v>0</v>
          </cell>
          <cell r="S80">
            <v>0</v>
          </cell>
          <cell r="X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10.28852073</v>
          </cell>
          <cell r="G81">
            <v>12.478939460000001</v>
          </cell>
          <cell r="H81">
            <v>18.832245440000001</v>
          </cell>
          <cell r="I81">
            <v>23.705793049999997</v>
          </cell>
          <cell r="N81">
            <v>41.898108929999999</v>
          </cell>
          <cell r="S81">
            <v>100.91825257000001</v>
          </cell>
          <cell r="X81">
            <v>206.15155141</v>
          </cell>
          <cell r="AC81">
            <v>246.30500103522215</v>
          </cell>
          <cell r="AD81">
            <v>284.83676617613258</v>
          </cell>
          <cell r="AE81">
            <v>351.58884143496505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-45.016216029999988</v>
          </cell>
          <cell r="G82">
            <v>-7.571566940000011</v>
          </cell>
          <cell r="H82">
            <v>-47.160417360000011</v>
          </cell>
          <cell r="I82">
            <v>-124.24508271999998</v>
          </cell>
          <cell r="N82">
            <v>-213.81027306999999</v>
          </cell>
          <cell r="S82">
            <v>-412.50762506999968</v>
          </cell>
          <cell r="X82">
            <v>-26.504167309999957</v>
          </cell>
          <cell r="AC82">
            <v>-594.17625369109282</v>
          </cell>
          <cell r="AD82">
            <v>-681.3688388908754</v>
          </cell>
          <cell r="AE82">
            <v>-692.07172022210671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43.266833889999987</v>
          </cell>
          <cell r="G83">
            <v>-2.8208424699999828</v>
          </cell>
          <cell r="H83">
            <v>26.519986469999992</v>
          </cell>
          <cell r="I83">
            <v>-41.008861930000009</v>
          </cell>
          <cell r="N83">
            <v>-55.322168510000097</v>
          </cell>
          <cell r="S83">
            <v>169.75261078999927</v>
          </cell>
          <cell r="X83">
            <v>-60.441669260001817</v>
          </cell>
          <cell r="AC83">
            <v>0</v>
          </cell>
          <cell r="AD83">
            <v>0</v>
          </cell>
          <cell r="AE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39.098044119999997</v>
          </cell>
          <cell r="G84">
            <v>39.366542920000001</v>
          </cell>
          <cell r="H84">
            <v>49.179702369999994</v>
          </cell>
          <cell r="I84">
            <v>-89.459397230000008</v>
          </cell>
          <cell r="N84">
            <v>-206.52567388</v>
          </cell>
          <cell r="S84">
            <v>179.23293794</v>
          </cell>
          <cell r="X84">
            <v>690.54117062</v>
          </cell>
          <cell r="AC84">
            <v>162.0277528118271</v>
          </cell>
          <cell r="AD84">
            <v>841.63283072820991</v>
          </cell>
          <cell r="AE84">
            <v>1134.2507202809124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-104.16727116</v>
          </cell>
          <cell r="G85">
            <v>-71.983806599999994</v>
          </cell>
          <cell r="H85">
            <v>-47.75897801</v>
          </cell>
          <cell r="I85">
            <v>-419.88469295999994</v>
          </cell>
          <cell r="N85">
            <v>-427.48883926000002</v>
          </cell>
          <cell r="S85">
            <v>-862.62405487000001</v>
          </cell>
          <cell r="X85">
            <v>-1829.7319967000001</v>
          </cell>
          <cell r="AC85">
            <v>-1318.6548837655166</v>
          </cell>
          <cell r="AD85">
            <v>-1417.0785485241047</v>
          </cell>
          <cell r="AE85">
            <v>-1908.2304071332403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S86">
            <v>0</v>
          </cell>
          <cell r="X86">
            <v>0</v>
          </cell>
          <cell r="AC86">
            <v>0</v>
          </cell>
          <cell r="AD86">
            <v>0</v>
          </cell>
          <cell r="AE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1.11E-2</v>
          </cell>
          <cell r="N87">
            <v>1.0500000000000001E-2</v>
          </cell>
          <cell r="S87">
            <v>0.82423449999999998</v>
          </cell>
          <cell r="X87">
            <v>0.19043185000000001</v>
          </cell>
          <cell r="AC87">
            <v>0</v>
          </cell>
          <cell r="AD87">
            <v>0</v>
          </cell>
          <cell r="AE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-3.4529740199999992</v>
          </cell>
          <cell r="G88">
            <v>0</v>
          </cell>
          <cell r="H88">
            <v>0</v>
          </cell>
          <cell r="I88">
            <v>-1.0009354456386177E-15</v>
          </cell>
          <cell r="N88">
            <v>-2.0919030396804317E-14</v>
          </cell>
          <cell r="S88">
            <v>-1.1324274851176597E-14</v>
          </cell>
          <cell r="X88">
            <v>-2.287967160000012</v>
          </cell>
          <cell r="AC88">
            <v>0</v>
          </cell>
          <cell r="AD88">
            <v>0</v>
          </cell>
          <cell r="AE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-107.62024518</v>
          </cell>
          <cell r="G89">
            <v>-71.983806599999994</v>
          </cell>
          <cell r="H89">
            <v>-47.75897801</v>
          </cell>
          <cell r="I89">
            <v>-419.87359295999994</v>
          </cell>
          <cell r="N89">
            <v>-427.47833926000004</v>
          </cell>
          <cell r="S89">
            <v>-861.79982037000002</v>
          </cell>
          <cell r="X89">
            <v>-1831.8295320100001</v>
          </cell>
          <cell r="AC89">
            <v>-1318.6548837655166</v>
          </cell>
          <cell r="AD89">
            <v>-1417.0785485241047</v>
          </cell>
          <cell r="AE89">
            <v>-1908.2304071332403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N90">
            <v>-15.360000000000003</v>
          </cell>
          <cell r="S90">
            <v>0</v>
          </cell>
          <cell r="X90">
            <v>-48.833399999999997</v>
          </cell>
          <cell r="AC90">
            <v>-86.0398</v>
          </cell>
          <cell r="AD90">
            <v>-76.787827548257056</v>
          </cell>
          <cell r="AE90">
            <v>-186.46044032714806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4.5</v>
          </cell>
          <cell r="G91">
            <v>0</v>
          </cell>
          <cell r="H91">
            <v>0</v>
          </cell>
          <cell r="I91">
            <v>678</v>
          </cell>
          <cell r="N91">
            <v>0</v>
          </cell>
          <cell r="S91">
            <v>0</v>
          </cell>
          <cell r="X91">
            <v>1454.9805999999999</v>
          </cell>
          <cell r="AC91">
            <v>0</v>
          </cell>
          <cell r="AD91">
            <v>0</v>
          </cell>
          <cell r="AE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61.1</v>
          </cell>
          <cell r="G92">
            <v>44.897116390000008</v>
          </cell>
          <cell r="H92">
            <v>26.494776919999993</v>
          </cell>
          <cell r="I92">
            <v>84.316403780000002</v>
          </cell>
          <cell r="N92">
            <v>805.19195346000015</v>
          </cell>
          <cell r="S92">
            <v>1225.0299468599997</v>
          </cell>
          <cell r="X92">
            <v>796.60104972000045</v>
          </cell>
          <cell r="AC92">
            <v>700</v>
          </cell>
          <cell r="AD92">
            <v>400</v>
          </cell>
          <cell r="AE92">
            <v>400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12.247038969999984</v>
          </cell>
          <cell r="G93">
            <v>-4.8553409099999953</v>
          </cell>
          <cell r="H93">
            <v>-10.96260463</v>
          </cell>
          <cell r="I93">
            <v>-21.962969759999993</v>
          </cell>
          <cell r="N93">
            <v>-48.11327233999998</v>
          </cell>
          <cell r="S93">
            <v>-256.32815031999996</v>
          </cell>
          <cell r="X93">
            <v>-480.00306436999995</v>
          </cell>
          <cell r="AC93">
            <v>0</v>
          </cell>
          <cell r="AD93">
            <v>0</v>
          </cell>
          <cell r="AE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77.847038969999986</v>
          </cell>
          <cell r="G94">
            <v>40.041775480000013</v>
          </cell>
          <cell r="H94">
            <v>15.532172289999993</v>
          </cell>
          <cell r="I94">
            <v>740.35343402000001</v>
          </cell>
          <cell r="N94">
            <v>741.71868112000016</v>
          </cell>
          <cell r="S94">
            <v>968.70179653999969</v>
          </cell>
          <cell r="X94">
            <v>1722.7451853500004</v>
          </cell>
          <cell r="AC94">
            <v>613.96019999999999</v>
          </cell>
          <cell r="AD94">
            <v>323.21217245174296</v>
          </cell>
          <cell r="AE94">
            <v>213.53955967285194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9.3248379099999852</v>
          </cell>
          <cell r="G95">
            <v>7.424511800000019</v>
          </cell>
          <cell r="H95">
            <v>16.952896649999985</v>
          </cell>
          <cell r="I95">
            <v>231.02044383000009</v>
          </cell>
          <cell r="N95">
            <v>107.71466798000006</v>
          </cell>
          <cell r="S95">
            <v>286.13491410999961</v>
          </cell>
          <cell r="X95">
            <v>581.45682396000029</v>
          </cell>
          <cell r="AC95">
            <v>-542.66693095368964</v>
          </cell>
          <cell r="AD95">
            <v>-252.23354534415182</v>
          </cell>
          <cell r="AE95">
            <v>-560.44012717947589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</v>
          </cell>
          <cell r="I109">
            <v>0.185</v>
          </cell>
          <cell r="N109">
            <v>0.40300000000000002</v>
          </cell>
          <cell r="S109">
            <v>0.26700000000000002</v>
          </cell>
          <cell r="X109">
            <v>0.38600000000000001</v>
          </cell>
          <cell r="AC109">
            <v>0.48249999999999998</v>
          </cell>
          <cell r="AD109">
            <v>0.53075000000000006</v>
          </cell>
          <cell r="AE109">
            <v>0.55728750000000005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S111">
            <v>0</v>
          </cell>
          <cell r="X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S112">
            <v>0</v>
          </cell>
          <cell r="X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B113" t="str">
            <v>Sales - % Brazil</v>
          </cell>
          <cell r="C113" t="str">
            <v>SALES_BRAZIL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S113">
            <v>0</v>
          </cell>
          <cell r="X113">
            <v>0</v>
          </cell>
          <cell r="AC113">
            <v>0</v>
          </cell>
          <cell r="AD113">
            <v>0</v>
          </cell>
          <cell r="AE113">
            <v>0</v>
          </cell>
        </row>
        <row r="114">
          <cell r="B114" t="str">
            <v>Sales - % Other Americas</v>
          </cell>
          <cell r="C114" t="str">
            <v>SALES_OTH_AM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S114">
            <v>0</v>
          </cell>
          <cell r="X114">
            <v>0</v>
          </cell>
          <cell r="AC114">
            <v>0</v>
          </cell>
          <cell r="AD114">
            <v>0</v>
          </cell>
          <cell r="AE114">
            <v>0</v>
          </cell>
        </row>
        <row r="115">
          <cell r="B115" t="str">
            <v>Sales - Total % EMEA</v>
          </cell>
          <cell r="C115" t="str">
            <v>SALES_TOT_EMEA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S115">
            <v>0</v>
          </cell>
          <cell r="X115">
            <v>0</v>
          </cell>
          <cell r="AC115">
            <v>0</v>
          </cell>
          <cell r="AD115">
            <v>0</v>
          </cell>
          <cell r="AE115">
            <v>0</v>
          </cell>
        </row>
        <row r="116">
          <cell r="B116" t="str">
            <v>Sales - % UK</v>
          </cell>
          <cell r="C116" t="str">
            <v>SALES_UK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S116">
            <v>0</v>
          </cell>
          <cell r="X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B117" t="str">
            <v>Sales - % Western Europe-Ex UK</v>
          </cell>
          <cell r="C117" t="str">
            <v>SALES_EU_EX_UK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S117">
            <v>0</v>
          </cell>
          <cell r="X117">
            <v>0</v>
          </cell>
          <cell r="AC117">
            <v>0</v>
          </cell>
          <cell r="AD117">
            <v>0</v>
          </cell>
          <cell r="AE117">
            <v>0</v>
          </cell>
        </row>
        <row r="118">
          <cell r="B118" t="str">
            <v>Sales - % Central &amp; Eastern Europe</v>
          </cell>
          <cell r="C118" t="str">
            <v>SALES_CEE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S118">
            <v>0</v>
          </cell>
          <cell r="X118">
            <v>0</v>
          </cell>
          <cell r="AC118">
            <v>0</v>
          </cell>
          <cell r="AD118">
            <v>0</v>
          </cell>
          <cell r="AE118">
            <v>0</v>
          </cell>
        </row>
        <row r="119">
          <cell r="B119" t="str">
            <v>Sales - % Middle East</v>
          </cell>
          <cell r="C119" t="str">
            <v>SALES_ME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S119">
            <v>0</v>
          </cell>
          <cell r="X119">
            <v>0</v>
          </cell>
          <cell r="AC119">
            <v>0</v>
          </cell>
          <cell r="AD119">
            <v>0</v>
          </cell>
          <cell r="AE119">
            <v>0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S121">
            <v>0</v>
          </cell>
          <cell r="X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B122" t="str">
            <v>Sales - % Other EMEA</v>
          </cell>
          <cell r="C122" t="str">
            <v>SALES_OTH_EMEA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S122">
            <v>0</v>
          </cell>
          <cell r="X122">
            <v>0</v>
          </cell>
          <cell r="AC122">
            <v>0</v>
          </cell>
          <cell r="AD122">
            <v>0</v>
          </cell>
          <cell r="AE122">
            <v>0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  <cell r="F123">
            <v>1</v>
          </cell>
          <cell r="G123">
            <v>1</v>
          </cell>
          <cell r="H123">
            <v>1</v>
          </cell>
          <cell r="I123">
            <v>1</v>
          </cell>
          <cell r="J123">
            <v>1</v>
          </cell>
          <cell r="K123">
            <v>1</v>
          </cell>
          <cell r="L123">
            <v>1</v>
          </cell>
          <cell r="M123">
            <v>1</v>
          </cell>
          <cell r="N123">
            <v>1</v>
          </cell>
          <cell r="S123">
            <v>1</v>
          </cell>
          <cell r="X123">
            <v>1</v>
          </cell>
          <cell r="AC123">
            <v>1</v>
          </cell>
          <cell r="AD123">
            <v>1</v>
          </cell>
          <cell r="AE123">
            <v>1</v>
          </cell>
        </row>
        <row r="124">
          <cell r="B124" t="str">
            <v>Sales - % Japan</v>
          </cell>
          <cell r="C124" t="str">
            <v>SALES_JAPAN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S124">
            <v>0</v>
          </cell>
          <cell r="X124">
            <v>0</v>
          </cell>
          <cell r="AC124">
            <v>0</v>
          </cell>
          <cell r="AD124">
            <v>0</v>
          </cell>
          <cell r="AE124">
            <v>0</v>
          </cell>
        </row>
        <row r="125">
          <cell r="B125" t="str">
            <v>Sales - % China</v>
          </cell>
          <cell r="C125" t="str">
            <v>SALES_CHINA</v>
          </cell>
          <cell r="F125">
            <v>1</v>
          </cell>
          <cell r="G125">
            <v>1</v>
          </cell>
          <cell r="H125">
            <v>1</v>
          </cell>
          <cell r="I125">
            <v>1</v>
          </cell>
          <cell r="J125">
            <v>1</v>
          </cell>
          <cell r="K125">
            <v>1</v>
          </cell>
          <cell r="L125">
            <v>1</v>
          </cell>
          <cell r="M125">
            <v>1</v>
          </cell>
          <cell r="N125">
            <v>1</v>
          </cell>
          <cell r="S125">
            <v>1</v>
          </cell>
          <cell r="X125">
            <v>1</v>
          </cell>
          <cell r="AC125">
            <v>1</v>
          </cell>
          <cell r="AD125">
            <v>1</v>
          </cell>
          <cell r="AE125">
            <v>1</v>
          </cell>
        </row>
        <row r="126">
          <cell r="B126" t="str">
            <v>Sales - % India</v>
          </cell>
          <cell r="C126" t="str">
            <v>SALES_INDIA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S126">
            <v>0</v>
          </cell>
          <cell r="X126">
            <v>0</v>
          </cell>
          <cell r="AC126">
            <v>0</v>
          </cell>
          <cell r="AD126">
            <v>0</v>
          </cell>
          <cell r="AE126">
            <v>0</v>
          </cell>
        </row>
        <row r="127">
          <cell r="B127" t="str">
            <v>Sales - % South Korea</v>
          </cell>
          <cell r="C127" t="str">
            <v>SALES_SK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S127">
            <v>0</v>
          </cell>
          <cell r="X127">
            <v>0</v>
          </cell>
          <cell r="AC127">
            <v>0</v>
          </cell>
          <cell r="AD127">
            <v>0</v>
          </cell>
          <cell r="AE127">
            <v>0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S129">
            <v>0</v>
          </cell>
          <cell r="X129">
            <v>0</v>
          </cell>
          <cell r="AC129">
            <v>0</v>
          </cell>
          <cell r="AD129">
            <v>0</v>
          </cell>
          <cell r="AE129">
            <v>0</v>
          </cell>
        </row>
        <row r="130">
          <cell r="B130" t="str">
            <v>Sales - % Others</v>
          </cell>
          <cell r="C130" t="str">
            <v>SALES_OTHER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S130">
            <v>0</v>
          </cell>
          <cell r="X130">
            <v>0</v>
          </cell>
          <cell r="AC130">
            <v>0</v>
          </cell>
          <cell r="AD130">
            <v>0</v>
          </cell>
          <cell r="AE130">
            <v>0</v>
          </cell>
        </row>
        <row r="131">
          <cell r="B131" t="str">
            <v>Sales -% Consumer (C)</v>
          </cell>
          <cell r="C131" t="str">
            <v>SALES_CONS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N131">
            <v>0</v>
          </cell>
          <cell r="S131">
            <v>0</v>
          </cell>
          <cell r="X131">
            <v>0</v>
          </cell>
          <cell r="AC131">
            <v>0</v>
          </cell>
          <cell r="AD131">
            <v>0</v>
          </cell>
          <cell r="AE131">
            <v>0.01</v>
          </cell>
        </row>
        <row r="132">
          <cell r="B132" t="str">
            <v>Sales -% Industry (I)</v>
          </cell>
          <cell r="C132" t="str">
            <v>SALES_IND</v>
          </cell>
          <cell r="F132">
            <v>0.85</v>
          </cell>
          <cell r="G132">
            <v>0.85</v>
          </cell>
          <cell r="H132">
            <v>0.85</v>
          </cell>
          <cell r="I132">
            <v>0.85</v>
          </cell>
          <cell r="N132">
            <v>0.84</v>
          </cell>
          <cell r="S132">
            <v>0.83</v>
          </cell>
          <cell r="X132">
            <v>0.82</v>
          </cell>
          <cell r="AC132">
            <v>0.80999999999999994</v>
          </cell>
          <cell r="AD132">
            <v>0.79999999999999993</v>
          </cell>
          <cell r="AE132">
            <v>0.78999999999999992</v>
          </cell>
        </row>
        <row r="133">
          <cell r="B133" t="str">
            <v>Sales -% Government (G)</v>
          </cell>
          <cell r="C133" t="str">
            <v>SALES_GOV</v>
          </cell>
          <cell r="F133">
            <v>0.15000000000000002</v>
          </cell>
          <cell r="G133">
            <v>0.15000000000000002</v>
          </cell>
          <cell r="H133">
            <v>0.15000000000000002</v>
          </cell>
          <cell r="I133">
            <v>0.15000000000000002</v>
          </cell>
          <cell r="N133">
            <v>0.16000000000000003</v>
          </cell>
          <cell r="S133">
            <v>0.17000000000000004</v>
          </cell>
          <cell r="X133">
            <v>0.18000000000000005</v>
          </cell>
          <cell r="AC133">
            <v>0.19000000000000006</v>
          </cell>
          <cell r="AD133">
            <v>0.20000000000000007</v>
          </cell>
          <cell r="AE133">
            <v>0.20000000000000007</v>
          </cell>
        </row>
        <row r="134">
          <cell r="B134" t="str">
            <v>Sales - % Industry Sub-Segment: Financial Services</v>
          </cell>
          <cell r="C134" t="str">
            <v>SALES_FINAN</v>
          </cell>
          <cell r="F134">
            <v>0.15</v>
          </cell>
          <cell r="G134">
            <v>0.15</v>
          </cell>
          <cell r="H134">
            <v>0.15</v>
          </cell>
          <cell r="I134">
            <v>0.15</v>
          </cell>
          <cell r="N134">
            <v>0.15</v>
          </cell>
          <cell r="S134">
            <v>0.13999999999999999</v>
          </cell>
          <cell r="X134">
            <v>0.12999999999999998</v>
          </cell>
          <cell r="AC134">
            <v>0.11999999999999998</v>
          </cell>
          <cell r="AD134">
            <v>0.10999999999999999</v>
          </cell>
          <cell r="AE134">
            <v>9.9999999999999992E-2</v>
          </cell>
        </row>
        <row r="135">
          <cell r="A135" t="str">
            <v>Commodities Exposure - Expense</v>
          </cell>
        </row>
        <row r="136">
          <cell r="B136" t="str">
            <v>Expense - % Oil/Petrol/Fuel</v>
          </cell>
          <cell r="C136" t="str">
            <v>EXP_OIL_PETRO_FUEL</v>
          </cell>
        </row>
        <row r="137">
          <cell r="B137" t="str">
            <v>Expense - % Oil derivatives/NGLs/plastics</v>
          </cell>
          <cell r="C137" t="str">
            <v>EXP_OIL_DERIV_NGLS_PLASTICS</v>
          </cell>
        </row>
        <row r="138">
          <cell r="B138" t="str">
            <v>Expense - % Paper/pulp</v>
          </cell>
          <cell r="C138" t="str">
            <v>EXP_PAPER_PULP</v>
          </cell>
        </row>
        <row r="139">
          <cell r="B139" t="str">
            <v>Expense - % Glass</v>
          </cell>
          <cell r="C139" t="str">
            <v>EXP_GLASS</v>
          </cell>
        </row>
        <row r="140">
          <cell r="B140" t="str">
            <v>Expense - % Water</v>
          </cell>
          <cell r="C140" t="str">
            <v>EXP_WATER</v>
          </cell>
        </row>
        <row r="141">
          <cell r="B141" t="str">
            <v>Expense - % Other commodity</v>
          </cell>
          <cell r="C141" t="str">
            <v>EXP_OTH_COMMODITY</v>
          </cell>
        </row>
        <row r="142">
          <cell r="B142" t="str">
            <v>Expense - % Other (Non-Commodity) cost</v>
          </cell>
          <cell r="C142" t="str">
            <v>EXP_OTH_COST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</row>
        <row r="145">
          <cell r="B145" t="str">
            <v>Sales - % FX: Euro</v>
          </cell>
          <cell r="C145" t="str">
            <v>SALES_FX_EUR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</row>
        <row r="146">
          <cell r="B146" t="str">
            <v>Sales - % FX: New Russian Ruble</v>
          </cell>
          <cell r="C146" t="str">
            <v>SALES_FX_RUB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</row>
        <row r="147">
          <cell r="B147" t="str">
            <v>Sales - % FX: U.S. Dollar</v>
          </cell>
          <cell r="C147" t="str">
            <v>SALES_FX_USD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</row>
        <row r="148">
          <cell r="B148" t="str">
            <v>Sales - % FX: Brazilian Real</v>
          </cell>
          <cell r="C148" t="str">
            <v>SALES_FX_BRL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</row>
        <row r="149">
          <cell r="B149" t="str">
            <v>Sales - % FX: Japanese Yen</v>
          </cell>
          <cell r="C149" t="str">
            <v>SALES_FX_YEN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</row>
        <row r="150">
          <cell r="B150" t="str">
            <v>Sales - % FX: Chinese Renminbi</v>
          </cell>
          <cell r="C150" t="str">
            <v>SALES_FX_CNY</v>
          </cell>
          <cell r="F150">
            <v>1</v>
          </cell>
          <cell r="G150">
            <v>1</v>
          </cell>
          <cell r="H150">
            <v>1</v>
          </cell>
          <cell r="I150">
            <v>1</v>
          </cell>
          <cell r="J150">
            <v>1</v>
          </cell>
          <cell r="K150">
            <v>1</v>
          </cell>
          <cell r="L150">
            <v>1</v>
          </cell>
          <cell r="M150">
            <v>1</v>
          </cell>
          <cell r="N150">
            <v>1</v>
          </cell>
          <cell r="O150">
            <v>1</v>
          </cell>
          <cell r="P150">
            <v>1</v>
          </cell>
          <cell r="Q150">
            <v>1</v>
          </cell>
          <cell r="R150">
            <v>1</v>
          </cell>
          <cell r="S150">
            <v>1</v>
          </cell>
          <cell r="T150">
            <v>1</v>
          </cell>
          <cell r="U150">
            <v>1</v>
          </cell>
          <cell r="V150">
            <v>1</v>
          </cell>
          <cell r="W150">
            <v>1</v>
          </cell>
          <cell r="X150">
            <v>1</v>
          </cell>
          <cell r="Y150">
            <v>1</v>
          </cell>
          <cell r="Z150">
            <v>1</v>
          </cell>
          <cell r="AA150">
            <v>1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</row>
        <row r="151">
          <cell r="B151" t="str">
            <v>Sales - % FX: Indian Rupee</v>
          </cell>
          <cell r="C151" t="str">
            <v>SALES_FX_INR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</row>
        <row r="152">
          <cell r="B152" t="str">
            <v>Sales - % FX: South Korean Won</v>
          </cell>
          <cell r="C152" t="str">
            <v>SALES_FX_KRW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</row>
        <row r="153">
          <cell r="B153" t="str">
            <v>Sales - % FX: Taiwan Dollar</v>
          </cell>
          <cell r="C153" t="str">
            <v>SALES_FX_TWD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</row>
        <row r="154">
          <cell r="B154" t="str">
            <v>Sales - % FX: Other Currency</v>
          </cell>
          <cell r="C154" t="str">
            <v>SALES_FX_OTH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</row>
        <row r="155">
          <cell r="A155" t="str">
            <v>Security: Shenzhen O-Film Tech Co Ltd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002456.SZ</v>
          </cell>
        </row>
        <row r="158">
          <cell r="B158" t="str">
            <v>Security Name</v>
          </cell>
          <cell r="C158" t="str">
            <v>Security Name</v>
          </cell>
          <cell r="E158" t="str">
            <v>Shenzhen O-Film Tech Co Ltd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  <cell r="E160" t="str">
            <v>CNY</v>
          </cell>
        </row>
        <row r="161">
          <cell r="B161" t="str">
            <v>Pricing Currency</v>
          </cell>
          <cell r="C161" t="str">
            <v>PRICE_CURRENCY_ISO</v>
          </cell>
          <cell r="E161" t="str">
            <v>CNY</v>
          </cell>
        </row>
        <row r="162">
          <cell r="B162" t="str">
            <v>Reporting Currency</v>
          </cell>
          <cell r="C162" t="str">
            <v>CURRENCY_ISO</v>
          </cell>
          <cell r="E162" t="str">
            <v>CNY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</row>
        <row r="165">
          <cell r="B165" t="str">
            <v>Asia Pacific Conviction List</v>
          </cell>
          <cell r="C165" t="str">
            <v>AEJ_CONVICTION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 t="str">
            <v>CNY</v>
          </cell>
          <cell r="E167">
            <v>23</v>
          </cell>
        </row>
        <row r="168">
          <cell r="B168" t="str">
            <v>Target price period</v>
          </cell>
          <cell r="C168" t="str">
            <v>TP_PERIOD</v>
          </cell>
          <cell r="E168" t="str">
            <v>12 months</v>
          </cell>
        </row>
        <row r="169">
          <cell r="B169" t="str">
            <v>Current shares outstanding (mn)</v>
          </cell>
          <cell r="C169" t="str">
            <v>NUM_SH</v>
          </cell>
          <cell r="E169">
            <v>930.16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  <cell r="E182">
            <v>41.956700779161054</v>
          </cell>
        </row>
        <row r="183">
          <cell r="B183" t="str">
            <v>Target price methodology</v>
          </cell>
          <cell r="C183" t="str">
            <v>PRI_TARG_METH</v>
          </cell>
          <cell r="E183" t="str">
            <v>14E PE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 t="str">
            <v>CNY</v>
          </cell>
          <cell r="F185">
            <v>0.27301721890625008</v>
          </cell>
          <cell r="G185">
            <v>0.33699577128472225</v>
          </cell>
          <cell r="H185">
            <v>0.42558535842013895</v>
          </cell>
          <cell r="I185">
            <v>1.2605802299348958</v>
          </cell>
          <cell r="N185">
            <v>1.2668230734114583</v>
          </cell>
          <cell r="S185">
            <v>1.6849299448177082</v>
          </cell>
          <cell r="X185">
            <v>3.5119004578997166</v>
          </cell>
          <cell r="AC185">
            <v>3.9775312933682812</v>
          </cell>
          <cell r="AD185">
            <v>5.1082017835160034</v>
          </cell>
          <cell r="AE185">
            <v>6.4549026604823601</v>
          </cell>
        </row>
        <row r="186">
          <cell r="B186" t="str">
            <v>DPS, dividend per share (Pub)</v>
          </cell>
          <cell r="C186" t="str">
            <v>DPS_PUB</v>
          </cell>
          <cell r="D186" t="str">
            <v>CNY</v>
          </cell>
          <cell r="F186">
            <v>0</v>
          </cell>
          <cell r="G186">
            <v>0</v>
          </cell>
          <cell r="H186">
            <v>0</v>
          </cell>
          <cell r="I186">
            <v>2.0000000000000004E-2</v>
          </cell>
          <cell r="N186">
            <v>0</v>
          </cell>
          <cell r="S186">
            <v>6.3585156249999997E-2</v>
          </cell>
          <cell r="X186">
            <v>9.2499999999999999E-2</v>
          </cell>
          <cell r="AC186">
            <v>8.2553353775970867E-2</v>
          </cell>
          <cell r="AD186">
            <v>0.20046060927920795</v>
          </cell>
          <cell r="AE186">
            <v>0.23876140809003474</v>
          </cell>
        </row>
        <row r="187">
          <cell r="B187" t="str">
            <v>Special dividend per share</v>
          </cell>
          <cell r="C187" t="str">
            <v>DPS_SPECIAL_PUB</v>
          </cell>
          <cell r="D187" t="str">
            <v>CNY</v>
          </cell>
        </row>
        <row r="188">
          <cell r="B188" t="str">
            <v>EBITDA (Pub)</v>
          </cell>
          <cell r="C188" t="str">
            <v>EBITDA_PUB</v>
          </cell>
          <cell r="D188" t="str">
            <v>CNY</v>
          </cell>
          <cell r="F188">
            <v>46.415972099999991</v>
          </cell>
          <cell r="G188">
            <v>54.817239319999999</v>
          </cell>
          <cell r="H188">
            <v>84.477450250000004</v>
          </cell>
          <cell r="I188">
            <v>91.693204170000058</v>
          </cell>
          <cell r="N188">
            <v>97.940419390000216</v>
          </cell>
          <cell r="S188">
            <v>548.84694996000007</v>
          </cell>
          <cell r="X188">
            <v>1044.6172395200019</v>
          </cell>
          <cell r="AC188">
            <v>1139.6276448376666</v>
          </cell>
          <cell r="AD188">
            <v>1927.7403146696051</v>
          </cell>
          <cell r="AE188">
            <v>2278.5525797087503</v>
          </cell>
        </row>
        <row r="189">
          <cell r="B189" t="str">
            <v>EPS (Pub)</v>
          </cell>
          <cell r="C189" t="str">
            <v>EPS_PUB</v>
          </cell>
          <cell r="D189" t="str">
            <v>CNY</v>
          </cell>
          <cell r="F189">
            <v>5.305365543402777E-2</v>
          </cell>
          <cell r="G189">
            <v>6.4722244565972212E-2</v>
          </cell>
          <cell r="H189">
            <v>8.8520638576388908E-2</v>
          </cell>
          <cell r="I189">
            <v>6.782389891927082E-2</v>
          </cell>
          <cell r="N189">
            <v>2.6964399440104304E-2</v>
          </cell>
          <cell r="S189">
            <v>0.41805950475260473</v>
          </cell>
          <cell r="X189">
            <v>0.61423352517846586</v>
          </cell>
          <cell r="AC189">
            <v>0.54818418924453616</v>
          </cell>
          <cell r="AD189">
            <v>1.3311310994269294</v>
          </cell>
          <cell r="AE189">
            <v>1.5854622850563924</v>
          </cell>
        </row>
        <row r="190">
          <cell r="B190" t="str">
            <v>EV adjustment (Pub)</v>
          </cell>
          <cell r="C190" t="str">
            <v>EV_ADJ_PUB</v>
          </cell>
          <cell r="D190" t="str">
            <v>CNY</v>
          </cell>
        </row>
        <row r="191">
          <cell r="B191" t="str">
            <v>Net debt (Pub)</v>
          </cell>
          <cell r="C191" t="str">
            <v>NET_DEBT_PUB</v>
          </cell>
          <cell r="D191" t="str">
            <v>CNY</v>
          </cell>
          <cell r="F191">
            <v>52.288621759999998</v>
          </cell>
          <cell r="G191">
            <v>89.525201890000005</v>
          </cell>
          <cell r="H191">
            <v>103.40210481</v>
          </cell>
          <cell r="I191">
            <v>-41.889850120000006</v>
          </cell>
          <cell r="N191">
            <v>655.04049802000009</v>
          </cell>
          <cell r="S191">
            <v>1204.7557616999998</v>
          </cell>
          <cell r="X191">
            <v>1382.3113229999999</v>
          </cell>
          <cell r="AC191">
            <v>2624.9782539536895</v>
          </cell>
          <cell r="AD191">
            <v>3277.211799297841</v>
          </cell>
          <cell r="AE191">
            <v>4237.6519264773169</v>
          </cell>
        </row>
        <row r="192">
          <cell r="B192" t="str">
            <v>Net income (Pub)</v>
          </cell>
          <cell r="C192" t="str">
            <v>NI_PUB</v>
          </cell>
          <cell r="D192" t="str">
            <v>CNY</v>
          </cell>
          <cell r="F192">
            <v>30.558905529999997</v>
          </cell>
          <cell r="G192">
            <v>37.280012869999993</v>
          </cell>
          <cell r="H192">
            <v>50.987887820000012</v>
          </cell>
          <cell r="I192">
            <v>52.08875436999999</v>
          </cell>
          <cell r="J192">
            <v>5.8498744799999995</v>
          </cell>
          <cell r="K192">
            <v>-23.975419709999922</v>
          </cell>
          <cell r="L192">
            <v>-6.5200231500001138</v>
          </cell>
          <cell r="M192">
            <v>45.354227150000135</v>
          </cell>
          <cell r="N192">
            <v>20.708658770000106</v>
          </cell>
          <cell r="O192">
            <v>20.618543490000008</v>
          </cell>
          <cell r="P192">
            <v>65.326284120000068</v>
          </cell>
          <cell r="Q192">
            <v>109.1896344199999</v>
          </cell>
          <cell r="R192">
            <v>125.93523762000042</v>
          </cell>
          <cell r="S192">
            <v>321.06969965000042</v>
          </cell>
          <cell r="T192">
            <v>85.265240119999916</v>
          </cell>
          <cell r="U192">
            <v>135.56505769000026</v>
          </cell>
          <cell r="V192">
            <v>156.04613135000022</v>
          </cell>
          <cell r="W192">
            <v>194.45902662000125</v>
          </cell>
          <cell r="X192">
            <v>571.33545578000178</v>
          </cell>
          <cell r="Y192">
            <v>146.24694141999962</v>
          </cell>
          <cell r="Z192">
            <v>168.90711104000007</v>
          </cell>
          <cell r="AA192">
            <v>-1.2785082559460665</v>
          </cell>
          <cell r="AB192">
            <v>196.023461263645</v>
          </cell>
          <cell r="AC192">
            <v>509.89900546769775</v>
          </cell>
          <cell r="AD192">
            <v>1238.1649034429527</v>
          </cell>
          <cell r="AE192">
            <v>1474.733599068054</v>
          </cell>
        </row>
        <row r="193">
          <cell r="B193" t="str">
            <v>EBIT, operating profit (Pub)</v>
          </cell>
          <cell r="C193" t="str">
            <v>EBIT_PUB</v>
          </cell>
          <cell r="D193" t="str">
            <v>CNY</v>
          </cell>
          <cell r="F193">
            <v>36.127451369999989</v>
          </cell>
          <cell r="G193">
            <v>42.338299860000006</v>
          </cell>
          <cell r="H193">
            <v>65.645204810000052</v>
          </cell>
          <cell r="I193">
            <v>67.987411120000047</v>
          </cell>
          <cell r="J193">
            <v>11.43561626</v>
          </cell>
          <cell r="K193">
            <v>-15.954511979999925</v>
          </cell>
          <cell r="L193">
            <v>5.2976356199998875</v>
          </cell>
          <cell r="M193">
            <v>55.263570560000126</v>
          </cell>
          <cell r="N193">
            <v>56.042310460000181</v>
          </cell>
          <cell r="O193">
            <v>43.516171260000007</v>
          </cell>
          <cell r="P193">
            <v>126.99603577000006</v>
          </cell>
          <cell r="Q193">
            <v>149.4106194499999</v>
          </cell>
          <cell r="R193">
            <v>128.00587091000043</v>
          </cell>
          <cell r="S193">
            <v>447.9286973899998</v>
          </cell>
          <cell r="T193">
            <v>116.72198414999991</v>
          </cell>
          <cell r="U193">
            <v>201.04185348000027</v>
          </cell>
          <cell r="V193">
            <v>235.11720071000019</v>
          </cell>
          <cell r="W193">
            <v>285.58464977000125</v>
          </cell>
          <cell r="X193">
            <v>838.46568811000179</v>
          </cell>
          <cell r="Y193">
            <v>210.76101747999959</v>
          </cell>
          <cell r="Z193">
            <v>298.69866775000008</v>
          </cell>
          <cell r="AA193">
            <v>67.97075831855625</v>
          </cell>
          <cell r="AB193">
            <v>315.89220025388943</v>
          </cell>
          <cell r="AC193">
            <v>893.32264380244487</v>
          </cell>
          <cell r="AD193">
            <v>1642.903548493472</v>
          </cell>
          <cell r="AE193">
            <v>1926.9637382737856</v>
          </cell>
        </row>
        <row r="194">
          <cell r="B194" t="str">
            <v>Pre-tax profit (Pub)</v>
          </cell>
          <cell r="C194" t="str">
            <v>PTP_PUB</v>
          </cell>
          <cell r="D194" t="str">
            <v>CNY</v>
          </cell>
          <cell r="F194">
            <v>33.461085019999999</v>
          </cell>
          <cell r="G194">
            <v>40.095073419999991</v>
          </cell>
          <cell r="H194">
            <v>56.675449050000012</v>
          </cell>
          <cell r="I194">
            <v>61.161694379999986</v>
          </cell>
          <cell r="N194">
            <v>25.530270300000105</v>
          </cell>
          <cell r="S194">
            <v>378.11684095000044</v>
          </cell>
          <cell r="X194">
            <v>681.79577460000178</v>
          </cell>
          <cell r="AC194">
            <v>588.33424018024448</v>
          </cell>
          <cell r="AD194">
            <v>1406.6779972219329</v>
          </cell>
          <cell r="AE194">
            <v>1675.4434726783736</v>
          </cell>
        </row>
        <row r="195">
          <cell r="B195" t="str">
            <v>Sales, revenue (Pub)</v>
          </cell>
          <cell r="C195" t="str">
            <v>REVS_PUB</v>
          </cell>
          <cell r="D195" t="str">
            <v>CNY</v>
          </cell>
          <cell r="F195">
            <v>153.44289642999999</v>
          </cell>
          <cell r="G195">
            <v>230.68217597</v>
          </cell>
          <cell r="H195">
            <v>372.89676544000002</v>
          </cell>
          <cell r="I195">
            <v>618.17208788999994</v>
          </cell>
          <cell r="J195">
            <v>235.94299531000001</v>
          </cell>
          <cell r="K195">
            <v>190.40241835000006</v>
          </cell>
          <cell r="L195">
            <v>222.32953271999986</v>
          </cell>
          <cell r="M195">
            <v>596.52382822000004</v>
          </cell>
          <cell r="N195">
            <v>1245.1987746</v>
          </cell>
          <cell r="O195">
            <v>363.02041435000001</v>
          </cell>
          <cell r="P195">
            <v>923.62575711999989</v>
          </cell>
          <cell r="Q195">
            <v>1181.6799306299999</v>
          </cell>
          <cell r="R195">
            <v>1463.3951140400004</v>
          </cell>
          <cell r="S195">
            <v>3931.7212161400003</v>
          </cell>
          <cell r="T195">
            <v>1199.8611961199999</v>
          </cell>
          <cell r="U195">
            <v>2103.4240542000002</v>
          </cell>
          <cell r="V195">
            <v>2474.0075534799998</v>
          </cell>
          <cell r="W195">
            <v>3324.4714846500019</v>
          </cell>
          <cell r="X195">
            <v>9101.7642884500019</v>
          </cell>
          <cell r="Y195">
            <v>3032.7159968799997</v>
          </cell>
          <cell r="Z195">
            <v>5277.4992620200001</v>
          </cell>
          <cell r="AA195">
            <v>4348.3419025372614</v>
          </cell>
          <cell r="AB195">
            <v>3824.628885631696</v>
          </cell>
          <cell r="AC195">
            <v>16483.186047068957</v>
          </cell>
          <cell r="AD195">
            <v>23617.975808735078</v>
          </cell>
          <cell r="AE195">
            <v>31803.840118887339</v>
          </cell>
        </row>
        <row r="196">
          <cell r="B196" t="str">
            <v>Total shareholders' equity (Pub)</v>
          </cell>
          <cell r="C196" t="str">
            <v>EQ_PUB</v>
          </cell>
          <cell r="D196" t="str">
            <v>CNY</v>
          </cell>
          <cell r="F196">
            <v>157.25791809000003</v>
          </cell>
          <cell r="G196">
            <v>194.10956426000001</v>
          </cell>
          <cell r="H196">
            <v>245.13716645000002</v>
          </cell>
          <cell r="I196">
            <v>968.12561659000005</v>
          </cell>
          <cell r="N196">
            <v>972.92012037999996</v>
          </cell>
          <cell r="S196">
            <v>1294.0261976199999</v>
          </cell>
          <cell r="X196">
            <v>3266.6293299200001</v>
          </cell>
          <cell r="AC196">
            <v>3699.7405078394404</v>
          </cell>
          <cell r="AD196">
            <v>4751.4449709552455</v>
          </cell>
          <cell r="AE196">
            <v>6004.0922586742718</v>
          </cell>
        </row>
        <row r="197">
          <cell r="B197" t="str">
            <v>EPS (consensus)</v>
          </cell>
          <cell r="C197" t="str">
            <v>EPS_CONS_PUB</v>
          </cell>
          <cell r="D197" t="str">
            <v>CNY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 t="str">
            <v>CNY</v>
          </cell>
          <cell r="F199">
            <v>-2.9021794900000004</v>
          </cell>
          <cell r="G199">
            <v>-2.8150605500000001</v>
          </cell>
          <cell r="H199">
            <v>-5.68756123</v>
          </cell>
          <cell r="I199">
            <v>-9.0729400099999999</v>
          </cell>
          <cell r="N199">
            <v>-4.8216115300000002</v>
          </cell>
          <cell r="S199">
            <v>-57.047141299999993</v>
          </cell>
          <cell r="X199">
            <v>-110.46031882</v>
          </cell>
          <cell r="AC199">
            <v>-78.435234712546745</v>
          </cell>
          <cell r="AD199">
            <v>-168.51309377898011</v>
          </cell>
          <cell r="AE199">
            <v>-200.70987361031956</v>
          </cell>
        </row>
        <row r="200">
          <cell r="B200" t="str">
            <v>Minority interest</v>
          </cell>
          <cell r="C200" t="str">
            <v>INC_MINORITY</v>
          </cell>
          <cell r="D200" t="str">
            <v>CNY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N200">
            <v>0</v>
          </cell>
          <cell r="S200">
            <v>0</v>
          </cell>
          <cell r="X200">
            <v>0</v>
          </cell>
          <cell r="AC200">
            <v>0</v>
          </cell>
          <cell r="AD200">
            <v>0</v>
          </cell>
          <cell r="AE200">
            <v>0</v>
          </cell>
        </row>
        <row r="201">
          <cell r="B201" t="str">
            <v>Net income (pre-preferred dividends)</v>
          </cell>
          <cell r="C201" t="str">
            <v>NI_PRE_PREF</v>
          </cell>
          <cell r="D201" t="str">
            <v>CNY</v>
          </cell>
          <cell r="F201">
            <v>30.558905529999997</v>
          </cell>
          <cell r="G201">
            <v>37.280012869999993</v>
          </cell>
          <cell r="H201">
            <v>50.987887820000012</v>
          </cell>
          <cell r="I201">
            <v>52.08875436999999</v>
          </cell>
          <cell r="N201">
            <v>20.708658770000106</v>
          </cell>
          <cell r="S201">
            <v>321.06969965000042</v>
          </cell>
          <cell r="X201">
            <v>571.33545578000178</v>
          </cell>
          <cell r="AC201">
            <v>509.89900546769775</v>
          </cell>
          <cell r="AD201">
            <v>1238.1649034429527</v>
          </cell>
          <cell r="AE201">
            <v>1474.733599068054</v>
          </cell>
        </row>
        <row r="202">
          <cell r="B202" t="str">
            <v>Preferred dividends</v>
          </cell>
          <cell r="C202" t="str">
            <v>PREF_DIV</v>
          </cell>
          <cell r="D202" t="str">
            <v>CNY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N202">
            <v>0</v>
          </cell>
          <cell r="S202">
            <v>0</v>
          </cell>
          <cell r="X202">
            <v>0</v>
          </cell>
          <cell r="AC202">
            <v>0</v>
          </cell>
          <cell r="AD202">
            <v>0</v>
          </cell>
          <cell r="AE202">
            <v>0</v>
          </cell>
        </row>
        <row r="203">
          <cell r="B203" t="str">
            <v>Net income (pre-exceptionals)</v>
          </cell>
          <cell r="C203" t="str">
            <v>NET_EARNING</v>
          </cell>
          <cell r="D203" t="str">
            <v>CNY</v>
          </cell>
          <cell r="F203">
            <v>30.558905529999997</v>
          </cell>
          <cell r="G203">
            <v>37.280012869999993</v>
          </cell>
          <cell r="H203">
            <v>50.987887820000012</v>
          </cell>
          <cell r="I203">
            <v>52.08875436999999</v>
          </cell>
          <cell r="N203">
            <v>20.708658770000106</v>
          </cell>
          <cell r="S203">
            <v>321.06969965000042</v>
          </cell>
          <cell r="X203">
            <v>571.33545578000178</v>
          </cell>
          <cell r="AC203">
            <v>509.89900546769775</v>
          </cell>
          <cell r="AD203">
            <v>1238.1649034429527</v>
          </cell>
          <cell r="AE203">
            <v>1474.733599068054</v>
          </cell>
        </row>
        <row r="204">
          <cell r="B204" t="str">
            <v>Post-tax exceptionals</v>
          </cell>
          <cell r="C204" t="str">
            <v>TAX_EXC</v>
          </cell>
          <cell r="D204" t="str">
            <v>CNY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N204">
            <v>0</v>
          </cell>
          <cell r="S204">
            <v>0</v>
          </cell>
          <cell r="X204">
            <v>0</v>
          </cell>
          <cell r="AC204">
            <v>0</v>
          </cell>
          <cell r="AD204">
            <v>0</v>
          </cell>
          <cell r="AE204">
            <v>0</v>
          </cell>
        </row>
        <row r="205">
          <cell r="B205" t="str">
            <v>Net income (post-exceptionals)</v>
          </cell>
          <cell r="C205" t="str">
            <v>NET_INC</v>
          </cell>
          <cell r="D205" t="str">
            <v>CNY</v>
          </cell>
          <cell r="F205">
            <v>30.558905529999997</v>
          </cell>
          <cell r="G205">
            <v>37.280012869999993</v>
          </cell>
          <cell r="H205">
            <v>50.987887820000012</v>
          </cell>
          <cell r="I205">
            <v>52.08875436999999</v>
          </cell>
          <cell r="J205">
            <v>5.8498744799999995</v>
          </cell>
          <cell r="K205">
            <v>-23.975419709999922</v>
          </cell>
          <cell r="L205">
            <v>-6.5200231500001138</v>
          </cell>
          <cell r="M205">
            <v>45.354227150000135</v>
          </cell>
          <cell r="N205">
            <v>20.708658770000106</v>
          </cell>
          <cell r="O205">
            <v>20.618543490000008</v>
          </cell>
          <cell r="P205">
            <v>65.326284120000068</v>
          </cell>
          <cell r="Q205">
            <v>109.1896344199999</v>
          </cell>
          <cell r="R205">
            <v>125.93523762000042</v>
          </cell>
          <cell r="S205">
            <v>321.06969965000042</v>
          </cell>
          <cell r="T205">
            <v>85.265240119999916</v>
          </cell>
          <cell r="U205">
            <v>135.56505769000026</v>
          </cell>
          <cell r="V205">
            <v>156.04613135000022</v>
          </cell>
          <cell r="W205">
            <v>194.45902662000125</v>
          </cell>
          <cell r="X205">
            <v>571.33545578000178</v>
          </cell>
          <cell r="Y205">
            <v>146.24694141999962</v>
          </cell>
          <cell r="Z205">
            <v>168.90711104000007</v>
          </cell>
          <cell r="AA205">
            <v>-1.2785082559460665</v>
          </cell>
          <cell r="AB205">
            <v>196.023461263645</v>
          </cell>
          <cell r="AC205">
            <v>509.89900546769775</v>
          </cell>
          <cell r="AD205">
            <v>1238.1649034429527</v>
          </cell>
          <cell r="AE205">
            <v>1474.733599068054</v>
          </cell>
        </row>
        <row r="206">
          <cell r="B206" t="str">
            <v>EPS (pre-exceptionals, basic)</v>
          </cell>
          <cell r="C206" t="str">
            <v>EPS</v>
          </cell>
          <cell r="D206" t="str">
            <v>CNY</v>
          </cell>
          <cell r="F206">
            <v>5.305365543402777E-2</v>
          </cell>
          <cell r="G206">
            <v>6.4722244565972212E-2</v>
          </cell>
          <cell r="H206">
            <v>8.8520638576388908E-2</v>
          </cell>
          <cell r="I206">
            <v>6.782389891927082E-2</v>
          </cell>
          <cell r="N206">
            <v>2.6964399440104304E-2</v>
          </cell>
          <cell r="S206">
            <v>0.41805950475260473</v>
          </cell>
          <cell r="X206">
            <v>0.61423352517846586</v>
          </cell>
          <cell r="AC206">
            <v>0.54818418924453616</v>
          </cell>
          <cell r="AD206">
            <v>1.3311310994269294</v>
          </cell>
          <cell r="AE206">
            <v>1.5854622850563924</v>
          </cell>
        </row>
        <row r="207">
          <cell r="B207" t="str">
            <v>EPS (pre-exceptionals, diluted)</v>
          </cell>
          <cell r="C207" t="str">
            <v>EPS_FUL_DIL</v>
          </cell>
          <cell r="D207" t="str">
            <v>CNY</v>
          </cell>
          <cell r="F207">
            <v>5.305365543402777E-2</v>
          </cell>
          <cell r="G207">
            <v>6.4722244565972212E-2</v>
          </cell>
          <cell r="H207">
            <v>8.8520638576388908E-2</v>
          </cell>
          <cell r="I207">
            <v>6.782389891927082E-2</v>
          </cell>
          <cell r="N207">
            <v>2.6964399440104304E-2</v>
          </cell>
          <cell r="S207">
            <v>0.41805950475260473</v>
          </cell>
          <cell r="X207">
            <v>0.61423352517846586</v>
          </cell>
          <cell r="AC207">
            <v>0.54818418924453616</v>
          </cell>
          <cell r="AD207">
            <v>1.3311310994269294</v>
          </cell>
          <cell r="AE207">
            <v>1.5854622850563924</v>
          </cell>
        </row>
        <row r="208">
          <cell r="B208" t="str">
            <v>EPS (post-exceptionals, basic)</v>
          </cell>
          <cell r="C208" t="str">
            <v>EPS_POST_BASIC</v>
          </cell>
          <cell r="D208" t="str">
            <v>CNY</v>
          </cell>
          <cell r="F208">
            <v>5.305365543402777E-2</v>
          </cell>
          <cell r="G208">
            <v>6.4722244565972212E-2</v>
          </cell>
          <cell r="H208">
            <v>8.8520638576388908E-2</v>
          </cell>
          <cell r="I208">
            <v>6.782389891927082E-2</v>
          </cell>
          <cell r="N208">
            <v>2.6964399440104304E-2</v>
          </cell>
          <cell r="S208">
            <v>0.41805950475260473</v>
          </cell>
          <cell r="X208">
            <v>0.61423352517846586</v>
          </cell>
          <cell r="AC208">
            <v>0.54818418924453616</v>
          </cell>
          <cell r="AD208">
            <v>1.3311310994269294</v>
          </cell>
          <cell r="AE208">
            <v>1.5854622850563924</v>
          </cell>
        </row>
        <row r="209">
          <cell r="B209" t="str">
            <v>EPS (post-exceptionals, diluted)</v>
          </cell>
          <cell r="C209" t="str">
            <v>FULLY_DIL_EPS</v>
          </cell>
          <cell r="D209" t="str">
            <v>CNY</v>
          </cell>
          <cell r="F209">
            <v>5.305365543402777E-2</v>
          </cell>
          <cell r="G209">
            <v>6.4722244565972212E-2</v>
          </cell>
          <cell r="H209">
            <v>8.8520638576388908E-2</v>
          </cell>
          <cell r="I209">
            <v>6.782389891927082E-2</v>
          </cell>
          <cell r="N209">
            <v>2.6964399440104304E-2</v>
          </cell>
          <cell r="S209">
            <v>0.41805950475260473</v>
          </cell>
          <cell r="X209">
            <v>0.61423352517846586</v>
          </cell>
          <cell r="AC209">
            <v>0.54818418924453616</v>
          </cell>
          <cell r="AD209">
            <v>1.3311310994269294</v>
          </cell>
          <cell r="AE209">
            <v>1.5854622850563924</v>
          </cell>
        </row>
        <row r="210">
          <cell r="B210" t="str">
            <v>Common dividends paid</v>
          </cell>
          <cell r="C210" t="str">
            <v>COMMON_DIV_PAID</v>
          </cell>
          <cell r="D210" t="str">
            <v>CNY</v>
          </cell>
          <cell r="F210">
            <v>0</v>
          </cell>
          <cell r="G210">
            <v>0</v>
          </cell>
          <cell r="H210">
            <v>0</v>
          </cell>
          <cell r="I210">
            <v>-15.360000000000003</v>
          </cell>
          <cell r="N210">
            <v>0</v>
          </cell>
          <cell r="S210">
            <v>-48.833399999999997</v>
          </cell>
          <cell r="X210">
            <v>-86.0398</v>
          </cell>
          <cell r="AC210">
            <v>-76.787827548257056</v>
          </cell>
          <cell r="AD210">
            <v>-186.46044032714806</v>
          </cell>
          <cell r="AE210">
            <v>-222.08631134902672</v>
          </cell>
        </row>
        <row r="211">
          <cell r="B211" t="str">
            <v>DPS, dividend per share</v>
          </cell>
          <cell r="C211" t="str">
            <v>DPS</v>
          </cell>
          <cell r="D211" t="str">
            <v>CNY</v>
          </cell>
          <cell r="F211">
            <v>0</v>
          </cell>
          <cell r="G211">
            <v>0</v>
          </cell>
          <cell r="H211">
            <v>0</v>
          </cell>
          <cell r="I211">
            <v>2.0000000000000004E-2</v>
          </cell>
          <cell r="N211">
            <v>0</v>
          </cell>
          <cell r="S211">
            <v>6.3585156249999997E-2</v>
          </cell>
          <cell r="X211">
            <v>9.2499999999999999E-2</v>
          </cell>
          <cell r="AC211">
            <v>8.2553353775970867E-2</v>
          </cell>
          <cell r="AD211">
            <v>0.20046060927920795</v>
          </cell>
          <cell r="AE211">
            <v>0.23876140809003474</v>
          </cell>
        </row>
        <row r="212">
          <cell r="B212" t="str">
            <v>Weighted average shares outstanding, basic</v>
          </cell>
          <cell r="C212" t="str">
            <v>SH</v>
          </cell>
          <cell r="F212">
            <v>576</v>
          </cell>
          <cell r="G212">
            <v>576</v>
          </cell>
          <cell r="H212">
            <v>576</v>
          </cell>
          <cell r="I212">
            <v>768</v>
          </cell>
          <cell r="N212">
            <v>768</v>
          </cell>
          <cell r="S212">
            <v>768</v>
          </cell>
          <cell r="X212">
            <v>930.16</v>
          </cell>
          <cell r="AC212">
            <v>930.16</v>
          </cell>
          <cell r="AD212">
            <v>930.16</v>
          </cell>
          <cell r="AE212">
            <v>930.16</v>
          </cell>
        </row>
        <row r="213">
          <cell r="B213" t="str">
            <v>Diluted average shares outstanding (mn)</v>
          </cell>
          <cell r="C213" t="str">
            <v>DILUTE_SHARES</v>
          </cell>
          <cell r="F213">
            <v>576</v>
          </cell>
          <cell r="G213">
            <v>576</v>
          </cell>
          <cell r="H213">
            <v>576</v>
          </cell>
          <cell r="I213">
            <v>768</v>
          </cell>
          <cell r="N213">
            <v>768</v>
          </cell>
          <cell r="S213">
            <v>768</v>
          </cell>
          <cell r="X213">
            <v>930.16</v>
          </cell>
          <cell r="AC213">
            <v>930.16</v>
          </cell>
          <cell r="AD213">
            <v>930.16</v>
          </cell>
          <cell r="AE213">
            <v>930.16</v>
          </cell>
        </row>
        <row r="214">
          <cell r="B214" t="str">
            <v>Period-end shares outstanding</v>
          </cell>
          <cell r="C214" t="str">
            <v>NON_OP_ADD</v>
          </cell>
          <cell r="F214">
            <v>576</v>
          </cell>
          <cell r="G214">
            <v>576</v>
          </cell>
          <cell r="H214">
            <v>576</v>
          </cell>
          <cell r="I214">
            <v>768</v>
          </cell>
          <cell r="N214">
            <v>768</v>
          </cell>
          <cell r="S214">
            <v>768</v>
          </cell>
          <cell r="X214">
            <v>930.16</v>
          </cell>
          <cell r="AC214">
            <v>930.16</v>
          </cell>
          <cell r="AD214">
            <v>930.16</v>
          </cell>
          <cell r="AE214">
            <v>930.16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  <cell r="F216">
            <v>8.6732976180101187E-2</v>
          </cell>
          <cell r="G216">
            <v>7.0209636992354482E-2</v>
          </cell>
          <cell r="H216">
            <v>0.1003531745285748</v>
          </cell>
          <cell r="I216">
            <v>0.14834350326577728</v>
          </cell>
          <cell r="N216">
            <v>0.18885861658895089</v>
          </cell>
          <cell r="S216">
            <v>0.15087172831728887</v>
          </cell>
          <cell r="X216">
            <v>0.16201379201096577</v>
          </cell>
          <cell r="AC216">
            <v>0.13331747390482832</v>
          </cell>
          <cell r="AD216">
            <v>0.11979507329451293</v>
          </cell>
          <cell r="AE216">
            <v>0.11979507329451325</v>
          </cell>
        </row>
        <row r="217">
          <cell r="B217" t="str">
            <v>Net income (consensus) (Pub)</v>
          </cell>
          <cell r="C217" t="str">
            <v>NI_CONS</v>
          </cell>
          <cell r="D217" t="str">
            <v>CNY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 t="str">
            <v>CNY</v>
          </cell>
          <cell r="F219">
            <v>0.27301721890625008</v>
          </cell>
          <cell r="G219">
            <v>0.33699577128472225</v>
          </cell>
          <cell r="H219">
            <v>0.42558535842013895</v>
          </cell>
          <cell r="I219">
            <v>1.2605802299348958</v>
          </cell>
          <cell r="N219">
            <v>1.2668230734114583</v>
          </cell>
          <cell r="S219">
            <v>1.6849299448177082</v>
          </cell>
          <cell r="X219">
            <v>3.5119004578997166</v>
          </cell>
          <cell r="AC219">
            <v>3.9775312933682812</v>
          </cell>
          <cell r="AD219">
            <v>5.1082017835160034</v>
          </cell>
          <cell r="AE219">
            <v>6.4549026604823601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 t="str">
            <v>CNY</v>
          </cell>
          <cell r="F221">
            <v>30.558905529999997</v>
          </cell>
          <cell r="G221">
            <v>37.280012869999993</v>
          </cell>
          <cell r="H221">
            <v>50.987887820000012</v>
          </cell>
          <cell r="I221">
            <v>52.08875436999999</v>
          </cell>
          <cell r="N221">
            <v>20.708658770000106</v>
          </cell>
          <cell r="S221">
            <v>321.06969965000042</v>
          </cell>
          <cell r="X221">
            <v>571.33545578000178</v>
          </cell>
          <cell r="AC221">
            <v>509.89900546769775</v>
          </cell>
          <cell r="AD221">
            <v>1238.1649034429527</v>
          </cell>
          <cell r="AE221">
            <v>1474.733599068054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N225">
            <v>0</v>
          </cell>
          <cell r="S225">
            <v>0</v>
          </cell>
          <cell r="X225">
            <v>0</v>
          </cell>
          <cell r="AC225">
            <v>0</v>
          </cell>
          <cell r="AD225">
            <v>0</v>
          </cell>
          <cell r="AE225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Valuation"/>
      <sheetName val="Act Vs Est"/>
      <sheetName val="Act Vs Est_output"/>
      <sheetName val="Basic Data"/>
      <sheetName val="Raw Data"/>
      <sheetName val="Model"/>
      <sheetName val="Revenue"/>
      <sheetName val="Industry Data"/>
      <sheetName val="Company Data"/>
      <sheetName val="Product matrix"/>
      <sheetName val="Ratios"/>
      <sheetName val="Market Data"/>
      <sheetName val="600699.SS_Live_Sheet"/>
      <sheetName val="600699.SS_Validation_Sheet"/>
      <sheetName val="600699.SS_Annotation_Sheet"/>
      <sheetName val="600699.SS_Exchange_Sheet"/>
      <sheetName val="Exhibit"/>
      <sheetName val="First tak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Issuer: Ningbo Joyson Electronic</v>
          </cell>
          <cell r="C1">
            <v>2728099972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>
            <v>2015</v>
          </cell>
          <cell r="AF1">
            <v>2016</v>
          </cell>
          <cell r="AG1">
            <v>2017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Estimate</v>
          </cell>
          <cell r="AA2" t="str">
            <v>Estimate</v>
          </cell>
          <cell r="AB2" t="str">
            <v>Estimate</v>
          </cell>
          <cell r="AC2" t="str">
            <v>Estimate</v>
          </cell>
          <cell r="AE2" t="str">
            <v>Estimate</v>
          </cell>
          <cell r="AF2" t="str">
            <v>Estimate</v>
          </cell>
          <cell r="AG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E3">
            <v>42369</v>
          </cell>
          <cell r="AF3">
            <v>42735</v>
          </cell>
          <cell r="AG3">
            <v>43100</v>
          </cell>
        </row>
        <row r="4">
          <cell r="A4" t="str">
            <v>Issuer: Ningbo Joyson Electronic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Ningbo Joyson Electronic</v>
          </cell>
        </row>
        <row r="7">
          <cell r="B7" t="str">
            <v>Reporting Currency</v>
          </cell>
          <cell r="C7" t="str">
            <v>CURRENCY_ISO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>
            <v>0</v>
          </cell>
        </row>
        <row r="10">
          <cell r="B10" t="str">
            <v>Compensation &amp; benfits expense</v>
          </cell>
          <cell r="C10" t="str">
            <v>PERSONNEL</v>
          </cell>
          <cell r="D10">
            <v>0</v>
          </cell>
        </row>
        <row r="11">
          <cell r="B11" t="str">
            <v>Cost of goods sold, COGS</v>
          </cell>
          <cell r="C11" t="str">
            <v>COST_GD_SD</v>
          </cell>
          <cell r="D11">
            <v>0</v>
          </cell>
        </row>
        <row r="12">
          <cell r="B12" t="str">
            <v>SG&amp;A, selling, general and admin. expense</v>
          </cell>
          <cell r="C12" t="str">
            <v>SEL_GL_AD</v>
          </cell>
          <cell r="D12">
            <v>0</v>
          </cell>
        </row>
        <row r="13">
          <cell r="B13" t="str">
            <v>Total operating expense</v>
          </cell>
          <cell r="C13" t="str">
            <v>OP_COST</v>
          </cell>
          <cell r="D13">
            <v>0</v>
          </cell>
        </row>
        <row r="14">
          <cell r="B14" t="str">
            <v>R&amp;D expense</v>
          </cell>
          <cell r="C14" t="str">
            <v>RD_EXP</v>
          </cell>
          <cell r="D14">
            <v>0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>
            <v>0</v>
          </cell>
        </row>
        <row r="17">
          <cell r="B17" t="str">
            <v>Total operating expense (excl. D&amp;A)</v>
          </cell>
          <cell r="C17" t="str">
            <v>TOT_OPS_EXP</v>
          </cell>
          <cell r="D17">
            <v>0</v>
          </cell>
        </row>
        <row r="18">
          <cell r="B18" t="str">
            <v>EBITDA</v>
          </cell>
          <cell r="C18" t="str">
            <v>EBITDA_CALC</v>
          </cell>
          <cell r="D18">
            <v>0</v>
          </cell>
        </row>
        <row r="19">
          <cell r="B19" t="str">
            <v>Depreciation</v>
          </cell>
          <cell r="C19" t="str">
            <v>DEPREC</v>
          </cell>
          <cell r="D19">
            <v>0</v>
          </cell>
        </row>
        <row r="20">
          <cell r="B20" t="str">
            <v>Amortization</v>
          </cell>
          <cell r="C20" t="str">
            <v>GOODWILL_AMORT</v>
          </cell>
          <cell r="D20">
            <v>0</v>
          </cell>
        </row>
        <row r="21">
          <cell r="B21" t="str">
            <v>EBIT, operating profit</v>
          </cell>
          <cell r="C21" t="str">
            <v>EBIT</v>
          </cell>
          <cell r="D21">
            <v>0</v>
          </cell>
        </row>
        <row r="22">
          <cell r="B22" t="str">
            <v>Interest income</v>
          </cell>
          <cell r="C22" t="str">
            <v>INT_INC_IND</v>
          </cell>
          <cell r="D22">
            <v>0</v>
          </cell>
        </row>
        <row r="23">
          <cell r="B23" t="str">
            <v>Interest expense</v>
          </cell>
          <cell r="C23" t="str">
            <v>INT_EXP_IND</v>
          </cell>
          <cell r="D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>
            <v>0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>
            <v>0</v>
          </cell>
        </row>
        <row r="28">
          <cell r="B28" t="str">
            <v>Pre-tax profit</v>
          </cell>
          <cell r="C28" t="str">
            <v>PT_PROF</v>
          </cell>
          <cell r="D28">
            <v>0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>
            <v>0</v>
          </cell>
        </row>
        <row r="31">
          <cell r="B31" t="str">
            <v>Lease payments</v>
          </cell>
          <cell r="C31" t="str">
            <v>LEASE_PAY</v>
          </cell>
          <cell r="D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>
            <v>0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>
            <v>0</v>
          </cell>
        </row>
        <row r="34">
          <cell r="B34" t="str">
            <v>Gross interest charge</v>
          </cell>
          <cell r="C34" t="str">
            <v>NET_INT_CH</v>
          </cell>
          <cell r="D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>
            <v>0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>
            <v>0</v>
          </cell>
        </row>
        <row r="38">
          <cell r="B38" t="str">
            <v>Accounts receivable</v>
          </cell>
          <cell r="C38" t="str">
            <v>DEBTORS</v>
          </cell>
          <cell r="D38">
            <v>0</v>
          </cell>
        </row>
        <row r="39">
          <cell r="B39" t="str">
            <v>Inventory</v>
          </cell>
          <cell r="C39" t="str">
            <v>STOCKS</v>
          </cell>
          <cell r="D39">
            <v>0</v>
          </cell>
        </row>
        <row r="40">
          <cell r="B40" t="str">
            <v>Other current assets</v>
          </cell>
          <cell r="C40" t="str">
            <v>OTH_CUR_ASS</v>
          </cell>
          <cell r="D40">
            <v>0</v>
          </cell>
        </row>
        <row r="41">
          <cell r="B41" t="str">
            <v>Total current assets</v>
          </cell>
          <cell r="C41" t="str">
            <v>CUR_ASS</v>
          </cell>
          <cell r="D41">
            <v>0</v>
          </cell>
        </row>
        <row r="42">
          <cell r="B42" t="str">
            <v>Gross fixed assets, PP&amp;E</v>
          </cell>
          <cell r="C42" t="str">
            <v>GR_FIX_ASS</v>
          </cell>
          <cell r="D42">
            <v>0</v>
          </cell>
        </row>
        <row r="43">
          <cell r="B43" t="str">
            <v>Accumulated depreciation</v>
          </cell>
          <cell r="C43" t="str">
            <v>ACC_DDA</v>
          </cell>
          <cell r="D43">
            <v>0</v>
          </cell>
        </row>
        <row r="44">
          <cell r="B44" t="str">
            <v>Net PP&amp;E</v>
          </cell>
          <cell r="C44" t="str">
            <v>NET_FIX_ASS</v>
          </cell>
          <cell r="D44">
            <v>0</v>
          </cell>
        </row>
        <row r="45">
          <cell r="B45" t="str">
            <v>Gross intangibles</v>
          </cell>
          <cell r="C45" t="str">
            <v>GR_INTANG</v>
          </cell>
          <cell r="D45">
            <v>0</v>
          </cell>
        </row>
        <row r="46">
          <cell r="B46" t="str">
            <v>Accumulated amortization</v>
          </cell>
          <cell r="C46" t="str">
            <v>ACC_AMORT</v>
          </cell>
          <cell r="D46">
            <v>0</v>
          </cell>
        </row>
        <row r="47">
          <cell r="B47" t="str">
            <v>Net intangible assets</v>
          </cell>
          <cell r="C47" t="str">
            <v>NET_INTANG</v>
          </cell>
          <cell r="D47">
            <v>0</v>
          </cell>
        </row>
        <row r="48">
          <cell r="B48" t="str">
            <v>Equity method investments</v>
          </cell>
          <cell r="C48" t="str">
            <v>FIX_ASS_INV</v>
          </cell>
          <cell r="D48">
            <v>0</v>
          </cell>
        </row>
        <row r="49">
          <cell r="B49" t="str">
            <v>Investments in securities</v>
          </cell>
          <cell r="C49" t="str">
            <v>INV_SECUR</v>
          </cell>
          <cell r="D49">
            <v>0</v>
          </cell>
        </row>
        <row r="50">
          <cell r="B50" t="str">
            <v>Other long-term assets</v>
          </cell>
          <cell r="C50" t="str">
            <v>OTH_LT_ASS</v>
          </cell>
          <cell r="D50">
            <v>0</v>
          </cell>
        </row>
        <row r="51">
          <cell r="B51" t="str">
            <v>Total assets</v>
          </cell>
          <cell r="C51" t="str">
            <v>TOT_ASSET</v>
          </cell>
          <cell r="D51">
            <v>0</v>
          </cell>
        </row>
        <row r="52">
          <cell r="B52" t="str">
            <v>Accounts payable</v>
          </cell>
          <cell r="C52" t="str">
            <v>ACC_PAY_GQ</v>
          </cell>
          <cell r="D52">
            <v>0</v>
          </cell>
        </row>
        <row r="53">
          <cell r="B53" t="str">
            <v>Short-term debt</v>
          </cell>
          <cell r="C53" t="str">
            <v>SHORT_T_DEBT</v>
          </cell>
          <cell r="D53">
            <v>0</v>
          </cell>
        </row>
        <row r="54">
          <cell r="B54" t="str">
            <v>Other current liabilities</v>
          </cell>
          <cell r="C54" t="str">
            <v>OTH_CUR_LIABS</v>
          </cell>
          <cell r="D54">
            <v>0</v>
          </cell>
        </row>
        <row r="55">
          <cell r="B55" t="str">
            <v>Total current liabilities</v>
          </cell>
          <cell r="C55" t="str">
            <v>SHORT_TERM_LIABS</v>
          </cell>
          <cell r="D55">
            <v>0</v>
          </cell>
        </row>
        <row r="56">
          <cell r="B56" t="str">
            <v>Long-term  debt</v>
          </cell>
          <cell r="C56" t="str">
            <v>LT_DEBT</v>
          </cell>
          <cell r="D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>
            <v>0</v>
          </cell>
        </row>
        <row r="58">
          <cell r="B58" t="str">
            <v>Total long-term liabilities</v>
          </cell>
          <cell r="C58" t="str">
            <v>TOT_LT_LIAB</v>
          </cell>
          <cell r="D58">
            <v>0</v>
          </cell>
        </row>
        <row r="59">
          <cell r="B59" t="str">
            <v>Total liabilities</v>
          </cell>
          <cell r="C59" t="str">
            <v>TOT_LIAB</v>
          </cell>
          <cell r="D59">
            <v>0</v>
          </cell>
        </row>
        <row r="60">
          <cell r="B60" t="str">
            <v>Preferred shares</v>
          </cell>
          <cell r="C60" t="str">
            <v>PREF_SH</v>
          </cell>
          <cell r="D60">
            <v>0</v>
          </cell>
        </row>
        <row r="61">
          <cell r="B61" t="str">
            <v>Total common equity</v>
          </cell>
          <cell r="C61" t="str">
            <v>ORD_SH_FUND</v>
          </cell>
          <cell r="D61">
            <v>0</v>
          </cell>
        </row>
        <row r="62">
          <cell r="B62" t="str">
            <v>Minority interest</v>
          </cell>
          <cell r="C62" t="str">
            <v>MINORITIES</v>
          </cell>
          <cell r="D62">
            <v>0</v>
          </cell>
        </row>
        <row r="63">
          <cell r="B63" t="str">
            <v>Total shareholders' equity</v>
          </cell>
          <cell r="C63" t="str">
            <v>EQ</v>
          </cell>
          <cell r="D63">
            <v>0</v>
          </cell>
        </row>
        <row r="64">
          <cell r="B64" t="str">
            <v>Total liabilities and equity</v>
          </cell>
          <cell r="C64" t="str">
            <v>TOT_LIAB_EQ</v>
          </cell>
          <cell r="D64">
            <v>0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>
            <v>0</v>
          </cell>
        </row>
        <row r="67">
          <cell r="B67" t="str">
            <v>Capitalized leases</v>
          </cell>
          <cell r="C67" t="str">
            <v>CAP_LEASES</v>
          </cell>
          <cell r="D67">
            <v>0</v>
          </cell>
        </row>
        <row r="68">
          <cell r="B68" t="str">
            <v>Deferred income taxes</v>
          </cell>
          <cell r="C68" t="str">
            <v>DEF_INC_TAX</v>
          </cell>
          <cell r="D68">
            <v>0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>
            <v>0</v>
          </cell>
        </row>
        <row r="70">
          <cell r="B70" t="str">
            <v>Net debt adjustment</v>
          </cell>
          <cell r="C70" t="str">
            <v>NET_DEBT_ADJ</v>
          </cell>
          <cell r="D70">
            <v>0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>
            <v>0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>
            <v>0</v>
          </cell>
        </row>
        <row r="76">
          <cell r="B76" t="str">
            <v>Other GCI adjustments</v>
          </cell>
          <cell r="C76" t="str">
            <v>OTH_GCI_ADJ</v>
          </cell>
          <cell r="D76">
            <v>0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>
            <v>0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>
            <v>0</v>
          </cell>
        </row>
        <row r="81">
          <cell r="B81" t="str">
            <v>Depreciation &amp; amortization add-back</v>
          </cell>
          <cell r="C81" t="str">
            <v>DEPR_AMORT</v>
          </cell>
          <cell r="D81">
            <v>0</v>
          </cell>
        </row>
        <row r="82">
          <cell r="B82" t="str">
            <v>(Increase)/decrease in working capital</v>
          </cell>
          <cell r="C82" t="str">
            <v>WORK_CAP</v>
          </cell>
          <cell r="D82">
            <v>0</v>
          </cell>
        </row>
        <row r="83">
          <cell r="B83" t="str">
            <v>Other operating cash flow items</v>
          </cell>
          <cell r="C83" t="str">
            <v>OTH_OP_CF</v>
          </cell>
          <cell r="D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>
            <v>0</v>
          </cell>
        </row>
        <row r="85">
          <cell r="B85" t="str">
            <v>Capital expenditures, Capex</v>
          </cell>
          <cell r="C85" t="str">
            <v>CAPEX</v>
          </cell>
          <cell r="D85">
            <v>0</v>
          </cell>
        </row>
        <row r="86">
          <cell r="B86" t="str">
            <v>Acquisitions</v>
          </cell>
          <cell r="C86" t="str">
            <v>ACQ</v>
          </cell>
          <cell r="D86">
            <v>0</v>
          </cell>
        </row>
        <row r="87">
          <cell r="B87" t="str">
            <v>Divestitures</v>
          </cell>
          <cell r="C87" t="str">
            <v>DIVEST</v>
          </cell>
          <cell r="D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>
            <v>0</v>
          </cell>
        </row>
        <row r="89">
          <cell r="B89" t="str">
            <v>Cash flow from investing</v>
          </cell>
          <cell r="C89" t="str">
            <v>CF_INV</v>
          </cell>
          <cell r="D89">
            <v>0</v>
          </cell>
        </row>
        <row r="90">
          <cell r="B90" t="str">
            <v>Dividends paid</v>
          </cell>
          <cell r="C90" t="str">
            <v>DIV_PAID</v>
          </cell>
          <cell r="D90">
            <v>0</v>
          </cell>
        </row>
        <row r="91">
          <cell r="B91" t="str">
            <v>Common stock issuance/(repurchase)</v>
          </cell>
          <cell r="C91" t="str">
            <v>SH_REPUR</v>
          </cell>
          <cell r="D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>
            <v>0</v>
          </cell>
        </row>
        <row r="94">
          <cell r="B94" t="str">
            <v>Cash flow from financing</v>
          </cell>
          <cell r="C94" t="str">
            <v>CF_FIN</v>
          </cell>
          <cell r="D94">
            <v>0</v>
          </cell>
        </row>
        <row r="95">
          <cell r="B95" t="str">
            <v>Total cash flow</v>
          </cell>
          <cell r="C95" t="str">
            <v>TOT_CF</v>
          </cell>
          <cell r="D95">
            <v>0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>
            <v>0</v>
          </cell>
        </row>
        <row r="98">
          <cell r="B98" t="str">
            <v>Profit/(loss) on sale of assets</v>
          </cell>
          <cell r="C98" t="str">
            <v>PL_SALE_ASSETS</v>
          </cell>
          <cell r="D98">
            <v>0</v>
          </cell>
        </row>
        <row r="99">
          <cell r="B99" t="str">
            <v>Other non-cash adjustments</v>
          </cell>
          <cell r="C99" t="str">
            <v>OTH_NONCASH_ADJ</v>
          </cell>
          <cell r="D99">
            <v>0</v>
          </cell>
        </row>
        <row r="100">
          <cell r="B100" t="str">
            <v>Other DACF adjustments</v>
          </cell>
          <cell r="C100" t="str">
            <v>OTH_DACF_ADJ</v>
          </cell>
          <cell r="D100">
            <v>0</v>
          </cell>
        </row>
        <row r="101">
          <cell r="B101" t="str">
            <v>Cash interest expense</v>
          </cell>
          <cell r="C101" t="str">
            <v>CASH_INT_EXP</v>
          </cell>
          <cell r="D101">
            <v>0</v>
          </cell>
        </row>
        <row r="102">
          <cell r="B102" t="str">
            <v>Cash tax expense</v>
          </cell>
          <cell r="C102" t="str">
            <v>CASH_TAX_EXP</v>
          </cell>
          <cell r="D102">
            <v>0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>
            <v>0</v>
          </cell>
        </row>
        <row r="104">
          <cell r="B104" t="str">
            <v>Capex maintenance</v>
          </cell>
          <cell r="C104" t="str">
            <v>CAPEX_MAINTENANCE</v>
          </cell>
          <cell r="D104">
            <v>0</v>
          </cell>
        </row>
        <row r="105">
          <cell r="B105" t="str">
            <v>Capex expansion</v>
          </cell>
          <cell r="C105" t="str">
            <v>CAPEX_EXPANSION</v>
          </cell>
          <cell r="D105">
            <v>0</v>
          </cell>
        </row>
        <row r="106">
          <cell r="B106" t="str">
            <v>Non-PP&amp;E capex</v>
          </cell>
          <cell r="C106" t="str">
            <v>NONPPE_CAPEX</v>
          </cell>
          <cell r="D106">
            <v>0</v>
          </cell>
        </row>
        <row r="107">
          <cell r="B107" t="str">
            <v>Dividends paid to minorities</v>
          </cell>
          <cell r="C107" t="str">
            <v>DIVDS_PD_MINORITIES</v>
          </cell>
          <cell r="D107">
            <v>0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3">
          <cell r="B113" t="str">
            <v>Sales - % Brazil</v>
          </cell>
          <cell r="C113" t="str">
            <v>SALES_BRAZIL</v>
          </cell>
        </row>
        <row r="114">
          <cell r="B114" t="str">
            <v>Sales - % Other Americas</v>
          </cell>
          <cell r="C114" t="str">
            <v>SALES_OTH_AM</v>
          </cell>
        </row>
        <row r="115">
          <cell r="B115" t="str">
            <v>Sales - Total % EMEA</v>
          </cell>
          <cell r="C115" t="str">
            <v>SALES_TOT_EMEA</v>
          </cell>
        </row>
        <row r="116">
          <cell r="B116" t="str">
            <v>Sales - % UK</v>
          </cell>
          <cell r="C116" t="str">
            <v>SALES_UK</v>
          </cell>
        </row>
        <row r="117">
          <cell r="B117" t="str">
            <v>Sales - % Western Europe-Ex UK</v>
          </cell>
          <cell r="C117" t="str">
            <v>SALES_EU_EX_UK</v>
          </cell>
        </row>
        <row r="118">
          <cell r="B118" t="str">
            <v>Sales - % Central &amp; Eastern Europe</v>
          </cell>
          <cell r="C118" t="str">
            <v>SALES_CEE</v>
          </cell>
        </row>
        <row r="119">
          <cell r="B119" t="str">
            <v>Sales - % Middle East</v>
          </cell>
          <cell r="C119" t="str">
            <v>SALES_ME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</row>
        <row r="122">
          <cell r="B122" t="str">
            <v>Sales - % Other EMEA</v>
          </cell>
          <cell r="C122" t="str">
            <v>SALES_OTH_EMEA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</row>
        <row r="124">
          <cell r="B124" t="str">
            <v>Sales - % Japan</v>
          </cell>
          <cell r="C124" t="str">
            <v>SALES_JAPAN</v>
          </cell>
        </row>
        <row r="125">
          <cell r="B125" t="str">
            <v>Sales - % China</v>
          </cell>
          <cell r="C125" t="str">
            <v>SALES_CHINA</v>
          </cell>
        </row>
        <row r="126">
          <cell r="B126" t="str">
            <v>Sales - % India</v>
          </cell>
          <cell r="C126" t="str">
            <v>SALES_INDIA</v>
          </cell>
        </row>
        <row r="127">
          <cell r="B127" t="str">
            <v>Sales - % South Korea</v>
          </cell>
          <cell r="C127" t="str">
            <v>SALES_SK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</row>
        <row r="130">
          <cell r="B130" t="str">
            <v>Sales - % Others</v>
          </cell>
          <cell r="C130" t="str">
            <v>SALES_OTHER</v>
          </cell>
        </row>
        <row r="131">
          <cell r="B131" t="str">
            <v>Sales -% Consumer (C)</v>
          </cell>
          <cell r="C131" t="str">
            <v>SALES_CONS</v>
          </cell>
        </row>
        <row r="132">
          <cell r="B132" t="str">
            <v>Sales -% Industry (I)</v>
          </cell>
          <cell r="C132" t="str">
            <v>SALES_IND</v>
          </cell>
        </row>
        <row r="133">
          <cell r="B133" t="str">
            <v>Sales -% Government (G)</v>
          </cell>
          <cell r="C133" t="str">
            <v>SALES_GOV</v>
          </cell>
        </row>
        <row r="134">
          <cell r="B134" t="str">
            <v>Sales - % Industry Sub-Segment: Financial Services</v>
          </cell>
          <cell r="C134" t="str">
            <v>SALES_FINAN</v>
          </cell>
        </row>
        <row r="135">
          <cell r="A135" t="str">
            <v>Commodities Exposure - Expense</v>
          </cell>
        </row>
        <row r="136">
          <cell r="B136" t="str">
            <v>Expense - % Oil/Petrol/Fuel</v>
          </cell>
          <cell r="C136" t="str">
            <v>EXP_OIL_PETRO_FUEL</v>
          </cell>
        </row>
        <row r="137">
          <cell r="B137" t="str">
            <v>Expense - % Oil derivatives/NGLs/plastics</v>
          </cell>
          <cell r="C137" t="str">
            <v>EXP_OIL_DERIV_NGLS_PLASTICS</v>
          </cell>
        </row>
        <row r="138">
          <cell r="B138" t="str">
            <v>Expense - % Paper/pulp</v>
          </cell>
          <cell r="C138" t="str">
            <v>EXP_PAPER_PULP</v>
          </cell>
        </row>
        <row r="139">
          <cell r="B139" t="str">
            <v>Expense - % Glass</v>
          </cell>
          <cell r="C139" t="str">
            <v>EXP_GLASS</v>
          </cell>
        </row>
        <row r="140">
          <cell r="B140" t="str">
            <v>Expense - % Water</v>
          </cell>
          <cell r="C140" t="str">
            <v>EXP_WATER</v>
          </cell>
        </row>
        <row r="141">
          <cell r="B141" t="str">
            <v>Expense - % Other commodity</v>
          </cell>
          <cell r="C141" t="str">
            <v>EXP_OTH_COMMODITY</v>
          </cell>
        </row>
        <row r="142">
          <cell r="B142" t="str">
            <v>Expense - % Other (Non-Commodity) cost</v>
          </cell>
          <cell r="C142" t="str">
            <v>EXP_OTH_COST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</row>
        <row r="145">
          <cell r="B145" t="str">
            <v>Sales - % FX: Euro</v>
          </cell>
          <cell r="C145" t="str">
            <v>SALES_FX_EUR</v>
          </cell>
        </row>
        <row r="146">
          <cell r="B146" t="str">
            <v>Sales - % FX: New Russian Ruble</v>
          </cell>
          <cell r="C146" t="str">
            <v>SALES_FX_RUB</v>
          </cell>
        </row>
        <row r="147">
          <cell r="B147" t="str">
            <v>Sales - % FX: U.S. Dollar</v>
          </cell>
          <cell r="C147" t="str">
            <v>SALES_FX_USD</v>
          </cell>
        </row>
        <row r="148">
          <cell r="B148" t="str">
            <v>Sales - % FX: Brazilian Real</v>
          </cell>
          <cell r="C148" t="str">
            <v>SALES_FX_BRL</v>
          </cell>
        </row>
        <row r="149">
          <cell r="B149" t="str">
            <v>Sales - % FX: Japanese Yen</v>
          </cell>
          <cell r="C149" t="str">
            <v>SALES_FX_YEN</v>
          </cell>
        </row>
        <row r="150">
          <cell r="B150" t="str">
            <v>Sales - % FX: Chinese Renminbi</v>
          </cell>
          <cell r="C150" t="str">
            <v>SALES_FX_CNY</v>
          </cell>
        </row>
        <row r="151">
          <cell r="B151" t="str">
            <v>Sales - % FX: Indian Rupee</v>
          </cell>
          <cell r="C151" t="str">
            <v>SALES_FX_INR</v>
          </cell>
        </row>
        <row r="152">
          <cell r="B152" t="str">
            <v>Sales - % FX: South Korean Won</v>
          </cell>
          <cell r="C152" t="str">
            <v>SALES_FX_KRW</v>
          </cell>
        </row>
        <row r="153">
          <cell r="B153" t="str">
            <v>Sales - % FX: Taiwan Dollar</v>
          </cell>
          <cell r="C153" t="str">
            <v>SALES_FX_TWD</v>
          </cell>
        </row>
        <row r="154">
          <cell r="B154" t="str">
            <v>Sales - % FX: Other Currency</v>
          </cell>
          <cell r="C154" t="str">
            <v>SALES_FX_OTH</v>
          </cell>
        </row>
        <row r="155">
          <cell r="A155" t="str">
            <v>Security: Ningbo Joyson Electronic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600699.SS</v>
          </cell>
        </row>
        <row r="158">
          <cell r="B158" t="str">
            <v>Security Name</v>
          </cell>
          <cell r="C158" t="str">
            <v>Security Name</v>
          </cell>
          <cell r="E158" t="str">
            <v>Ningbo Joyson Electronic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</row>
        <row r="161">
          <cell r="B161" t="str">
            <v>Pricing Currency</v>
          </cell>
          <cell r="C161" t="str">
            <v>PRICE_CURRENCY_ISO</v>
          </cell>
        </row>
        <row r="162">
          <cell r="B162" t="str">
            <v>Reporting Currency</v>
          </cell>
          <cell r="C162" t="str">
            <v>CURRENCY_ISO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</row>
        <row r="165">
          <cell r="B165" t="str">
            <v>Asia Pacific Conviction List</v>
          </cell>
          <cell r="C165" t="str">
            <v>AEJ_CONVICTION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>
            <v>0</v>
          </cell>
        </row>
        <row r="168">
          <cell r="B168" t="str">
            <v>Target price period</v>
          </cell>
          <cell r="C168" t="str">
            <v>TP_PERIOD</v>
          </cell>
        </row>
        <row r="169">
          <cell r="B169" t="str">
            <v>Current shares outstanding (mn)</v>
          </cell>
          <cell r="C169" t="str">
            <v>NUM_SH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</row>
        <row r="183">
          <cell r="B183" t="str">
            <v>Target price methodology</v>
          </cell>
          <cell r="C183" t="str">
            <v>PRI_TARG_METH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>
            <v>0</v>
          </cell>
        </row>
        <row r="186">
          <cell r="B186" t="str">
            <v>DPS, dividend per share (Pub)</v>
          </cell>
          <cell r="C186" t="str">
            <v>DPS_PUB</v>
          </cell>
          <cell r="D186">
            <v>0</v>
          </cell>
        </row>
        <row r="187">
          <cell r="B187" t="str">
            <v>Special dividend per share</v>
          </cell>
          <cell r="C187" t="str">
            <v>DPS_SPECIAL_PUB</v>
          </cell>
          <cell r="D187">
            <v>0</v>
          </cell>
        </row>
        <row r="188">
          <cell r="B188" t="str">
            <v>EBITDA (Pub)</v>
          </cell>
          <cell r="C188" t="str">
            <v>EBITDA_PUB</v>
          </cell>
          <cell r="D188">
            <v>0</v>
          </cell>
        </row>
        <row r="189">
          <cell r="B189" t="str">
            <v>EPS (Pub)</v>
          </cell>
          <cell r="C189" t="str">
            <v>EPS_PUB</v>
          </cell>
          <cell r="D189">
            <v>0</v>
          </cell>
        </row>
        <row r="190">
          <cell r="B190" t="str">
            <v>EV adjustment (Pub)</v>
          </cell>
          <cell r="C190" t="str">
            <v>EV_ADJ_PUB</v>
          </cell>
          <cell r="D190">
            <v>0</v>
          </cell>
        </row>
        <row r="191">
          <cell r="B191" t="str">
            <v>Net debt (Pub)</v>
          </cell>
          <cell r="C191" t="str">
            <v>NET_DEBT_PUB</v>
          </cell>
          <cell r="D191">
            <v>0</v>
          </cell>
        </row>
        <row r="192">
          <cell r="B192" t="str">
            <v>Net income (Pub)</v>
          </cell>
          <cell r="C192" t="str">
            <v>NI_PUB</v>
          </cell>
          <cell r="D192">
            <v>0</v>
          </cell>
        </row>
        <row r="193">
          <cell r="B193" t="str">
            <v>EBIT, operating profit (Pub)</v>
          </cell>
          <cell r="C193" t="str">
            <v>EBIT_PUB</v>
          </cell>
          <cell r="D193">
            <v>0</v>
          </cell>
        </row>
        <row r="194">
          <cell r="B194" t="str">
            <v>Pre-tax profit (Pub)</v>
          </cell>
          <cell r="C194" t="str">
            <v>PTP_PUB</v>
          </cell>
          <cell r="D194">
            <v>0</v>
          </cell>
        </row>
        <row r="195">
          <cell r="B195" t="str">
            <v>Sales, revenue (Pub)</v>
          </cell>
          <cell r="C195" t="str">
            <v>REVS_PUB</v>
          </cell>
          <cell r="D195">
            <v>0</v>
          </cell>
        </row>
        <row r="196">
          <cell r="B196" t="str">
            <v>Total shareholders' equity (Pub)</v>
          </cell>
          <cell r="C196" t="str">
            <v>EQ_PUB</v>
          </cell>
          <cell r="D196">
            <v>0</v>
          </cell>
        </row>
        <row r="197">
          <cell r="B197" t="str">
            <v>EPS (consensus)</v>
          </cell>
          <cell r="C197" t="str">
            <v>EPS_CONS_PUB</v>
          </cell>
          <cell r="D197">
            <v>0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>
            <v>0</v>
          </cell>
        </row>
        <row r="200">
          <cell r="B200" t="str">
            <v>Minority interest</v>
          </cell>
          <cell r="C200" t="str">
            <v>INC_MINORITY</v>
          </cell>
          <cell r="D200">
            <v>0</v>
          </cell>
        </row>
        <row r="201">
          <cell r="B201" t="str">
            <v>Net income (pre-preferred dividends)</v>
          </cell>
          <cell r="C201" t="str">
            <v>NI_PRE_PREF</v>
          </cell>
          <cell r="D201">
            <v>0</v>
          </cell>
        </row>
        <row r="202">
          <cell r="B202" t="str">
            <v>Preferred dividends</v>
          </cell>
          <cell r="C202" t="str">
            <v>PREF_DIV</v>
          </cell>
          <cell r="D202">
            <v>0</v>
          </cell>
        </row>
        <row r="203">
          <cell r="B203" t="str">
            <v>Net income (pre-exceptionals)</v>
          </cell>
          <cell r="C203" t="str">
            <v>NET_EARNING</v>
          </cell>
          <cell r="D203">
            <v>0</v>
          </cell>
        </row>
        <row r="204">
          <cell r="B204" t="str">
            <v>Post-tax exceptionals</v>
          </cell>
          <cell r="C204" t="str">
            <v>TAX_EXC</v>
          </cell>
          <cell r="D204">
            <v>0</v>
          </cell>
        </row>
        <row r="205">
          <cell r="B205" t="str">
            <v>Net income (post-exceptionals)</v>
          </cell>
          <cell r="C205" t="str">
            <v>NET_INC</v>
          </cell>
          <cell r="D205">
            <v>0</v>
          </cell>
        </row>
        <row r="206">
          <cell r="B206" t="str">
            <v>EPS (pre-exceptionals, basic)</v>
          </cell>
          <cell r="C206" t="str">
            <v>EPS</v>
          </cell>
          <cell r="D206">
            <v>0</v>
          </cell>
        </row>
        <row r="207">
          <cell r="B207" t="str">
            <v>EPS (pre-exceptionals, diluted)</v>
          </cell>
          <cell r="C207" t="str">
            <v>EPS_FUL_DIL</v>
          </cell>
          <cell r="D207">
            <v>0</v>
          </cell>
        </row>
        <row r="208">
          <cell r="B208" t="str">
            <v>EPS (post-exceptionals, basic)</v>
          </cell>
          <cell r="C208" t="str">
            <v>EPS_POST_BASIC</v>
          </cell>
          <cell r="D208">
            <v>0</v>
          </cell>
        </row>
        <row r="209">
          <cell r="B209" t="str">
            <v>EPS (post-exceptionals, diluted)</v>
          </cell>
          <cell r="C209" t="str">
            <v>FULLY_DIL_EPS</v>
          </cell>
          <cell r="D209">
            <v>0</v>
          </cell>
        </row>
        <row r="210">
          <cell r="B210" t="str">
            <v>Common dividends paid</v>
          </cell>
          <cell r="C210" t="str">
            <v>COMMON_DIV_PAID</v>
          </cell>
          <cell r="D210">
            <v>0</v>
          </cell>
        </row>
        <row r="211">
          <cell r="B211" t="str">
            <v>DPS, dividend per share</v>
          </cell>
          <cell r="C211" t="str">
            <v>DPS</v>
          </cell>
          <cell r="D211">
            <v>0</v>
          </cell>
        </row>
        <row r="212">
          <cell r="B212" t="str">
            <v>Weighted average shares outstanding, basic</v>
          </cell>
          <cell r="C212" t="str">
            <v>SH</v>
          </cell>
        </row>
        <row r="213">
          <cell r="B213" t="str">
            <v>Diluted average shares outstanding (mn)</v>
          </cell>
          <cell r="C213" t="str">
            <v>DILUTE_SHARES</v>
          </cell>
        </row>
        <row r="214">
          <cell r="B214" t="str">
            <v>Period-end shares outstanding</v>
          </cell>
          <cell r="C214" t="str">
            <v>NON_OP_ADD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</row>
        <row r="217">
          <cell r="B217" t="str">
            <v>Net income (consensus) (Pub)</v>
          </cell>
          <cell r="C217" t="str">
            <v>NI_CONS</v>
          </cell>
          <cell r="D217">
            <v>0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>
            <v>0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>
            <v>0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</row>
      </sheetData>
      <sheetData sheetId="15" refreshError="1">
        <row r="1">
          <cell r="A1" t="str">
            <v>45a5dadc-f9cd-4962-8ca4-e5c73b08098c</v>
          </cell>
        </row>
        <row r="2">
          <cell r="A2" t="str">
            <v>N:\DLu\SLi\Models\Joyson\WIP\[GS Joyson model20141028WIP.xlsm]600699.SS_Validation_Sheet</v>
          </cell>
        </row>
        <row r="3">
          <cell r="A3" t="str">
            <v>Enabled</v>
          </cell>
        </row>
        <row r="7">
          <cell r="A7" t="str">
            <v>Scalar|||208014791|||ISSR|||CURRENCY_ISO|||False|||</v>
          </cell>
          <cell r="C7" t="str">
            <v>V_KEYWORD_ISSR_208014791_CURRENCY_ISO</v>
          </cell>
          <cell r="E7" t="str">
            <v>ERROR</v>
          </cell>
        </row>
        <row r="9">
          <cell r="A9" t="str">
            <v>Vector|||208014791|||ISSR|||SALES|||False|||</v>
          </cell>
          <cell r="C9" t="str">
            <v>V_KEYWORD_ISSR_208014791_SALES</v>
          </cell>
        </row>
        <row r="10">
          <cell r="A10" t="str">
            <v>Vector|||208014791|||ISSR|||PERSONNEL|||False|||</v>
          </cell>
          <cell r="C10" t="str">
            <v>V_KEYWORD_ISSR_208014791_PERSONNEL</v>
          </cell>
        </row>
        <row r="11">
          <cell r="A11" t="str">
            <v>Vector|||208014791|||ISSR|||COST_GD_SD|||False|||</v>
          </cell>
          <cell r="C11" t="str">
            <v>V_KEYWORD_ISSR_208014791_COST_GD_SD</v>
          </cell>
        </row>
        <row r="12">
          <cell r="A12" t="str">
            <v>Vector|||208014791|||ISSR|||SEL_GL_AD|||False|||</v>
          </cell>
          <cell r="C12" t="str">
            <v>V_KEYWORD_ISSR_208014791_SEL_GL_AD</v>
          </cell>
        </row>
        <row r="13">
          <cell r="A13" t="str">
            <v>Vector|||208014791|||ISSR|||OP_COST|||False|||</v>
          </cell>
          <cell r="C13" t="str">
            <v>V_KEYWORD_ISSR_208014791_OP_COST</v>
          </cell>
        </row>
        <row r="14">
          <cell r="A14" t="str">
            <v>Vector|||208014791|||ISSR|||RD_EXP|||False|||</v>
          </cell>
          <cell r="C14" t="str">
            <v>V_KEYWORD_ISSR_208014791_RD_EXP</v>
          </cell>
        </row>
        <row r="15">
          <cell r="A15" t="str">
            <v>Vector|||208014791|||ISSR|||OTH_OP_INC_EXP|||False|||</v>
          </cell>
          <cell r="C15" t="str">
            <v>V_KEYWORD_ISSR_208014791_OTH_OP_INC_EXP</v>
          </cell>
        </row>
        <row r="16">
          <cell r="A16" t="str">
            <v>Vector|||208014791|||ISSR|||TOT_OPS_EXP_DDA|||False|||</v>
          </cell>
          <cell r="C16" t="str">
            <v>V_KEYWORD_ISSR_208014791_TOT_OPS_EXP_DDA</v>
          </cell>
        </row>
        <row r="17">
          <cell r="A17" t="str">
            <v>Vector|||208014791|||ISSR|||TOT_OPS_EXP|||False|||</v>
          </cell>
          <cell r="C17" t="str">
            <v>V_KEYWORD_ISSR_208014791_TOT_OPS_EXP</v>
          </cell>
        </row>
        <row r="18">
          <cell r="A18" t="str">
            <v>Vector|||208014791|||ISSR|||EBITDA_CALC|||False|||</v>
          </cell>
          <cell r="C18" t="str">
            <v>V_KEYWORD_ISSR_208014791_EBITDA_CALC</v>
          </cell>
        </row>
        <row r="19">
          <cell r="A19" t="str">
            <v>Vector|||208014791|||ISSR|||DEPREC|||False|||</v>
          </cell>
          <cell r="C19" t="str">
            <v>V_KEYWORD_ISSR_208014791_DEPREC</v>
          </cell>
        </row>
        <row r="20">
          <cell r="A20" t="str">
            <v>Vector|||208014791|||ISSR|||GOODWILL_AMORT|||False|||</v>
          </cell>
          <cell r="C20" t="str">
            <v>V_KEYWORD_ISSR_208014791_GOODWILL_AMORT</v>
          </cell>
        </row>
        <row r="21">
          <cell r="A21" t="str">
            <v>Vector|||208014791|||ISSR|||EBIT|||False|||</v>
          </cell>
          <cell r="C21" t="str">
            <v>V_KEYWORD_ISSR_208014791_EBIT</v>
          </cell>
        </row>
        <row r="22">
          <cell r="A22" t="str">
            <v>Vector|||208014791|||ISSR|||INT_INC_IND|||False|||</v>
          </cell>
          <cell r="C22" t="str">
            <v>V_KEYWORD_ISSR_208014791_INT_INC_IND</v>
          </cell>
        </row>
        <row r="23">
          <cell r="A23" t="str">
            <v>Vector|||208014791|||ISSR|||INT_EXP_IND|||False|||</v>
          </cell>
          <cell r="C23" t="str">
            <v>V_KEYWORD_ISSR_208014791_INT_EXP_IND</v>
          </cell>
        </row>
        <row r="24">
          <cell r="A24" t="str">
            <v>Vector|||208014791|||ISSR|||NET_INT_EXP|||False|||</v>
          </cell>
          <cell r="C24" t="str">
            <v>V_KEYWORD_ISSR_208014791_NET_INT_EXP</v>
          </cell>
        </row>
        <row r="25">
          <cell r="A25" t="str">
            <v>Vector|||208014791|||ISSR|||ASSOCIATE|||False|||</v>
          </cell>
          <cell r="C25" t="str">
            <v>V_KEYWORD_ISSR_208014791_ASSOCIATE</v>
          </cell>
        </row>
        <row r="26">
          <cell r="A26" t="str">
            <v>Vector|||208014791|||ISSR|||PROFIT_ON_DISP|||False|||</v>
          </cell>
          <cell r="C26" t="str">
            <v>V_KEYWORD_ISSR_208014791_PROFIT_ON_DISP</v>
          </cell>
        </row>
        <row r="27">
          <cell r="A27" t="str">
            <v>Vector|||208014791|||ISSR|||OTH_COST_INC|||False|||</v>
          </cell>
          <cell r="C27" t="str">
            <v>V_KEYWORD_ISSR_208014791_OTH_COST_INC</v>
          </cell>
        </row>
        <row r="28">
          <cell r="A28" t="str">
            <v>Vector|||208014791|||ISSR|||PT_PROF|||False|||</v>
          </cell>
          <cell r="C28" t="str">
            <v>V_KEYWORD_ISSR_208014791_PT_PROF</v>
          </cell>
        </row>
        <row r="30">
          <cell r="A30" t="str">
            <v>Vector|||208014791|||ISSR|||CONTRIB_MARGIN_RATIO|||False|||</v>
          </cell>
          <cell r="C30" t="str">
            <v>V_KEYWORD_ISSR_208014791_CONTRIB_MARGIN_RATIO</v>
          </cell>
        </row>
        <row r="31">
          <cell r="A31" t="str">
            <v>Vector|||208014791|||ISSR|||LEASE_PAY|||False|||</v>
          </cell>
          <cell r="C31" t="str">
            <v>V_KEYWORD_ISSR_208014791_LEASE_PAY</v>
          </cell>
        </row>
        <row r="32">
          <cell r="A32" t="str">
            <v>Vector|||208014791|||ISSR|||LEASE_DEEM_INT|||False|||</v>
          </cell>
          <cell r="C32" t="str">
            <v>V_KEYWORD_ISSR_208014791_LEASE_DEEM_INT</v>
          </cell>
        </row>
        <row r="33">
          <cell r="A33" t="str">
            <v>Vector|||208014791|||ISSR|||LEASE_DEEM_DEPR|||False|||</v>
          </cell>
          <cell r="C33" t="str">
            <v>V_KEYWORD_ISSR_208014791_LEASE_DEEM_DEPR</v>
          </cell>
        </row>
        <row r="34">
          <cell r="A34" t="str">
            <v>Vector|||208014791|||ISSR|||NET_INT_CH|||False|||</v>
          </cell>
          <cell r="C34" t="str">
            <v>V_KEYWORD_ISSR_208014791_NET_INT_CH</v>
          </cell>
        </row>
        <row r="35">
          <cell r="A35" t="str">
            <v>Vector|||208014791|||ISSR|||ASSOCIATE_OP|||False|||</v>
          </cell>
          <cell r="C35" t="str">
            <v>V_KEYWORD_ISSR_208014791_ASSOCIATE_OP</v>
          </cell>
        </row>
        <row r="37">
          <cell r="A37" t="str">
            <v>Vector|||208014791|||ISSR|||CASH_EQ|||False|||</v>
          </cell>
          <cell r="C37" t="str">
            <v>V_KEYWORD_ISSR_208014791_CASH_EQ</v>
          </cell>
        </row>
        <row r="38">
          <cell r="A38" t="str">
            <v>Vector|||208014791|||ISSR|||DEBTORS|||False|||</v>
          </cell>
          <cell r="C38" t="str">
            <v>V_KEYWORD_ISSR_208014791_DEBTORS</v>
          </cell>
        </row>
        <row r="39">
          <cell r="A39" t="str">
            <v>Vector|||208014791|||ISSR|||STOCKS|||False|||</v>
          </cell>
          <cell r="C39" t="str">
            <v>V_KEYWORD_ISSR_208014791_STOCKS</v>
          </cell>
        </row>
        <row r="40">
          <cell r="A40" t="str">
            <v>Vector|||208014791|||ISSR|||OTH_CUR_ASS|||False|||</v>
          </cell>
          <cell r="C40" t="str">
            <v>V_KEYWORD_ISSR_208014791_OTH_CUR_ASS</v>
          </cell>
        </row>
        <row r="41">
          <cell r="A41" t="str">
            <v>Vector|||208014791|||ISSR|||CUR_ASS|||False|||</v>
          </cell>
          <cell r="C41" t="str">
            <v>V_KEYWORD_ISSR_208014791_CUR_ASS</v>
          </cell>
        </row>
        <row r="42">
          <cell r="A42" t="str">
            <v>Vector|||208014791|||ISSR|||GR_FIX_ASS|||False|||</v>
          </cell>
          <cell r="C42" t="str">
            <v>V_KEYWORD_ISSR_208014791_GR_FIX_ASS</v>
          </cell>
        </row>
        <row r="43">
          <cell r="A43" t="str">
            <v>Vector|||208014791|||ISSR|||ACC_DDA|||False|||</v>
          </cell>
          <cell r="C43" t="str">
            <v>V_KEYWORD_ISSR_208014791_ACC_DDA</v>
          </cell>
        </row>
        <row r="44">
          <cell r="A44" t="str">
            <v>Vector|||208014791|||ISSR|||NET_FIX_ASS|||False|||</v>
          </cell>
          <cell r="C44" t="str">
            <v>V_KEYWORD_ISSR_208014791_NET_FIX_ASS</v>
          </cell>
        </row>
        <row r="45">
          <cell r="A45" t="str">
            <v>Vector|||208014791|||ISSR|||GR_INTANG|||False|||</v>
          </cell>
          <cell r="C45" t="str">
            <v>V_KEYWORD_ISSR_208014791_GR_INTANG</v>
          </cell>
        </row>
        <row r="46">
          <cell r="A46" t="str">
            <v>Vector|||208014791|||ISSR|||ACC_AMORT|||False|||</v>
          </cell>
          <cell r="C46" t="str">
            <v>V_KEYWORD_ISSR_208014791_ACC_AMORT</v>
          </cell>
        </row>
        <row r="47">
          <cell r="A47" t="str">
            <v>Vector|||208014791|||ISSR|||NET_INTANG|||False|||</v>
          </cell>
          <cell r="C47" t="str">
            <v>V_KEYWORD_ISSR_208014791_NET_INTANG</v>
          </cell>
        </row>
        <row r="48">
          <cell r="A48" t="str">
            <v>Vector|||208014791|||ISSR|||FIX_ASS_INV|||False|||</v>
          </cell>
          <cell r="C48" t="str">
            <v>V_KEYWORD_ISSR_208014791_FIX_ASS_INV</v>
          </cell>
        </row>
        <row r="49">
          <cell r="A49" t="str">
            <v>Vector|||208014791|||ISSR|||INV_SECUR|||False|||</v>
          </cell>
          <cell r="C49" t="str">
            <v>V_KEYWORD_ISSR_208014791_INV_SECUR</v>
          </cell>
        </row>
        <row r="50">
          <cell r="A50" t="str">
            <v>Vector|||208014791|||ISSR|||OTH_LT_ASS|||False|||</v>
          </cell>
          <cell r="C50" t="str">
            <v>V_KEYWORD_ISSR_208014791_OTH_LT_ASS</v>
          </cell>
        </row>
        <row r="51">
          <cell r="A51" t="str">
            <v>Vector|||208014791|||ISSR|||TOT_ASSET|||False|||</v>
          </cell>
          <cell r="C51" t="str">
            <v>V_KEYWORD_ISSR_208014791_TOT_ASSET</v>
          </cell>
        </row>
        <row r="52">
          <cell r="A52" t="str">
            <v>Vector|||208014791|||ISSR|||ACC_PAY_GQ|||False|||</v>
          </cell>
          <cell r="C52" t="str">
            <v>V_KEYWORD_ISSR_208014791_ACC_PAY_GQ</v>
          </cell>
        </row>
        <row r="53">
          <cell r="A53" t="str">
            <v>Vector|||208014791|||ISSR|||SHORT_T_DEBT|||False|||</v>
          </cell>
          <cell r="C53" t="str">
            <v>V_KEYWORD_ISSR_208014791_SHORT_T_DEBT</v>
          </cell>
        </row>
        <row r="54">
          <cell r="A54" t="str">
            <v>Vector|||208014791|||ISSR|||OTH_CUR_LIABS|||False|||</v>
          </cell>
          <cell r="C54" t="str">
            <v>V_KEYWORD_ISSR_208014791_OTH_CUR_LIABS</v>
          </cell>
        </row>
        <row r="55">
          <cell r="A55" t="str">
            <v>Vector|||208014791|||ISSR|||SHORT_TERM_LIABS|||False|||</v>
          </cell>
          <cell r="C55" t="str">
            <v>V_KEYWORD_ISSR_208014791_SHORT_TERM_LIABS</v>
          </cell>
        </row>
        <row r="56">
          <cell r="A56" t="str">
            <v>Vector|||208014791|||ISSR|||LT_DEBT|||False|||</v>
          </cell>
          <cell r="C56" t="str">
            <v>V_KEYWORD_ISSR_208014791_LT_DEBT</v>
          </cell>
        </row>
        <row r="57">
          <cell r="A57" t="str">
            <v>Vector|||208014791|||ISSR|||OTH_LT_CRED_GQ|||False|||</v>
          </cell>
          <cell r="C57" t="str">
            <v>V_KEYWORD_ISSR_208014791_OTH_LT_CRED_GQ</v>
          </cell>
        </row>
        <row r="58">
          <cell r="A58" t="str">
            <v>Vector|||208014791|||ISSR|||TOT_LT_LIAB|||False|||</v>
          </cell>
          <cell r="C58" t="str">
            <v>V_KEYWORD_ISSR_208014791_TOT_LT_LIAB</v>
          </cell>
        </row>
        <row r="59">
          <cell r="A59" t="str">
            <v>Vector|||208014791|||ISSR|||TOT_LIAB|||False|||</v>
          </cell>
          <cell r="C59" t="str">
            <v>V_KEYWORD_ISSR_208014791_TOT_LIAB</v>
          </cell>
        </row>
        <row r="60">
          <cell r="A60" t="str">
            <v>Vector|||208014791|||ISSR|||PREF_SH|||False|||</v>
          </cell>
          <cell r="C60" t="str">
            <v>V_KEYWORD_ISSR_208014791_PREF_SH</v>
          </cell>
        </row>
        <row r="61">
          <cell r="A61" t="str">
            <v>Vector|||208014791|||ISSR|||ORD_SH_FUND|||False|||</v>
          </cell>
          <cell r="C61" t="str">
            <v>V_KEYWORD_ISSR_208014791_ORD_SH_FUND</v>
          </cell>
        </row>
        <row r="62">
          <cell r="A62" t="str">
            <v>Vector|||208014791|||ISSR|||MINORITIES|||False|||</v>
          </cell>
          <cell r="C62" t="str">
            <v>V_KEYWORD_ISSR_208014791_MINORITIES</v>
          </cell>
        </row>
        <row r="63">
          <cell r="A63" t="str">
            <v>Vector|||208014791|||ISSR|||EQ|||False|||</v>
          </cell>
          <cell r="C63" t="str">
            <v>V_KEYWORD_ISSR_208014791_EQ</v>
          </cell>
        </row>
        <row r="64">
          <cell r="A64" t="str">
            <v>Vector|||208014791|||ISSR|||TOT_LIAB_EQ|||False|||</v>
          </cell>
          <cell r="C64" t="str">
            <v>V_KEYWORD_ISSR_208014791_TOT_LIAB_EQ</v>
          </cell>
        </row>
        <row r="66">
          <cell r="A66" t="str">
            <v>Vector|||208014791|||ISSR|||NET_DEBT|||False|||</v>
          </cell>
          <cell r="C66" t="str">
            <v>V_KEYWORD_ISSR_208014791_NET_DEBT</v>
          </cell>
        </row>
        <row r="67">
          <cell r="A67" t="str">
            <v>Vector|||208014791|||ISSR|||CAP_LEASES|||False|||</v>
          </cell>
          <cell r="C67" t="str">
            <v>V_KEYWORD_ISSR_208014791_CAP_LEASES</v>
          </cell>
        </row>
        <row r="68">
          <cell r="A68" t="str">
            <v>Vector|||208014791|||ISSR|||DEF_INC_TAX|||False|||</v>
          </cell>
          <cell r="C68" t="str">
            <v>V_KEYWORD_ISSR_208014791_DEF_INC_TAX</v>
          </cell>
        </row>
        <row r="69">
          <cell r="A69" t="str">
            <v>Vector|||208014791|||ISSR|||MV_ASSOCIATES|||False|||</v>
          </cell>
          <cell r="C69" t="str">
            <v>V_KEYWORD_ISSR_208014791_MV_ASSOCIATES</v>
          </cell>
        </row>
        <row r="70">
          <cell r="A70" t="str">
            <v>Vector|||208014791|||ISSR|||NET_DEBT_ADJ|||False|||</v>
          </cell>
          <cell r="C70" t="str">
            <v>V_KEYWORD_ISSR_208014791_NET_DEBT_ADJ</v>
          </cell>
        </row>
        <row r="71">
          <cell r="A71" t="str">
            <v>Vector|||208014791|||ISSR|||CO_BOR_MARGIN|||False|||</v>
          </cell>
          <cell r="C71" t="str">
            <v>V_KEYWORD_ISSR_208014791_CO_BOR_MARGIN</v>
          </cell>
        </row>
        <row r="72">
          <cell r="A72" t="str">
            <v>Vector|||208014791|||ISSR|||UNF_PENS|||False|||</v>
          </cell>
          <cell r="C72" t="str">
            <v>V_KEYWORD_ISSR_208014791_UNF_PENS</v>
          </cell>
        </row>
        <row r="73">
          <cell r="A73" t="str">
            <v>Vector|||208014791|||ISSR|||UNF_PENS_OFF|||False|||</v>
          </cell>
          <cell r="C73" t="str">
            <v>V_KEYWORD_ISSR_208014791_UNF_PENS_OFF</v>
          </cell>
        </row>
        <row r="74">
          <cell r="A74" t="str">
            <v>Vector|||208014791|||ISSR|||UNF_PENS_LIAB_OTH|||False|||</v>
          </cell>
          <cell r="C74" t="str">
            <v>V_KEYWORD_ISSR_208014791_UNF_PENS_LIAB_OTH</v>
          </cell>
        </row>
        <row r="75">
          <cell r="A75" t="str">
            <v>Vector|||208014791|||ISSR|||ADJ_UNF_PENS_GOOD|||False|||</v>
          </cell>
          <cell r="C75" t="str">
            <v>V_KEYWORD_ISSR_208014791_ADJ_UNF_PENS_GOOD</v>
          </cell>
        </row>
        <row r="76">
          <cell r="A76" t="str">
            <v>Vector|||208014791|||ISSR|||OTH_GCI_ADJ|||False|||</v>
          </cell>
          <cell r="C76" t="str">
            <v>V_KEYWORD_ISSR_208014791_OTH_GCI_ADJ</v>
          </cell>
        </row>
        <row r="77">
          <cell r="A77" t="str">
            <v>Vector|||208014791|||ISSR|||GCI_INFL|||False|||</v>
          </cell>
          <cell r="C77" t="str">
            <v>V_KEYWORD_ISSR_208014791_GCI_INFL</v>
          </cell>
        </row>
        <row r="78">
          <cell r="A78" t="str">
            <v>Vector|||208014791|||ISSR|||BAL_MINO_INT|||False|||</v>
          </cell>
          <cell r="C78" t="str">
            <v>V_KEYWORD_ISSR_208014791_BAL_MINO_INT</v>
          </cell>
        </row>
        <row r="80">
          <cell r="A80" t="str">
            <v>Vector|||208014791|||ISSR|||CF_INC_MINORITY|||False|||</v>
          </cell>
          <cell r="C80" t="str">
            <v>V_KEYWORD_ISSR_208014791_CF_INC_MINORITY</v>
          </cell>
        </row>
        <row r="81">
          <cell r="A81" t="str">
            <v>Vector|||208014791|||ISSR|||DEPR_AMORT|||False|||</v>
          </cell>
          <cell r="C81" t="str">
            <v>V_KEYWORD_ISSR_208014791_DEPR_AMORT</v>
          </cell>
        </row>
        <row r="82">
          <cell r="A82" t="str">
            <v>Vector|||208014791|||ISSR|||WORK_CAP|||False|||</v>
          </cell>
          <cell r="C82" t="str">
            <v>V_KEYWORD_ISSR_208014791_WORK_CAP</v>
          </cell>
        </row>
        <row r="83">
          <cell r="A83" t="str">
            <v>Vector|||208014791|||ISSR|||OTH_OP_CF|||False|||</v>
          </cell>
          <cell r="C83" t="str">
            <v>V_KEYWORD_ISSR_208014791_OTH_OP_CF</v>
          </cell>
        </row>
        <row r="84">
          <cell r="A84" t="str">
            <v>Vector|||208014791|||ISSR|||CF_OPS|||False|||</v>
          </cell>
          <cell r="C84" t="str">
            <v>V_KEYWORD_ISSR_208014791_CF_OPS</v>
          </cell>
        </row>
        <row r="85">
          <cell r="A85" t="str">
            <v>Vector|||208014791|||ISSR|||CAPEX|||False|||</v>
          </cell>
          <cell r="C85" t="str">
            <v>V_KEYWORD_ISSR_208014791_CAPEX</v>
          </cell>
        </row>
        <row r="86">
          <cell r="A86" t="str">
            <v>Vector|||208014791|||ISSR|||ACQ|||False|||</v>
          </cell>
          <cell r="C86" t="str">
            <v>V_KEYWORD_ISSR_208014791_ACQ</v>
          </cell>
        </row>
        <row r="87">
          <cell r="A87" t="str">
            <v>Vector|||208014791|||ISSR|||DIVEST|||False|||</v>
          </cell>
          <cell r="C87" t="str">
            <v>V_KEYWORD_ISSR_208014791_DIVEST</v>
          </cell>
        </row>
        <row r="88">
          <cell r="A88" t="str">
            <v>Vector|||208014791|||ISSR|||OTH_INV_CF|||False|||</v>
          </cell>
          <cell r="C88" t="str">
            <v>V_KEYWORD_ISSR_208014791_OTH_INV_CF</v>
          </cell>
        </row>
        <row r="89">
          <cell r="A89" t="str">
            <v>Vector|||208014791|||ISSR|||CF_INV|||False|||</v>
          </cell>
          <cell r="C89" t="str">
            <v>V_KEYWORD_ISSR_208014791_CF_INV</v>
          </cell>
        </row>
        <row r="90">
          <cell r="A90" t="str">
            <v>Vector|||208014791|||ISSR|||DIV_PAID|||False|||</v>
          </cell>
          <cell r="C90" t="str">
            <v>V_KEYWORD_ISSR_208014791_DIV_PAID</v>
          </cell>
        </row>
        <row r="91">
          <cell r="A91" t="str">
            <v>Vector|||208014791|||ISSR|||SH_REPUR|||False|||</v>
          </cell>
          <cell r="C91" t="str">
            <v>V_KEYWORD_ISSR_208014791_SH_REPUR</v>
          </cell>
        </row>
        <row r="92">
          <cell r="A92" t="str">
            <v>Vector|||208014791|||ISSR|||CHG_LT_DEBT|||False|||</v>
          </cell>
          <cell r="C92" t="str">
            <v>V_KEYWORD_ISSR_208014791_CHG_LT_DEBT</v>
          </cell>
        </row>
        <row r="93">
          <cell r="A93" t="str">
            <v>Vector|||208014791|||ISSR|||OTH_FIN_CF|||False|||</v>
          </cell>
          <cell r="C93" t="str">
            <v>V_KEYWORD_ISSR_208014791_OTH_FIN_CF</v>
          </cell>
        </row>
        <row r="94">
          <cell r="A94" t="str">
            <v>Vector|||208014791|||ISSR|||CF_FIN|||False|||</v>
          </cell>
          <cell r="C94" t="str">
            <v>V_KEYWORD_ISSR_208014791_CF_FIN</v>
          </cell>
        </row>
        <row r="95">
          <cell r="A95" t="str">
            <v>Vector|||208014791|||ISSR|||TOT_CF|||False|||</v>
          </cell>
          <cell r="C95" t="str">
            <v>V_KEYWORD_ISSR_208014791_TOT_CF</v>
          </cell>
        </row>
        <row r="97">
          <cell r="A97" t="str">
            <v>Vector|||208014791|||ISSR|||ASSOC_JV_ADDBK|||False|||</v>
          </cell>
          <cell r="C97" t="str">
            <v>V_KEYWORD_ISSR_208014791_ASSOC_JV_ADDBK</v>
          </cell>
        </row>
        <row r="98">
          <cell r="A98" t="str">
            <v>Vector|||208014791|||ISSR|||PL_SALE_ASSETS|||False|||</v>
          </cell>
          <cell r="C98" t="str">
            <v>V_KEYWORD_ISSR_208014791_PL_SALE_ASSETS</v>
          </cell>
        </row>
        <row r="99">
          <cell r="A99" t="str">
            <v>Vector|||208014791|||ISSR|||OTH_NONCASH_ADJ|||False|||</v>
          </cell>
          <cell r="C99" t="str">
            <v>V_KEYWORD_ISSR_208014791_OTH_NONCASH_ADJ</v>
          </cell>
        </row>
        <row r="100">
          <cell r="A100" t="str">
            <v>Vector|||208014791|||ISSR|||OTH_DACF_ADJ|||False|||</v>
          </cell>
          <cell r="C100" t="str">
            <v>V_KEYWORD_ISSR_208014791_OTH_DACF_ADJ</v>
          </cell>
        </row>
        <row r="101">
          <cell r="A101" t="str">
            <v>Vector|||208014791|||ISSR|||CASH_INT_EXP|||False|||</v>
          </cell>
          <cell r="C101" t="str">
            <v>V_KEYWORD_ISSR_208014791_CASH_INT_EXP</v>
          </cell>
        </row>
        <row r="102">
          <cell r="A102" t="str">
            <v>Vector|||208014791|||ISSR|||CASH_TAX_EXP|||False|||</v>
          </cell>
          <cell r="C102" t="str">
            <v>V_KEYWORD_ISSR_208014791_CASH_TAX_EXP</v>
          </cell>
        </row>
        <row r="103">
          <cell r="A103" t="str">
            <v>Vector|||208014791|||ISSR|||DIVDS_ASSOC_JV|||False|||</v>
          </cell>
          <cell r="C103" t="str">
            <v>V_KEYWORD_ISSR_208014791_DIVDS_ASSOC_JV</v>
          </cell>
        </row>
        <row r="104">
          <cell r="A104" t="str">
            <v>Vector|||208014791|||ISSR|||CAPEX_MAINTENANCE|||False|||</v>
          </cell>
          <cell r="C104" t="str">
            <v>V_KEYWORD_ISSR_208014791_CAPEX_MAINTENANCE</v>
          </cell>
        </row>
        <row r="105">
          <cell r="A105" t="str">
            <v>Vector|||208014791|||ISSR|||CAPEX_EXPANSION|||False|||</v>
          </cell>
          <cell r="C105" t="str">
            <v>V_KEYWORD_ISSR_208014791_CAPEX_EXPANSION</v>
          </cell>
        </row>
        <row r="106">
          <cell r="A106" t="str">
            <v>Vector|||208014791|||ISSR|||NONPPE_CAPEX|||False|||</v>
          </cell>
          <cell r="C106" t="str">
            <v>V_KEYWORD_ISSR_208014791_NONPPE_CAPEX</v>
          </cell>
        </row>
        <row r="107">
          <cell r="A107" t="str">
            <v>Vector|||208014791|||ISSR|||DIVDS_PD_MINORITIES|||False|||</v>
          </cell>
          <cell r="C107" t="str">
            <v>V_KEYWORD_ISSR_208014791_DIVDS_PD_MINORITIES</v>
          </cell>
        </row>
        <row r="109">
          <cell r="A109" t="str">
            <v>Vector|||208014791|||ISSR|||EMPLOYEES|||False|||</v>
          </cell>
          <cell r="C109" t="str">
            <v>V_KEYWORD_ISSR_208014791_EMPLOYEES</v>
          </cell>
        </row>
        <row r="111">
          <cell r="A111" t="str">
            <v>Vector|||208014791|||ISSR|||SALES_TOT_AM|||False|||</v>
          </cell>
          <cell r="C111" t="str">
            <v>V_KEYWORD_ISSR_208014791_SALES_TOT_AM</v>
          </cell>
        </row>
        <row r="112">
          <cell r="A112" t="str">
            <v>Vector|||208014791|||ISSR|||SALES_US|||False|||</v>
          </cell>
          <cell r="C112" t="str">
            <v>V_KEYWORD_ISSR_208014791_SALES_US</v>
          </cell>
        </row>
        <row r="113">
          <cell r="A113" t="str">
            <v>Vector|||208014791|||ISSR|||SALES_BRAZIL|||False|||</v>
          </cell>
          <cell r="C113" t="str">
            <v>V_KEYWORD_ISSR_208014791_SALES_BRAZIL</v>
          </cell>
        </row>
        <row r="114">
          <cell r="A114" t="str">
            <v>Vector|||208014791|||ISSR|||SALES_OTH_AM|||False|||</v>
          </cell>
          <cell r="C114" t="str">
            <v>V_KEYWORD_ISSR_208014791_SALES_OTH_AM</v>
          </cell>
        </row>
        <row r="115">
          <cell r="A115" t="str">
            <v>Vector|||208014791|||ISSR|||SALES_TOT_EMEA|||False|||</v>
          </cell>
          <cell r="C115" t="str">
            <v>V_KEYWORD_ISSR_208014791_SALES_TOT_EMEA</v>
          </cell>
        </row>
        <row r="116">
          <cell r="A116" t="str">
            <v>Vector|||208014791|||ISSR|||SALES_UK|||False|||</v>
          </cell>
          <cell r="C116" t="str">
            <v>V_KEYWORD_ISSR_208014791_SALES_UK</v>
          </cell>
        </row>
        <row r="117">
          <cell r="A117" t="str">
            <v>Vector|||208014791|||ISSR|||SALES_EU_EX_UK|||False|||</v>
          </cell>
          <cell r="C117" t="str">
            <v>V_KEYWORD_ISSR_208014791_SALES_EU_EX_UK</v>
          </cell>
        </row>
        <row r="118">
          <cell r="A118" t="str">
            <v>Vector|||208014791|||ISSR|||SALES_CEE|||False|||</v>
          </cell>
          <cell r="C118" t="str">
            <v>V_KEYWORD_ISSR_208014791_SALES_CEE</v>
          </cell>
        </row>
        <row r="119">
          <cell r="A119" t="str">
            <v>Vector|||208014791|||ISSR|||SALES_ME|||False|||</v>
          </cell>
          <cell r="C119" t="str">
            <v>V_KEYWORD_ISSR_208014791_SALES_ME</v>
          </cell>
        </row>
        <row r="120">
          <cell r="A120" t="str">
            <v>Vector|||208014791|||ISSR|||SALES_TOT_AFRICA|||False|||</v>
          </cell>
          <cell r="C120" t="str">
            <v>V_KEYWORD_ISSR_208014791_SALES_TOT_AFRICA</v>
          </cell>
        </row>
        <row r="121">
          <cell r="A121" t="str">
            <v>Vector|||208014791|||ISSR|||SALES_RUSSIA|||False|||</v>
          </cell>
          <cell r="C121" t="str">
            <v>V_KEYWORD_ISSR_208014791_SALES_RUSSIA</v>
          </cell>
        </row>
        <row r="122">
          <cell r="A122" t="str">
            <v>Vector|||208014791|||ISSR|||SALES_OTH_EMEA|||False|||</v>
          </cell>
          <cell r="C122" t="str">
            <v>V_KEYWORD_ISSR_208014791_SALES_OTH_EMEA</v>
          </cell>
        </row>
        <row r="123">
          <cell r="A123" t="str">
            <v>Vector|||208014791|||ISSR|||SALES_TOT_ASIA|||False|||</v>
          </cell>
          <cell r="C123" t="str">
            <v>V_KEYWORD_ISSR_208014791_SALES_TOT_ASIA</v>
          </cell>
        </row>
        <row r="124">
          <cell r="A124" t="str">
            <v>Vector|||208014791|||ISSR|||SALES_JAPAN|||False|||</v>
          </cell>
          <cell r="C124" t="str">
            <v>V_KEYWORD_ISSR_208014791_SALES_JAPAN</v>
          </cell>
        </row>
        <row r="125">
          <cell r="A125" t="str">
            <v>Vector|||208014791|||ISSR|||SALES_CHINA|||False|||</v>
          </cell>
          <cell r="C125" t="str">
            <v>V_KEYWORD_ISSR_208014791_SALES_CHINA</v>
          </cell>
        </row>
        <row r="126">
          <cell r="A126" t="str">
            <v>Vector|||208014791|||ISSR|||SALES_INDIA|||False|||</v>
          </cell>
          <cell r="C126" t="str">
            <v>V_KEYWORD_ISSR_208014791_SALES_INDIA</v>
          </cell>
        </row>
        <row r="127">
          <cell r="A127" t="str">
            <v>Vector|||208014791|||ISSR|||SALES_SK|||False|||</v>
          </cell>
          <cell r="C127" t="str">
            <v>V_KEYWORD_ISSR_208014791_SALES_SK</v>
          </cell>
        </row>
        <row r="128">
          <cell r="A128" t="str">
            <v>Vector|||208014791|||ISSR|||SALES_TAIWAN|||False|||</v>
          </cell>
          <cell r="C128" t="str">
            <v>V_KEYWORD_ISSR_208014791_SALES_TAIWAN</v>
          </cell>
        </row>
        <row r="129">
          <cell r="A129" t="str">
            <v>Vector|||208014791|||ISSR|||SALES_OTH_AEJ|||False|||</v>
          </cell>
          <cell r="C129" t="str">
            <v>V_KEYWORD_ISSR_208014791_SALES_OTH_AEJ</v>
          </cell>
        </row>
        <row r="130">
          <cell r="A130" t="str">
            <v>Vector|||208014791|||ISSR|||SALES_OTHER|||False|||</v>
          </cell>
          <cell r="C130" t="str">
            <v>V_KEYWORD_ISSR_208014791_SALES_OTHER</v>
          </cell>
        </row>
        <row r="131">
          <cell r="A131" t="str">
            <v>Vector|||208014791|||ISSR|||SALES_CONS|||False|||</v>
          </cell>
          <cell r="C131" t="str">
            <v>V_KEYWORD_ISSR_208014791_SALES_CONS</v>
          </cell>
        </row>
        <row r="132">
          <cell r="A132" t="str">
            <v>Vector|||208014791|||ISSR|||SALES_IND|||False|||</v>
          </cell>
          <cell r="C132" t="str">
            <v>V_KEYWORD_ISSR_208014791_SALES_IND</v>
          </cell>
        </row>
        <row r="133">
          <cell r="A133" t="str">
            <v>Vector|||208014791|||ISSR|||SALES_GOV|||False|||</v>
          </cell>
          <cell r="C133" t="str">
            <v>V_KEYWORD_ISSR_208014791_SALES_GOV</v>
          </cell>
        </row>
        <row r="134">
          <cell r="A134" t="str">
            <v>Vector|||208014791|||ISSR|||SALES_FINAN|||False|||</v>
          </cell>
          <cell r="C134" t="str">
            <v>V_KEYWORD_ISSR_208014791_SALES_FINAN</v>
          </cell>
        </row>
        <row r="136">
          <cell r="A136" t="str">
            <v>Vector|||208014791|||ISSR|||EXP_OIL_PETRO_FUEL|||False|||</v>
          </cell>
          <cell r="C136" t="str">
            <v>V_KEYWORD_ISSR_208014791_EXP_OIL_PETRO_FUEL</v>
          </cell>
        </row>
        <row r="137">
          <cell r="A137" t="str">
            <v>Vector|||208014791|||ISSR|||EXP_OIL_DERIV_NGLS_PLASTICS|||False|||</v>
          </cell>
          <cell r="C137" t="str">
            <v>V_KEYWORD_ISSR_208014791_EXP_OIL_DERIV_NGLS_PLASTICS</v>
          </cell>
        </row>
        <row r="138">
          <cell r="A138" t="str">
            <v>Vector|||208014791|||ISSR|||EXP_PAPER_PULP|||False|||</v>
          </cell>
          <cell r="C138" t="str">
            <v>V_KEYWORD_ISSR_208014791_EXP_PAPER_PULP</v>
          </cell>
        </row>
        <row r="139">
          <cell r="A139" t="str">
            <v>Vector|||208014791|||ISSR|||EXP_GLASS|||False|||</v>
          </cell>
          <cell r="C139" t="str">
            <v>V_KEYWORD_ISSR_208014791_EXP_GLASS</v>
          </cell>
        </row>
        <row r="140">
          <cell r="A140" t="str">
            <v>Vector|||208014791|||ISSR|||EXP_WATER|||False|||</v>
          </cell>
          <cell r="C140" t="str">
            <v>V_KEYWORD_ISSR_208014791_EXP_WATER</v>
          </cell>
        </row>
        <row r="141">
          <cell r="A141" t="str">
            <v>Vector|||208014791|||ISSR|||EXP_OTH_COMMODITY|||False|||</v>
          </cell>
          <cell r="C141" t="str">
            <v>V_KEYWORD_ISSR_208014791_EXP_OTH_COMMODITY</v>
          </cell>
        </row>
        <row r="142">
          <cell r="A142" t="str">
            <v>Vector|||208014791|||ISSR|||EXP_OTH_COST|||False|||</v>
          </cell>
          <cell r="C142" t="str">
            <v>V_KEYWORD_ISSR_208014791_EXP_OTH_COST</v>
          </cell>
        </row>
        <row r="144">
          <cell r="A144" t="str">
            <v>Vector|||208014791|||ISSR|||SALES_FX_GPB|||False|||</v>
          </cell>
          <cell r="C144" t="str">
            <v>V_KEYWORD_ISSR_208014791_SALES_FX_GPB</v>
          </cell>
        </row>
        <row r="145">
          <cell r="A145" t="str">
            <v>Vector|||208014791|||ISSR|||SALES_FX_EUR|||False|||</v>
          </cell>
          <cell r="C145" t="str">
            <v>V_KEYWORD_ISSR_208014791_SALES_FX_EUR</v>
          </cell>
        </row>
        <row r="146">
          <cell r="A146" t="str">
            <v>Vector|||208014791|||ISSR|||SALES_FX_RUB|||False|||</v>
          </cell>
          <cell r="C146" t="str">
            <v>V_KEYWORD_ISSR_208014791_SALES_FX_RUB</v>
          </cell>
        </row>
        <row r="147">
          <cell r="A147" t="str">
            <v>Vector|||208014791|||ISSR|||SALES_FX_USD|||False|||</v>
          </cell>
          <cell r="C147" t="str">
            <v>V_KEYWORD_ISSR_208014791_SALES_FX_USD</v>
          </cell>
        </row>
        <row r="148">
          <cell r="A148" t="str">
            <v>Vector|||208014791|||ISSR|||SALES_FX_BRL|||False|||</v>
          </cell>
          <cell r="C148" t="str">
            <v>V_KEYWORD_ISSR_208014791_SALES_FX_BRL</v>
          </cell>
        </row>
        <row r="149">
          <cell r="A149" t="str">
            <v>Vector|||208014791|||ISSR|||SALES_FX_YEN|||False|||</v>
          </cell>
          <cell r="C149" t="str">
            <v>V_KEYWORD_ISSR_208014791_SALES_FX_YEN</v>
          </cell>
        </row>
        <row r="150">
          <cell r="A150" t="str">
            <v>Vector|||208014791|||ISSR|||SALES_FX_CNY|||False|||</v>
          </cell>
          <cell r="C150" t="str">
            <v>V_KEYWORD_ISSR_208014791_SALES_FX_CNY</v>
          </cell>
        </row>
        <row r="151">
          <cell r="A151" t="str">
            <v>Vector|||208014791|||ISSR|||SALES_FX_INR|||False|||</v>
          </cell>
          <cell r="C151" t="str">
            <v>V_KEYWORD_ISSR_208014791_SALES_FX_INR</v>
          </cell>
        </row>
        <row r="152">
          <cell r="A152" t="str">
            <v>Vector|||208014791|||ISSR|||SALES_FX_KRW|||False|||</v>
          </cell>
          <cell r="C152" t="str">
            <v>V_KEYWORD_ISSR_208014791_SALES_FX_KRW</v>
          </cell>
        </row>
        <row r="153">
          <cell r="A153" t="str">
            <v>Vector|||208014791|||ISSR|||SALES_FX_TWD|||False|||</v>
          </cell>
          <cell r="C153" t="str">
            <v>V_KEYWORD_ISSR_208014791_SALES_FX_TWD</v>
          </cell>
        </row>
        <row r="154">
          <cell r="A154" t="str">
            <v>Vector|||208014791|||ISSR|||SALES_FX_OTH|||False|||</v>
          </cell>
          <cell r="C154" t="str">
            <v>V_KEYWORD_ISSR_208014791_SALES_FX_OTH</v>
          </cell>
        </row>
        <row r="160">
          <cell r="A160" t="str">
            <v>Scalar|||200017309|||EQTY|||PUB_CURRENCY_ISO|||False|||</v>
          </cell>
          <cell r="C160" t="str">
            <v>V_KEYWORD_EQTY_200017309_PUB_CURRENCY_ISO</v>
          </cell>
          <cell r="E160" t="str">
            <v>ERROR</v>
          </cell>
        </row>
        <row r="161">
          <cell r="A161" t="str">
            <v>Scalar|||200017309|||EQTY|||PRICE_CURRENCY_ISO|||False|||</v>
          </cell>
          <cell r="C161" t="str">
            <v>V_KEYWORD_EQTY_200017309_PRICE_CURRENCY_ISO</v>
          </cell>
          <cell r="E161" t="str">
            <v>ERROR</v>
          </cell>
        </row>
        <row r="162">
          <cell r="A162" t="str">
            <v>Scalar|||200017309|||EQTY|||CURRENCY_ISO|||False|||</v>
          </cell>
          <cell r="C162" t="str">
            <v>V_KEYWORD_EQTY_200017309_CURRENCY_ISO</v>
          </cell>
        </row>
        <row r="164">
          <cell r="A164" t="str">
            <v>Scalar|||200017309|||EQTY|||AEJ_LIST|||False|||</v>
          </cell>
          <cell r="C164" t="str">
            <v>V_KEYWORD_EQTY_200017309_AEJ_LIST</v>
          </cell>
        </row>
        <row r="165">
          <cell r="A165" t="str">
            <v>Scalar|||200017309|||EQTY|||AEJ_CONVICTION|||False|||</v>
          </cell>
          <cell r="C165" t="str">
            <v>V_KEYWORD_EQTY_200017309_AEJ_CONVICTION</v>
          </cell>
        </row>
        <row r="166">
          <cell r="A166" t="str">
            <v>Scalar|||200017309|||EQTY|||LEGAL_RATING|||False|||</v>
          </cell>
          <cell r="C166" t="str">
            <v>V_KEYWORD_EQTY_200017309_LEGAL_RATING</v>
          </cell>
        </row>
        <row r="167">
          <cell r="A167" t="str">
            <v>Scalar|||200017309|||EQTY|||TARGET_PRICE|||False|||</v>
          </cell>
          <cell r="C167" t="str">
            <v>V_KEYWORD_EQTY_200017309_TARGET_PRICE</v>
          </cell>
          <cell r="E167" t="str">
            <v>ERROR</v>
          </cell>
        </row>
        <row r="168">
          <cell r="A168" t="str">
            <v>Scalar|||200017309|||EQTY|||TP_PERIOD|||False|||</v>
          </cell>
          <cell r="C168" t="str">
            <v>V_KEYWORD_EQTY_200017309_TP_PERIOD</v>
          </cell>
          <cell r="E168" t="str">
            <v>ERROR</v>
          </cell>
        </row>
        <row r="169">
          <cell r="A169" t="str">
            <v>Scalar|||200017309|||EQTY|||NUM_SH|||False|||</v>
          </cell>
          <cell r="C169" t="str">
            <v>V_KEYWORD_EQTY_200017309_NUM_SH</v>
          </cell>
        </row>
        <row r="170">
          <cell r="A170" t="str">
            <v>Scalar|||200017309|||EQTY|||FREE_FLOAT|||False|||</v>
          </cell>
          <cell r="C170" t="str">
            <v>V_KEYWORD_EQTY_200017309_FREE_FLOAT</v>
          </cell>
        </row>
        <row r="171">
          <cell r="A171" t="str">
            <v>Scalar|||200017309|||EQTY|||FOREIGN_HOLDNG|||False|||</v>
          </cell>
          <cell r="C171" t="str">
            <v>V_KEYWORD_EQTY_200017309_FOREIGN_HOLDNG</v>
          </cell>
        </row>
        <row r="172">
          <cell r="A172" t="str">
            <v>Scalar|||200017309|||EQTY|||CATALYST1_DATE|||True|||</v>
          </cell>
          <cell r="C172" t="str">
            <v>V_KEYWORD_EQTY_200017309_CATALYST1_DATE</v>
          </cell>
        </row>
        <row r="173">
          <cell r="A173" t="str">
            <v>Scalar|||200017309|||EQTY|||CATALYST1_EVENT|||False|||</v>
          </cell>
          <cell r="C173" t="str">
            <v>V_KEYWORD_EQTY_200017309_CATALYST1_EVENT</v>
          </cell>
        </row>
        <row r="174">
          <cell r="A174" t="str">
            <v>Scalar|||200017309|||EQTY|||CATALYST2_DATE|||True|||</v>
          </cell>
          <cell r="C174" t="str">
            <v>V_KEYWORD_EQTY_200017309_CATALYST2_DATE</v>
          </cell>
        </row>
        <row r="175">
          <cell r="A175" t="str">
            <v>Scalar|||200017309|||EQTY|||CATALYST2_EVENT|||False|||</v>
          </cell>
          <cell r="C175" t="str">
            <v>V_KEYWORD_EQTY_200017309_CATALYST2_EVENT</v>
          </cell>
        </row>
        <row r="176">
          <cell r="A176" t="str">
            <v>Scalar|||200017309|||EQTY|||CATALYST3_DATE|||True|||</v>
          </cell>
          <cell r="C176" t="str">
            <v>V_KEYWORD_EQTY_200017309_CATALYST3_DATE</v>
          </cell>
        </row>
        <row r="177">
          <cell r="A177" t="str">
            <v>Scalar|||200017309|||EQTY|||CATALYST3_EVENT|||False|||</v>
          </cell>
          <cell r="C177" t="str">
            <v>V_KEYWORD_EQTY_200017309_CATALYST3_EVENT</v>
          </cell>
        </row>
        <row r="178">
          <cell r="A178" t="str">
            <v>Scalar|||200017309|||EQTY|||CATALYST4_DATE|||True|||</v>
          </cell>
          <cell r="C178" t="str">
            <v>V_KEYWORD_EQTY_200017309_CATALYST4_DATE</v>
          </cell>
        </row>
        <row r="179">
          <cell r="A179" t="str">
            <v>Scalar|||200017309|||EQTY|||CATALYST4_EVENT|||False|||</v>
          </cell>
          <cell r="C179" t="str">
            <v>V_KEYWORD_EQTY_200017309_CATALYST4_EVENT</v>
          </cell>
        </row>
        <row r="180">
          <cell r="A180" t="str">
            <v>Scalar|||200017309|||EQTY|||CATALYST5_DATE|||True|||</v>
          </cell>
          <cell r="C180" t="str">
            <v>V_KEYWORD_EQTY_200017309_CATALYST5_DATE</v>
          </cell>
        </row>
        <row r="181">
          <cell r="A181" t="str">
            <v>Scalar|||200017309|||EQTY|||CATALYST5_EVENT|||False|||</v>
          </cell>
          <cell r="C181" t="str">
            <v>V_KEYWORD_EQTY_200017309_CATALYST5_EVENT</v>
          </cell>
        </row>
        <row r="182">
          <cell r="A182" t="str">
            <v>Scalar|||200017309|||EQTY|||PRI_TARG_MULT|||False|||</v>
          </cell>
          <cell r="C182" t="str">
            <v>V_KEYWORD_EQTY_200017309_PRI_TARG_MULT</v>
          </cell>
        </row>
        <row r="183">
          <cell r="A183" t="str">
            <v>Scalar|||200017309|||EQTY|||PRI_TARG_METH|||False|||</v>
          </cell>
          <cell r="C183" t="str">
            <v>V_KEYWORD_EQTY_200017309_PRI_TARG_METH</v>
          </cell>
        </row>
        <row r="185">
          <cell r="A185" t="str">
            <v>Vector|||200017309|||EQTY|||BVPS_PUB|||False|||</v>
          </cell>
          <cell r="C185" t="str">
            <v>V_KEYWORD_EQTY_200017309_BVPS_PUB</v>
          </cell>
        </row>
        <row r="186">
          <cell r="A186" t="str">
            <v>Vector|||200017309|||EQTY|||DPS_PUB|||False|||</v>
          </cell>
          <cell r="C186" t="str">
            <v>V_KEYWORD_EQTY_200017309_DPS_PUB</v>
          </cell>
        </row>
        <row r="187">
          <cell r="A187" t="str">
            <v>Vector|||200017309|||EQTY|||DPS_SPECIAL_PUB|||False|||</v>
          </cell>
          <cell r="C187" t="str">
            <v>V_KEYWORD_EQTY_200017309_DPS_SPECIAL_PUB</v>
          </cell>
        </row>
        <row r="188">
          <cell r="A188" t="str">
            <v>Vector|||200017309|||EQTY|||EBITDA_PUB|||False|||</v>
          </cell>
          <cell r="C188" t="str">
            <v>V_KEYWORD_EQTY_200017309_EBITDA_PUB</v>
          </cell>
        </row>
        <row r="189">
          <cell r="A189" t="str">
            <v>Vector|||200017309|||EQTY|||EPS_PUB|||False|||</v>
          </cell>
          <cell r="C189" t="str">
            <v>V_KEYWORD_EQTY_200017309_EPS_PUB</v>
          </cell>
          <cell r="F189" t="str">
            <v>ERROR</v>
          </cell>
          <cell r="G189" t="str">
            <v>ERROR</v>
          </cell>
          <cell r="H189" t="str">
            <v>ERROR</v>
          </cell>
          <cell r="I189" t="str">
            <v>ERROR</v>
          </cell>
          <cell r="J189" t="str">
            <v>ERROR</v>
          </cell>
          <cell r="K189" t="str">
            <v>ERROR</v>
          </cell>
          <cell r="L189" t="str">
            <v>ERROR</v>
          </cell>
          <cell r="M189" t="str">
            <v>ERROR</v>
          </cell>
          <cell r="N189" t="str">
            <v>ERROR</v>
          </cell>
          <cell r="O189" t="str">
            <v>ERROR</v>
          </cell>
          <cell r="P189" t="str">
            <v>ERROR</v>
          </cell>
          <cell r="Q189" t="str">
            <v>ERROR</v>
          </cell>
          <cell r="R189" t="str">
            <v>ERROR</v>
          </cell>
          <cell r="S189" t="str">
            <v>ERROR</v>
          </cell>
          <cell r="T189" t="str">
            <v>ERROR</v>
          </cell>
          <cell r="U189" t="str">
            <v>ERROR</v>
          </cell>
          <cell r="V189" t="str">
            <v>ERROR</v>
          </cell>
          <cell r="W189" t="str">
            <v>ERROR</v>
          </cell>
          <cell r="X189" t="str">
            <v>ERROR</v>
          </cell>
          <cell r="Y189" t="str">
            <v>ERROR</v>
          </cell>
          <cell r="Z189" t="str">
            <v>ERROR</v>
          </cell>
          <cell r="AA189" t="str">
            <v>ERROR</v>
          </cell>
          <cell r="AB189" t="str">
            <v>ERROR</v>
          </cell>
          <cell r="AC189" t="str">
            <v>ERROR</v>
          </cell>
          <cell r="AD189" t="str">
            <v>ERROR</v>
          </cell>
          <cell r="AE189" t="str">
            <v>ERROR</v>
          </cell>
          <cell r="AF189" t="str">
            <v>ERROR</v>
          </cell>
          <cell r="AG189" t="str">
            <v>ERROR</v>
          </cell>
        </row>
        <row r="190">
          <cell r="A190" t="str">
            <v>Vector|||200017309|||EQTY|||EV_ADJ_PUB|||False|||</v>
          </cell>
          <cell r="C190" t="str">
            <v>V_KEYWORD_EQTY_200017309_EV_ADJ_PUB</v>
          </cell>
        </row>
        <row r="191">
          <cell r="A191" t="str">
            <v>Vector|||200017309|||EQTY|||NET_DEBT_PUB|||False|||</v>
          </cell>
          <cell r="C191" t="str">
            <v>V_KEYWORD_EQTY_200017309_NET_DEBT_PUB</v>
          </cell>
        </row>
        <row r="192">
          <cell r="A192" t="str">
            <v>Vector|||200017309|||EQTY|||NI_PUB|||False|||</v>
          </cell>
          <cell r="C192" t="str">
            <v>V_KEYWORD_EQTY_200017309_NI_PUB</v>
          </cell>
        </row>
        <row r="193">
          <cell r="A193" t="str">
            <v>Vector|||200017309|||EQTY|||EBIT_PUB|||False|||</v>
          </cell>
          <cell r="C193" t="str">
            <v>V_KEYWORD_EQTY_200017309_EBIT_PUB</v>
          </cell>
        </row>
        <row r="194">
          <cell r="A194" t="str">
            <v>Vector|||200017309|||EQTY|||PTP_PUB|||False|||</v>
          </cell>
          <cell r="C194" t="str">
            <v>V_KEYWORD_EQTY_200017309_PTP_PUB</v>
          </cell>
        </row>
        <row r="195">
          <cell r="A195" t="str">
            <v>Vector|||200017309|||EQTY|||REVS_PUB|||False|||</v>
          </cell>
          <cell r="C195" t="str">
            <v>V_KEYWORD_EQTY_200017309_REVS_PUB</v>
          </cell>
        </row>
        <row r="196">
          <cell r="A196" t="str">
            <v>Vector|||200017309|||EQTY|||EQ_PUB|||False|||</v>
          </cell>
          <cell r="C196" t="str">
            <v>V_KEYWORD_EQTY_200017309_EQ_PUB</v>
          </cell>
        </row>
        <row r="197">
          <cell r="A197" t="str">
            <v>Vector|||200017309|||EQTY|||EPS_CONS_PUB|||False|||</v>
          </cell>
          <cell r="C197" t="str">
            <v>V_KEYWORD_EQTY_200017309_EPS_CONS_PUB</v>
          </cell>
        </row>
        <row r="199">
          <cell r="A199" t="str">
            <v>Vector|||200017309|||EQTY|||PROV_INC_TAX|||False|||</v>
          </cell>
          <cell r="C199" t="str">
            <v>V_KEYWORD_EQTY_200017309_PROV_INC_TAX</v>
          </cell>
        </row>
        <row r="200">
          <cell r="A200" t="str">
            <v>Vector|||200017309|||EQTY|||INC_MINORITY|||False|||</v>
          </cell>
          <cell r="C200" t="str">
            <v>V_KEYWORD_EQTY_200017309_INC_MINORITY</v>
          </cell>
        </row>
        <row r="201">
          <cell r="A201" t="str">
            <v>Vector|||200017309|||EQTY|||NI_PRE_PREF|||False|||</v>
          </cell>
          <cell r="C201" t="str">
            <v>V_KEYWORD_EQTY_200017309_NI_PRE_PREF</v>
          </cell>
        </row>
        <row r="202">
          <cell r="A202" t="str">
            <v>Vector|||200017309|||EQTY|||PREF_DIV|||False|||</v>
          </cell>
          <cell r="C202" t="str">
            <v>V_KEYWORD_EQTY_200017309_PREF_DIV</v>
          </cell>
        </row>
        <row r="203">
          <cell r="A203" t="str">
            <v>Vector|||200017309|||EQTY|||NET_EARNING|||False|||</v>
          </cell>
          <cell r="C203" t="str">
            <v>V_KEYWORD_EQTY_200017309_NET_EARNING</v>
          </cell>
        </row>
        <row r="204">
          <cell r="A204" t="str">
            <v>Vector|||200017309|||EQTY|||TAX_EXC|||False|||</v>
          </cell>
          <cell r="C204" t="str">
            <v>V_KEYWORD_EQTY_200017309_TAX_EXC</v>
          </cell>
        </row>
        <row r="205">
          <cell r="A205" t="str">
            <v>Vector|||200017309|||EQTY|||NET_INC|||False|||</v>
          </cell>
          <cell r="C205" t="str">
            <v>V_KEYWORD_EQTY_200017309_NET_INC</v>
          </cell>
        </row>
        <row r="206">
          <cell r="A206" t="str">
            <v>Vector|||200017309|||EQTY|||EPS|||False|||</v>
          </cell>
          <cell r="C206" t="str">
            <v>V_KEYWORD_EQTY_200017309_EPS</v>
          </cell>
        </row>
        <row r="207">
          <cell r="A207" t="str">
            <v>Vector|||200017309|||EQTY|||EPS_FUL_DIL|||False|||</v>
          </cell>
          <cell r="C207" t="str">
            <v>V_KEYWORD_EQTY_200017309_EPS_FUL_DIL</v>
          </cell>
        </row>
        <row r="208">
          <cell r="A208" t="str">
            <v>Vector|||200017309|||EQTY|||EPS_POST_BASIC|||False|||</v>
          </cell>
          <cell r="C208" t="str">
            <v>V_KEYWORD_EQTY_200017309_EPS_POST_BASIC</v>
          </cell>
        </row>
        <row r="209">
          <cell r="A209" t="str">
            <v>Vector|||200017309|||EQTY|||FULLY_DIL_EPS|||False|||</v>
          </cell>
          <cell r="C209" t="str">
            <v>V_KEYWORD_EQTY_200017309_FULLY_DIL_EPS</v>
          </cell>
        </row>
        <row r="210">
          <cell r="A210" t="str">
            <v>Vector|||200017309|||EQTY|||COMMON_DIV_PAID|||False|||</v>
          </cell>
          <cell r="C210" t="str">
            <v>V_KEYWORD_EQTY_200017309_COMMON_DIV_PAID</v>
          </cell>
        </row>
        <row r="211">
          <cell r="A211" t="str">
            <v>Vector|||200017309|||EQTY|||DPS|||False|||</v>
          </cell>
          <cell r="C211" t="str">
            <v>V_KEYWORD_EQTY_200017309_DPS</v>
          </cell>
        </row>
        <row r="212">
          <cell r="A212" t="str">
            <v>Vector|||200017309|||EQTY|||SH|||False|||</v>
          </cell>
          <cell r="C212" t="str">
            <v>V_KEYWORD_EQTY_200017309_SH</v>
          </cell>
        </row>
        <row r="213">
          <cell r="A213" t="str">
            <v>Vector|||200017309|||EQTY|||DILUTE_SHARES|||False|||</v>
          </cell>
          <cell r="C213" t="str">
            <v>V_KEYWORD_EQTY_200017309_DILUTE_SHARES</v>
          </cell>
        </row>
        <row r="214">
          <cell r="A214" t="str">
            <v>Vector|||200017309|||EQTY|||NON_OP_ADD|||False|||</v>
          </cell>
          <cell r="C214" t="str">
            <v>V_KEYWORD_EQTY_200017309_NON_OP_ADD</v>
          </cell>
        </row>
        <row r="216">
          <cell r="A216" t="str">
            <v>Vector|||200017309|||EQTY|||MARGIN_TAX_RATE|||False|||</v>
          </cell>
          <cell r="C216" t="str">
            <v>V_KEYWORD_EQTY_200017309_MARGIN_TAX_RATE</v>
          </cell>
        </row>
        <row r="217">
          <cell r="A217" t="str">
            <v>Vector|||200017309|||EQTY|||NI_CONS|||False|||</v>
          </cell>
          <cell r="C217" t="str">
            <v>V_KEYWORD_EQTY_200017309_NI_CONS</v>
          </cell>
        </row>
        <row r="219">
          <cell r="A219" t="str">
            <v>Vector|||200017309|||EQTY|||BVPS|||False|||</v>
          </cell>
          <cell r="C219" t="str">
            <v>V_KEYWORD_EQTY_200017309_BVPS</v>
          </cell>
        </row>
        <row r="221">
          <cell r="A221" t="str">
            <v>Vector|||200017309|||EQTY|||CF_NI_PRE_PREF|||False|||</v>
          </cell>
          <cell r="C221" t="str">
            <v>V_KEYWORD_EQTY_200017309_CF_NI_PRE_PREF</v>
          </cell>
        </row>
        <row r="223">
          <cell r="A223" t="str">
            <v>Scalar|||200017309|||EQTY|||BETA_ANALYST|||False|||</v>
          </cell>
          <cell r="C223" t="str">
            <v>V_KEYWORD_EQTY_200017309_BETA_ANALYST</v>
          </cell>
        </row>
        <row r="224">
          <cell r="A224" t="str">
            <v>Scalar|||200017309|||EQTY|||MKT_EQ_RISK_PREM|||False|||</v>
          </cell>
          <cell r="C224" t="str">
            <v>V_KEYWORD_EQTY_200017309_MKT_EQ_RISK_PREM</v>
          </cell>
        </row>
        <row r="225">
          <cell r="A225" t="str">
            <v>Scalar|||200017309|||EQTY|||RISK_FR_RATE|||False|||</v>
          </cell>
          <cell r="C225" t="str">
            <v>V_KEYWORD_EQTY_200017309_RISK_FR_RATE</v>
          </cell>
        </row>
      </sheetData>
      <sheetData sheetId="16" refreshError="1">
        <row r="1">
          <cell r="A1" t="str">
            <v>Issuer: Ningbo Joyson Electronic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>
            <v>2015</v>
          </cell>
          <cell r="AF1">
            <v>2016</v>
          </cell>
          <cell r="AG1">
            <v>2017</v>
          </cell>
        </row>
        <row r="4">
          <cell r="A4" t="str">
            <v>Issuer: Ningbo Joyson Electronic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Ningbo Joyson Electronic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e">
            <v>#NAME?</v>
          </cell>
        </row>
        <row r="10">
          <cell r="B10" t="str">
            <v>Compensation &amp; benfits expense</v>
          </cell>
          <cell r="C10" t="str">
            <v>PERSONNEL</v>
          </cell>
          <cell r="D10" t="e">
            <v>#NAME?</v>
          </cell>
        </row>
        <row r="11">
          <cell r="B11" t="str">
            <v>Cost of goods sold, COGS</v>
          </cell>
          <cell r="C11" t="str">
            <v>COST_GD_SD</v>
          </cell>
          <cell r="D11" t="e">
            <v>#NAME?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e">
            <v>#NAME?</v>
          </cell>
        </row>
        <row r="13">
          <cell r="B13" t="str">
            <v>Total operating expense</v>
          </cell>
          <cell r="C13" t="str">
            <v>OP_COST</v>
          </cell>
          <cell r="D13" t="e">
            <v>#NAME?</v>
          </cell>
        </row>
        <row r="14">
          <cell r="B14" t="str">
            <v>R&amp;D expense</v>
          </cell>
          <cell r="C14" t="str">
            <v>RD_EXP</v>
          </cell>
          <cell r="D14" t="e">
            <v>#NAME?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e">
            <v>#NAME?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e">
            <v>#NAME?</v>
          </cell>
        </row>
        <row r="17">
          <cell r="B17" t="str">
            <v>Total operating expense (excl. D&amp;A)</v>
          </cell>
          <cell r="C17" t="str">
            <v>TOT_OPS_EXP</v>
          </cell>
          <cell r="D17" t="e">
            <v>#NAME?</v>
          </cell>
        </row>
        <row r="18">
          <cell r="B18" t="str">
            <v>EBITDA</v>
          </cell>
          <cell r="C18" t="str">
            <v>EBITDA_CALC</v>
          </cell>
          <cell r="D18" t="e">
            <v>#NAME?</v>
          </cell>
        </row>
        <row r="19">
          <cell r="B19" t="str">
            <v>Depreciation</v>
          </cell>
          <cell r="C19" t="str">
            <v>DEPREC</v>
          </cell>
          <cell r="D19" t="e">
            <v>#NAME?</v>
          </cell>
        </row>
        <row r="20">
          <cell r="B20" t="str">
            <v>Amortization</v>
          </cell>
          <cell r="C20" t="str">
            <v>GOODWILL_AMORT</v>
          </cell>
          <cell r="D20" t="e">
            <v>#NAME?</v>
          </cell>
        </row>
        <row r="21">
          <cell r="B21" t="str">
            <v>EBIT, operating profit</v>
          </cell>
          <cell r="C21" t="str">
            <v>EBIT</v>
          </cell>
          <cell r="D21" t="e">
            <v>#NAME?</v>
          </cell>
        </row>
        <row r="22">
          <cell r="B22" t="str">
            <v>Interest income</v>
          </cell>
          <cell r="C22" t="str">
            <v>INT_INC_IND</v>
          </cell>
          <cell r="D22" t="e">
            <v>#NAME?</v>
          </cell>
        </row>
        <row r="23">
          <cell r="B23" t="str">
            <v>Interest expense</v>
          </cell>
          <cell r="C23" t="str">
            <v>INT_EXP_IND</v>
          </cell>
          <cell r="D23" t="e">
            <v>#NAME?</v>
          </cell>
        </row>
        <row r="24">
          <cell r="B24" t="str">
            <v>Net interest income/(expense)</v>
          </cell>
          <cell r="C24" t="str">
            <v>NET_INT_EXP</v>
          </cell>
          <cell r="D24" t="e">
            <v>#NAME?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e">
            <v>#NAME?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e">
            <v>#NAME?</v>
          </cell>
        </row>
        <row r="27">
          <cell r="B27" t="str">
            <v>Other non-ops income/(expense)</v>
          </cell>
          <cell r="C27" t="str">
            <v>OTH_COST_INC</v>
          </cell>
          <cell r="D27" t="e">
            <v>#NAME?</v>
          </cell>
        </row>
        <row r="28">
          <cell r="B28" t="str">
            <v>Pre-tax profit</v>
          </cell>
          <cell r="C28" t="str">
            <v>PT_PROF</v>
          </cell>
          <cell r="D28" t="e">
            <v>#NAME?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e">
            <v>#NAME?</v>
          </cell>
        </row>
        <row r="31">
          <cell r="B31" t="str">
            <v>Lease payments</v>
          </cell>
          <cell r="C31" t="str">
            <v>LEASE_PAY</v>
          </cell>
          <cell r="D31" t="e">
            <v>#NAME?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e">
            <v>#NAME?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e">
            <v>#NAME?</v>
          </cell>
        </row>
        <row r="34">
          <cell r="B34" t="str">
            <v>Gross interest charge</v>
          </cell>
          <cell r="C34" t="str">
            <v>NET_INT_CH</v>
          </cell>
          <cell r="D34" t="e">
            <v>#NAME?</v>
          </cell>
        </row>
        <row r="35">
          <cell r="B35" t="str">
            <v>Income from associates (operating)</v>
          </cell>
          <cell r="C35" t="str">
            <v>ASSOCIATE_OP</v>
          </cell>
          <cell r="D35" t="e">
            <v>#NAME?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e">
            <v>#NAME?</v>
          </cell>
        </row>
        <row r="38">
          <cell r="B38" t="str">
            <v>Accounts receivable</v>
          </cell>
          <cell r="C38" t="str">
            <v>DEBTORS</v>
          </cell>
          <cell r="D38" t="e">
            <v>#NAME?</v>
          </cell>
        </row>
        <row r="39">
          <cell r="B39" t="str">
            <v>Inventory</v>
          </cell>
          <cell r="C39" t="str">
            <v>STOCKS</v>
          </cell>
          <cell r="D39" t="e">
            <v>#NAME?</v>
          </cell>
        </row>
        <row r="40">
          <cell r="B40" t="str">
            <v>Other current assets</v>
          </cell>
          <cell r="C40" t="str">
            <v>OTH_CUR_ASS</v>
          </cell>
          <cell r="D40" t="e">
            <v>#NAME?</v>
          </cell>
        </row>
        <row r="41">
          <cell r="B41" t="str">
            <v>Total current assets</v>
          </cell>
          <cell r="C41" t="str">
            <v>CUR_ASS</v>
          </cell>
          <cell r="D41" t="e">
            <v>#NAME?</v>
          </cell>
        </row>
        <row r="42">
          <cell r="B42" t="str">
            <v>Gross fixed assets, PP&amp;E</v>
          </cell>
          <cell r="C42" t="str">
            <v>GR_FIX_ASS</v>
          </cell>
          <cell r="D42" t="e">
            <v>#NAME?</v>
          </cell>
        </row>
        <row r="43">
          <cell r="B43" t="str">
            <v>Accumulated depreciation</v>
          </cell>
          <cell r="C43" t="str">
            <v>ACC_DDA</v>
          </cell>
          <cell r="D43" t="e">
            <v>#NAME?</v>
          </cell>
        </row>
        <row r="44">
          <cell r="B44" t="str">
            <v>Net PP&amp;E</v>
          </cell>
          <cell r="C44" t="str">
            <v>NET_FIX_ASS</v>
          </cell>
          <cell r="D44" t="e">
            <v>#NAME?</v>
          </cell>
        </row>
        <row r="45">
          <cell r="B45" t="str">
            <v>Gross intangibles</v>
          </cell>
          <cell r="C45" t="str">
            <v>GR_INTANG</v>
          </cell>
          <cell r="D45" t="e">
            <v>#NAME?</v>
          </cell>
        </row>
        <row r="46">
          <cell r="B46" t="str">
            <v>Accumulated amortization</v>
          </cell>
          <cell r="C46" t="str">
            <v>ACC_AMORT</v>
          </cell>
          <cell r="D46" t="e">
            <v>#NAME?</v>
          </cell>
        </row>
        <row r="47">
          <cell r="B47" t="str">
            <v>Net intangible assets</v>
          </cell>
          <cell r="C47" t="str">
            <v>NET_INTANG</v>
          </cell>
          <cell r="D47" t="e">
            <v>#NAME?</v>
          </cell>
        </row>
        <row r="48">
          <cell r="B48" t="str">
            <v>Equity method investments</v>
          </cell>
          <cell r="C48" t="str">
            <v>FIX_ASS_INV</v>
          </cell>
          <cell r="D48" t="e">
            <v>#NAME?</v>
          </cell>
        </row>
        <row r="49">
          <cell r="B49" t="str">
            <v>Investments in securities</v>
          </cell>
          <cell r="C49" t="str">
            <v>INV_SECUR</v>
          </cell>
          <cell r="D49" t="e">
            <v>#NAME?</v>
          </cell>
        </row>
        <row r="50">
          <cell r="B50" t="str">
            <v>Other long-term assets</v>
          </cell>
          <cell r="C50" t="str">
            <v>OTH_LT_ASS</v>
          </cell>
          <cell r="D50" t="e">
            <v>#NAME?</v>
          </cell>
        </row>
        <row r="51">
          <cell r="B51" t="str">
            <v>Total assets</v>
          </cell>
          <cell r="C51" t="str">
            <v>TOT_ASSET</v>
          </cell>
          <cell r="D51" t="e">
            <v>#NAME?</v>
          </cell>
        </row>
        <row r="52">
          <cell r="B52" t="str">
            <v>Accounts payable</v>
          </cell>
          <cell r="C52" t="str">
            <v>ACC_PAY_GQ</v>
          </cell>
          <cell r="D52" t="e">
            <v>#NAME?</v>
          </cell>
        </row>
        <row r="53">
          <cell r="B53" t="str">
            <v>Short-term debt</v>
          </cell>
          <cell r="C53" t="str">
            <v>SHORT_T_DEBT</v>
          </cell>
          <cell r="D53" t="e">
            <v>#NAME?</v>
          </cell>
        </row>
        <row r="54">
          <cell r="B54" t="str">
            <v>Other current liabilities</v>
          </cell>
          <cell r="C54" t="str">
            <v>OTH_CUR_LIABS</v>
          </cell>
          <cell r="D54" t="e">
            <v>#NAME?</v>
          </cell>
        </row>
        <row r="55">
          <cell r="B55" t="str">
            <v>Total current liabilities</v>
          </cell>
          <cell r="C55" t="str">
            <v>SHORT_TERM_LIABS</v>
          </cell>
          <cell r="D55" t="e">
            <v>#NAME?</v>
          </cell>
        </row>
        <row r="56">
          <cell r="B56" t="str">
            <v>Long-term  debt</v>
          </cell>
          <cell r="C56" t="str">
            <v>LT_DEBT</v>
          </cell>
          <cell r="D56" t="e">
            <v>#NAME?</v>
          </cell>
        </row>
        <row r="57">
          <cell r="B57" t="str">
            <v>Other long-term liabilities</v>
          </cell>
          <cell r="C57" t="str">
            <v>OTH_LT_CRED_GQ</v>
          </cell>
          <cell r="D57" t="e">
            <v>#NAME?</v>
          </cell>
        </row>
        <row r="58">
          <cell r="B58" t="str">
            <v>Total long-term liabilities</v>
          </cell>
          <cell r="C58" t="str">
            <v>TOT_LT_LIAB</v>
          </cell>
          <cell r="D58" t="e">
            <v>#NAME?</v>
          </cell>
        </row>
        <row r="59">
          <cell r="B59" t="str">
            <v>Total liabilities</v>
          </cell>
          <cell r="C59" t="str">
            <v>TOT_LIAB</v>
          </cell>
          <cell r="D59" t="e">
            <v>#NAME?</v>
          </cell>
        </row>
        <row r="60">
          <cell r="B60" t="str">
            <v>Preferred shares</v>
          </cell>
          <cell r="C60" t="str">
            <v>PREF_SH</v>
          </cell>
          <cell r="D60" t="e">
            <v>#NAME?</v>
          </cell>
        </row>
        <row r="61">
          <cell r="B61" t="str">
            <v>Total common equity</v>
          </cell>
          <cell r="C61" t="str">
            <v>ORD_SH_FUND</v>
          </cell>
          <cell r="D61" t="e">
            <v>#NAME?</v>
          </cell>
        </row>
        <row r="62">
          <cell r="B62" t="str">
            <v>Minority interest</v>
          </cell>
          <cell r="C62" t="str">
            <v>MINORITIES</v>
          </cell>
          <cell r="D62" t="e">
            <v>#NAME?</v>
          </cell>
        </row>
        <row r="63">
          <cell r="B63" t="str">
            <v>Total shareholders' equity</v>
          </cell>
          <cell r="C63" t="str">
            <v>EQ</v>
          </cell>
          <cell r="D63" t="e">
            <v>#NAME?</v>
          </cell>
        </row>
        <row r="64">
          <cell r="B64" t="str">
            <v>Total liabilities and equity</v>
          </cell>
          <cell r="C64" t="str">
            <v>TOT_LIAB_EQ</v>
          </cell>
          <cell r="D64" t="e">
            <v>#NAME?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e">
            <v>#NAME?</v>
          </cell>
        </row>
        <row r="67">
          <cell r="B67" t="str">
            <v>Capitalized leases</v>
          </cell>
          <cell r="C67" t="str">
            <v>CAP_LEASES</v>
          </cell>
          <cell r="D67" t="e">
            <v>#NAME?</v>
          </cell>
        </row>
        <row r="68">
          <cell r="B68" t="str">
            <v>Deferred income taxes</v>
          </cell>
          <cell r="C68" t="str">
            <v>DEF_INC_TAX</v>
          </cell>
          <cell r="D68" t="e">
            <v>#NAME?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e">
            <v>#NAME?</v>
          </cell>
        </row>
        <row r="70">
          <cell r="B70" t="str">
            <v>Net debt adjustment</v>
          </cell>
          <cell r="C70" t="str">
            <v>NET_DEBT_ADJ</v>
          </cell>
          <cell r="D70" t="e">
            <v>#NAME?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 t="e">
            <v>#NAME?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e">
            <v>#NAME?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e">
            <v>#NAME?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e">
            <v>#NAME?</v>
          </cell>
        </row>
        <row r="76">
          <cell r="B76" t="str">
            <v>Other GCI adjustments</v>
          </cell>
          <cell r="C76" t="str">
            <v>OTH_GCI_ADJ</v>
          </cell>
          <cell r="D76" t="e">
            <v>#NAME?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 t="e">
            <v>#NAME?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e">
            <v>#NAME?</v>
          </cell>
        </row>
        <row r="81">
          <cell r="B81" t="str">
            <v>Depreciation &amp; amortization add-back</v>
          </cell>
          <cell r="C81" t="str">
            <v>DEPR_AMORT</v>
          </cell>
          <cell r="D81" t="e">
            <v>#NAME?</v>
          </cell>
        </row>
        <row r="82">
          <cell r="B82" t="str">
            <v>(Increase)/decrease in working capital</v>
          </cell>
          <cell r="C82" t="str">
            <v>WORK_CAP</v>
          </cell>
          <cell r="D82" t="e">
            <v>#NAME?</v>
          </cell>
        </row>
        <row r="83">
          <cell r="B83" t="str">
            <v>Other operating cash flow items</v>
          </cell>
          <cell r="C83" t="str">
            <v>OTH_OP_CF</v>
          </cell>
          <cell r="D83" t="e">
            <v>#NAME?</v>
          </cell>
        </row>
        <row r="84">
          <cell r="B84" t="str">
            <v>Cash flow from operating activities</v>
          </cell>
          <cell r="C84" t="str">
            <v>CF_OPS</v>
          </cell>
          <cell r="D84" t="e">
            <v>#NAME?</v>
          </cell>
        </row>
        <row r="85">
          <cell r="B85" t="str">
            <v>Capital expenditures, Capex</v>
          </cell>
          <cell r="C85" t="str">
            <v>CAPEX</v>
          </cell>
          <cell r="D85" t="e">
            <v>#NAME?</v>
          </cell>
        </row>
        <row r="86">
          <cell r="B86" t="str">
            <v>Acquisitions</v>
          </cell>
          <cell r="C86" t="str">
            <v>ACQ</v>
          </cell>
          <cell r="D86" t="e">
            <v>#NAME?</v>
          </cell>
        </row>
        <row r="87">
          <cell r="B87" t="str">
            <v>Divestitures</v>
          </cell>
          <cell r="C87" t="str">
            <v>DIVEST</v>
          </cell>
          <cell r="D87" t="e">
            <v>#NAME?</v>
          </cell>
        </row>
        <row r="88">
          <cell r="B88" t="str">
            <v>Other investing cash flow items</v>
          </cell>
          <cell r="C88" t="str">
            <v>OTH_INV_CF</v>
          </cell>
          <cell r="D88" t="e">
            <v>#NAME?</v>
          </cell>
        </row>
        <row r="89">
          <cell r="B89" t="str">
            <v>Cash flow from investing</v>
          </cell>
          <cell r="C89" t="str">
            <v>CF_INV</v>
          </cell>
          <cell r="D89" t="e">
            <v>#NAME?</v>
          </cell>
        </row>
        <row r="90">
          <cell r="B90" t="str">
            <v>Dividends paid</v>
          </cell>
          <cell r="C90" t="str">
            <v>DIV_PAID</v>
          </cell>
          <cell r="D90" t="e">
            <v>#NAME?</v>
          </cell>
        </row>
        <row r="91">
          <cell r="B91" t="str">
            <v>Common stock issuance/(repurchase)</v>
          </cell>
          <cell r="C91" t="str">
            <v>SH_REPUR</v>
          </cell>
          <cell r="D91" t="e">
            <v>#NAME?</v>
          </cell>
        </row>
        <row r="92">
          <cell r="B92" t="str">
            <v>Increase/(decrease) in total debt</v>
          </cell>
          <cell r="C92" t="str">
            <v>CHG_LT_DEBT</v>
          </cell>
          <cell r="D92" t="e">
            <v>#NAME?</v>
          </cell>
        </row>
        <row r="93">
          <cell r="B93" t="str">
            <v>Other financing cash flow items</v>
          </cell>
          <cell r="C93" t="str">
            <v>OTH_FIN_CF</v>
          </cell>
          <cell r="D93" t="e">
            <v>#NAME?</v>
          </cell>
        </row>
        <row r="94">
          <cell r="B94" t="str">
            <v>Cash flow from financing</v>
          </cell>
          <cell r="C94" t="str">
            <v>CF_FIN</v>
          </cell>
          <cell r="D94" t="e">
            <v>#NAME?</v>
          </cell>
        </row>
        <row r="95">
          <cell r="B95" t="str">
            <v>Total cash flow</v>
          </cell>
          <cell r="C95" t="str">
            <v>TOT_CF</v>
          </cell>
          <cell r="D95" t="e">
            <v>#NAME?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e">
            <v>#NAME?</v>
          </cell>
        </row>
        <row r="98">
          <cell r="B98" t="str">
            <v>Profit/(loss) on sale of assets</v>
          </cell>
          <cell r="C98" t="str">
            <v>PL_SALE_ASSETS</v>
          </cell>
          <cell r="D98" t="e">
            <v>#NAME?</v>
          </cell>
        </row>
        <row r="99">
          <cell r="B99" t="str">
            <v>Other non-cash adjustments</v>
          </cell>
          <cell r="C99" t="str">
            <v>OTH_NONCASH_ADJ</v>
          </cell>
          <cell r="D99" t="e">
            <v>#NAME?</v>
          </cell>
        </row>
        <row r="100">
          <cell r="B100" t="str">
            <v>Other DACF adjustments</v>
          </cell>
          <cell r="C100" t="str">
            <v>OTH_DACF_ADJ</v>
          </cell>
          <cell r="D100" t="e">
            <v>#NAME?</v>
          </cell>
        </row>
        <row r="101">
          <cell r="B101" t="str">
            <v>Cash interest expense</v>
          </cell>
          <cell r="C101" t="str">
            <v>CASH_INT_EXP</v>
          </cell>
          <cell r="D101" t="e">
            <v>#NAME?</v>
          </cell>
        </row>
        <row r="102">
          <cell r="B102" t="str">
            <v>Cash tax expense</v>
          </cell>
          <cell r="C102" t="str">
            <v>CASH_TAX_EXP</v>
          </cell>
          <cell r="D102" t="e">
            <v>#NAME?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e">
            <v>#NAME?</v>
          </cell>
        </row>
        <row r="104">
          <cell r="B104" t="str">
            <v>Capex maintenance</v>
          </cell>
          <cell r="C104" t="str">
            <v>CAPEX_MAINTENANCE</v>
          </cell>
          <cell r="D104" t="e">
            <v>#NAME?</v>
          </cell>
        </row>
        <row r="105">
          <cell r="B105" t="str">
            <v>Capex expansion</v>
          </cell>
          <cell r="C105" t="str">
            <v>CAPEX_EXPANSION</v>
          </cell>
          <cell r="D105" t="e">
            <v>#NAME?</v>
          </cell>
        </row>
        <row r="106">
          <cell r="B106" t="str">
            <v>Non-PP&amp;E capex</v>
          </cell>
          <cell r="C106" t="str">
            <v>NONPPE_CAPEX</v>
          </cell>
          <cell r="D106" t="e">
            <v>#NAME?</v>
          </cell>
        </row>
        <row r="107">
          <cell r="B107" t="str">
            <v>Dividends paid to minorities</v>
          </cell>
          <cell r="C107" t="str">
            <v>DIVDS_PD_MINORITIES</v>
          </cell>
          <cell r="D107" t="e">
            <v>#NAME?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3">
          <cell r="B113" t="str">
            <v>Sales - % Brazil</v>
          </cell>
          <cell r="C113" t="str">
            <v>SALES_BRAZIL</v>
          </cell>
        </row>
        <row r="114">
          <cell r="B114" t="str">
            <v>Sales - % Other Americas</v>
          </cell>
          <cell r="C114" t="str">
            <v>SALES_OTH_AM</v>
          </cell>
        </row>
        <row r="115">
          <cell r="B115" t="str">
            <v>Sales - Total % EMEA</v>
          </cell>
          <cell r="C115" t="str">
            <v>SALES_TOT_EMEA</v>
          </cell>
        </row>
        <row r="116">
          <cell r="B116" t="str">
            <v>Sales - % UK</v>
          </cell>
          <cell r="C116" t="str">
            <v>SALES_UK</v>
          </cell>
        </row>
        <row r="117">
          <cell r="B117" t="str">
            <v>Sales - % Western Europe-Ex UK</v>
          </cell>
          <cell r="C117" t="str">
            <v>SALES_EU_EX_UK</v>
          </cell>
        </row>
        <row r="118">
          <cell r="B118" t="str">
            <v>Sales - % Central &amp; Eastern Europe</v>
          </cell>
          <cell r="C118" t="str">
            <v>SALES_CEE</v>
          </cell>
        </row>
        <row r="119">
          <cell r="B119" t="str">
            <v>Sales - % Middle East</v>
          </cell>
          <cell r="C119" t="str">
            <v>SALES_ME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</row>
        <row r="122">
          <cell r="B122" t="str">
            <v>Sales - % Other EMEA</v>
          </cell>
          <cell r="C122" t="str">
            <v>SALES_OTH_EMEA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</row>
        <row r="124">
          <cell r="B124" t="str">
            <v>Sales - % Japan</v>
          </cell>
          <cell r="C124" t="str">
            <v>SALES_JAPAN</v>
          </cell>
        </row>
        <row r="125">
          <cell r="B125" t="str">
            <v>Sales - % China</v>
          </cell>
          <cell r="C125" t="str">
            <v>SALES_CHINA</v>
          </cell>
        </row>
        <row r="126">
          <cell r="B126" t="str">
            <v>Sales - % India</v>
          </cell>
          <cell r="C126" t="str">
            <v>SALES_INDIA</v>
          </cell>
        </row>
        <row r="127">
          <cell r="B127" t="str">
            <v>Sales - % South Korea</v>
          </cell>
          <cell r="C127" t="str">
            <v>SALES_SK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</row>
        <row r="130">
          <cell r="B130" t="str">
            <v>Sales - % Others</v>
          </cell>
          <cell r="C130" t="str">
            <v>SALES_OTHER</v>
          </cell>
        </row>
        <row r="131">
          <cell r="B131" t="str">
            <v>Sales -% Consumer (C)</v>
          </cell>
          <cell r="C131" t="str">
            <v>SALES_CONS</v>
          </cell>
        </row>
        <row r="132">
          <cell r="B132" t="str">
            <v>Sales -% Industry (I)</v>
          </cell>
          <cell r="C132" t="str">
            <v>SALES_IND</v>
          </cell>
        </row>
        <row r="133">
          <cell r="B133" t="str">
            <v>Sales -% Government (G)</v>
          </cell>
          <cell r="C133" t="str">
            <v>SALES_GOV</v>
          </cell>
        </row>
        <row r="134">
          <cell r="B134" t="str">
            <v>Sales - % Industry Sub-Segment: Financial Services</v>
          </cell>
          <cell r="C134" t="str">
            <v>SALES_FINAN</v>
          </cell>
        </row>
        <row r="135">
          <cell r="A135" t="str">
            <v>Commodities Exposure - Expense</v>
          </cell>
        </row>
        <row r="136">
          <cell r="B136" t="str">
            <v>Expense - % Oil/Petrol/Fuel</v>
          </cell>
          <cell r="C136" t="str">
            <v>EXP_OIL_PETRO_FUEL</v>
          </cell>
        </row>
        <row r="137">
          <cell r="B137" t="str">
            <v>Expense - % Oil derivatives/NGLs/plastics</v>
          </cell>
          <cell r="C137" t="str">
            <v>EXP_OIL_DERIV_NGLS_PLASTICS</v>
          </cell>
        </row>
        <row r="138">
          <cell r="B138" t="str">
            <v>Expense - % Paper/pulp</v>
          </cell>
          <cell r="C138" t="str">
            <v>EXP_PAPER_PULP</v>
          </cell>
        </row>
        <row r="139">
          <cell r="B139" t="str">
            <v>Expense - % Glass</v>
          </cell>
          <cell r="C139" t="str">
            <v>EXP_GLASS</v>
          </cell>
        </row>
        <row r="140">
          <cell r="B140" t="str">
            <v>Expense - % Water</v>
          </cell>
          <cell r="C140" t="str">
            <v>EXP_WATER</v>
          </cell>
        </row>
        <row r="141">
          <cell r="B141" t="str">
            <v>Expense - % Other commodity</v>
          </cell>
          <cell r="C141" t="str">
            <v>EXP_OTH_COMMODITY</v>
          </cell>
        </row>
        <row r="142">
          <cell r="B142" t="str">
            <v>Expense - % Other (Non-Commodity) cost</v>
          </cell>
          <cell r="C142" t="str">
            <v>EXP_OTH_COST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</row>
        <row r="145">
          <cell r="B145" t="str">
            <v>Sales - % FX: Euro</v>
          </cell>
          <cell r="C145" t="str">
            <v>SALES_FX_EUR</v>
          </cell>
        </row>
        <row r="146">
          <cell r="B146" t="str">
            <v>Sales - % FX: New Russian Ruble</v>
          </cell>
          <cell r="C146" t="str">
            <v>SALES_FX_RUB</v>
          </cell>
        </row>
        <row r="147">
          <cell r="B147" t="str">
            <v>Sales - % FX: U.S. Dollar</v>
          </cell>
          <cell r="C147" t="str">
            <v>SALES_FX_USD</v>
          </cell>
        </row>
        <row r="148">
          <cell r="B148" t="str">
            <v>Sales - % FX: Brazilian Real</v>
          </cell>
          <cell r="C148" t="str">
            <v>SALES_FX_BRL</v>
          </cell>
        </row>
        <row r="149">
          <cell r="B149" t="str">
            <v>Sales - % FX: Japanese Yen</v>
          </cell>
          <cell r="C149" t="str">
            <v>SALES_FX_YEN</v>
          </cell>
        </row>
        <row r="150">
          <cell r="B150" t="str">
            <v>Sales - % FX: Chinese Renminbi</v>
          </cell>
          <cell r="C150" t="str">
            <v>SALES_FX_CNY</v>
          </cell>
        </row>
        <row r="151">
          <cell r="B151" t="str">
            <v>Sales - % FX: Indian Rupee</v>
          </cell>
          <cell r="C151" t="str">
            <v>SALES_FX_INR</v>
          </cell>
        </row>
        <row r="152">
          <cell r="B152" t="str">
            <v>Sales - % FX: South Korean Won</v>
          </cell>
          <cell r="C152" t="str">
            <v>SALES_FX_KRW</v>
          </cell>
        </row>
        <row r="153">
          <cell r="B153" t="str">
            <v>Sales - % FX: Taiwan Dollar</v>
          </cell>
          <cell r="C153" t="str">
            <v>SALES_FX_TWD</v>
          </cell>
        </row>
        <row r="154">
          <cell r="B154" t="str">
            <v>Sales - % FX: Other Currency</v>
          </cell>
          <cell r="C154" t="str">
            <v>SALES_FX_OTH</v>
          </cell>
        </row>
        <row r="155">
          <cell r="A155" t="str">
            <v>Security: Ningbo Joyson Electronic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600699.SS</v>
          </cell>
        </row>
        <row r="158">
          <cell r="B158" t="str">
            <v>Security Name</v>
          </cell>
          <cell r="C158" t="str">
            <v>Security Name</v>
          </cell>
          <cell r="E158" t="str">
            <v>Ningbo Joyson Electronic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  <cell r="E160" t="str">
            <v>CNY</v>
          </cell>
        </row>
        <row r="161">
          <cell r="B161" t="str">
            <v>Pricing Currency</v>
          </cell>
          <cell r="C161" t="str">
            <v>PRICE_CURRENCY_ISO</v>
          </cell>
          <cell r="E161" t="str">
            <v>CNY</v>
          </cell>
        </row>
        <row r="162">
          <cell r="B162" t="str">
            <v>Reporting Currency</v>
          </cell>
          <cell r="C162" t="str">
            <v>CURRENCY_ISO</v>
          </cell>
          <cell r="E162" t="str">
            <v>CNY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</row>
        <row r="165">
          <cell r="B165" t="str">
            <v>Asia Pacific Conviction List</v>
          </cell>
          <cell r="C165" t="str">
            <v>AEJ_CONVICTION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 t="e">
            <v>#NAME?</v>
          </cell>
        </row>
        <row r="168">
          <cell r="B168" t="str">
            <v>Target price period</v>
          </cell>
          <cell r="C168" t="str">
            <v>TP_PERIOD</v>
          </cell>
        </row>
        <row r="169">
          <cell r="B169" t="str">
            <v>Current shares outstanding (mn)</v>
          </cell>
          <cell r="C169" t="str">
            <v>NUM_SH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</row>
        <row r="183">
          <cell r="B183" t="str">
            <v>Target price methodology</v>
          </cell>
          <cell r="C183" t="str">
            <v>PRI_TARG_METH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 t="e">
            <v>#NAME?</v>
          </cell>
        </row>
        <row r="186">
          <cell r="B186" t="str">
            <v>DPS, dividend per share (Pub)</v>
          </cell>
          <cell r="C186" t="str">
            <v>DPS_PUB</v>
          </cell>
          <cell r="D186" t="e">
            <v>#NAME?</v>
          </cell>
        </row>
        <row r="187">
          <cell r="B187" t="str">
            <v>Special dividend per share</v>
          </cell>
          <cell r="C187" t="str">
            <v>DPS_SPECIAL_PUB</v>
          </cell>
          <cell r="D187" t="e">
            <v>#NAME?</v>
          </cell>
        </row>
        <row r="188">
          <cell r="B188" t="str">
            <v>EBITDA (Pub)</v>
          </cell>
          <cell r="C188" t="str">
            <v>EBITDA_PUB</v>
          </cell>
          <cell r="D188" t="e">
            <v>#NAME?</v>
          </cell>
        </row>
        <row r="189">
          <cell r="B189" t="str">
            <v>EPS (Pub)</v>
          </cell>
          <cell r="C189" t="str">
            <v>EPS_PUB</v>
          </cell>
          <cell r="D189" t="e">
            <v>#NAME?</v>
          </cell>
        </row>
        <row r="190">
          <cell r="B190" t="str">
            <v>EV adjustment (Pub)</v>
          </cell>
          <cell r="C190" t="str">
            <v>EV_ADJ_PUB</v>
          </cell>
          <cell r="D190" t="e">
            <v>#NAME?</v>
          </cell>
        </row>
        <row r="191">
          <cell r="B191" t="str">
            <v>Net debt (Pub)</v>
          </cell>
          <cell r="C191" t="str">
            <v>NET_DEBT_PUB</v>
          </cell>
          <cell r="D191" t="e">
            <v>#NAME?</v>
          </cell>
        </row>
        <row r="192">
          <cell r="B192" t="str">
            <v>Net income (Pub)</v>
          </cell>
          <cell r="C192" t="str">
            <v>NI_PUB</v>
          </cell>
          <cell r="D192" t="e">
            <v>#NAME?</v>
          </cell>
        </row>
        <row r="193">
          <cell r="B193" t="str">
            <v>EBIT, operating profit (Pub)</v>
          </cell>
          <cell r="C193" t="str">
            <v>EBIT_PUB</v>
          </cell>
          <cell r="D193" t="e">
            <v>#NAME?</v>
          </cell>
        </row>
        <row r="194">
          <cell r="B194" t="str">
            <v>Pre-tax profit (Pub)</v>
          </cell>
          <cell r="C194" t="str">
            <v>PTP_PUB</v>
          </cell>
          <cell r="D194" t="e">
            <v>#NAME?</v>
          </cell>
        </row>
        <row r="195">
          <cell r="B195" t="str">
            <v>Sales, revenue (Pub)</v>
          </cell>
          <cell r="C195" t="str">
            <v>REVS_PUB</v>
          </cell>
          <cell r="D195" t="e">
            <v>#NAME?</v>
          </cell>
        </row>
        <row r="196">
          <cell r="B196" t="str">
            <v>Total shareholders' equity (Pub)</v>
          </cell>
          <cell r="C196" t="str">
            <v>EQ_PUB</v>
          </cell>
          <cell r="D196" t="e">
            <v>#NAME?</v>
          </cell>
        </row>
        <row r="197">
          <cell r="B197" t="str">
            <v>EPS (consensus)</v>
          </cell>
          <cell r="C197" t="str">
            <v>EPS_CONS_PUB</v>
          </cell>
          <cell r="D197" t="e">
            <v>#NAME?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 t="e">
            <v>#NAME?</v>
          </cell>
        </row>
        <row r="200">
          <cell r="B200" t="str">
            <v>Minority interest</v>
          </cell>
          <cell r="C200" t="str">
            <v>INC_MINORITY</v>
          </cell>
          <cell r="D200" t="e">
            <v>#NAME?</v>
          </cell>
        </row>
        <row r="201">
          <cell r="B201" t="str">
            <v>Net income (pre-preferred dividends)</v>
          </cell>
          <cell r="C201" t="str">
            <v>NI_PRE_PREF</v>
          </cell>
          <cell r="D201" t="e">
            <v>#NAME?</v>
          </cell>
        </row>
        <row r="202">
          <cell r="B202" t="str">
            <v>Preferred dividends</v>
          </cell>
          <cell r="C202" t="str">
            <v>PREF_DIV</v>
          </cell>
          <cell r="D202" t="e">
            <v>#NAME?</v>
          </cell>
        </row>
        <row r="203">
          <cell r="B203" t="str">
            <v>Net income (pre-exceptionals)</v>
          </cell>
          <cell r="C203" t="str">
            <v>NET_EARNING</v>
          </cell>
          <cell r="D203" t="e">
            <v>#NAME?</v>
          </cell>
        </row>
        <row r="204">
          <cell r="B204" t="str">
            <v>Post-tax exceptionals</v>
          </cell>
          <cell r="C204" t="str">
            <v>TAX_EXC</v>
          </cell>
          <cell r="D204" t="e">
            <v>#NAME?</v>
          </cell>
        </row>
        <row r="205">
          <cell r="B205" t="str">
            <v>Net income (post-exceptionals)</v>
          </cell>
          <cell r="C205" t="str">
            <v>NET_INC</v>
          </cell>
          <cell r="D205" t="e">
            <v>#NAME?</v>
          </cell>
        </row>
        <row r="206">
          <cell r="B206" t="str">
            <v>EPS (pre-exceptionals, basic)</v>
          </cell>
          <cell r="C206" t="str">
            <v>EPS</v>
          </cell>
          <cell r="D206" t="e">
            <v>#NAME?</v>
          </cell>
        </row>
        <row r="207">
          <cell r="B207" t="str">
            <v>EPS (pre-exceptionals, diluted)</v>
          </cell>
          <cell r="C207" t="str">
            <v>EPS_FUL_DIL</v>
          </cell>
          <cell r="D207" t="e">
            <v>#NAME?</v>
          </cell>
        </row>
        <row r="208">
          <cell r="B208" t="str">
            <v>EPS (post-exceptionals, basic)</v>
          </cell>
          <cell r="C208" t="str">
            <v>EPS_POST_BASIC</v>
          </cell>
          <cell r="D208" t="e">
            <v>#NAME?</v>
          </cell>
        </row>
        <row r="209">
          <cell r="B209" t="str">
            <v>EPS (post-exceptionals, diluted)</v>
          </cell>
          <cell r="C209" t="str">
            <v>FULLY_DIL_EPS</v>
          </cell>
          <cell r="D209" t="e">
            <v>#NAME?</v>
          </cell>
        </row>
        <row r="210">
          <cell r="B210" t="str">
            <v>Common dividends paid</v>
          </cell>
          <cell r="C210" t="str">
            <v>COMMON_DIV_PAID</v>
          </cell>
          <cell r="D210" t="e">
            <v>#NAME?</v>
          </cell>
        </row>
        <row r="211">
          <cell r="B211" t="str">
            <v>DPS, dividend per share</v>
          </cell>
          <cell r="C211" t="str">
            <v>DPS</v>
          </cell>
          <cell r="D211" t="e">
            <v>#NAME?</v>
          </cell>
        </row>
        <row r="212">
          <cell r="B212" t="str">
            <v>Weighted average shares outstanding, basic</v>
          </cell>
          <cell r="C212" t="str">
            <v>SH</v>
          </cell>
        </row>
        <row r="213">
          <cell r="B213" t="str">
            <v>Diluted average shares outstanding (mn)</v>
          </cell>
          <cell r="C213" t="str">
            <v>DILUTE_SHARES</v>
          </cell>
        </row>
        <row r="214">
          <cell r="B214" t="str">
            <v>Period-end shares outstanding</v>
          </cell>
          <cell r="C214" t="str">
            <v>NON_OP_ADD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</row>
        <row r="217">
          <cell r="B217" t="str">
            <v>Net income (consensus) (Pub)</v>
          </cell>
          <cell r="C217" t="str">
            <v>NI_CONS</v>
          </cell>
          <cell r="D217" t="e">
            <v>#NAME?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 t="e">
            <v>#NAME?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 t="e">
            <v>#NAME?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</row>
      </sheetData>
      <sheetData sheetId="17" refreshError="1">
        <row r="1">
          <cell r="A1" t="str">
            <v>Issuer: Ningbo Joyson Electronic</v>
          </cell>
          <cell r="F1" t="str">
            <v>2006</v>
          </cell>
          <cell r="G1" t="str">
            <v>2007</v>
          </cell>
          <cell r="H1" t="str">
            <v>2008</v>
          </cell>
          <cell r="I1" t="str">
            <v>2009</v>
          </cell>
          <cell r="J1" t="str">
            <v>2010</v>
          </cell>
          <cell r="K1" t="str">
            <v>2011 Q1</v>
          </cell>
          <cell r="L1" t="str">
            <v>2011 Q2</v>
          </cell>
          <cell r="M1" t="str">
            <v>2011 Q3</v>
          </cell>
          <cell r="N1" t="str">
            <v>2011 Q4</v>
          </cell>
          <cell r="O1" t="str">
            <v>2011</v>
          </cell>
          <cell r="P1" t="str">
            <v>2012 Q1</v>
          </cell>
          <cell r="Q1" t="str">
            <v>2012 Q2</v>
          </cell>
          <cell r="R1" t="str">
            <v>2012 Q3</v>
          </cell>
          <cell r="S1" t="str">
            <v>2012 Q4</v>
          </cell>
          <cell r="T1" t="str">
            <v>2012</v>
          </cell>
          <cell r="U1" t="str">
            <v>2013 Q1</v>
          </cell>
          <cell r="V1" t="str">
            <v>2013 Q2</v>
          </cell>
          <cell r="W1" t="str">
            <v>2013 Q3</v>
          </cell>
          <cell r="X1" t="str">
            <v>2013 Q4</v>
          </cell>
          <cell r="Y1" t="str">
            <v>2013</v>
          </cell>
          <cell r="Z1" t="str">
            <v>2014 Q1</v>
          </cell>
          <cell r="AA1" t="str">
            <v>2014 Q2</v>
          </cell>
          <cell r="AB1" t="str">
            <v>2014 Q3</v>
          </cell>
          <cell r="AC1" t="str">
            <v>2014 Q4</v>
          </cell>
          <cell r="AD1">
            <v>2014</v>
          </cell>
          <cell r="AE1" t="str">
            <v>2015</v>
          </cell>
          <cell r="AF1" t="str">
            <v>2016</v>
          </cell>
          <cell r="AG1" t="str">
            <v>2017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Estimate</v>
          </cell>
          <cell r="AD2" t="str">
            <v>Estimate</v>
          </cell>
          <cell r="AE2" t="str">
            <v>Estimate</v>
          </cell>
          <cell r="AF2" t="str">
            <v>Estimate</v>
          </cell>
          <cell r="AG2" t="str">
            <v>Estimate</v>
          </cell>
        </row>
        <row r="3">
          <cell r="F3">
            <v>39082</v>
          </cell>
          <cell r="G3">
            <v>39447</v>
          </cell>
          <cell r="H3">
            <v>39813</v>
          </cell>
          <cell r="I3">
            <v>40178</v>
          </cell>
          <cell r="J3">
            <v>40543</v>
          </cell>
          <cell r="K3">
            <v>40633</v>
          </cell>
          <cell r="L3">
            <v>40724</v>
          </cell>
          <cell r="M3">
            <v>40816</v>
          </cell>
          <cell r="N3">
            <v>40908</v>
          </cell>
          <cell r="O3">
            <v>40908</v>
          </cell>
          <cell r="P3">
            <v>40999</v>
          </cell>
          <cell r="Q3">
            <v>41090</v>
          </cell>
          <cell r="R3">
            <v>41182</v>
          </cell>
          <cell r="S3">
            <v>41274</v>
          </cell>
          <cell r="T3">
            <v>41274</v>
          </cell>
          <cell r="U3">
            <v>41364</v>
          </cell>
          <cell r="V3">
            <v>41455</v>
          </cell>
          <cell r="W3">
            <v>41547</v>
          </cell>
          <cell r="X3">
            <v>41639</v>
          </cell>
          <cell r="Y3">
            <v>41639</v>
          </cell>
          <cell r="Z3">
            <v>41729</v>
          </cell>
          <cell r="AA3">
            <v>41820</v>
          </cell>
          <cell r="AB3">
            <v>41912</v>
          </cell>
          <cell r="AC3">
            <v>42004</v>
          </cell>
          <cell r="AD3">
            <v>42004</v>
          </cell>
          <cell r="AE3">
            <v>42369</v>
          </cell>
          <cell r="AF3">
            <v>42735</v>
          </cell>
          <cell r="AG3">
            <v>43100</v>
          </cell>
        </row>
        <row r="4">
          <cell r="A4" t="str">
            <v>Issuer: Ningbo Joyson Electronic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Ningbo Joyson Electronic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193.31152044999999</v>
          </cell>
          <cell r="G9">
            <v>299.01071195000003</v>
          </cell>
          <cell r="H9">
            <v>278.52056642000002</v>
          </cell>
          <cell r="I9">
            <v>257.63289512</v>
          </cell>
          <cell r="J9">
            <v>154.30551537000002</v>
          </cell>
          <cell r="K9">
            <v>0</v>
          </cell>
          <cell r="L9">
            <v>0</v>
          </cell>
          <cell r="M9">
            <v>0</v>
          </cell>
          <cell r="N9">
            <v>1462.1795894000002</v>
          </cell>
          <cell r="O9">
            <v>1462.1795894000002</v>
          </cell>
          <cell r="P9">
            <v>324.90536693999996</v>
          </cell>
          <cell r="Q9">
            <v>356.28310126000014</v>
          </cell>
          <cell r="R9">
            <v>390.73021086999995</v>
          </cell>
          <cell r="S9">
            <v>4286.5398991900001</v>
          </cell>
          <cell r="T9">
            <v>5358.4585782600006</v>
          </cell>
          <cell r="U9">
            <v>1334.8355681099999</v>
          </cell>
          <cell r="V9">
            <v>1476.9177645900002</v>
          </cell>
          <cell r="W9">
            <v>1557.4564805700011</v>
          </cell>
          <cell r="X9">
            <v>1734.6166697999979</v>
          </cell>
          <cell r="Y9">
            <v>6103.8264830699991</v>
          </cell>
          <cell r="Z9">
            <v>1623.23980641</v>
          </cell>
          <cell r="AA9">
            <v>1759.1425307899997</v>
          </cell>
          <cell r="AB9">
            <v>1749.3918725700005</v>
          </cell>
          <cell r="AC9">
            <v>2108.6128008912665</v>
          </cell>
          <cell r="AD9">
            <v>7240.3870106612667</v>
          </cell>
          <cell r="AE9">
            <v>8483.1540889940534</v>
          </cell>
          <cell r="AF9">
            <v>9626.545404411052</v>
          </cell>
          <cell r="AG9">
            <v>10916.194538696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-203.21553386000002</v>
          </cell>
          <cell r="G11">
            <v>-264.18013540999999</v>
          </cell>
          <cell r="H11">
            <v>-284.99009862999998</v>
          </cell>
          <cell r="I11">
            <v>-258.94316214999998</v>
          </cell>
          <cell r="J11">
            <v>-165.25191509000001</v>
          </cell>
          <cell r="O11">
            <v>-1161.7436453199998</v>
          </cell>
          <cell r="T11">
            <v>-4411.2330965399997</v>
          </cell>
          <cell r="Y11">
            <v>-4938.8961741000003</v>
          </cell>
          <cell r="AD11">
            <v>-5857.8598471760888</v>
          </cell>
          <cell r="AE11">
            <v>-6815.0656924401028</v>
          </cell>
          <cell r="AF11">
            <v>-7693.6373387590102</v>
          </cell>
          <cell r="AG11">
            <v>-8675.0261105738791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-23.826264879999997</v>
          </cell>
          <cell r="G12">
            <v>-28.66698573</v>
          </cell>
          <cell r="H12">
            <v>-25.891210969999999</v>
          </cell>
          <cell r="I12">
            <v>-37.014395829999998</v>
          </cell>
          <cell r="J12">
            <v>-31.516045669999997</v>
          </cell>
          <cell r="O12">
            <v>-73.406280879999997</v>
          </cell>
          <cell r="T12">
            <v>-581.28282667000008</v>
          </cell>
          <cell r="Y12">
            <v>-699.59345517999998</v>
          </cell>
          <cell r="AD12">
            <v>-850.96081445735228</v>
          </cell>
          <cell r="AE12">
            <v>-984.60168097052485</v>
          </cell>
          <cell r="AF12">
            <v>-1101.6490869503762</v>
          </cell>
          <cell r="AG12">
            <v>-1224.3085342210543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-227.04179874000002</v>
          </cell>
          <cell r="G13">
            <v>-292.84712114000001</v>
          </cell>
          <cell r="H13">
            <v>-310.88130959999995</v>
          </cell>
          <cell r="I13">
            <v>-295.95755797999999</v>
          </cell>
          <cell r="J13">
            <v>-196.76796075999999</v>
          </cell>
          <cell r="O13">
            <v>-1235.1499261999998</v>
          </cell>
          <cell r="T13">
            <v>-4992.5159232099995</v>
          </cell>
          <cell r="Y13">
            <v>-5638.4896292800004</v>
          </cell>
          <cell r="AD13">
            <v>-6708.820661633441</v>
          </cell>
          <cell r="AE13">
            <v>-7799.667373410628</v>
          </cell>
          <cell r="AF13">
            <v>-8795.2864257093861</v>
          </cell>
          <cell r="AG13">
            <v>-9899.3346447949334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O15">
            <v>0</v>
          </cell>
          <cell r="T15">
            <v>0</v>
          </cell>
          <cell r="Y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-227.04179874000005</v>
          </cell>
          <cell r="G16">
            <v>-292.84712114000001</v>
          </cell>
          <cell r="H16">
            <v>-310.88130959999995</v>
          </cell>
          <cell r="I16">
            <v>-295.95755797999999</v>
          </cell>
          <cell r="J16">
            <v>-196.76796075999999</v>
          </cell>
          <cell r="O16">
            <v>-1235.1499262</v>
          </cell>
          <cell r="T16">
            <v>-4992.5159232099995</v>
          </cell>
          <cell r="Y16">
            <v>-5638.4896292799995</v>
          </cell>
          <cell r="AD16">
            <v>-6708.820661633441</v>
          </cell>
          <cell r="AE16">
            <v>-7799.6673734106271</v>
          </cell>
          <cell r="AF16">
            <v>-8795.2864257093879</v>
          </cell>
          <cell r="AG16">
            <v>-9899.3346447949334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-199.35798291000003</v>
          </cell>
          <cell r="G17">
            <v>-257.06523664000002</v>
          </cell>
          <cell r="H17">
            <v>-276.41278953999995</v>
          </cell>
          <cell r="I17">
            <v>-261.62247002999999</v>
          </cell>
          <cell r="J17">
            <v>-183.02827569999999</v>
          </cell>
          <cell r="O17">
            <v>-1192.1126128499998</v>
          </cell>
          <cell r="T17">
            <v>-4619.6676085399995</v>
          </cell>
          <cell r="Y17">
            <v>-5218.79539544</v>
          </cell>
          <cell r="AD17">
            <v>-6281.3395060512194</v>
          </cell>
          <cell r="AE17">
            <v>-7375.9728999577528</v>
          </cell>
          <cell r="AF17">
            <v>-8367.5408902453328</v>
          </cell>
          <cell r="AG17">
            <v>-9461.7238338096231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-6.0464624600000434</v>
          </cell>
          <cell r="G18">
            <v>41.945475310000006</v>
          </cell>
          <cell r="H18">
            <v>2.107776880000074</v>
          </cell>
          <cell r="I18">
            <v>-3.9895749099999875</v>
          </cell>
          <cell r="J18">
            <v>-28.722760329999971</v>
          </cell>
          <cell r="O18">
            <v>270.06697655000039</v>
          </cell>
          <cell r="T18">
            <v>738.79096972000116</v>
          </cell>
          <cell r="Y18">
            <v>885.03108762999909</v>
          </cell>
          <cell r="AD18">
            <v>959.04750461004733</v>
          </cell>
          <cell r="AE18">
            <v>1107.1811890363006</v>
          </cell>
          <cell r="AF18">
            <v>1259.0045141657192</v>
          </cell>
          <cell r="AG18">
            <v>1454.4707048863766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-24.297524670000001</v>
          </cell>
          <cell r="G19">
            <v>-32.402781340000004</v>
          </cell>
          <cell r="H19">
            <v>-31.088916900000001</v>
          </cell>
          <cell r="I19">
            <v>-31.167256179999999</v>
          </cell>
          <cell r="J19">
            <v>-11.58564612</v>
          </cell>
          <cell r="O19">
            <v>-37.173197170000002</v>
          </cell>
          <cell r="T19">
            <v>-244.4716377</v>
          </cell>
          <cell r="Y19">
            <v>-271.13369912000002</v>
          </cell>
          <cell r="AD19">
            <v>-265.69057870800822</v>
          </cell>
          <cell r="AE19">
            <v>-277.72070261858471</v>
          </cell>
          <cell r="AF19">
            <v>-310.31284365684706</v>
          </cell>
          <cell r="AG19">
            <v>-343.13879024987716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-3.3862911600000003</v>
          </cell>
          <cell r="G20">
            <v>-3.3791031600000001</v>
          </cell>
          <cell r="H20">
            <v>-3.3796031600000003</v>
          </cell>
          <cell r="I20">
            <v>-3.1678317700000003</v>
          </cell>
          <cell r="J20">
            <v>-2.15403894</v>
          </cell>
          <cell r="O20">
            <v>-5.8641161799999999</v>
          </cell>
          <cell r="T20">
            <v>-128.37667696999998</v>
          </cell>
          <cell r="Y20">
            <v>-148.56053471999999</v>
          </cell>
          <cell r="AD20">
            <v>-161.79057687421323</v>
          </cell>
          <cell r="AE20">
            <v>-145.97377083429004</v>
          </cell>
          <cell r="AF20">
            <v>-117.43269180720664</v>
          </cell>
          <cell r="AG20">
            <v>-94.472020735432892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-33.730278290000058</v>
          </cell>
          <cell r="G21">
            <v>6.1635908100000165</v>
          </cell>
          <cell r="H21">
            <v>-32.360743179999929</v>
          </cell>
          <cell r="I21">
            <v>-38.324662859999989</v>
          </cell>
          <cell r="J21">
            <v>-42.462445389999971</v>
          </cell>
          <cell r="K21">
            <v>-0.32338084</v>
          </cell>
          <cell r="L21">
            <v>-4.7199479600000007</v>
          </cell>
          <cell r="M21">
            <v>-0.40691373000000031</v>
          </cell>
          <cell r="N21">
            <v>232.47990573000035</v>
          </cell>
          <cell r="O21">
            <v>227.02966320000019</v>
          </cell>
          <cell r="P21">
            <v>32.426029389999975</v>
          </cell>
          <cell r="Q21">
            <v>45.27706990000005</v>
          </cell>
          <cell r="R21">
            <v>51.638734269999986</v>
          </cell>
          <cell r="S21">
            <v>236.60082149000081</v>
          </cell>
          <cell r="T21">
            <v>365.94265505000112</v>
          </cell>
          <cell r="U21">
            <v>98.086777539999957</v>
          </cell>
          <cell r="V21">
            <v>105.00852547000027</v>
          </cell>
          <cell r="W21">
            <v>119.21034365000142</v>
          </cell>
          <cell r="X21">
            <v>143.03120712999717</v>
          </cell>
          <cell r="Y21">
            <v>465.33685378999962</v>
          </cell>
          <cell r="Z21">
            <v>112.38044681000011</v>
          </cell>
          <cell r="AA21">
            <v>123.24025041999991</v>
          </cell>
          <cell r="AB21">
            <v>100.69472178000026</v>
          </cell>
          <cell r="AC21">
            <v>195.25093001782523</v>
          </cell>
          <cell r="AD21">
            <v>531.56634902782571</v>
          </cell>
          <cell r="AE21">
            <v>683.4867155834263</v>
          </cell>
          <cell r="AF21">
            <v>831.25897870166409</v>
          </cell>
          <cell r="AG21">
            <v>1016.8598939010662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O22">
            <v>0</v>
          </cell>
          <cell r="T22">
            <v>0</v>
          </cell>
          <cell r="Y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-56.914704909999998</v>
          </cell>
          <cell r="G23">
            <v>-68.872155640000003</v>
          </cell>
          <cell r="H23">
            <v>-88.339983840000002</v>
          </cell>
          <cell r="I23">
            <v>-79.631060599999998</v>
          </cell>
          <cell r="J23">
            <v>-22.196171989999996</v>
          </cell>
          <cell r="O23">
            <v>-16.882727030000002</v>
          </cell>
          <cell r="T23">
            <v>-58.665038369999991</v>
          </cell>
          <cell r="Y23">
            <v>-76.468016250000005</v>
          </cell>
          <cell r="AD23">
            <v>-56.959620600000001</v>
          </cell>
          <cell r="AE23">
            <v>-39.146877234260351</v>
          </cell>
          <cell r="AF23">
            <v>-39.146877234260351</v>
          </cell>
          <cell r="AG23">
            <v>-39.146877234260351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-56.914704909999998</v>
          </cell>
          <cell r="G24">
            <v>-68.872155640000003</v>
          </cell>
          <cell r="H24">
            <v>-88.339983840000002</v>
          </cell>
          <cell r="I24">
            <v>-79.631060599999998</v>
          </cell>
          <cell r="J24">
            <v>-22.196171989999996</v>
          </cell>
          <cell r="O24">
            <v>-16.882727030000002</v>
          </cell>
          <cell r="T24">
            <v>-58.665038369999991</v>
          </cell>
          <cell r="Y24">
            <v>-76.468016250000005</v>
          </cell>
          <cell r="AD24">
            <v>-56.959620600000001</v>
          </cell>
          <cell r="AE24">
            <v>-39.146877234260351</v>
          </cell>
          <cell r="AF24">
            <v>-39.146877234260351</v>
          </cell>
          <cell r="AG24">
            <v>-39.146877234260351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O25">
            <v>0</v>
          </cell>
          <cell r="T25">
            <v>0</v>
          </cell>
          <cell r="Y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O26">
            <v>0</v>
          </cell>
          <cell r="T26">
            <v>0</v>
          </cell>
          <cell r="Y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-2.5219151799999651</v>
          </cell>
          <cell r="G27">
            <v>77.353438040000015</v>
          </cell>
          <cell r="H27">
            <v>-7.8592921500000443</v>
          </cell>
          <cell r="I27">
            <v>-237.55815180999997</v>
          </cell>
          <cell r="J27">
            <v>176.83745448999991</v>
          </cell>
          <cell r="O27">
            <v>3.7697032100002055</v>
          </cell>
          <cell r="T27">
            <v>4.433641939999859</v>
          </cell>
          <cell r="Y27">
            <v>-3.2201746200007619</v>
          </cell>
          <cell r="AD27">
            <v>15.97427874400001</v>
          </cell>
          <cell r="AE27">
            <v>20.734298773399551</v>
          </cell>
          <cell r="AF27">
            <v>23.371585969741737</v>
          </cell>
          <cell r="AG27">
            <v>26.278460673314122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-93.166898380000021</v>
          </cell>
          <cell r="G28">
            <v>14.644873210000036</v>
          </cell>
          <cell r="H28">
            <v>-128.56001916999998</v>
          </cell>
          <cell r="I28">
            <v>-355.51387526999997</v>
          </cell>
          <cell r="J28">
            <v>112.17883710999995</v>
          </cell>
          <cell r="O28">
            <v>213.91663938000039</v>
          </cell>
          <cell r="T28">
            <v>311.71125862000099</v>
          </cell>
          <cell r="Y28">
            <v>385.64866291999886</v>
          </cell>
          <cell r="AD28">
            <v>490.58100717182572</v>
          </cell>
          <cell r="AE28">
            <v>665.0741371225655</v>
          </cell>
          <cell r="AF28">
            <v>815.48368743714548</v>
          </cell>
          <cell r="AG28">
            <v>1003.99147734012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O31">
            <v>0</v>
          </cell>
          <cell r="T31">
            <v>0</v>
          </cell>
          <cell r="Y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-56.914704909999998</v>
          </cell>
          <cell r="G34">
            <v>-68.872155640000003</v>
          </cell>
          <cell r="H34">
            <v>-88.339983840000002</v>
          </cell>
          <cell r="I34">
            <v>-79.631060599999998</v>
          </cell>
          <cell r="J34">
            <v>-22.196171989999996</v>
          </cell>
          <cell r="O34">
            <v>-16.882727030000002</v>
          </cell>
          <cell r="T34">
            <v>-58.665038369999991</v>
          </cell>
          <cell r="Y34">
            <v>-76.468016250000005</v>
          </cell>
          <cell r="AD34">
            <v>-56.959620600000001</v>
          </cell>
          <cell r="AE34">
            <v>-39.146877234260351</v>
          </cell>
          <cell r="AF34">
            <v>-39.146877234260351</v>
          </cell>
          <cell r="AG34">
            <v>-39.146877234260351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11.27343505</v>
          </cell>
          <cell r="G37">
            <v>99.90862279000001</v>
          </cell>
          <cell r="H37">
            <v>26.995313999999997</v>
          </cell>
          <cell r="I37">
            <v>9.49851958</v>
          </cell>
          <cell r="J37">
            <v>0</v>
          </cell>
          <cell r="O37">
            <v>157.38975941999999</v>
          </cell>
          <cell r="T37">
            <v>519.47165747000008</v>
          </cell>
          <cell r="Y37">
            <v>561.02056879999998</v>
          </cell>
          <cell r="AD37">
            <v>582.29924363191446</v>
          </cell>
          <cell r="AE37">
            <v>696.10255921305054</v>
          </cell>
          <cell r="AF37">
            <v>942.20998585232724</v>
          </cell>
          <cell r="AG37">
            <v>1287.9879543775437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182.55938028</v>
          </cell>
          <cell r="G38">
            <v>192.04729899999998</v>
          </cell>
          <cell r="H38">
            <v>183.95244223</v>
          </cell>
          <cell r="I38">
            <v>55.326131590000003</v>
          </cell>
          <cell r="J38">
            <v>0</v>
          </cell>
          <cell r="O38">
            <v>410.98588944000005</v>
          </cell>
          <cell r="T38">
            <v>776.29183850999993</v>
          </cell>
          <cell r="Y38">
            <v>952.96296383000004</v>
          </cell>
          <cell r="AD38">
            <v>1130.4090448989366</v>
          </cell>
          <cell r="AE38">
            <v>1324.4366768447744</v>
          </cell>
          <cell r="AF38">
            <v>1502.9492180809127</v>
          </cell>
          <cell r="AG38">
            <v>1704.2963344705715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225.71891780999999</v>
          </cell>
          <cell r="G39">
            <v>139.99032728</v>
          </cell>
          <cell r="H39">
            <v>113.46317802</v>
          </cell>
          <cell r="I39">
            <v>48.733747210000004</v>
          </cell>
          <cell r="J39">
            <v>0</v>
          </cell>
          <cell r="O39">
            <v>161.31775937</v>
          </cell>
          <cell r="T39">
            <v>682.22040689000005</v>
          </cell>
          <cell r="Y39">
            <v>845.91687059999992</v>
          </cell>
          <cell r="AD39">
            <v>1003.3137558797888</v>
          </cell>
          <cell r="AE39">
            <v>1167.2606267194687</v>
          </cell>
          <cell r="AF39">
            <v>1317.7393068645138</v>
          </cell>
          <cell r="AG39">
            <v>1485.8281448216899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65.599151320000033</v>
          </cell>
          <cell r="G40">
            <v>29.214676800000063</v>
          </cell>
          <cell r="H40">
            <v>21.182381700000022</v>
          </cell>
          <cell r="I40">
            <v>16.977246460000003</v>
          </cell>
          <cell r="J40">
            <v>0</v>
          </cell>
          <cell r="O40">
            <v>50.478335929999929</v>
          </cell>
          <cell r="T40">
            <v>73.252287030000161</v>
          </cell>
          <cell r="Y40">
            <v>83.086732899999674</v>
          </cell>
          <cell r="AD40">
            <v>83.086732899999674</v>
          </cell>
          <cell r="AE40">
            <v>83.086732899999788</v>
          </cell>
          <cell r="AF40">
            <v>83.086732900000015</v>
          </cell>
          <cell r="AG40">
            <v>83.086732900000015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485.15088446000004</v>
          </cell>
          <cell r="G41">
            <v>461.16092587000003</v>
          </cell>
          <cell r="H41">
            <v>345.59331595000003</v>
          </cell>
          <cell r="I41">
            <v>130.53564484</v>
          </cell>
          <cell r="J41">
            <v>0</v>
          </cell>
          <cell r="O41">
            <v>780.17174416</v>
          </cell>
          <cell r="T41">
            <v>2051.2361899000002</v>
          </cell>
          <cell r="Y41">
            <v>2442.9871361299997</v>
          </cell>
          <cell r="AD41">
            <v>2799.1087773106397</v>
          </cell>
          <cell r="AE41">
            <v>3270.8865956772934</v>
          </cell>
          <cell r="AF41">
            <v>3845.9852436977535</v>
          </cell>
          <cell r="AG41">
            <v>4561.1991665698051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818.24973763000003</v>
          </cell>
          <cell r="G42">
            <v>795.50518796000006</v>
          </cell>
          <cell r="H42">
            <v>772.78287059000013</v>
          </cell>
          <cell r="I42">
            <v>612.58756142999994</v>
          </cell>
          <cell r="J42">
            <v>0</v>
          </cell>
          <cell r="O42">
            <v>477.74510542000002</v>
          </cell>
          <cell r="T42">
            <v>2157.5402870399998</v>
          </cell>
          <cell r="Y42">
            <v>2296.7738271799999</v>
          </cell>
          <cell r="AD42">
            <v>2946.8630351064712</v>
          </cell>
          <cell r="AE42">
            <v>3623.7044426807424</v>
          </cell>
          <cell r="AF42">
            <v>4295.5076189179717</v>
          </cell>
          <cell r="AG42">
            <v>5002.7299573228966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O43">
            <v>0</v>
          </cell>
          <cell r="T43">
            <v>0</v>
          </cell>
          <cell r="Y43">
            <v>0</v>
          </cell>
          <cell r="AD43">
            <v>-265.69057870800822</v>
          </cell>
          <cell r="AE43">
            <v>-543.41128132659287</v>
          </cell>
          <cell r="AF43">
            <v>-853.72412498343988</v>
          </cell>
          <cell r="AG43">
            <v>-1196.8629152333169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818.24973763000003</v>
          </cell>
          <cell r="G44">
            <v>795.50518796000006</v>
          </cell>
          <cell r="H44">
            <v>772.78287059000013</v>
          </cell>
          <cell r="I44">
            <v>612.58756142999994</v>
          </cell>
          <cell r="J44">
            <v>0</v>
          </cell>
          <cell r="O44">
            <v>477.74510542000002</v>
          </cell>
          <cell r="T44">
            <v>2157.5402870399998</v>
          </cell>
          <cell r="Y44">
            <v>2296.7738271799999</v>
          </cell>
          <cell r="AD44">
            <v>2681.1724563984631</v>
          </cell>
          <cell r="AE44">
            <v>3080.2931613541496</v>
          </cell>
          <cell r="AF44">
            <v>3441.7834939345321</v>
          </cell>
          <cell r="AG44">
            <v>3805.8670420895796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97.570886959999996</v>
          </cell>
          <cell r="G45">
            <v>108.54507541000001</v>
          </cell>
          <cell r="H45">
            <v>102.16547224999999</v>
          </cell>
          <cell r="I45">
            <v>72.436613129999998</v>
          </cell>
          <cell r="J45">
            <v>0</v>
          </cell>
          <cell r="O45">
            <v>85.624394199999998</v>
          </cell>
          <cell r="T45">
            <v>897.31817157</v>
          </cell>
          <cell r="Y45">
            <v>908.37558689999992</v>
          </cell>
          <cell r="AD45">
            <v>908.37558689999992</v>
          </cell>
          <cell r="AE45">
            <v>908.37558689999992</v>
          </cell>
          <cell r="AF45">
            <v>908.37558689999992</v>
          </cell>
          <cell r="AG45">
            <v>908.37558689999992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O46">
            <v>0</v>
          </cell>
          <cell r="T46">
            <v>0</v>
          </cell>
          <cell r="Y46">
            <v>0</v>
          </cell>
          <cell r="AD46">
            <v>-161.79057687421323</v>
          </cell>
          <cell r="AE46">
            <v>-307.76434770850324</v>
          </cell>
          <cell r="AF46">
            <v>-425.19703951570989</v>
          </cell>
          <cell r="AG46">
            <v>-519.66906025114281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97.570886959999996</v>
          </cell>
          <cell r="G47">
            <v>108.54507541000001</v>
          </cell>
          <cell r="H47">
            <v>102.16547224999999</v>
          </cell>
          <cell r="I47">
            <v>72.436613129999998</v>
          </cell>
          <cell r="J47">
            <v>0</v>
          </cell>
          <cell r="O47">
            <v>85.624394199999998</v>
          </cell>
          <cell r="T47">
            <v>897.31817157</v>
          </cell>
          <cell r="Y47">
            <v>908.37558689999992</v>
          </cell>
          <cell r="AD47">
            <v>746.58501002578669</v>
          </cell>
          <cell r="AE47">
            <v>600.61123919149668</v>
          </cell>
          <cell r="AF47">
            <v>483.17854738429003</v>
          </cell>
          <cell r="AG47">
            <v>388.70652664885711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73.578288900000004</v>
          </cell>
          <cell r="G49">
            <v>133.31740585</v>
          </cell>
          <cell r="H49">
            <v>134.56881968000002</v>
          </cell>
          <cell r="I49">
            <v>0.2</v>
          </cell>
          <cell r="J49">
            <v>0</v>
          </cell>
          <cell r="O49">
            <v>23.556932739999997</v>
          </cell>
          <cell r="T49">
            <v>15.02796903</v>
          </cell>
          <cell r="Y49">
            <v>18.686614769999998</v>
          </cell>
          <cell r="AD49">
            <v>18.686614769999998</v>
          </cell>
          <cell r="AE49">
            <v>18.686614769999998</v>
          </cell>
          <cell r="AF49">
            <v>18.686614769999998</v>
          </cell>
          <cell r="AG49">
            <v>18.686614769999998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</v>
          </cell>
          <cell r="G50">
            <v>0</v>
          </cell>
          <cell r="H50">
            <v>0</v>
          </cell>
          <cell r="I50">
            <v>2.8310687127941492E-15</v>
          </cell>
          <cell r="J50">
            <v>0</v>
          </cell>
          <cell r="O50">
            <v>1.8173317300001166</v>
          </cell>
          <cell r="T50">
            <v>45.166584050000559</v>
          </cell>
          <cell r="Y50">
            <v>79.138049400000909</v>
          </cell>
          <cell r="AD50">
            <v>79.138049399999773</v>
          </cell>
          <cell r="AE50">
            <v>79.138049399999773</v>
          </cell>
          <cell r="AF50">
            <v>79.138049399999886</v>
          </cell>
          <cell r="AG50">
            <v>79.138049399999773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1474.5497979500001</v>
          </cell>
          <cell r="G51">
            <v>1498.5285950900002</v>
          </cell>
          <cell r="H51">
            <v>1355.1104784700001</v>
          </cell>
          <cell r="I51">
            <v>815.75981939999997</v>
          </cell>
          <cell r="J51">
            <v>0</v>
          </cell>
          <cell r="O51">
            <v>1368.9155082500001</v>
          </cell>
          <cell r="T51">
            <v>5166.2892015900006</v>
          </cell>
          <cell r="Y51">
            <v>5745.9612143800005</v>
          </cell>
          <cell r="AD51">
            <v>6324.6909079048892</v>
          </cell>
          <cell r="AE51">
            <v>7049.6156603929394</v>
          </cell>
          <cell r="AF51">
            <v>7868.7719491865755</v>
          </cell>
          <cell r="AG51">
            <v>8853.5973994782416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266.93264002000001</v>
          </cell>
          <cell r="G52">
            <v>141.78098645</v>
          </cell>
          <cell r="H52">
            <v>102.37140047</v>
          </cell>
          <cell r="I52">
            <v>23.408993070000001</v>
          </cell>
          <cell r="J52">
            <v>1.5</v>
          </cell>
          <cell r="O52">
            <v>424.00484638</v>
          </cell>
          <cell r="T52">
            <v>929.38612125999998</v>
          </cell>
          <cell r="Y52">
            <v>1166.7072538299999</v>
          </cell>
          <cell r="AD52">
            <v>1383.7925185510201</v>
          </cell>
          <cell r="AE52">
            <v>1609.9116681971468</v>
          </cell>
          <cell r="AF52">
            <v>1817.4551914129238</v>
          </cell>
          <cell r="AG52">
            <v>2049.2870336994993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227.97</v>
          </cell>
          <cell r="G53">
            <v>225.97</v>
          </cell>
          <cell r="H53">
            <v>225.76</v>
          </cell>
          <cell r="I53">
            <v>231.52792450000001</v>
          </cell>
          <cell r="J53">
            <v>0</v>
          </cell>
          <cell r="O53">
            <v>198.62576905000003</v>
          </cell>
          <cell r="T53">
            <v>1174.4183400799998</v>
          </cell>
          <cell r="Y53">
            <v>813.26661967999996</v>
          </cell>
          <cell r="AD53">
            <v>813.26661967999996</v>
          </cell>
          <cell r="AE53">
            <v>813.26661967999996</v>
          </cell>
          <cell r="AF53">
            <v>813.26661967999996</v>
          </cell>
          <cell r="AG53">
            <v>813.26661967999996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-0.31531157999998527</v>
          </cell>
          <cell r="G54">
            <v>95.239846690000007</v>
          </cell>
          <cell r="H54">
            <v>164.91092085000002</v>
          </cell>
          <cell r="I54">
            <v>223.14376627999999</v>
          </cell>
          <cell r="J54">
            <v>4.9733999999990175E-4</v>
          </cell>
          <cell r="O54">
            <v>53.658805209999969</v>
          </cell>
          <cell r="T54">
            <v>321.14960164000013</v>
          </cell>
          <cell r="Y54">
            <v>374.01603303000013</v>
          </cell>
          <cell r="AD54">
            <v>374.0160330299999</v>
          </cell>
          <cell r="AE54">
            <v>374.01603303000013</v>
          </cell>
          <cell r="AF54">
            <v>374.01603303000013</v>
          </cell>
          <cell r="AG54">
            <v>374.01603303000013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494.58732844000002</v>
          </cell>
          <cell r="G55">
            <v>462.99083314000001</v>
          </cell>
          <cell r="H55">
            <v>493.04232132000004</v>
          </cell>
          <cell r="I55">
            <v>478.08068385000001</v>
          </cell>
          <cell r="J55">
            <v>1.5004973399999999</v>
          </cell>
          <cell r="O55">
            <v>676.28942064</v>
          </cell>
          <cell r="T55">
            <v>2424.9540629799999</v>
          </cell>
          <cell r="Y55">
            <v>2353.98990654</v>
          </cell>
          <cell r="AD55">
            <v>2571.0751712610199</v>
          </cell>
          <cell r="AE55">
            <v>2797.1943209071469</v>
          </cell>
          <cell r="AF55">
            <v>3004.7378441229239</v>
          </cell>
          <cell r="AG55">
            <v>3236.5696864094994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561.5</v>
          </cell>
          <cell r="G56">
            <v>558.5</v>
          </cell>
          <cell r="H56">
            <v>538</v>
          </cell>
          <cell r="I56">
            <v>460</v>
          </cell>
          <cell r="J56">
            <v>0</v>
          </cell>
          <cell r="O56">
            <v>0</v>
          </cell>
          <cell r="T56">
            <v>222.62063262000001</v>
          </cell>
          <cell r="Y56">
            <v>218.8914</v>
          </cell>
          <cell r="AD56">
            <v>218.8914</v>
          </cell>
          <cell r="AE56">
            <v>218.8914</v>
          </cell>
          <cell r="AF56">
            <v>218.8914</v>
          </cell>
          <cell r="AG56">
            <v>218.8914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26.108799999999974</v>
          </cell>
          <cell r="G57">
            <v>66.59839999999997</v>
          </cell>
          <cell r="H57">
            <v>42.467399999999998</v>
          </cell>
          <cell r="I57">
            <v>50.057279999999992</v>
          </cell>
          <cell r="J57">
            <v>0</v>
          </cell>
          <cell r="O57">
            <v>25.267772150000003</v>
          </cell>
          <cell r="T57">
            <v>717.97132366000005</v>
          </cell>
          <cell r="Y57">
            <v>833.81591902000014</v>
          </cell>
          <cell r="AD57">
            <v>833.81591902000014</v>
          </cell>
          <cell r="AE57">
            <v>833.81591902000014</v>
          </cell>
          <cell r="AF57">
            <v>833.81591902000014</v>
          </cell>
          <cell r="AG57">
            <v>833.81591902000014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587.60879999999997</v>
          </cell>
          <cell r="G58">
            <v>625.09839999999997</v>
          </cell>
          <cell r="H58">
            <v>580.4674</v>
          </cell>
          <cell r="I58">
            <v>510.05727999999999</v>
          </cell>
          <cell r="J58">
            <v>0</v>
          </cell>
          <cell r="O58">
            <v>25.267772150000003</v>
          </cell>
          <cell r="T58">
            <v>940.59195628000009</v>
          </cell>
          <cell r="Y58">
            <v>1052.7073190200001</v>
          </cell>
          <cell r="AD58">
            <v>1052.7073190200001</v>
          </cell>
          <cell r="AE58">
            <v>1052.7073190200001</v>
          </cell>
          <cell r="AF58">
            <v>1052.7073190200001</v>
          </cell>
          <cell r="AG58">
            <v>1052.7073190200001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1082.1961284399999</v>
          </cell>
          <cell r="G59">
            <v>1088.08923314</v>
          </cell>
          <cell r="H59">
            <v>1073.5097213200002</v>
          </cell>
          <cell r="I59">
            <v>988.13796385000001</v>
          </cell>
          <cell r="J59">
            <v>1.5004973399999999</v>
          </cell>
          <cell r="O59">
            <v>701.55719279000004</v>
          </cell>
          <cell r="T59">
            <v>3365.5460192599999</v>
          </cell>
          <cell r="Y59">
            <v>3406.6972255600003</v>
          </cell>
          <cell r="AD59">
            <v>3623.7824902810198</v>
          </cell>
          <cell r="AE59">
            <v>3849.9016399271468</v>
          </cell>
          <cell r="AF59">
            <v>4057.4451631429238</v>
          </cell>
          <cell r="AG59">
            <v>4289.2770054294997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O60">
            <v>0</v>
          </cell>
          <cell r="T60">
            <v>0</v>
          </cell>
          <cell r="Y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287.18020816000001</v>
          </cell>
          <cell r="G61">
            <v>307.56387434999999</v>
          </cell>
          <cell r="H61">
            <v>181.23070871999997</v>
          </cell>
          <cell r="I61">
            <v>-172.37814444999992</v>
          </cell>
          <cell r="J61">
            <v>-1.5004973399999244</v>
          </cell>
          <cell r="O61">
            <v>565.42792444000008</v>
          </cell>
          <cell r="T61">
            <v>1677.21166752</v>
          </cell>
          <cell r="Y61">
            <v>2287.8765293100005</v>
          </cell>
          <cell r="AD61">
            <v>2648.1054053538701</v>
          </cell>
          <cell r="AE61">
            <v>3146.2567337557939</v>
          </cell>
          <cell r="AF61">
            <v>3757.2152248936527</v>
          </cell>
          <cell r="AG61">
            <v>4509.5545584587435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105.17346135</v>
          </cell>
          <cell r="G62">
            <v>102.8754876</v>
          </cell>
          <cell r="H62">
            <v>100.37004843000001</v>
          </cell>
          <cell r="I62">
            <v>0</v>
          </cell>
          <cell r="J62">
            <v>0</v>
          </cell>
          <cell r="O62">
            <v>101.93039101999999</v>
          </cell>
          <cell r="T62">
            <v>123.53151481</v>
          </cell>
          <cell r="Y62">
            <v>51.387459509999999</v>
          </cell>
          <cell r="AD62">
            <v>52.803012269999996</v>
          </cell>
          <cell r="AE62">
            <v>53.457286709999998</v>
          </cell>
          <cell r="AF62">
            <v>54.11156115</v>
          </cell>
          <cell r="AG62">
            <v>54.765835590000002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392.35366951000003</v>
          </cell>
          <cell r="G63">
            <v>410.43936194999998</v>
          </cell>
          <cell r="H63">
            <v>281.60075714999999</v>
          </cell>
          <cell r="I63">
            <v>-172.37814444999992</v>
          </cell>
          <cell r="J63">
            <v>-1.5004973399999244</v>
          </cell>
          <cell r="O63">
            <v>667.35831546000009</v>
          </cell>
          <cell r="T63">
            <v>1800.7431823300001</v>
          </cell>
          <cell r="Y63">
            <v>2339.2639888200006</v>
          </cell>
          <cell r="AD63">
            <v>2700.9084176238703</v>
          </cell>
          <cell r="AE63">
            <v>3199.714020465794</v>
          </cell>
          <cell r="AF63">
            <v>3811.3267860436526</v>
          </cell>
          <cell r="AG63">
            <v>4564.3203940487438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1474.5497979500001</v>
          </cell>
          <cell r="G64">
            <v>1498.52859509</v>
          </cell>
          <cell r="H64">
            <v>1355.1104784700001</v>
          </cell>
          <cell r="I64">
            <v>815.75981940000008</v>
          </cell>
          <cell r="J64">
            <v>7.5495165674510645E-14</v>
          </cell>
          <cell r="O64">
            <v>1368.9155082500001</v>
          </cell>
          <cell r="T64">
            <v>5166.2892015899997</v>
          </cell>
          <cell r="Y64">
            <v>5745.9612143800005</v>
          </cell>
          <cell r="AD64">
            <v>6324.6909079048901</v>
          </cell>
          <cell r="AE64">
            <v>7049.6156603929412</v>
          </cell>
          <cell r="AF64">
            <v>7868.7719491865764</v>
          </cell>
          <cell r="AG64">
            <v>8853.5973994782435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778.19656495000004</v>
          </cell>
          <cell r="G66">
            <v>684.56137721000005</v>
          </cell>
          <cell r="H66">
            <v>736.76468599999998</v>
          </cell>
          <cell r="I66">
            <v>682.02940492000005</v>
          </cell>
          <cell r="J66">
            <v>0</v>
          </cell>
          <cell r="O66">
            <v>41.236009630000041</v>
          </cell>
          <cell r="T66">
            <v>877.56731522999962</v>
          </cell>
          <cell r="Y66">
            <v>471.13745088000007</v>
          </cell>
          <cell r="AD66">
            <v>449.85877604808559</v>
          </cell>
          <cell r="AE66">
            <v>336.05546046694951</v>
          </cell>
          <cell r="AF66">
            <v>89.948033827672816</v>
          </cell>
          <cell r="AG66">
            <v>-255.82993469754365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O67">
            <v>0</v>
          </cell>
          <cell r="T67">
            <v>0</v>
          </cell>
          <cell r="Y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O69">
            <v>0</v>
          </cell>
          <cell r="T69">
            <v>0</v>
          </cell>
          <cell r="Y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T71">
            <v>4.1992413609350132E-2</v>
          </cell>
          <cell r="Y71">
            <v>7.4085570999784883E-2</v>
          </cell>
          <cell r="AD71">
            <v>5.5184980898234162E-2</v>
          </cell>
          <cell r="AE71">
            <v>3.7927213166833756E-2</v>
          </cell>
          <cell r="AF71">
            <v>3.7927213166833756E-2</v>
          </cell>
          <cell r="AG71">
            <v>3.7927213166833756E-2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O72">
            <v>0</v>
          </cell>
          <cell r="T72">
            <v>0</v>
          </cell>
          <cell r="Y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O74">
            <v>0</v>
          </cell>
          <cell r="T74">
            <v>0</v>
          </cell>
          <cell r="Y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-97.570886959999996</v>
          </cell>
          <cell r="G75">
            <v>-108.54507541000001</v>
          </cell>
          <cell r="H75">
            <v>-102.16547224999999</v>
          </cell>
          <cell r="I75">
            <v>-72.436613129999998</v>
          </cell>
          <cell r="J75">
            <v>0</v>
          </cell>
          <cell r="O75">
            <v>-85.624394199999998</v>
          </cell>
          <cell r="T75">
            <v>-897.31817157</v>
          </cell>
          <cell r="Y75">
            <v>-908.37558689999992</v>
          </cell>
          <cell r="AD75">
            <v>-746.58501002578669</v>
          </cell>
          <cell r="AE75">
            <v>-600.61123919149668</v>
          </cell>
          <cell r="AF75">
            <v>-483.17854738429003</v>
          </cell>
          <cell r="AG75">
            <v>-388.70652664885711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O77">
            <v>1</v>
          </cell>
          <cell r="T77">
            <v>1</v>
          </cell>
          <cell r="Y77">
            <v>1</v>
          </cell>
          <cell r="AD77">
            <v>1</v>
          </cell>
          <cell r="AE77">
            <v>1</v>
          </cell>
          <cell r="AF77">
            <v>1</v>
          </cell>
          <cell r="AG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105.17346135</v>
          </cell>
          <cell r="G78">
            <v>102.8754876</v>
          </cell>
          <cell r="H78">
            <v>100.37004843000001</v>
          </cell>
          <cell r="I78">
            <v>0</v>
          </cell>
          <cell r="J78">
            <v>0</v>
          </cell>
          <cell r="O78">
            <v>101.93039101999999</v>
          </cell>
          <cell r="T78">
            <v>123.53151481</v>
          </cell>
          <cell r="Y78">
            <v>51.387459509999999</v>
          </cell>
          <cell r="AD78">
            <v>52.803012269999996</v>
          </cell>
          <cell r="AE78">
            <v>53.457286709999998</v>
          </cell>
          <cell r="AF78">
            <v>54.11156115</v>
          </cell>
          <cell r="AG78">
            <v>54.765835590000002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-3.27422814</v>
          </cell>
          <cell r="G80">
            <v>-2.2979737499999997</v>
          </cell>
          <cell r="H80">
            <v>-2.5054391699999998</v>
          </cell>
          <cell r="I80">
            <v>-3.0351802000000005</v>
          </cell>
          <cell r="J80">
            <v>0</v>
          </cell>
          <cell r="O80">
            <v>25.244024879999998</v>
          </cell>
          <cell r="T80">
            <v>42.00326914</v>
          </cell>
          <cell r="Y80">
            <v>10.985237710000002</v>
          </cell>
          <cell r="AD80">
            <v>1.41555276</v>
          </cell>
          <cell r="AE80">
            <v>0.65427444000000001</v>
          </cell>
          <cell r="AF80">
            <v>0.65427444000000001</v>
          </cell>
          <cell r="AG80">
            <v>0.65427444000000001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27.68381583</v>
          </cell>
          <cell r="G81">
            <v>35.781884500000004</v>
          </cell>
          <cell r="H81">
            <v>34.468520060000003</v>
          </cell>
          <cell r="I81">
            <v>34.335087950000002</v>
          </cell>
          <cell r="J81">
            <v>13.739685059999999</v>
          </cell>
          <cell r="O81">
            <v>43.037313350000005</v>
          </cell>
          <cell r="T81">
            <v>372.84831466999998</v>
          </cell>
          <cell r="Y81">
            <v>419.69423384000004</v>
          </cell>
          <cell r="AD81">
            <v>427.48115558222145</v>
          </cell>
          <cell r="AE81">
            <v>423.69447345287472</v>
          </cell>
          <cell r="AF81">
            <v>427.74553546405372</v>
          </cell>
          <cell r="AG81">
            <v>437.61081098531008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46.695304309999997</v>
          </cell>
          <cell r="G82">
            <v>-48.910981759999999</v>
          </cell>
          <cell r="H82">
            <v>-4.7875799500000227</v>
          </cell>
          <cell r="I82">
            <v>114.39333404999999</v>
          </cell>
          <cell r="J82">
            <v>82.150885729999999</v>
          </cell>
          <cell r="O82">
            <v>-149.79880243000002</v>
          </cell>
          <cell r="T82">
            <v>-380.82732170999998</v>
          </cell>
          <cell r="Y82">
            <v>-103.04645646000006</v>
          </cell>
          <cell r="AD82">
            <v>-117.75770162770527</v>
          </cell>
          <cell r="AE82">
            <v>-131.85535313939101</v>
          </cell>
          <cell r="AF82">
            <v>-121.44769816540634</v>
          </cell>
          <cell r="AG82">
            <v>-137.60411206025947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60.108067370000015</v>
          </cell>
          <cell r="G83">
            <v>126.05631430999996</v>
          </cell>
          <cell r="H83">
            <v>74.652762230000008</v>
          </cell>
          <cell r="I83">
            <v>251.59248138000001</v>
          </cell>
          <cell r="J83">
            <v>-305.18330921999996</v>
          </cell>
          <cell r="O83">
            <v>139.10411830999965</v>
          </cell>
          <cell r="T83">
            <v>364.3684146899991</v>
          </cell>
          <cell r="Y83">
            <v>33.820823570001153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40.894887090000005</v>
          </cell>
          <cell r="G84">
            <v>126.88340403000001</v>
          </cell>
          <cell r="H84">
            <v>-24.504902460000004</v>
          </cell>
          <cell r="I84">
            <v>43.676870010000002</v>
          </cell>
          <cell r="J84">
            <v>-97.113901319999982</v>
          </cell>
          <cell r="O84">
            <v>209.23075274000001</v>
          </cell>
          <cell r="T84">
            <v>605.24209672000006</v>
          </cell>
          <cell r="Y84">
            <v>650.46241615999998</v>
          </cell>
          <cell r="AD84">
            <v>671.36788275838558</v>
          </cell>
          <cell r="AE84">
            <v>790.64472315540752</v>
          </cell>
          <cell r="AF84">
            <v>917.91060287650612</v>
          </cell>
          <cell r="AG84">
            <v>1053.0003069301411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-70.690710120000006</v>
          </cell>
          <cell r="G85">
            <v>-12.834403630000002</v>
          </cell>
          <cell r="H85">
            <v>-7.3666082300000006</v>
          </cell>
          <cell r="I85">
            <v>-3.05729512</v>
          </cell>
          <cell r="J85">
            <v>-1.34744212</v>
          </cell>
          <cell r="O85">
            <v>-94.944843659999989</v>
          </cell>
          <cell r="T85">
            <v>-551.19589345000009</v>
          </cell>
          <cell r="Y85">
            <v>-578.56051720000005</v>
          </cell>
          <cell r="AD85">
            <v>-650.08920792647109</v>
          </cell>
          <cell r="AE85">
            <v>-676.84140757427144</v>
          </cell>
          <cell r="AF85">
            <v>-671.80317623722942</v>
          </cell>
          <cell r="AG85">
            <v>-707.22233840492459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T86">
            <v>0</v>
          </cell>
          <cell r="Y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0.1190812</v>
          </cell>
          <cell r="G87">
            <v>0</v>
          </cell>
          <cell r="H87">
            <v>5.7999999999999996E-3</v>
          </cell>
          <cell r="I87">
            <v>0</v>
          </cell>
          <cell r="J87">
            <v>35.9</v>
          </cell>
          <cell r="O87">
            <v>5.0742269999999999E-2</v>
          </cell>
          <cell r="T87">
            <v>12.077955029999998</v>
          </cell>
          <cell r="Y87">
            <v>3.8078842500000003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1.8449999999999953</v>
          </cell>
          <cell r="G88">
            <v>7.9999999999991189E-3</v>
          </cell>
          <cell r="H88">
            <v>-0.20000000000000037</v>
          </cell>
          <cell r="I88">
            <v>-3.1525651699999999</v>
          </cell>
          <cell r="J88">
            <v>60.727051420000002</v>
          </cell>
          <cell r="O88">
            <v>-73.875426189999999</v>
          </cell>
          <cell r="T88">
            <v>-4.8587916200000336</v>
          </cell>
          <cell r="Y88">
            <v>44.386518929999994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-68.72662892000001</v>
          </cell>
          <cell r="G89">
            <v>-12.826403630000003</v>
          </cell>
          <cell r="H89">
            <v>-7.560808230000001</v>
          </cell>
          <cell r="I89">
            <v>-6.2098602899999999</v>
          </cell>
          <cell r="J89">
            <v>95.279609300000004</v>
          </cell>
          <cell r="O89">
            <v>-168.76952757999999</v>
          </cell>
          <cell r="T89">
            <v>-543.97673004000012</v>
          </cell>
          <cell r="Y89">
            <v>-530.36611402000005</v>
          </cell>
          <cell r="AD89">
            <v>-650.08920792647109</v>
          </cell>
          <cell r="AE89">
            <v>-676.84140757427144</v>
          </cell>
          <cell r="AF89">
            <v>-671.80317623722942</v>
          </cell>
          <cell r="AG89">
            <v>-707.22233840492459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O90">
            <v>0</v>
          </cell>
          <cell r="T90">
            <v>0</v>
          </cell>
          <cell r="Y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0.1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O91">
            <v>0.9</v>
          </cell>
          <cell r="T91">
            <v>0</v>
          </cell>
          <cell r="Y91">
            <v>469.18137136999997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44.544560650000008</v>
          </cell>
          <cell r="G92">
            <v>-5</v>
          </cell>
          <cell r="H92">
            <v>-20.5</v>
          </cell>
          <cell r="I92">
            <v>-38.724000000000004</v>
          </cell>
          <cell r="J92">
            <v>-218.29406846999998</v>
          </cell>
          <cell r="O92">
            <v>-13.687645479999958</v>
          </cell>
          <cell r="T92">
            <v>760.55665823000004</v>
          </cell>
          <cell r="Y92">
            <v>-341.87991564999993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-15.22683979</v>
          </cell>
          <cell r="G93">
            <v>-20.421812660000001</v>
          </cell>
          <cell r="H93">
            <v>-20.347598099999999</v>
          </cell>
          <cell r="I93">
            <v>-16.889856999999999</v>
          </cell>
          <cell r="J93">
            <v>210.62984091000001</v>
          </cell>
          <cell r="O93">
            <v>-9.2449189199999964</v>
          </cell>
          <cell r="T93">
            <v>-701.4024040500002</v>
          </cell>
          <cell r="Y93">
            <v>-231.75996448000001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29.41772086000001</v>
          </cell>
          <cell r="G94">
            <v>-25.421812660000001</v>
          </cell>
          <cell r="H94">
            <v>-40.847598099999999</v>
          </cell>
          <cell r="I94">
            <v>-55.613857000000003</v>
          </cell>
          <cell r="J94">
            <v>-7.6642275599999738</v>
          </cell>
          <cell r="O94">
            <v>-22.032564399999956</v>
          </cell>
          <cell r="T94">
            <v>59.154254179999889</v>
          </cell>
          <cell r="Y94">
            <v>-104.45850875999993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1.5859790300000043</v>
          </cell>
          <cell r="G95">
            <v>88.635187740000006</v>
          </cell>
          <cell r="H95">
            <v>-72.913308790000002</v>
          </cell>
          <cell r="I95">
            <v>-18.146847280000003</v>
          </cell>
          <cell r="J95">
            <v>-9.498519579999952</v>
          </cell>
          <cell r="O95">
            <v>18.428660760000071</v>
          </cell>
          <cell r="T95">
            <v>120.41962085999984</v>
          </cell>
          <cell r="Y95">
            <v>15.637793379999991</v>
          </cell>
          <cell r="AD95">
            <v>21.278674831914486</v>
          </cell>
          <cell r="AE95">
            <v>113.80331558113608</v>
          </cell>
          <cell r="AF95">
            <v>246.1074266392767</v>
          </cell>
          <cell r="AG95">
            <v>345.77796852521647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</v>
          </cell>
          <cell r="I109">
            <v>3.9E-2</v>
          </cell>
          <cell r="J109">
            <v>3.0000000000000001E-3</v>
          </cell>
          <cell r="O109">
            <v>0.57099999999999995</v>
          </cell>
          <cell r="T109">
            <v>0.224</v>
          </cell>
          <cell r="Y109">
            <v>0.158</v>
          </cell>
          <cell r="AD109">
            <v>0.16274</v>
          </cell>
          <cell r="AE109">
            <v>0.16924960000000003</v>
          </cell>
          <cell r="AF109">
            <v>0.17601958400000001</v>
          </cell>
          <cell r="AG109">
            <v>0.18306036736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O111">
            <v>0</v>
          </cell>
          <cell r="T111">
            <v>0</v>
          </cell>
          <cell r="Y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O112">
            <v>0</v>
          </cell>
          <cell r="T112">
            <v>0</v>
          </cell>
          <cell r="Y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</row>
        <row r="113">
          <cell r="B113" t="str">
            <v>Sales - % Brazil</v>
          </cell>
          <cell r="C113" t="str">
            <v>SALES_BRAZIL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O113">
            <v>0</v>
          </cell>
          <cell r="T113">
            <v>0</v>
          </cell>
          <cell r="Y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</row>
        <row r="114">
          <cell r="B114" t="str">
            <v>Sales - % Other Americas</v>
          </cell>
          <cell r="C114" t="str">
            <v>SALES_OTH_AM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O114">
            <v>0</v>
          </cell>
          <cell r="T114">
            <v>0</v>
          </cell>
          <cell r="Y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</row>
        <row r="115">
          <cell r="B115" t="str">
            <v>Sales - Total % EMEA</v>
          </cell>
          <cell r="C115" t="str">
            <v>SALES_TOT_EMEA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0.15527859430183907</v>
          </cell>
          <cell r="O115">
            <v>0.66115356109232104</v>
          </cell>
          <cell r="T115">
            <v>0.76145538951763192</v>
          </cell>
          <cell r="Y115">
            <v>0.72122446624188563</v>
          </cell>
          <cell r="AD115">
            <v>0.72122446624188563</v>
          </cell>
          <cell r="AE115">
            <v>0.72122446624188563</v>
          </cell>
          <cell r="AF115">
            <v>0.72122446624188563</v>
          </cell>
          <cell r="AG115">
            <v>0.72122446624188563</v>
          </cell>
        </row>
        <row r="116">
          <cell r="B116" t="str">
            <v>Sales - % UK</v>
          </cell>
          <cell r="C116" t="str">
            <v>SALES_UK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O116">
            <v>0</v>
          </cell>
          <cell r="T116">
            <v>0</v>
          </cell>
          <cell r="Y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</row>
        <row r="117">
          <cell r="B117" t="str">
            <v>Sales - % Western Europe-Ex UK</v>
          </cell>
          <cell r="C117" t="str">
            <v>SALES_EU_EX_UK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0.15527859430183907</v>
          </cell>
          <cell r="O117">
            <v>0.66115356109232104</v>
          </cell>
          <cell r="T117">
            <v>0.76145538951763192</v>
          </cell>
          <cell r="Y117">
            <v>0.72122446624188563</v>
          </cell>
          <cell r="AD117">
            <v>0.72122446624188563</v>
          </cell>
          <cell r="AE117">
            <v>0.72122446624188563</v>
          </cell>
          <cell r="AF117">
            <v>0.72122446624188563</v>
          </cell>
          <cell r="AG117">
            <v>0.72122446624188563</v>
          </cell>
        </row>
        <row r="118">
          <cell r="B118" t="str">
            <v>Sales - % Central &amp; Eastern Europe</v>
          </cell>
          <cell r="C118" t="str">
            <v>SALES_CEE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O118">
            <v>0</v>
          </cell>
          <cell r="T118">
            <v>0</v>
          </cell>
          <cell r="Y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B119" t="str">
            <v>Sales - % Middle East</v>
          </cell>
          <cell r="C119" t="str">
            <v>SALES_ME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O119">
            <v>0</v>
          </cell>
          <cell r="T119">
            <v>0</v>
          </cell>
          <cell r="Y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</row>
        <row r="120">
          <cell r="B120" t="str">
            <v>Sales - % Total Africa</v>
          </cell>
          <cell r="C120" t="str">
            <v>SALES_TOT_AFRICA</v>
          </cell>
        </row>
        <row r="121">
          <cell r="B121" t="str">
            <v>Sales - % Russia</v>
          </cell>
          <cell r="C121" t="str">
            <v>SALES_RUSSIA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O121">
            <v>0</v>
          </cell>
          <cell r="T121">
            <v>0</v>
          </cell>
          <cell r="Y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</row>
        <row r="122">
          <cell r="B122" t="str">
            <v>Sales - % Other EMEA</v>
          </cell>
          <cell r="C122" t="str">
            <v>SALES_OTH_EMEA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O122">
            <v>0</v>
          </cell>
          <cell r="T122">
            <v>0</v>
          </cell>
          <cell r="Y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</row>
        <row r="123">
          <cell r="B123" t="str">
            <v>Sales - Total % Asia (incl Australia &amp; New Zealand)</v>
          </cell>
          <cell r="C123" t="str">
            <v>SALES_TOT_ASIA</v>
          </cell>
          <cell r="F123">
            <v>1</v>
          </cell>
          <cell r="G123">
            <v>1</v>
          </cell>
          <cell r="H123">
            <v>1</v>
          </cell>
          <cell r="I123">
            <v>1</v>
          </cell>
          <cell r="J123">
            <v>0.8447214056981609</v>
          </cell>
          <cell r="O123">
            <v>0.3388464389076789</v>
          </cell>
          <cell r="T123">
            <v>0.23854461048236816</v>
          </cell>
          <cell r="Y123">
            <v>0.27877553375811442</v>
          </cell>
          <cell r="AD123">
            <v>0.27877553375811442</v>
          </cell>
          <cell r="AE123">
            <v>0.27877553375811442</v>
          </cell>
          <cell r="AF123">
            <v>0.27877553375811442</v>
          </cell>
          <cell r="AG123">
            <v>0.27877553375811442</v>
          </cell>
        </row>
        <row r="124">
          <cell r="B124" t="str">
            <v>Sales - % Japan</v>
          </cell>
          <cell r="C124" t="str">
            <v>SALES_JAPAN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O124">
            <v>0</v>
          </cell>
          <cell r="T124">
            <v>0</v>
          </cell>
          <cell r="Y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</row>
        <row r="125">
          <cell r="B125" t="str">
            <v>Sales - % China</v>
          </cell>
          <cell r="C125" t="str">
            <v>SALES_CHINA</v>
          </cell>
          <cell r="F125">
            <v>1</v>
          </cell>
          <cell r="G125">
            <v>1</v>
          </cell>
          <cell r="H125">
            <v>1</v>
          </cell>
          <cell r="I125">
            <v>1</v>
          </cell>
          <cell r="J125">
            <v>0.8447214056981609</v>
          </cell>
          <cell r="O125">
            <v>0.3388464389076789</v>
          </cell>
          <cell r="T125">
            <v>0.23854461048236816</v>
          </cell>
          <cell r="Y125">
            <v>0.27877553375811442</v>
          </cell>
          <cell r="AD125">
            <v>0.27877553375811442</v>
          </cell>
          <cell r="AE125">
            <v>0.27877553375811442</v>
          </cell>
          <cell r="AF125">
            <v>0.27877553375811442</v>
          </cell>
          <cell r="AG125">
            <v>0.27877553375811442</v>
          </cell>
        </row>
        <row r="126">
          <cell r="B126" t="str">
            <v>Sales - % India</v>
          </cell>
          <cell r="C126" t="str">
            <v>SALES_INDIA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O126">
            <v>0</v>
          </cell>
          <cell r="T126">
            <v>0</v>
          </cell>
          <cell r="Y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</row>
        <row r="127">
          <cell r="B127" t="str">
            <v>Sales - % South Korea</v>
          </cell>
          <cell r="C127" t="str">
            <v>SALES_SK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O127">
            <v>0</v>
          </cell>
          <cell r="T127">
            <v>0</v>
          </cell>
          <cell r="Y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</row>
        <row r="128">
          <cell r="B128" t="str">
            <v>Sales - % Taiwan</v>
          </cell>
          <cell r="C128" t="str">
            <v>SALES_TAIWAN</v>
          </cell>
        </row>
        <row r="129">
          <cell r="B129" t="str">
            <v>Sales - % Other Asia</v>
          </cell>
          <cell r="C129" t="str">
            <v>SALES_OTH_AEJ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O129">
            <v>0</v>
          </cell>
          <cell r="T129">
            <v>0</v>
          </cell>
          <cell r="Y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</row>
        <row r="130">
          <cell r="B130" t="str">
            <v>Sales - % Others</v>
          </cell>
          <cell r="C130" t="str">
            <v>SALES_OTHER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O130">
            <v>0</v>
          </cell>
          <cell r="T130">
            <v>0</v>
          </cell>
          <cell r="Y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</row>
        <row r="131">
          <cell r="B131" t="str">
            <v>Sales -% Consumer (C)</v>
          </cell>
          <cell r="C131" t="str">
            <v>SALES_CONS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O131">
            <v>0</v>
          </cell>
          <cell r="T131">
            <v>0</v>
          </cell>
          <cell r="Y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</row>
        <row r="132">
          <cell r="B132" t="str">
            <v>Sales -% Industry (I)</v>
          </cell>
          <cell r="C132" t="str">
            <v>SALES_IND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1</v>
          </cell>
          <cell r="O132">
            <v>1</v>
          </cell>
          <cell r="P132">
            <v>1</v>
          </cell>
          <cell r="Q132">
            <v>1</v>
          </cell>
          <cell r="R132">
            <v>1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1</v>
          </cell>
          <cell r="AF132">
            <v>1</v>
          </cell>
          <cell r="AG132">
            <v>1</v>
          </cell>
        </row>
        <row r="133">
          <cell r="B133" t="str">
            <v>Sales -% Government (G)</v>
          </cell>
          <cell r="C133" t="str">
            <v>SALES_GOV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O133">
            <v>0</v>
          </cell>
          <cell r="T133">
            <v>0</v>
          </cell>
          <cell r="Y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</row>
        <row r="134">
          <cell r="B134" t="str">
            <v>Sales - % Industry Sub-Segment: Financial Services</v>
          </cell>
          <cell r="C134" t="str">
            <v>SALES_FINAN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O134">
            <v>0</v>
          </cell>
          <cell r="T134">
            <v>0</v>
          </cell>
          <cell r="Y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A135" t="str">
            <v>Commodities Exposure - Expense</v>
          </cell>
        </row>
        <row r="136">
          <cell r="B136" t="str">
            <v>Expense - % Oil/Petrol/Fuel</v>
          </cell>
          <cell r="C136" t="str">
            <v>EXP_OIL_PETRO_FUEL</v>
          </cell>
        </row>
        <row r="137">
          <cell r="B137" t="str">
            <v>Expense - % Oil derivatives/NGLs/plastics</v>
          </cell>
          <cell r="C137" t="str">
            <v>EXP_OIL_DERIV_NGLS_PLASTICS</v>
          </cell>
        </row>
        <row r="138">
          <cell r="B138" t="str">
            <v>Expense - % Paper/pulp</v>
          </cell>
          <cell r="C138" t="str">
            <v>EXP_PAPER_PULP</v>
          </cell>
        </row>
        <row r="139">
          <cell r="B139" t="str">
            <v>Expense - % Glass</v>
          </cell>
          <cell r="C139" t="str">
            <v>EXP_GLASS</v>
          </cell>
        </row>
        <row r="140">
          <cell r="B140" t="str">
            <v>Expense - % Water</v>
          </cell>
          <cell r="C140" t="str">
            <v>EXP_WATER</v>
          </cell>
        </row>
        <row r="141">
          <cell r="B141" t="str">
            <v>Expense - % Other commodity</v>
          </cell>
          <cell r="C141" t="str">
            <v>EXP_OTH_COMMODITY</v>
          </cell>
        </row>
        <row r="142">
          <cell r="B142" t="str">
            <v>Expense - % Other (Non-Commodity) cost</v>
          </cell>
          <cell r="C142" t="str">
            <v>EXP_OTH_COST</v>
          </cell>
        </row>
        <row r="143">
          <cell r="A143" t="str">
            <v>FX Exposure - Sales</v>
          </cell>
        </row>
        <row r="144">
          <cell r="B144" t="str">
            <v>Sales - % FX: British Pounds/Pence</v>
          </cell>
          <cell r="C144" t="str">
            <v>SALES_FX_GPB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</row>
        <row r="145">
          <cell r="B145" t="str">
            <v>Sales - % FX: Euro</v>
          </cell>
          <cell r="C145" t="str">
            <v>SALES_FX_EUR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6">
          <cell r="B146" t="str">
            <v>Sales - % FX: New Russian Ruble</v>
          </cell>
          <cell r="C146" t="str">
            <v>SALES_FX_RUB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</row>
        <row r="147">
          <cell r="B147" t="str">
            <v>Sales - % FX: U.S. Dollar</v>
          </cell>
          <cell r="C147" t="str">
            <v>SALES_FX_USD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</row>
        <row r="148">
          <cell r="B148" t="str">
            <v>Sales - % FX: Brazilian Real</v>
          </cell>
          <cell r="C148" t="str">
            <v>SALES_FX_BRL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</row>
        <row r="149">
          <cell r="B149" t="str">
            <v>Sales - % FX: Japanese Yen</v>
          </cell>
          <cell r="C149" t="str">
            <v>SALES_FX_YEN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B150" t="str">
            <v>Sales - % FX: Chinese Renminbi</v>
          </cell>
          <cell r="C150" t="str">
            <v>SALES_FX_CNY</v>
          </cell>
          <cell r="F150">
            <v>1</v>
          </cell>
          <cell r="G150">
            <v>1</v>
          </cell>
          <cell r="H150">
            <v>1</v>
          </cell>
          <cell r="I150">
            <v>1</v>
          </cell>
          <cell r="J150">
            <v>1</v>
          </cell>
          <cell r="K150">
            <v>1</v>
          </cell>
          <cell r="L150">
            <v>1</v>
          </cell>
          <cell r="M150">
            <v>1</v>
          </cell>
          <cell r="N150">
            <v>1</v>
          </cell>
          <cell r="O150">
            <v>1</v>
          </cell>
          <cell r="P150">
            <v>1</v>
          </cell>
          <cell r="Q150">
            <v>1</v>
          </cell>
          <cell r="R150">
            <v>1</v>
          </cell>
          <cell r="S150">
            <v>1</v>
          </cell>
          <cell r="T150">
            <v>1</v>
          </cell>
          <cell r="U150">
            <v>1</v>
          </cell>
          <cell r="V150">
            <v>1</v>
          </cell>
          <cell r="W150">
            <v>1</v>
          </cell>
          <cell r="X150">
            <v>1</v>
          </cell>
          <cell r="Y150">
            <v>1</v>
          </cell>
          <cell r="Z150">
            <v>1</v>
          </cell>
          <cell r="AA150">
            <v>1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</row>
        <row r="151">
          <cell r="B151" t="str">
            <v>Sales - % FX: Indian Rupee</v>
          </cell>
          <cell r="C151" t="str">
            <v>SALES_FX_INR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B152" t="str">
            <v>Sales - % FX: South Korean Won</v>
          </cell>
          <cell r="C152" t="str">
            <v>SALES_FX_KRW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Sales - % FX: Taiwan Dollar</v>
          </cell>
          <cell r="C153" t="str">
            <v>SALES_FX_TWD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Sales - % FX: Other Currency</v>
          </cell>
          <cell r="C154" t="str">
            <v>SALES_FX_OTH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</row>
        <row r="155">
          <cell r="A155" t="str">
            <v>Security: Ningbo Joyson Electronic</v>
          </cell>
        </row>
        <row r="156">
          <cell r="A156" t="str">
            <v>Reference Data</v>
          </cell>
        </row>
        <row r="157">
          <cell r="B157" t="str">
            <v>Ticker</v>
          </cell>
          <cell r="C157" t="str">
            <v>Ticker</v>
          </cell>
          <cell r="E157" t="str">
            <v>600699.SS</v>
          </cell>
        </row>
        <row r="158">
          <cell r="B158" t="str">
            <v>Security Name</v>
          </cell>
          <cell r="C158" t="str">
            <v>Security Name</v>
          </cell>
          <cell r="E158" t="str">
            <v>Ningbo Joyson Electronic</v>
          </cell>
        </row>
        <row r="159">
          <cell r="B159" t="str">
            <v>Interim Type</v>
          </cell>
          <cell r="C159" t="str">
            <v>Interim Type</v>
          </cell>
          <cell r="E159" t="str">
            <v>Q</v>
          </cell>
        </row>
        <row r="160">
          <cell r="B160" t="str">
            <v>Publishing Currency</v>
          </cell>
          <cell r="C160" t="str">
            <v>PUB_CURRENCY_ISO</v>
          </cell>
          <cell r="E160" t="str">
            <v>CNY</v>
          </cell>
        </row>
        <row r="161">
          <cell r="B161" t="str">
            <v>Pricing Currency</v>
          </cell>
          <cell r="C161" t="str">
            <v>PRICE_CURRENCY_ISO</v>
          </cell>
          <cell r="E161" t="str">
            <v>CNY</v>
          </cell>
        </row>
        <row r="162">
          <cell r="B162" t="str">
            <v>Reporting Currency</v>
          </cell>
          <cell r="C162" t="str">
            <v>CURRENCY_ISO</v>
          </cell>
          <cell r="E162" t="str">
            <v>CNY</v>
          </cell>
        </row>
        <row r="163">
          <cell r="A163" t="str">
            <v>General Information</v>
          </cell>
        </row>
        <row r="164">
          <cell r="B164" t="str">
            <v>Asia Pacific Investment List</v>
          </cell>
          <cell r="C164" t="str">
            <v>AEJ_LIST</v>
          </cell>
        </row>
        <row r="165">
          <cell r="B165" t="str">
            <v>Asia Pacific Conviction List</v>
          </cell>
          <cell r="C165" t="str">
            <v>AEJ_CONVICTION</v>
          </cell>
        </row>
        <row r="166">
          <cell r="B166" t="str">
            <v>Legal rating</v>
          </cell>
          <cell r="C166" t="str">
            <v>LEGAL_RATING</v>
          </cell>
        </row>
        <row r="167">
          <cell r="B167" t="str">
            <v>Target price</v>
          </cell>
          <cell r="C167" t="str">
            <v>TARGET_PRICE</v>
          </cell>
          <cell r="D167" t="str">
            <v>CNY</v>
          </cell>
          <cell r="E167">
            <v>23.4</v>
          </cell>
        </row>
        <row r="168">
          <cell r="B168" t="str">
            <v>Target price period</v>
          </cell>
          <cell r="C168" t="str">
            <v>TP_PERIOD</v>
          </cell>
          <cell r="E168" t="str">
            <v>12 months</v>
          </cell>
        </row>
        <row r="169">
          <cell r="B169" t="str">
            <v>Current shares outstanding (mn)</v>
          </cell>
          <cell r="C169" t="str">
            <v>NUM_SH</v>
          </cell>
          <cell r="E169">
            <v>636.14481699999999</v>
          </cell>
        </row>
        <row r="170">
          <cell r="B170" t="str">
            <v>Free float</v>
          </cell>
          <cell r="C170" t="str">
            <v>FREE_FLOAT</v>
          </cell>
        </row>
        <row r="171">
          <cell r="B171" t="str">
            <v>Foreign ownership</v>
          </cell>
          <cell r="C171" t="str">
            <v>FOREIGN_HOLDNG</v>
          </cell>
        </row>
        <row r="172">
          <cell r="B172" t="str">
            <v>Catalyst 1 date</v>
          </cell>
          <cell r="C172" t="str">
            <v>CATALYST1_DATE</v>
          </cell>
        </row>
        <row r="173">
          <cell r="B173" t="str">
            <v>Catalyst 1 description</v>
          </cell>
          <cell r="C173" t="str">
            <v>CATALYST1_EVENT</v>
          </cell>
        </row>
        <row r="174">
          <cell r="B174" t="str">
            <v>Catalyst 2 date</v>
          </cell>
          <cell r="C174" t="str">
            <v>CATALYST2_DATE</v>
          </cell>
        </row>
        <row r="175">
          <cell r="B175" t="str">
            <v>Catalyst 2 description</v>
          </cell>
          <cell r="C175" t="str">
            <v>CATALYST2_EVENT</v>
          </cell>
        </row>
        <row r="176">
          <cell r="B176" t="str">
            <v>Catalyst 3 date</v>
          </cell>
          <cell r="C176" t="str">
            <v>CATALYST3_DATE</v>
          </cell>
        </row>
        <row r="177">
          <cell r="B177" t="str">
            <v>Catalyst 3 description</v>
          </cell>
          <cell r="C177" t="str">
            <v>CATALYST3_EVENT</v>
          </cell>
        </row>
        <row r="178">
          <cell r="B178" t="str">
            <v>Catalyst 4 date</v>
          </cell>
          <cell r="C178" t="str">
            <v>CATALYST4_DATE</v>
          </cell>
        </row>
        <row r="179">
          <cell r="B179" t="str">
            <v>Catalyst 4 description</v>
          </cell>
          <cell r="C179" t="str">
            <v>CATALYST4_EVENT</v>
          </cell>
        </row>
        <row r="180">
          <cell r="B180" t="str">
            <v>Catalyst 5 date</v>
          </cell>
          <cell r="C180" t="str">
            <v>CATALYST5_DATE</v>
          </cell>
        </row>
        <row r="181">
          <cell r="B181" t="str">
            <v>Catalyst 5 description</v>
          </cell>
          <cell r="C181" t="str">
            <v>CATALYST5_EVENT</v>
          </cell>
        </row>
        <row r="182">
          <cell r="B182" t="str">
            <v>Target price multiple</v>
          </cell>
          <cell r="C182" t="str">
            <v>PRI_TARG_MULT</v>
          </cell>
          <cell r="E182">
            <v>41.323141224212073</v>
          </cell>
        </row>
        <row r="183">
          <cell r="B183" t="str">
            <v>Target price methodology</v>
          </cell>
          <cell r="C183" t="str">
            <v>PRI_TARG_METH</v>
          </cell>
          <cell r="E183" t="str">
            <v>14E PE</v>
          </cell>
        </row>
        <row r="184">
          <cell r="A184" t="str">
            <v>Publishing Items</v>
          </cell>
        </row>
        <row r="185">
          <cell r="B185" t="str">
            <v>Book value per share, BVPS (Pub)</v>
          </cell>
          <cell r="C185" t="str">
            <v>BVPS_PUB</v>
          </cell>
          <cell r="D185" t="str">
            <v>CNY</v>
          </cell>
          <cell r="F185">
            <v>1.5462765077559375</v>
          </cell>
          <cell r="G185">
            <v>1.6560291413844206</v>
          </cell>
          <cell r="H185">
            <v>0.97580814908235525</v>
          </cell>
          <cell r="I185">
            <v>-0.9281429138915156</v>
          </cell>
          <cell r="J185">
            <v>-8.0791911171660073E-3</v>
          </cell>
          <cell r="O185">
            <v>1.4422398261847595</v>
          </cell>
          <cell r="T185">
            <v>2.896496131036352</v>
          </cell>
          <cell r="Y185">
            <v>3.5964712250575492</v>
          </cell>
          <cell r="AD185">
            <v>4.1627398897032437</v>
          </cell>
          <cell r="AE185">
            <v>4.9458183886386893</v>
          </cell>
          <cell r="AF185">
            <v>5.9062262624606952</v>
          </cell>
          <cell r="AG185">
            <v>7.0888804529216864</v>
          </cell>
        </row>
        <row r="186">
          <cell r="B186" t="str">
            <v>DPS, dividend per share (Pub)</v>
          </cell>
          <cell r="C186" t="str">
            <v>DPS_PUB</v>
          </cell>
          <cell r="D186" t="str">
            <v>CNY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O186">
            <v>0</v>
          </cell>
          <cell r="T186">
            <v>0</v>
          </cell>
          <cell r="Y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</row>
        <row r="187">
          <cell r="B187" t="str">
            <v>Special dividend per share</v>
          </cell>
          <cell r="C187" t="str">
            <v>DPS_SPECIAL_PUB</v>
          </cell>
          <cell r="D187" t="str">
            <v>CNY</v>
          </cell>
        </row>
        <row r="188">
          <cell r="B188" t="str">
            <v>EBITDA (Pub)</v>
          </cell>
          <cell r="C188" t="str">
            <v>EBITDA_PUB</v>
          </cell>
          <cell r="D188" t="str">
            <v>CNY</v>
          </cell>
          <cell r="F188">
            <v>-6.0464624600000434</v>
          </cell>
          <cell r="G188">
            <v>41.945475310000006</v>
          </cell>
          <cell r="H188">
            <v>2.107776880000074</v>
          </cell>
          <cell r="I188">
            <v>-3.9895749099999875</v>
          </cell>
          <cell r="J188">
            <v>-28.722760329999971</v>
          </cell>
          <cell r="O188">
            <v>270.06697655000039</v>
          </cell>
          <cell r="T188">
            <v>738.79096972000116</v>
          </cell>
          <cell r="Y188">
            <v>885.03108762999909</v>
          </cell>
          <cell r="AD188">
            <v>959.04750461004733</v>
          </cell>
          <cell r="AE188">
            <v>1107.1811890363006</v>
          </cell>
          <cell r="AF188">
            <v>1259.0045141657192</v>
          </cell>
          <cell r="AG188">
            <v>1454.4707048863766</v>
          </cell>
        </row>
        <row r="189">
          <cell r="B189" t="str">
            <v>EPS (Pub)</v>
          </cell>
          <cell r="C189" t="str">
            <v>EPS_PUB</v>
          </cell>
          <cell r="D189" t="str">
            <v>CNY</v>
          </cell>
          <cell r="F189">
            <v>-0.48630340609878731</v>
          </cell>
          <cell r="G189">
            <v>8.7517963201995036E-2</v>
          </cell>
          <cell r="H189">
            <v>-0.68022099230206512</v>
          </cell>
          <cell r="I189">
            <v>-1.9039510629738714</v>
          </cell>
          <cell r="J189">
            <v>0.60400924423709379</v>
          </cell>
          <cell r="O189">
            <v>0.52492696197365007</v>
          </cell>
          <cell r="T189">
            <v>0.42601188260348455</v>
          </cell>
          <cell r="Y189">
            <v>0.45431255553245964</v>
          </cell>
          <cell r="AD189">
            <v>0.56626866464569403</v>
          </cell>
          <cell r="AE189">
            <v>0.78307849893544579</v>
          </cell>
          <cell r="AF189">
            <v>0.96040787382200554</v>
          </cell>
          <cell r="AG189">
            <v>1.1826541904609913</v>
          </cell>
        </row>
        <row r="190">
          <cell r="B190" t="str">
            <v>EV adjustment (Pub)</v>
          </cell>
          <cell r="C190" t="str">
            <v>EV_ADJ_PUB</v>
          </cell>
          <cell r="D190" t="str">
            <v>CNY</v>
          </cell>
        </row>
        <row r="191">
          <cell r="B191" t="str">
            <v>Net debt (Pub)</v>
          </cell>
          <cell r="C191" t="str">
            <v>NET_DEBT_PUB</v>
          </cell>
          <cell r="D191" t="str">
            <v>CNY</v>
          </cell>
          <cell r="F191">
            <v>778.19656495000004</v>
          </cell>
          <cell r="G191">
            <v>684.56137721000005</v>
          </cell>
          <cell r="H191">
            <v>736.76468599999998</v>
          </cell>
          <cell r="I191">
            <v>682.02940492000005</v>
          </cell>
          <cell r="J191">
            <v>0</v>
          </cell>
          <cell r="O191">
            <v>41.236009630000041</v>
          </cell>
          <cell r="T191">
            <v>877.56731522999962</v>
          </cell>
          <cell r="Y191">
            <v>471.13745088000007</v>
          </cell>
          <cell r="AD191">
            <v>449.85877604808559</v>
          </cell>
          <cell r="AE191">
            <v>336.05546046694951</v>
          </cell>
          <cell r="AF191">
            <v>89.948033827672816</v>
          </cell>
          <cell r="AG191">
            <v>-255.82993469754365</v>
          </cell>
        </row>
        <row r="192">
          <cell r="B192" t="str">
            <v>Net income (Pub)</v>
          </cell>
          <cell r="C192" t="str">
            <v>NI_PUB</v>
          </cell>
          <cell r="D192" t="str">
            <v>CNY</v>
          </cell>
          <cell r="F192">
            <v>-90.31807228000001</v>
          </cell>
          <cell r="G192">
            <v>16.254160730000034</v>
          </cell>
          <cell r="H192">
            <v>-126.33316562999998</v>
          </cell>
          <cell r="I192">
            <v>-353.60885316999997</v>
          </cell>
          <cell r="J192">
            <v>112.17883710999995</v>
          </cell>
          <cell r="K192">
            <v>-0.32396971000000002</v>
          </cell>
          <cell r="L192">
            <v>-4.719138430000001</v>
          </cell>
          <cell r="M192">
            <v>-0.40678819000000033</v>
          </cell>
          <cell r="N192">
            <v>157.09399496000037</v>
          </cell>
          <cell r="O192">
            <v>151.64409863000037</v>
          </cell>
          <cell r="P192">
            <v>20.787772669999974</v>
          </cell>
          <cell r="Q192">
            <v>26.997220860000049</v>
          </cell>
          <cell r="R192">
            <v>38.624215899999982</v>
          </cell>
          <cell r="S192">
            <v>120.44021050000082</v>
          </cell>
          <cell r="T192">
            <v>206.84941993000098</v>
          </cell>
          <cell r="U192">
            <v>54.370098279999965</v>
          </cell>
          <cell r="V192">
            <v>62.793126530000258</v>
          </cell>
          <cell r="W192">
            <v>71.26859464000141</v>
          </cell>
          <cell r="X192">
            <v>100.57675804999717</v>
          </cell>
          <cell r="Y192">
            <v>289.00857749999886</v>
          </cell>
          <cell r="Z192">
            <v>71.463260750000117</v>
          </cell>
          <cell r="AA192">
            <v>85.084694679999913</v>
          </cell>
          <cell r="AB192">
            <v>69.600752540000258</v>
          </cell>
          <cell r="AC192">
            <v>134.08016807386892</v>
          </cell>
          <cell r="AD192">
            <v>360.22887604386938</v>
          </cell>
          <cell r="AE192">
            <v>498.15132840192382</v>
          </cell>
          <cell r="AF192">
            <v>610.9584911378588</v>
          </cell>
          <cell r="AG192">
            <v>752.33933356509044</v>
          </cell>
        </row>
        <row r="193">
          <cell r="B193" t="str">
            <v>EBIT, operating profit (Pub)</v>
          </cell>
          <cell r="C193" t="str">
            <v>EBIT_PUB</v>
          </cell>
          <cell r="D193" t="str">
            <v>CNY</v>
          </cell>
          <cell r="F193">
            <v>-33.730278290000058</v>
          </cell>
          <cell r="G193">
            <v>6.1635908100000165</v>
          </cell>
          <cell r="H193">
            <v>-32.360743179999929</v>
          </cell>
          <cell r="I193">
            <v>-38.324662859999989</v>
          </cell>
          <cell r="J193">
            <v>-42.462445389999971</v>
          </cell>
          <cell r="K193">
            <v>-0.32338084</v>
          </cell>
          <cell r="L193">
            <v>-4.7199479600000007</v>
          </cell>
          <cell r="M193">
            <v>-0.40691373000000031</v>
          </cell>
          <cell r="N193">
            <v>232.47990573000035</v>
          </cell>
          <cell r="O193">
            <v>227.02966320000019</v>
          </cell>
          <cell r="P193">
            <v>32.426029389999975</v>
          </cell>
          <cell r="Q193">
            <v>45.27706990000005</v>
          </cell>
          <cell r="R193">
            <v>51.638734269999986</v>
          </cell>
          <cell r="S193">
            <v>236.60082149000081</v>
          </cell>
          <cell r="T193">
            <v>365.94265505000112</v>
          </cell>
          <cell r="U193">
            <v>98.086777539999957</v>
          </cell>
          <cell r="V193">
            <v>105.00852547000027</v>
          </cell>
          <cell r="W193">
            <v>119.21034365000142</v>
          </cell>
          <cell r="X193">
            <v>143.03120712999717</v>
          </cell>
          <cell r="Y193">
            <v>465.33685378999962</v>
          </cell>
          <cell r="Z193">
            <v>112.38044681000011</v>
          </cell>
          <cell r="AA193">
            <v>123.24025041999991</v>
          </cell>
          <cell r="AB193">
            <v>100.69472178000026</v>
          </cell>
          <cell r="AC193">
            <v>195.25093001782523</v>
          </cell>
          <cell r="AD193">
            <v>531.56634902782571</v>
          </cell>
          <cell r="AE193">
            <v>683.4867155834263</v>
          </cell>
          <cell r="AF193">
            <v>831.25897870166409</v>
          </cell>
          <cell r="AG193">
            <v>1016.8598939010662</v>
          </cell>
        </row>
        <row r="194">
          <cell r="B194" t="str">
            <v>Pre-tax profit (Pub)</v>
          </cell>
          <cell r="C194" t="str">
            <v>PTP_PUB</v>
          </cell>
          <cell r="D194" t="str">
            <v>CNY</v>
          </cell>
          <cell r="F194">
            <v>-93.166898380000021</v>
          </cell>
          <cell r="G194">
            <v>14.644873210000036</v>
          </cell>
          <cell r="H194">
            <v>-128.56001916999998</v>
          </cell>
          <cell r="I194">
            <v>-355.51387526999997</v>
          </cell>
          <cell r="J194">
            <v>112.17883710999995</v>
          </cell>
          <cell r="O194">
            <v>213.91663938000039</v>
          </cell>
          <cell r="T194">
            <v>311.71125862000099</v>
          </cell>
          <cell r="Y194">
            <v>385.64866291999886</v>
          </cell>
          <cell r="AD194">
            <v>490.58100717182572</v>
          </cell>
          <cell r="AE194">
            <v>665.0741371225655</v>
          </cell>
          <cell r="AF194">
            <v>815.48368743714548</v>
          </cell>
          <cell r="AG194">
            <v>1003.99147734012</v>
          </cell>
        </row>
        <row r="195">
          <cell r="B195" t="str">
            <v>Sales, revenue (Pub)</v>
          </cell>
          <cell r="C195" t="str">
            <v>REVS_PUB</v>
          </cell>
          <cell r="D195" t="str">
            <v>CNY</v>
          </cell>
          <cell r="F195">
            <v>193.31152044999999</v>
          </cell>
          <cell r="G195">
            <v>299.01071195000003</v>
          </cell>
          <cell r="H195">
            <v>278.52056642000002</v>
          </cell>
          <cell r="I195">
            <v>257.63289512</v>
          </cell>
          <cell r="J195">
            <v>154.30551537000002</v>
          </cell>
          <cell r="K195">
            <v>0</v>
          </cell>
          <cell r="L195">
            <v>0</v>
          </cell>
          <cell r="M195">
            <v>0</v>
          </cell>
          <cell r="N195">
            <v>1462.1795894000002</v>
          </cell>
          <cell r="O195">
            <v>1462.1795894000002</v>
          </cell>
          <cell r="P195">
            <v>324.90536693999996</v>
          </cell>
          <cell r="Q195">
            <v>356.28310126000014</v>
          </cell>
          <cell r="R195">
            <v>390.73021086999995</v>
          </cell>
          <cell r="S195">
            <v>4286.5398991900001</v>
          </cell>
          <cell r="T195">
            <v>5358.4585782600006</v>
          </cell>
          <cell r="U195">
            <v>1334.8355681099999</v>
          </cell>
          <cell r="V195">
            <v>1476.9177645900002</v>
          </cell>
          <cell r="W195">
            <v>1557.4564805700011</v>
          </cell>
          <cell r="X195">
            <v>1734.6166697999979</v>
          </cell>
          <cell r="Y195">
            <v>6103.8264830699991</v>
          </cell>
          <cell r="Z195">
            <v>1623.23980641</v>
          </cell>
          <cell r="AA195">
            <v>1759.1425307899997</v>
          </cell>
          <cell r="AB195">
            <v>1749.3918725700005</v>
          </cell>
          <cell r="AC195">
            <v>2108.6128008912665</v>
          </cell>
          <cell r="AD195">
            <v>7240.3870106612667</v>
          </cell>
          <cell r="AE195">
            <v>8483.1540889940534</v>
          </cell>
          <cell r="AF195">
            <v>9626.545404411052</v>
          </cell>
          <cell r="AG195">
            <v>10916.194538696</v>
          </cell>
        </row>
        <row r="196">
          <cell r="B196" t="str">
            <v>Total shareholders' equity (Pub)</v>
          </cell>
          <cell r="C196" t="str">
            <v>EQ_PUB</v>
          </cell>
          <cell r="D196" t="str">
            <v>CNY</v>
          </cell>
          <cell r="F196">
            <v>392.35366951000003</v>
          </cell>
          <cell r="G196">
            <v>410.43936194999998</v>
          </cell>
          <cell r="H196">
            <v>281.60075714999999</v>
          </cell>
          <cell r="I196">
            <v>-172.37814444999992</v>
          </cell>
          <cell r="J196">
            <v>-1.5004973399999244</v>
          </cell>
          <cell r="O196">
            <v>667.35831546000009</v>
          </cell>
          <cell r="T196">
            <v>1800.7431823300001</v>
          </cell>
          <cell r="Y196">
            <v>2339.2639888200006</v>
          </cell>
          <cell r="AD196">
            <v>2700.9084176238703</v>
          </cell>
          <cell r="AE196">
            <v>3199.714020465794</v>
          </cell>
          <cell r="AF196">
            <v>3811.3267860436526</v>
          </cell>
          <cell r="AG196">
            <v>4564.3203940487438</v>
          </cell>
        </row>
        <row r="197">
          <cell r="B197" t="str">
            <v>EPS (consensus)</v>
          </cell>
          <cell r="C197" t="str">
            <v>EPS_CONS_PUB</v>
          </cell>
          <cell r="D197" t="str">
            <v>CNY</v>
          </cell>
        </row>
        <row r="198">
          <cell r="A198" t="str">
            <v>Income Statement</v>
          </cell>
        </row>
        <row r="199">
          <cell r="B199" t="str">
            <v>Provision for income tax</v>
          </cell>
          <cell r="C199" t="str">
            <v>PROV_INC_TAX</v>
          </cell>
          <cell r="D199" t="str">
            <v>CNY</v>
          </cell>
          <cell r="F199">
            <v>-0.42540203999999998</v>
          </cell>
          <cell r="G199">
            <v>-0.68868622999999995</v>
          </cell>
          <cell r="H199">
            <v>-0.27858563000000003</v>
          </cell>
          <cell r="I199">
            <v>-1.1301581000000001</v>
          </cell>
          <cell r="J199">
            <v>0</v>
          </cell>
          <cell r="O199">
            <v>-37.02851587</v>
          </cell>
          <cell r="T199">
            <v>-62.858569549999991</v>
          </cell>
          <cell r="Y199">
            <v>-85.654847709999999</v>
          </cell>
          <cell r="AD199">
            <v>-128.93657836795632</v>
          </cell>
          <cell r="AE199">
            <v>-166.26853428064169</v>
          </cell>
          <cell r="AF199">
            <v>-203.87092185928668</v>
          </cell>
          <cell r="AG199">
            <v>-250.99786933502963</v>
          </cell>
        </row>
        <row r="200">
          <cell r="B200" t="str">
            <v>Minority interest</v>
          </cell>
          <cell r="C200" t="str">
            <v>INC_MINORITY</v>
          </cell>
          <cell r="D200" t="str">
            <v>CNY</v>
          </cell>
          <cell r="F200">
            <v>3.27422814</v>
          </cell>
          <cell r="G200">
            <v>2.2979737499999997</v>
          </cell>
          <cell r="H200">
            <v>2.5054391699999998</v>
          </cell>
          <cell r="I200">
            <v>3.0351802000000005</v>
          </cell>
          <cell r="J200">
            <v>0</v>
          </cell>
          <cell r="O200">
            <v>-25.244024879999998</v>
          </cell>
          <cell r="T200">
            <v>-42.00326914</v>
          </cell>
          <cell r="Y200">
            <v>-10.985237710000002</v>
          </cell>
          <cell r="AD200">
            <v>-1.41555276</v>
          </cell>
          <cell r="AE200">
            <v>-0.65427444000000001</v>
          </cell>
          <cell r="AF200">
            <v>-0.65427444000000001</v>
          </cell>
          <cell r="AG200">
            <v>-0.65427444000000001</v>
          </cell>
        </row>
        <row r="201">
          <cell r="B201" t="str">
            <v>Net income (pre-preferred dividends)</v>
          </cell>
          <cell r="C201" t="str">
            <v>NI_PRE_PREF</v>
          </cell>
          <cell r="D201" t="str">
            <v>CNY</v>
          </cell>
          <cell r="F201">
            <v>-90.31807228000001</v>
          </cell>
          <cell r="G201">
            <v>16.254160730000034</v>
          </cell>
          <cell r="H201">
            <v>-126.33316562999998</v>
          </cell>
          <cell r="I201">
            <v>-353.60885316999997</v>
          </cell>
          <cell r="J201">
            <v>112.17883710999995</v>
          </cell>
          <cell r="O201">
            <v>151.64409863000037</v>
          </cell>
          <cell r="T201">
            <v>206.84941993000098</v>
          </cell>
          <cell r="Y201">
            <v>289.00857749999886</v>
          </cell>
          <cell r="AD201">
            <v>360.22887604386938</v>
          </cell>
          <cell r="AE201">
            <v>498.15132840192382</v>
          </cell>
          <cell r="AF201">
            <v>610.9584911378588</v>
          </cell>
          <cell r="AG201">
            <v>752.33933356509044</v>
          </cell>
        </row>
        <row r="202">
          <cell r="B202" t="str">
            <v>Preferred dividends</v>
          </cell>
          <cell r="C202" t="str">
            <v>PREF_DIV</v>
          </cell>
          <cell r="D202" t="str">
            <v>CNY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O202">
            <v>0</v>
          </cell>
          <cell r="T202">
            <v>0</v>
          </cell>
          <cell r="Y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B203" t="str">
            <v>Net income (pre-exceptionals)</v>
          </cell>
          <cell r="C203" t="str">
            <v>NET_EARNING</v>
          </cell>
          <cell r="D203" t="str">
            <v>CNY</v>
          </cell>
          <cell r="F203">
            <v>-90.31807228000001</v>
          </cell>
          <cell r="G203">
            <v>16.254160730000034</v>
          </cell>
          <cell r="H203">
            <v>-126.33316562999998</v>
          </cell>
          <cell r="I203">
            <v>-353.60885316999997</v>
          </cell>
          <cell r="J203">
            <v>112.17883710999995</v>
          </cell>
          <cell r="O203">
            <v>151.64409863000037</v>
          </cell>
          <cell r="T203">
            <v>206.84941993000098</v>
          </cell>
          <cell r="Y203">
            <v>289.00857749999886</v>
          </cell>
          <cell r="AD203">
            <v>360.22887604386938</v>
          </cell>
          <cell r="AE203">
            <v>498.15132840192382</v>
          </cell>
          <cell r="AF203">
            <v>610.9584911378588</v>
          </cell>
          <cell r="AG203">
            <v>752.33933356509044</v>
          </cell>
        </row>
        <row r="204">
          <cell r="B204" t="str">
            <v>Post-tax exceptionals</v>
          </cell>
          <cell r="C204" t="str">
            <v>TAX_EXC</v>
          </cell>
          <cell r="D204" t="str">
            <v>CNY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O204">
            <v>0</v>
          </cell>
          <cell r="T204">
            <v>0</v>
          </cell>
          <cell r="Y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</row>
        <row r="205">
          <cell r="B205" t="str">
            <v>Net income (post-exceptionals)</v>
          </cell>
          <cell r="C205" t="str">
            <v>NET_INC</v>
          </cell>
          <cell r="D205" t="str">
            <v>CNY</v>
          </cell>
          <cell r="F205">
            <v>-90.31807228000001</v>
          </cell>
          <cell r="G205">
            <v>16.254160730000034</v>
          </cell>
          <cell r="H205">
            <v>-126.33316562999998</v>
          </cell>
          <cell r="I205">
            <v>-353.60885316999997</v>
          </cell>
          <cell r="J205">
            <v>112.17883710999995</v>
          </cell>
          <cell r="K205">
            <v>-0.32396971000000002</v>
          </cell>
          <cell r="L205">
            <v>-4.719138430000001</v>
          </cell>
          <cell r="M205">
            <v>-0.40678819000000033</v>
          </cell>
          <cell r="N205">
            <v>157.09399496000037</v>
          </cell>
          <cell r="O205">
            <v>151.64409863000037</v>
          </cell>
          <cell r="P205">
            <v>20.787772669999974</v>
          </cell>
          <cell r="Q205">
            <v>26.997220860000049</v>
          </cell>
          <cell r="R205">
            <v>38.624215899999982</v>
          </cell>
          <cell r="S205">
            <v>120.44021050000082</v>
          </cell>
          <cell r="T205">
            <v>206.84941993000098</v>
          </cell>
          <cell r="U205">
            <v>54.370098279999965</v>
          </cell>
          <cell r="V205">
            <v>62.793126530000258</v>
          </cell>
          <cell r="W205">
            <v>71.26859464000141</v>
          </cell>
          <cell r="X205">
            <v>100.57675804999717</v>
          </cell>
          <cell r="Y205">
            <v>289.00857749999886</v>
          </cell>
          <cell r="Z205">
            <v>71.463260750000117</v>
          </cell>
          <cell r="AA205">
            <v>85.084694679999913</v>
          </cell>
          <cell r="AB205">
            <v>69.600752540000258</v>
          </cell>
          <cell r="AC205">
            <v>134.08016807386892</v>
          </cell>
          <cell r="AD205">
            <v>360.22887604386938</v>
          </cell>
          <cell r="AE205">
            <v>498.15132840192382</v>
          </cell>
          <cell r="AF205">
            <v>610.9584911378588</v>
          </cell>
          <cell r="AG205">
            <v>752.33933356509044</v>
          </cell>
        </row>
        <row r="206">
          <cell r="B206" t="str">
            <v>EPS (pre-exceptionals, basic)</v>
          </cell>
          <cell r="C206" t="str">
            <v>EPS</v>
          </cell>
          <cell r="D206" t="str">
            <v>CNY</v>
          </cell>
          <cell r="F206">
            <v>-0.48630340609878731</v>
          </cell>
          <cell r="G206">
            <v>8.7517963201995036E-2</v>
          </cell>
          <cell r="H206">
            <v>-0.68022099230206512</v>
          </cell>
          <cell r="I206">
            <v>-1.9039510629738714</v>
          </cell>
          <cell r="J206">
            <v>0.60400924423709379</v>
          </cell>
          <cell r="O206">
            <v>0.52492696197365007</v>
          </cell>
          <cell r="T206">
            <v>0.42601188260348455</v>
          </cell>
          <cell r="Y206">
            <v>0.45431255553245964</v>
          </cell>
          <cell r="AD206">
            <v>0.56626866464569403</v>
          </cell>
          <cell r="AE206">
            <v>0.78307849893544579</v>
          </cell>
          <cell r="AF206">
            <v>0.96040787382200554</v>
          </cell>
          <cell r="AG206">
            <v>1.1826541904609913</v>
          </cell>
        </row>
        <row r="207">
          <cell r="B207" t="str">
            <v>EPS (pre-exceptionals, diluted)</v>
          </cell>
          <cell r="C207" t="str">
            <v>EPS_FUL_DIL</v>
          </cell>
          <cell r="D207" t="str">
            <v>CNY</v>
          </cell>
          <cell r="F207">
            <v>-0.48630340609878731</v>
          </cell>
          <cell r="G207">
            <v>8.7517963201995036E-2</v>
          </cell>
          <cell r="H207">
            <v>-0.68022099230206512</v>
          </cell>
          <cell r="I207">
            <v>-1.9039510629738714</v>
          </cell>
          <cell r="J207">
            <v>0.60400924423709379</v>
          </cell>
          <cell r="O207">
            <v>0.38679935849769687</v>
          </cell>
          <cell r="T207">
            <v>0.3572229767637346</v>
          </cell>
          <cell r="Y207">
            <v>0.45431255553245964</v>
          </cell>
          <cell r="AD207">
            <v>0.56626866464569403</v>
          </cell>
          <cell r="AE207">
            <v>0.78307849893544579</v>
          </cell>
          <cell r="AF207">
            <v>0.96040787382200554</v>
          </cell>
          <cell r="AG207">
            <v>1.1826541904609913</v>
          </cell>
        </row>
        <row r="208">
          <cell r="B208" t="str">
            <v>EPS (post-exceptionals, basic)</v>
          </cell>
          <cell r="C208" t="str">
            <v>EPS_POST_BASIC</v>
          </cell>
          <cell r="D208" t="str">
            <v>CNY</v>
          </cell>
          <cell r="F208">
            <v>-0.48630340609878731</v>
          </cell>
          <cell r="G208">
            <v>8.7517963201995036E-2</v>
          </cell>
          <cell r="H208">
            <v>-0.68022099230206512</v>
          </cell>
          <cell r="I208">
            <v>-1.9039510629738714</v>
          </cell>
          <cell r="J208">
            <v>0.60400924423709379</v>
          </cell>
          <cell r="O208">
            <v>0.52492696197365007</v>
          </cell>
          <cell r="T208">
            <v>0.42601188260348455</v>
          </cell>
          <cell r="Y208">
            <v>0.45431255553245964</v>
          </cell>
          <cell r="AD208">
            <v>0.56626866464569403</v>
          </cell>
          <cell r="AE208">
            <v>0.78307849893544579</v>
          </cell>
          <cell r="AF208">
            <v>0.96040787382200554</v>
          </cell>
          <cell r="AG208">
            <v>1.1826541904609913</v>
          </cell>
        </row>
        <row r="209">
          <cell r="B209" t="str">
            <v>EPS (post-exceptionals, diluted)</v>
          </cell>
          <cell r="C209" t="str">
            <v>FULLY_DIL_EPS</v>
          </cell>
          <cell r="D209" t="str">
            <v>CNY</v>
          </cell>
          <cell r="F209">
            <v>-0.48630340609878731</v>
          </cell>
          <cell r="G209">
            <v>8.7517963201995036E-2</v>
          </cell>
          <cell r="H209">
            <v>-0.68022099230206512</v>
          </cell>
          <cell r="I209">
            <v>-1.9039510629738714</v>
          </cell>
          <cell r="J209">
            <v>0.60400924423709379</v>
          </cell>
          <cell r="O209">
            <v>0.38679935849769687</v>
          </cell>
          <cell r="T209">
            <v>0.3572229767637346</v>
          </cell>
          <cell r="Y209">
            <v>0.45431255553245964</v>
          </cell>
          <cell r="AD209">
            <v>0.56626866464569403</v>
          </cell>
          <cell r="AE209">
            <v>0.78307849893544579</v>
          </cell>
          <cell r="AF209">
            <v>0.96040787382200554</v>
          </cell>
          <cell r="AG209">
            <v>1.1826541904609913</v>
          </cell>
        </row>
        <row r="210">
          <cell r="B210" t="str">
            <v>Common dividends paid</v>
          </cell>
          <cell r="C210" t="str">
            <v>COMMON_DIV_PAID</v>
          </cell>
          <cell r="D210" t="str">
            <v>CNY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O210">
            <v>0</v>
          </cell>
          <cell r="T210">
            <v>0</v>
          </cell>
          <cell r="Y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</row>
        <row r="211">
          <cell r="B211" t="str">
            <v>DPS, dividend per share</v>
          </cell>
          <cell r="C211" t="str">
            <v>DPS</v>
          </cell>
          <cell r="D211" t="str">
            <v>CNY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O211">
            <v>0</v>
          </cell>
          <cell r="T211">
            <v>0</v>
          </cell>
          <cell r="Y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</row>
        <row r="212">
          <cell r="B212" t="str">
            <v>Weighted average shares outstanding, basic</v>
          </cell>
          <cell r="C212" t="str">
            <v>SH</v>
          </cell>
          <cell r="F212">
            <v>185.72370900000001</v>
          </cell>
          <cell r="G212">
            <v>185.72370900000001</v>
          </cell>
          <cell r="H212">
            <v>185.72370900000001</v>
          </cell>
          <cell r="I212">
            <v>185.72370900000001</v>
          </cell>
          <cell r="J212">
            <v>185.72370900000001</v>
          </cell>
          <cell r="O212">
            <v>288.88609200000002</v>
          </cell>
          <cell r="T212">
            <v>485.54847500000005</v>
          </cell>
          <cell r="Y212">
            <v>636.14481699999999</v>
          </cell>
          <cell r="AD212">
            <v>636.14481699999999</v>
          </cell>
          <cell r="AE212">
            <v>636.14481699999999</v>
          </cell>
          <cell r="AF212">
            <v>636.14481699999999</v>
          </cell>
          <cell r="AG212">
            <v>636.14481699999999</v>
          </cell>
        </row>
        <row r="213">
          <cell r="B213" t="str">
            <v>Diluted average shares outstanding (mn)</v>
          </cell>
          <cell r="C213" t="str">
            <v>DILUTE_SHARES</v>
          </cell>
          <cell r="F213">
            <v>185.72370900000001</v>
          </cell>
          <cell r="G213">
            <v>185.72370900000001</v>
          </cell>
          <cell r="H213">
            <v>185.72370900000001</v>
          </cell>
          <cell r="I213">
            <v>185.72370900000001</v>
          </cell>
          <cell r="J213">
            <v>185.72370900000001</v>
          </cell>
          <cell r="O213">
            <v>392.04847500000005</v>
          </cell>
          <cell r="T213">
            <v>579.04847500000005</v>
          </cell>
          <cell r="Y213">
            <v>636.14481699999999</v>
          </cell>
          <cell r="AD213">
            <v>636.14481699999999</v>
          </cell>
          <cell r="AE213">
            <v>636.14481699999999</v>
          </cell>
          <cell r="AF213">
            <v>636.14481699999999</v>
          </cell>
          <cell r="AG213">
            <v>636.14481699999999</v>
          </cell>
        </row>
        <row r="214">
          <cell r="B214" t="str">
            <v>Period-end shares outstanding</v>
          </cell>
          <cell r="C214" t="str">
            <v>NON_OP_ADD</v>
          </cell>
          <cell r="F214">
            <v>185.72370900000001</v>
          </cell>
          <cell r="G214">
            <v>185.72370900000001</v>
          </cell>
          <cell r="H214">
            <v>185.72370900000001</v>
          </cell>
          <cell r="I214">
            <v>185.72370900000001</v>
          </cell>
          <cell r="J214">
            <v>185.72370900000001</v>
          </cell>
          <cell r="O214">
            <v>392.04847500000005</v>
          </cell>
          <cell r="T214">
            <v>579.04847500000005</v>
          </cell>
          <cell r="Y214">
            <v>636.14481699999999</v>
          </cell>
          <cell r="AD214">
            <v>636.14481699999999</v>
          </cell>
          <cell r="AE214">
            <v>636.14481699999999</v>
          </cell>
          <cell r="AF214">
            <v>636.14481699999999</v>
          </cell>
          <cell r="AG214">
            <v>636.14481699999999</v>
          </cell>
        </row>
        <row r="215">
          <cell r="A215" t="str">
            <v>Additional Income Statement Items</v>
          </cell>
        </row>
        <row r="216">
          <cell r="B216" t="str">
            <v>Marginal tax rate</v>
          </cell>
          <cell r="C216" t="str">
            <v>MARGIN_TAX_RATE</v>
          </cell>
          <cell r="F216">
            <v>0</v>
          </cell>
          <cell r="G216">
            <v>4.7025755711544208E-2</v>
          </cell>
          <cell r="H216">
            <v>0</v>
          </cell>
          <cell r="I216">
            <v>0</v>
          </cell>
          <cell r="J216">
            <v>0</v>
          </cell>
          <cell r="O216">
            <v>0.17309787577684754</v>
          </cell>
          <cell r="T216">
            <v>0.20165639774541869</v>
          </cell>
          <cell r="Y216">
            <v>0.22210591127543655</v>
          </cell>
          <cell r="AD216">
            <v>0.26282423592235882</v>
          </cell>
          <cell r="AE216">
            <v>0.25000000000000044</v>
          </cell>
          <cell r="AF216">
            <v>0.25000000000000039</v>
          </cell>
          <cell r="AG216">
            <v>0.24999999999999964</v>
          </cell>
        </row>
        <row r="217">
          <cell r="B217" t="str">
            <v>Net income (consensus) (Pub)</v>
          </cell>
          <cell r="C217" t="str">
            <v>NI_CONS</v>
          </cell>
          <cell r="D217" t="str">
            <v>CNY</v>
          </cell>
        </row>
        <row r="218">
          <cell r="A218" t="str">
            <v>Balance Sheet</v>
          </cell>
        </row>
        <row r="219">
          <cell r="B219" t="str">
            <v>BVPS, book value per share</v>
          </cell>
          <cell r="C219" t="str">
            <v>BVPS</v>
          </cell>
          <cell r="D219" t="str">
            <v>CNY</v>
          </cell>
          <cell r="F219">
            <v>1.5462765077559375</v>
          </cell>
          <cell r="G219">
            <v>1.6560291413844206</v>
          </cell>
          <cell r="H219">
            <v>0.97580814908235525</v>
          </cell>
          <cell r="I219">
            <v>-0.9281429138915156</v>
          </cell>
          <cell r="J219">
            <v>-8.0791911171660073E-3</v>
          </cell>
          <cell r="O219">
            <v>1.4422398261847595</v>
          </cell>
          <cell r="T219">
            <v>2.896496131036352</v>
          </cell>
          <cell r="Y219">
            <v>3.5964712250575492</v>
          </cell>
          <cell r="AD219">
            <v>4.1627398897032437</v>
          </cell>
          <cell r="AE219">
            <v>4.9458183886386893</v>
          </cell>
          <cell r="AF219">
            <v>5.9062262624606952</v>
          </cell>
          <cell r="AG219">
            <v>7.0888804529216864</v>
          </cell>
        </row>
        <row r="220">
          <cell r="A220" t="str">
            <v>Cash Flow Statement</v>
          </cell>
        </row>
        <row r="221">
          <cell r="B221" t="str">
            <v>Net income (pre-preferred dividends)</v>
          </cell>
          <cell r="C221" t="str">
            <v>CF_NI_PRE_PREF</v>
          </cell>
          <cell r="D221" t="str">
            <v>CNY</v>
          </cell>
          <cell r="F221">
            <v>-90.31807228000001</v>
          </cell>
          <cell r="G221">
            <v>16.254160730000034</v>
          </cell>
          <cell r="H221">
            <v>-126.33316562999998</v>
          </cell>
          <cell r="I221">
            <v>-353.60885316999997</v>
          </cell>
          <cell r="J221">
            <v>112.17883710999995</v>
          </cell>
          <cell r="O221">
            <v>151.64409863000037</v>
          </cell>
          <cell r="T221">
            <v>206.84941993000098</v>
          </cell>
          <cell r="Y221">
            <v>289.00857749999886</v>
          </cell>
          <cell r="AD221">
            <v>360.22887604386938</v>
          </cell>
          <cell r="AE221">
            <v>498.15132840192382</v>
          </cell>
          <cell r="AF221">
            <v>610.9584911378588</v>
          </cell>
          <cell r="AG221">
            <v>752.33933356509044</v>
          </cell>
        </row>
        <row r="222">
          <cell r="A222" t="str">
            <v>Other Items</v>
          </cell>
        </row>
        <row r="223">
          <cell r="B223" t="str">
            <v>Beta</v>
          </cell>
          <cell r="C223" t="str">
            <v>BETA_ANALYST</v>
          </cell>
        </row>
        <row r="224">
          <cell r="B224" t="str">
            <v>Market equity risk premium</v>
          </cell>
          <cell r="C224" t="str">
            <v>MKT_EQ_RISK_PREM</v>
          </cell>
        </row>
        <row r="225">
          <cell r="B225" t="str">
            <v>Risk-free rate</v>
          </cell>
          <cell r="C225" t="str">
            <v>RISK_FR_RATE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O225">
            <v>0</v>
          </cell>
          <cell r="T225">
            <v>0</v>
          </cell>
          <cell r="Y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TP"/>
      <sheetName val="PL"/>
      <sheetName val="BS"/>
      <sheetName val="CF"/>
      <sheetName val="Assumption new"/>
      <sheetName val="Assumption"/>
      <sheetName val="Table"/>
      <sheetName val="Vietnam"/>
      <sheetName val="Charts"/>
      <sheetName val="rawH"/>
      <sheetName val="rawA"/>
      <sheetName val="Segment"/>
      <sheetName val="6088.HK_Exchange_Sheet"/>
      <sheetName val="6088.HK_Live_Sheet"/>
      <sheetName val="6088.HK_Validation_Sheet"/>
      <sheetName val="6088.HK_Annotation_Sheet"/>
      <sheetName val="AFOSHEET"/>
      <sheetName val="Qly"/>
      <sheetName val="Scenario"/>
      <sheetName val="Quarterly- guidance"/>
      <sheetName val="Financials"/>
      <sheetName val="Quarterly"/>
      <sheetName val="Stock price stud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Issuer: FIT Hon Teng</v>
          </cell>
          <cell r="F1" t="str">
            <v>2014</v>
          </cell>
          <cell r="G1" t="str">
            <v>2015</v>
          </cell>
          <cell r="H1" t="str">
            <v>2016</v>
          </cell>
          <cell r="I1" t="str">
            <v>2017</v>
          </cell>
          <cell r="J1" t="str">
            <v>2018</v>
          </cell>
          <cell r="K1">
            <v>2019</v>
          </cell>
          <cell r="L1" t="str">
            <v>2020</v>
          </cell>
          <cell r="M1" t="str">
            <v>2021</v>
          </cell>
          <cell r="N1" t="str">
            <v>2022</v>
          </cell>
          <cell r="O1" t="str">
            <v>2023</v>
          </cell>
          <cell r="P1" t="str">
            <v>2024</v>
          </cell>
          <cell r="Q1" t="str">
            <v>2016 H1</v>
          </cell>
          <cell r="R1" t="str">
            <v>2016 H1</v>
          </cell>
          <cell r="S1" t="str">
            <v>2016 H2</v>
          </cell>
          <cell r="T1" t="str">
            <v>2017 H1</v>
          </cell>
          <cell r="U1" t="str">
            <v>2017 H2</v>
          </cell>
          <cell r="V1" t="str">
            <v>2018 H1</v>
          </cell>
          <cell r="W1" t="str">
            <v>2018 H2</v>
          </cell>
          <cell r="X1" t="str">
            <v>2019 H1</v>
          </cell>
          <cell r="Y1" t="str">
            <v>2019 H2</v>
          </cell>
          <cell r="Z1" t="str">
            <v>2020 H1</v>
          </cell>
          <cell r="AA1" t="str">
            <v>2020 H2</v>
          </cell>
          <cell r="AB1" t="str">
            <v>2021 H1</v>
          </cell>
          <cell r="AC1" t="str">
            <v>2021 H2</v>
          </cell>
          <cell r="AD1" t="str">
            <v>2022 H1</v>
          </cell>
          <cell r="AE1" t="str">
            <v>2022 H2</v>
          </cell>
          <cell r="AF1" t="str">
            <v>2023 H1</v>
          </cell>
        </row>
        <row r="2">
          <cell r="A2"/>
          <cell r="B2"/>
          <cell r="C2"/>
          <cell r="D2"/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Estimate</v>
          </cell>
          <cell r="O2" t="str">
            <v>Estimate</v>
          </cell>
          <cell r="P2" t="str">
            <v>Estimate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Estimate</v>
          </cell>
          <cell r="AE2" t="str">
            <v>Estimate</v>
          </cell>
          <cell r="AF2" t="str">
            <v>Estimate</v>
          </cell>
        </row>
        <row r="3">
          <cell r="A3"/>
          <cell r="B3"/>
          <cell r="C3"/>
          <cell r="D3"/>
          <cell r="F3">
            <v>42004</v>
          </cell>
          <cell r="G3">
            <v>42369</v>
          </cell>
          <cell r="H3">
            <v>42735</v>
          </cell>
          <cell r="I3">
            <v>43100</v>
          </cell>
          <cell r="J3">
            <v>43465</v>
          </cell>
          <cell r="K3">
            <v>43830</v>
          </cell>
          <cell r="L3">
            <v>44196</v>
          </cell>
          <cell r="M3">
            <v>44561</v>
          </cell>
          <cell r="N3">
            <v>44926</v>
          </cell>
          <cell r="O3">
            <v>45291</v>
          </cell>
          <cell r="P3">
            <v>45657</v>
          </cell>
          <cell r="Q3">
            <v>42551</v>
          </cell>
          <cell r="R3">
            <v>42551</v>
          </cell>
          <cell r="S3">
            <v>42735</v>
          </cell>
          <cell r="T3">
            <v>42916</v>
          </cell>
          <cell r="U3">
            <v>43100</v>
          </cell>
          <cell r="V3">
            <v>43281</v>
          </cell>
          <cell r="W3">
            <v>43465</v>
          </cell>
          <cell r="X3">
            <v>43646</v>
          </cell>
          <cell r="Y3">
            <v>43830</v>
          </cell>
          <cell r="Z3">
            <v>44012</v>
          </cell>
          <cell r="AA3">
            <v>44196</v>
          </cell>
          <cell r="AB3">
            <v>44377</v>
          </cell>
          <cell r="AC3">
            <v>44561</v>
          </cell>
          <cell r="AD3">
            <v>44742</v>
          </cell>
          <cell r="AE3">
            <v>44926</v>
          </cell>
          <cell r="AF3">
            <v>45107</v>
          </cell>
        </row>
        <row r="4">
          <cell r="A4" t="str">
            <v>Issuer: FIT Hon Teng</v>
          </cell>
          <cell r="B4"/>
          <cell r="C4"/>
          <cell r="D4"/>
        </row>
        <row r="5">
          <cell r="A5" t="str">
            <v>Reference Data</v>
          </cell>
          <cell r="B5"/>
          <cell r="C5"/>
          <cell r="D5"/>
        </row>
        <row r="6">
          <cell r="B6" t="str">
            <v>Issuer Name</v>
          </cell>
          <cell r="C6" t="str">
            <v>Issuer Name</v>
          </cell>
          <cell r="E6" t="str">
            <v>FIT Hon Teng</v>
          </cell>
        </row>
        <row r="7">
          <cell r="B7" t="str">
            <v>Reporting Currency</v>
          </cell>
          <cell r="C7" t="str">
            <v>CURRENCY_ISO</v>
          </cell>
          <cell r="E7" t="str">
            <v>USD</v>
          </cell>
        </row>
        <row r="8">
          <cell r="A8" t="str">
            <v>General Information</v>
          </cell>
          <cell r="B8"/>
          <cell r="C8"/>
          <cell r="D8"/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  <cell r="B10"/>
          <cell r="C10"/>
          <cell r="D10"/>
        </row>
        <row r="11">
          <cell r="B11" t="str">
            <v>Sales, net revenue</v>
          </cell>
          <cell r="C11" t="str">
            <v>SALES</v>
          </cell>
          <cell r="D11" t="str">
            <v>USD</v>
          </cell>
          <cell r="F11">
            <v>2482.2139999999999</v>
          </cell>
          <cell r="G11">
            <v>2327.902</v>
          </cell>
          <cell r="H11">
            <v>2880.26</v>
          </cell>
          <cell r="I11">
            <v>3398.8029999999999</v>
          </cell>
          <cell r="J11">
            <v>4005.6350000000002</v>
          </cell>
          <cell r="K11">
            <v>4372.3819999999996</v>
          </cell>
          <cell r="L11">
            <v>4314.6610000000001</v>
          </cell>
          <cell r="M11">
            <v>4490.2150000000001</v>
          </cell>
          <cell r="N11">
            <v>4470.5525293458213</v>
          </cell>
          <cell r="O11">
            <v>4746.2776676170579</v>
          </cell>
          <cell r="P11">
            <v>5068.1711878308024</v>
          </cell>
          <cell r="Q11"/>
          <cell r="R11">
            <v>1041.6659999999999</v>
          </cell>
          <cell r="S11">
            <v>1838.5940000000003</v>
          </cell>
          <cell r="T11">
            <v>1379.4760000000001</v>
          </cell>
          <cell r="U11">
            <v>2019.3269999999998</v>
          </cell>
          <cell r="V11">
            <v>1719.3520000000001</v>
          </cell>
          <cell r="W11">
            <v>2286.2830000000004</v>
          </cell>
          <cell r="X11">
            <v>1918.306</v>
          </cell>
          <cell r="Y11">
            <v>2454.0759999999996</v>
          </cell>
          <cell r="Z11">
            <v>1916.5429999999999</v>
          </cell>
          <cell r="AA11">
            <v>2398.1180000000004</v>
          </cell>
          <cell r="AB11">
            <v>1982.056</v>
          </cell>
          <cell r="AC11">
            <v>2508.1590000000001</v>
          </cell>
          <cell r="AD11">
            <v>1802.4313557906116</v>
          </cell>
          <cell r="AE11">
            <v>2668.1211735552101</v>
          </cell>
          <cell r="AF11">
            <v>1907.3912107983106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USD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</row>
        <row r="13">
          <cell r="B13" t="str">
            <v>Cost of goods sold, COGS</v>
          </cell>
          <cell r="C13" t="str">
            <v>COST_GD_SD</v>
          </cell>
          <cell r="D13" t="str">
            <v>USD</v>
          </cell>
          <cell r="F13">
            <v>-2004.655</v>
          </cell>
          <cell r="G13">
            <v>-1892.662</v>
          </cell>
          <cell r="H13">
            <v>-2389.85</v>
          </cell>
          <cell r="I13">
            <v>-2829.3589999999999</v>
          </cell>
          <cell r="J13">
            <v>-3297.558</v>
          </cell>
          <cell r="K13">
            <v>-3618.1869999999999</v>
          </cell>
          <cell r="L13">
            <v>-3734.8890000000001</v>
          </cell>
          <cell r="M13">
            <v>-3817.2089999999998</v>
          </cell>
          <cell r="N13">
            <v>-3796.3730348856361</v>
          </cell>
          <cell r="O13">
            <v>-4031.4197308284502</v>
          </cell>
          <cell r="P13">
            <v>-4294.9938314334722</v>
          </cell>
          <cell r="Q13"/>
          <cell r="R13">
            <v>-860.77800000000002</v>
          </cell>
          <cell r="S13">
            <v>-1529.0719999999999</v>
          </cell>
          <cell r="T13">
            <v>-1132.8779999999999</v>
          </cell>
          <cell r="U13">
            <v>-1696.481</v>
          </cell>
          <cell r="V13">
            <v>-1410.702</v>
          </cell>
          <cell r="W13">
            <v>-1886.856</v>
          </cell>
          <cell r="X13">
            <v>-1541.9459999999999</v>
          </cell>
          <cell r="Y13">
            <v>-2076.241</v>
          </cell>
          <cell r="Z13">
            <v>-1655.326</v>
          </cell>
          <cell r="AA13">
            <v>-2079.5630000000001</v>
          </cell>
          <cell r="AB13">
            <v>-1714.28</v>
          </cell>
          <cell r="AC13">
            <v>-2102.9290000000001</v>
          </cell>
          <cell r="AD13">
            <v>-1538.5069333995632</v>
          </cell>
          <cell r="AE13">
            <v>-2257.8661014860727</v>
          </cell>
          <cell r="AF13">
            <v>-1628.3867192452037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USD</v>
          </cell>
          <cell r="F14">
            <v>-148.28299999999999</v>
          </cell>
          <cell r="G14">
            <v>-158.03199999999998</v>
          </cell>
          <cell r="H14">
            <v>-155.37900000000002</v>
          </cell>
          <cell r="I14">
            <v>-164.083</v>
          </cell>
          <cell r="J14">
            <v>-211.53899999999999</v>
          </cell>
          <cell r="K14">
            <v>-269.25300000000004</v>
          </cell>
          <cell r="L14">
            <v>-230.49100000000001</v>
          </cell>
          <cell r="M14">
            <v>-265.90100000000001</v>
          </cell>
          <cell r="N14">
            <v>-268.23315176074931</v>
          </cell>
          <cell r="O14">
            <v>-280.03038238940644</v>
          </cell>
          <cell r="P14">
            <v>-293.95392889418656</v>
          </cell>
          <cell r="Q14"/>
          <cell r="R14">
            <v>-79.177999999999997</v>
          </cell>
          <cell r="S14">
            <v>-76.201000000000008</v>
          </cell>
          <cell r="T14">
            <v>-75.540999999999997</v>
          </cell>
          <cell r="U14">
            <v>-88.542000000000002</v>
          </cell>
          <cell r="V14">
            <v>-96.4</v>
          </cell>
          <cell r="W14">
            <v>-115.13900000000001</v>
          </cell>
          <cell r="X14">
            <v>-142.80199999999999</v>
          </cell>
          <cell r="Y14">
            <v>-126.45100000000002</v>
          </cell>
          <cell r="Z14">
            <v>-139.459</v>
          </cell>
          <cell r="AA14">
            <v>-91.032000000000011</v>
          </cell>
          <cell r="AB14">
            <v>-141.25</v>
          </cell>
          <cell r="AC14">
            <v>-124.65100000000001</v>
          </cell>
          <cell r="AD14">
            <v>-108.14588134743668</v>
          </cell>
          <cell r="AE14">
            <v>-160.08727041331261</v>
          </cell>
          <cell r="AF14">
            <v>-112.53608143710034</v>
          </cell>
        </row>
        <row r="15">
          <cell r="B15" t="str">
            <v>Total operating expense</v>
          </cell>
          <cell r="C15" t="str">
            <v>OP_COST</v>
          </cell>
          <cell r="D15" t="str">
            <v>USD</v>
          </cell>
          <cell r="F15">
            <v>-2152.9380000000001</v>
          </cell>
          <cell r="G15">
            <v>-2050.694</v>
          </cell>
          <cell r="H15">
            <v>-2545.2289999999998</v>
          </cell>
          <cell r="I15">
            <v>-2993.442</v>
          </cell>
          <cell r="J15">
            <v>-3509.0969999999998</v>
          </cell>
          <cell r="K15">
            <v>-3887.44</v>
          </cell>
          <cell r="L15">
            <v>-3965.38</v>
          </cell>
          <cell r="M15">
            <v>-4083.1099999999997</v>
          </cell>
          <cell r="N15">
            <v>-4064.6061866463856</v>
          </cell>
          <cell r="O15">
            <v>-4311.4501132178566</v>
          </cell>
          <cell r="P15">
            <v>-4588.9477603276591</v>
          </cell>
          <cell r="Q15"/>
          <cell r="R15">
            <v>-939.95600000000002</v>
          </cell>
          <cell r="S15">
            <v>-1605.2729999999999</v>
          </cell>
          <cell r="T15">
            <v>-1208.4189999999999</v>
          </cell>
          <cell r="U15">
            <v>-1785.0229999999999</v>
          </cell>
          <cell r="V15">
            <v>-1507.1020000000001</v>
          </cell>
          <cell r="W15">
            <v>-2001.9949999999999</v>
          </cell>
          <cell r="X15">
            <v>-1684.7479999999998</v>
          </cell>
          <cell r="Y15">
            <v>-2202.692</v>
          </cell>
          <cell r="Z15">
            <v>-1794.7850000000001</v>
          </cell>
          <cell r="AA15">
            <v>-2170.5950000000003</v>
          </cell>
          <cell r="AB15">
            <v>-1855.53</v>
          </cell>
          <cell r="AC15">
            <v>-2227.58</v>
          </cell>
          <cell r="AD15">
            <v>-1646.6528147469999</v>
          </cell>
          <cell r="AE15">
            <v>-2417.9533718993853</v>
          </cell>
          <cell r="AF15">
            <v>-1740.9228006823041</v>
          </cell>
        </row>
        <row r="16">
          <cell r="B16" t="str">
            <v>R&amp;D expense</v>
          </cell>
          <cell r="C16" t="str">
            <v>RD_EXP</v>
          </cell>
          <cell r="D16" t="str">
            <v>USD</v>
          </cell>
          <cell r="F16">
            <v>-118.316</v>
          </cell>
          <cell r="G16">
            <v>-121.68300000000001</v>
          </cell>
          <cell r="H16">
            <v>-168.749</v>
          </cell>
          <cell r="I16">
            <v>-189.85499999999999</v>
          </cell>
          <cell r="J16">
            <v>-227.083</v>
          </cell>
          <cell r="K16">
            <v>-249.78700000000001</v>
          </cell>
          <cell r="L16">
            <v>-235.143</v>
          </cell>
          <cell r="M16">
            <v>-300.84500000000003</v>
          </cell>
          <cell r="N16">
            <v>-306.66569316907112</v>
          </cell>
          <cell r="O16">
            <v>-332.23943673319411</v>
          </cell>
          <cell r="P16">
            <v>-354.77198314815621</v>
          </cell>
          <cell r="Q16"/>
          <cell r="R16">
            <v>-88.105000000000004</v>
          </cell>
          <cell r="S16">
            <v>-80.643999999999991</v>
          </cell>
          <cell r="T16">
            <v>-83.596999999999994</v>
          </cell>
          <cell r="U16">
            <v>-106.258</v>
          </cell>
          <cell r="V16">
            <v>-90.275999999999996</v>
          </cell>
          <cell r="W16">
            <v>-136.80700000000002</v>
          </cell>
          <cell r="X16">
            <v>-121.325</v>
          </cell>
          <cell r="Y16">
            <v>-128.46199999999999</v>
          </cell>
          <cell r="Z16">
            <v>-115.19499999999999</v>
          </cell>
          <cell r="AA16">
            <v>-119.94800000000001</v>
          </cell>
          <cell r="AB16">
            <v>-131.22999999999999</v>
          </cell>
          <cell r="AC16">
            <v>-169.61500000000004</v>
          </cell>
          <cell r="AD16">
            <v>-122.56533219376161</v>
          </cell>
          <cell r="AE16">
            <v>-184.10036097530951</v>
          </cell>
          <cell r="AF16">
            <v>-133.51738475588175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USD</v>
          </cell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USD</v>
          </cell>
          <cell r="F18">
            <v>-2271.2539999999999</v>
          </cell>
          <cell r="G18">
            <v>-2172.377</v>
          </cell>
          <cell r="H18">
            <v>-2713.9779999999996</v>
          </cell>
          <cell r="I18">
            <v>-3183.2970000000005</v>
          </cell>
          <cell r="J18">
            <v>-3736.18</v>
          </cell>
          <cell r="K18">
            <v>-4137.2269999999999</v>
          </cell>
          <cell r="L18">
            <v>-4200.5229999999992</v>
          </cell>
          <cell r="M18">
            <v>-4383.9549999999999</v>
          </cell>
          <cell r="N18">
            <v>-4371.2718798154565</v>
          </cell>
          <cell r="O18">
            <v>-4643.689549951051</v>
          </cell>
          <cell r="P18">
            <v>-4943.7197434758154</v>
          </cell>
          <cell r="Q18"/>
          <cell r="R18">
            <v>-1028.0609999999999</v>
          </cell>
          <cell r="S18">
            <v>-1685.9169999999999</v>
          </cell>
          <cell r="T18">
            <v>-1292.0159999999998</v>
          </cell>
          <cell r="U18">
            <v>-1891.2809999999999</v>
          </cell>
          <cell r="V18">
            <v>-1597.3780000000002</v>
          </cell>
          <cell r="W18">
            <v>-2138.8019999999997</v>
          </cell>
          <cell r="X18">
            <v>-1806.0729999999999</v>
          </cell>
          <cell r="Y18">
            <v>-2331.154</v>
          </cell>
          <cell r="Z18">
            <v>-1909.98</v>
          </cell>
          <cell r="AA18">
            <v>-2290.5430000000001</v>
          </cell>
          <cell r="AB18">
            <v>-1986.76</v>
          </cell>
          <cell r="AC18">
            <v>-2397.1950000000002</v>
          </cell>
          <cell r="AD18">
            <v>-1769.2181469407615</v>
          </cell>
          <cell r="AE18">
            <v>-2602.053732874695</v>
          </cell>
          <cell r="AF18">
            <v>-1874.4401854381858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USD</v>
          </cell>
          <cell r="F19">
            <v>-2126.9359999999997</v>
          </cell>
          <cell r="G19">
            <v>-2035.3909999999998</v>
          </cell>
          <cell r="H19">
            <v>-2562.4619999999995</v>
          </cell>
          <cell r="I19">
            <v>-3000.2060000000001</v>
          </cell>
          <cell r="J19">
            <v>-3535.5929999999998</v>
          </cell>
          <cell r="K19">
            <v>-3909.7479999999996</v>
          </cell>
          <cell r="L19">
            <v>-3980.4989999999998</v>
          </cell>
          <cell r="M19">
            <v>-4156.8320000000003</v>
          </cell>
          <cell r="N19">
            <v>-4121.7583961105793</v>
          </cell>
          <cell r="O19">
            <v>-4393.3787258833345</v>
          </cell>
          <cell r="P19">
            <v>-4689.6820192299556</v>
          </cell>
          <cell r="Q19"/>
          <cell r="R19">
            <v>-948.81</v>
          </cell>
          <cell r="S19">
            <v>-1613.652</v>
          </cell>
          <cell r="T19">
            <v>-1209.7329999999997</v>
          </cell>
          <cell r="U19">
            <v>-1790.473</v>
          </cell>
          <cell r="V19">
            <v>-1494.4360000000001</v>
          </cell>
          <cell r="W19">
            <v>-2041.1569999999997</v>
          </cell>
          <cell r="X19">
            <v>-1700.5179999999998</v>
          </cell>
          <cell r="Y19">
            <v>-2209.23</v>
          </cell>
          <cell r="Z19">
            <v>-1816.28</v>
          </cell>
          <cell r="AA19">
            <v>-2164.2190000000005</v>
          </cell>
          <cell r="AB19">
            <v>-1892.2180000000001</v>
          </cell>
          <cell r="AC19">
            <v>-2264.6140000000005</v>
          </cell>
          <cell r="AD19">
            <v>-1644.4614050883226</v>
          </cell>
          <cell r="AE19">
            <v>-2477.2969910222564</v>
          </cell>
          <cell r="AF19">
            <v>-1749.2847734043273</v>
          </cell>
        </row>
        <row r="20">
          <cell r="B20" t="str">
            <v>EBITDA</v>
          </cell>
          <cell r="C20" t="str">
            <v>EBITDA_CALC</v>
          </cell>
          <cell r="D20" t="str">
            <v>USD</v>
          </cell>
          <cell r="F20">
            <v>355.27800000000025</v>
          </cell>
          <cell r="G20">
            <v>292.51100000000019</v>
          </cell>
          <cell r="H20">
            <v>317.79800000000068</v>
          </cell>
          <cell r="I20">
            <v>398.59699999999975</v>
          </cell>
          <cell r="J20">
            <v>470.04200000000037</v>
          </cell>
          <cell r="K20">
            <v>462.63400000000001</v>
          </cell>
          <cell r="L20">
            <v>334.16200000000026</v>
          </cell>
          <cell r="M20">
            <v>333.38299999999981</v>
          </cell>
          <cell r="N20">
            <v>348.79413323524204</v>
          </cell>
          <cell r="O20">
            <v>352.8989417337234</v>
          </cell>
          <cell r="P20">
            <v>378.48916860084682</v>
          </cell>
          <cell r="Q20"/>
          <cell r="R20">
            <v>92.855999999999995</v>
          </cell>
          <cell r="S20">
            <v>224.94200000000023</v>
          </cell>
          <cell r="T20">
            <v>169.74300000000039</v>
          </cell>
          <cell r="U20">
            <v>228.85399999999981</v>
          </cell>
          <cell r="V20">
            <v>224.91599999999994</v>
          </cell>
          <cell r="W20">
            <v>245.12600000000066</v>
          </cell>
          <cell r="X20">
            <v>217.78800000000024</v>
          </cell>
          <cell r="Y20">
            <v>244.84599999999955</v>
          </cell>
          <cell r="Z20">
            <v>100.26299999999992</v>
          </cell>
          <cell r="AA20">
            <v>233.89899999999989</v>
          </cell>
          <cell r="AB20">
            <v>89.837999999999965</v>
          </cell>
          <cell r="AC20">
            <v>243.54499999999962</v>
          </cell>
          <cell r="AD20">
            <v>157.969950702289</v>
          </cell>
          <cell r="AE20">
            <v>190.82418253295373</v>
          </cell>
          <cell r="AF20">
            <v>158.10643739398324</v>
          </cell>
        </row>
        <row r="21">
          <cell r="B21" t="str">
            <v>Depreciation</v>
          </cell>
          <cell r="C21" t="str">
            <v>DEPREC</v>
          </cell>
          <cell r="D21" t="str">
            <v>USD</v>
          </cell>
          <cell r="F21">
            <v>-141.32</v>
          </cell>
          <cell r="G21">
            <v>-133.96799999999999</v>
          </cell>
          <cell r="H21">
            <v>-148.495</v>
          </cell>
          <cell r="I21">
            <v>-181.51900000000001</v>
          </cell>
          <cell r="J21">
            <v>-186.77600000000001</v>
          </cell>
          <cell r="K21">
            <v>-183.155</v>
          </cell>
          <cell r="L21">
            <v>-177.11</v>
          </cell>
          <cell r="M21">
            <v>-187.75299999999999</v>
          </cell>
          <cell r="N21">
            <v>-212.35263030271392</v>
          </cell>
          <cell r="O21">
            <v>-215.2351566667233</v>
          </cell>
          <cell r="P21">
            <v>-220.93023798039499</v>
          </cell>
          <cell r="Q21"/>
          <cell r="R21">
            <v>-77.715000000000003</v>
          </cell>
          <cell r="S21">
            <v>-70.78</v>
          </cell>
          <cell r="T21">
            <v>-81.486999999999995</v>
          </cell>
          <cell r="U21">
            <v>-100.03200000000001</v>
          </cell>
          <cell r="V21">
            <v>-100.801</v>
          </cell>
          <cell r="W21">
            <v>-85.975000000000009</v>
          </cell>
          <cell r="X21">
            <v>-84.766000000000005</v>
          </cell>
          <cell r="Y21">
            <v>-98.388999999999996</v>
          </cell>
          <cell r="Z21">
            <v>-72.525999999999996</v>
          </cell>
          <cell r="AA21">
            <v>-104.58400000000002</v>
          </cell>
          <cell r="AB21">
            <v>-74.051000000000002</v>
          </cell>
          <cell r="AC21">
            <v>-113.70199999999998</v>
          </cell>
          <cell r="AD21">
            <v>-106.17631515135696</v>
          </cell>
          <cell r="AE21">
            <v>-106.17631515135696</v>
          </cell>
          <cell r="AF21">
            <v>-107.61757833336165</v>
          </cell>
        </row>
        <row r="22">
          <cell r="B22" t="str">
            <v>Amortization</v>
          </cell>
          <cell r="C22" t="str">
            <v>GOODWILL_AMORT</v>
          </cell>
          <cell r="D22" t="str">
            <v>USD</v>
          </cell>
          <cell r="F22">
            <v>-2.9980000000000002</v>
          </cell>
          <cell r="G22">
            <v>-3.0179999999999998</v>
          </cell>
          <cell r="H22">
            <v>-3.0209999999999999</v>
          </cell>
          <cell r="I22">
            <v>-1.5720000000000001</v>
          </cell>
          <cell r="J22">
            <v>-13.811</v>
          </cell>
          <cell r="K22">
            <v>-44.323999999999998</v>
          </cell>
          <cell r="L22">
            <v>-42.914000000000001</v>
          </cell>
          <cell r="M22">
            <v>-39.369999999999997</v>
          </cell>
          <cell r="N22">
            <v>-37.160853402163823</v>
          </cell>
          <cell r="O22">
            <v>-35.075667400993417</v>
          </cell>
          <cell r="P22">
            <v>-33.107486265465404</v>
          </cell>
          <cell r="Q22"/>
          <cell r="R22">
            <v>-1.536</v>
          </cell>
          <cell r="S22">
            <v>-1.4849999999999999</v>
          </cell>
          <cell r="T22">
            <v>-0.79600000000000004</v>
          </cell>
          <cell r="U22">
            <v>-0.77600000000000002</v>
          </cell>
          <cell r="V22">
            <v>-2.141</v>
          </cell>
          <cell r="W22">
            <v>-11.67</v>
          </cell>
          <cell r="X22">
            <v>-20.789000000000001</v>
          </cell>
          <cell r="Y22">
            <v>-23.534999999999997</v>
          </cell>
          <cell r="Z22">
            <v>-21.173999999999999</v>
          </cell>
          <cell r="AA22">
            <v>-21.740000000000002</v>
          </cell>
          <cell r="AB22">
            <v>-20.491</v>
          </cell>
          <cell r="AC22">
            <v>-18.878999999999998</v>
          </cell>
          <cell r="AD22">
            <v>-18.580426701081912</v>
          </cell>
          <cell r="AE22">
            <v>-18.580426701081912</v>
          </cell>
          <cell r="AF22">
            <v>-17.537833700496709</v>
          </cell>
        </row>
        <row r="23">
          <cell r="B23" t="str">
            <v>EBIT, operating profit</v>
          </cell>
          <cell r="C23" t="str">
            <v>EBIT</v>
          </cell>
          <cell r="D23" t="str">
            <v>USD</v>
          </cell>
          <cell r="F23">
            <v>210.96000000000026</v>
          </cell>
          <cell r="G23">
            <v>155.5250000000002</v>
          </cell>
          <cell r="H23">
            <v>166.28200000000069</v>
          </cell>
          <cell r="I23">
            <v>215.50599999999974</v>
          </cell>
          <cell r="J23">
            <v>269.45500000000038</v>
          </cell>
          <cell r="K23">
            <v>235.15500000000003</v>
          </cell>
          <cell r="L23">
            <v>114.13800000000025</v>
          </cell>
          <cell r="M23">
            <v>106.25999999999982</v>
          </cell>
          <cell r="N23">
            <v>99.2806495303643</v>
          </cell>
          <cell r="O23">
            <v>102.5881176660067</v>
          </cell>
          <cell r="P23">
            <v>124.45144435498642</v>
          </cell>
          <cell r="Q23"/>
          <cell r="R23">
            <v>13.604999999999992</v>
          </cell>
          <cell r="S23">
            <v>152.67700000000022</v>
          </cell>
          <cell r="T23">
            <v>87.460000000000392</v>
          </cell>
          <cell r="U23">
            <v>128.04599999999979</v>
          </cell>
          <cell r="V23">
            <v>121.97399999999993</v>
          </cell>
          <cell r="W23">
            <v>147.48100000000065</v>
          </cell>
          <cell r="X23">
            <v>112.23300000000022</v>
          </cell>
          <cell r="Y23">
            <v>122.92199999999954</v>
          </cell>
          <cell r="Z23">
            <v>6.5629999999999242</v>
          </cell>
          <cell r="AA23">
            <v>107.57499999999987</v>
          </cell>
          <cell r="AB23">
            <v>-4.7040000000000362</v>
          </cell>
          <cell r="AC23">
            <v>110.96399999999963</v>
          </cell>
          <cell r="AD23">
            <v>33.213208849850126</v>
          </cell>
          <cell r="AE23">
            <v>66.067440680514864</v>
          </cell>
          <cell r="AF23">
            <v>32.951025360124888</v>
          </cell>
        </row>
        <row r="24">
          <cell r="B24" t="str">
            <v>Interest income</v>
          </cell>
          <cell r="C24" t="str">
            <v>INT_INC_IND</v>
          </cell>
          <cell r="D24" t="str">
            <v>USD</v>
          </cell>
          <cell r="F24">
            <v>7.3330000000000002</v>
          </cell>
          <cell r="G24">
            <v>5.915</v>
          </cell>
          <cell r="H24">
            <v>5.53</v>
          </cell>
          <cell r="I24">
            <v>9.77</v>
          </cell>
          <cell r="J24">
            <v>16.242000000000001</v>
          </cell>
          <cell r="K24">
            <v>21.837</v>
          </cell>
          <cell r="L24">
            <v>17.61</v>
          </cell>
          <cell r="M24">
            <v>10.978</v>
          </cell>
          <cell r="N24">
            <v>11.025788874211603</v>
          </cell>
          <cell r="O24">
            <v>13.887963578619125</v>
          </cell>
          <cell r="P24">
            <v>12.167330298354777</v>
          </cell>
          <cell r="Q24"/>
          <cell r="R24">
            <v>2.9359999999999999</v>
          </cell>
          <cell r="S24">
            <v>2.5940000000000003</v>
          </cell>
          <cell r="T24">
            <v>4.492</v>
          </cell>
          <cell r="U24">
            <v>5.2779999999999996</v>
          </cell>
          <cell r="V24">
            <v>7.9480000000000004</v>
          </cell>
          <cell r="W24">
            <v>8.2940000000000005</v>
          </cell>
          <cell r="X24">
            <v>11.526</v>
          </cell>
          <cell r="Y24">
            <v>10.311</v>
          </cell>
          <cell r="Z24">
            <v>9.1020000000000003</v>
          </cell>
          <cell r="AA24">
            <v>8.5079999999999991</v>
          </cell>
          <cell r="AB24">
            <v>5.8890000000000002</v>
          </cell>
          <cell r="AC24">
            <v>5.0889999999999995</v>
          </cell>
          <cell r="AD24">
            <v>5.5128944371058015</v>
          </cell>
          <cell r="AE24">
            <v>5.5128944371058015</v>
          </cell>
          <cell r="AF24">
            <v>6.9439817893095626</v>
          </cell>
        </row>
        <row r="25">
          <cell r="B25" t="str">
            <v>Interest expense</v>
          </cell>
          <cell r="C25" t="str">
            <v>INT_EXP_IND</v>
          </cell>
          <cell r="D25" t="str">
            <v>USD</v>
          </cell>
          <cell r="F25">
            <v>-3.2610000000000001</v>
          </cell>
          <cell r="G25">
            <v>-5.9550000000000001</v>
          </cell>
          <cell r="H25">
            <v>-3.8260000000000001</v>
          </cell>
          <cell r="I25">
            <v>-4.7569999999999997</v>
          </cell>
          <cell r="J25">
            <v>-13.324999999999999</v>
          </cell>
          <cell r="K25">
            <v>-29.332999999999998</v>
          </cell>
          <cell r="L25">
            <v>-16.992000000000001</v>
          </cell>
          <cell r="M25">
            <v>-12.718999999999999</v>
          </cell>
          <cell r="N25">
            <v>-13.653228512488875</v>
          </cell>
          <cell r="O25">
            <v>-13.653228512488875</v>
          </cell>
          <cell r="P25">
            <v>-13.653228512488875</v>
          </cell>
          <cell r="Q25"/>
          <cell r="R25">
            <v>-1.9490000000000001</v>
          </cell>
          <cell r="S25">
            <v>-1.877</v>
          </cell>
          <cell r="T25">
            <v>-2.9430000000000001</v>
          </cell>
          <cell r="U25">
            <v>-1.8139999999999996</v>
          </cell>
          <cell r="V25">
            <v>-3.4220000000000002</v>
          </cell>
          <cell r="W25">
            <v>-9.9029999999999987</v>
          </cell>
          <cell r="X25">
            <v>-15.298</v>
          </cell>
          <cell r="Y25">
            <v>-14.034999999999998</v>
          </cell>
          <cell r="Z25">
            <v>-11.840999999999999</v>
          </cell>
          <cell r="AA25">
            <v>-5.1510000000000016</v>
          </cell>
          <cell r="AB25">
            <v>-6.4459999999999997</v>
          </cell>
          <cell r="AC25">
            <v>-6.2729999999999997</v>
          </cell>
          <cell r="AD25">
            <v>-6.8266142562444374</v>
          </cell>
          <cell r="AE25">
            <v>-6.8266142562444374</v>
          </cell>
          <cell r="AF25">
            <v>-6.8266142562444374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USD</v>
          </cell>
          <cell r="F26">
            <v>4.0720000000000001</v>
          </cell>
          <cell r="G26">
            <v>-4.0000000000000036E-2</v>
          </cell>
          <cell r="H26">
            <v>1.7040000000000002</v>
          </cell>
          <cell r="I26">
            <v>5.0129999999999999</v>
          </cell>
          <cell r="J26">
            <v>2.9170000000000016</v>
          </cell>
          <cell r="K26">
            <v>-7.4959999999999987</v>
          </cell>
          <cell r="L26">
            <v>0.61799999999999855</v>
          </cell>
          <cell r="M26">
            <v>-1.7409999999999997</v>
          </cell>
          <cell r="N26">
            <v>-2.6274396382772718</v>
          </cell>
          <cell r="O26">
            <v>0.2347350661302503</v>
          </cell>
          <cell r="P26">
            <v>-1.4858982141340977</v>
          </cell>
          <cell r="Q26"/>
          <cell r="R26">
            <v>0.98699999999999988</v>
          </cell>
          <cell r="S26">
            <v>0.7170000000000003</v>
          </cell>
          <cell r="T26">
            <v>1.5489999999999999</v>
          </cell>
          <cell r="U26">
            <v>3.464</v>
          </cell>
          <cell r="V26">
            <v>4.5259999999999998</v>
          </cell>
          <cell r="W26">
            <v>-1.6089999999999982</v>
          </cell>
          <cell r="X26">
            <v>-3.7720000000000002</v>
          </cell>
          <cell r="Y26">
            <v>-3.7239999999999984</v>
          </cell>
          <cell r="Z26">
            <v>-2.738999999999999</v>
          </cell>
          <cell r="AA26">
            <v>3.3569999999999975</v>
          </cell>
          <cell r="AB26">
            <v>-0.5569999999999995</v>
          </cell>
          <cell r="AC26">
            <v>-1.1840000000000002</v>
          </cell>
          <cell r="AD26">
            <v>-1.3137198191386359</v>
          </cell>
          <cell r="AE26">
            <v>-1.3137198191386359</v>
          </cell>
          <cell r="AF26">
            <v>0.11736753306512515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USD</v>
          </cell>
          <cell r="F27">
            <v>3.6539999999999999</v>
          </cell>
          <cell r="G27">
            <v>11.446999999999999</v>
          </cell>
          <cell r="H27">
            <v>2.4049999999999998</v>
          </cell>
          <cell r="I27">
            <v>15.055</v>
          </cell>
          <cell r="J27">
            <v>2.2320000000000002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/>
          <cell r="R27">
            <v>1.2024999999999999</v>
          </cell>
          <cell r="S27">
            <v>1.2024999999999999</v>
          </cell>
          <cell r="T27">
            <v>7.5274999999999999</v>
          </cell>
          <cell r="U27">
            <v>7.5274999999999999</v>
          </cell>
          <cell r="V27">
            <v>1.1160000000000001</v>
          </cell>
          <cell r="W27">
            <v>1.1160000000000001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USD</v>
          </cell>
          <cell r="F28">
            <v>2.4049999999999998</v>
          </cell>
          <cell r="G28">
            <v>3.4</v>
          </cell>
          <cell r="H28">
            <v>2.9000000000000001E-2</v>
          </cell>
          <cell r="I28">
            <v>1.244</v>
          </cell>
          <cell r="J28">
            <v>1.913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/>
          <cell r="R28">
            <v>1.4500000000000001E-2</v>
          </cell>
          <cell r="S28">
            <v>1.4500000000000001E-2</v>
          </cell>
          <cell r="T28">
            <v>0.622</v>
          </cell>
          <cell r="U28">
            <v>0.622</v>
          </cell>
          <cell r="V28">
            <v>0.95650000000000002</v>
          </cell>
          <cell r="W28">
            <v>0.95650000000000002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USD</v>
          </cell>
          <cell r="F29">
            <v>13.061000000000007</v>
          </cell>
          <cell r="G29">
            <v>38.740999999999978</v>
          </cell>
          <cell r="H29">
            <v>41.178999999999725</v>
          </cell>
          <cell r="I29">
            <v>-12.263999999999967</v>
          </cell>
          <cell r="J29">
            <v>34.844999999999757</v>
          </cell>
          <cell r="K29">
            <v>38.251000000000388</v>
          </cell>
          <cell r="L29">
            <v>1.7680000000000824</v>
          </cell>
          <cell r="M29">
            <v>62.80799999999978</v>
          </cell>
          <cell r="N29">
            <v>4</v>
          </cell>
          <cell r="O29">
            <v>4</v>
          </cell>
          <cell r="P29">
            <v>4</v>
          </cell>
          <cell r="Q29"/>
          <cell r="R29">
            <v>13.809000000000093</v>
          </cell>
          <cell r="S29">
            <v>27.369999999999603</v>
          </cell>
          <cell r="T29">
            <v>-5.8595000000001995</v>
          </cell>
          <cell r="U29">
            <v>-6.4044999999997696</v>
          </cell>
          <cell r="V29">
            <v>15.581499999999897</v>
          </cell>
          <cell r="W29">
            <v>19.263499999999695</v>
          </cell>
          <cell r="X29">
            <v>9.6029999999998772</v>
          </cell>
          <cell r="Y29">
            <v>28.648000000000458</v>
          </cell>
          <cell r="Z29">
            <v>21.789000000000126</v>
          </cell>
          <cell r="AA29">
            <v>-20.021000000000267</v>
          </cell>
          <cell r="AB29">
            <v>19.132999999999949</v>
          </cell>
          <cell r="AC29">
            <v>43.675000000000047</v>
          </cell>
          <cell r="AD29">
            <v>2</v>
          </cell>
          <cell r="AE29">
            <v>2</v>
          </cell>
          <cell r="AF29">
            <v>2</v>
          </cell>
        </row>
        <row r="30">
          <cell r="B30" t="str">
            <v>Pre-tax profit</v>
          </cell>
          <cell r="C30" t="str">
            <v>PT_PROF</v>
          </cell>
          <cell r="D30" t="str">
            <v>USD</v>
          </cell>
          <cell r="F30">
            <v>234.15200000000027</v>
          </cell>
          <cell r="G30">
            <v>209.07300000000021</v>
          </cell>
          <cell r="H30">
            <v>211.59900000000042</v>
          </cell>
          <cell r="I30">
            <v>224.5539999999998</v>
          </cell>
          <cell r="J30">
            <v>311.36200000000019</v>
          </cell>
          <cell r="K30">
            <v>265.91000000000042</v>
          </cell>
          <cell r="L30">
            <v>116.52400000000033</v>
          </cell>
          <cell r="M30">
            <v>167.3269999999996</v>
          </cell>
          <cell r="N30">
            <v>100.65320989208703</v>
          </cell>
          <cell r="O30">
            <v>106.82285273213695</v>
          </cell>
          <cell r="P30">
            <v>126.96554614085233</v>
          </cell>
          <cell r="Q30"/>
          <cell r="R30">
            <v>29.618000000000087</v>
          </cell>
          <cell r="S30">
            <v>181.98099999999982</v>
          </cell>
          <cell r="T30">
            <v>91.299000000000206</v>
          </cell>
          <cell r="U30">
            <v>133.25500000000005</v>
          </cell>
          <cell r="V30">
            <v>144.15399999999983</v>
          </cell>
          <cell r="W30">
            <v>167.20800000000037</v>
          </cell>
          <cell r="X30">
            <v>118.06400000000009</v>
          </cell>
          <cell r="Y30">
            <v>147.846</v>
          </cell>
          <cell r="Z30">
            <v>25.613000000000049</v>
          </cell>
          <cell r="AA30">
            <v>90.910999999999603</v>
          </cell>
          <cell r="AB30">
            <v>13.871999999999915</v>
          </cell>
          <cell r="AC30">
            <v>153.45499999999967</v>
          </cell>
          <cell r="AD30">
            <v>33.899489030711493</v>
          </cell>
          <cell r="AE30">
            <v>66.753720861376223</v>
          </cell>
          <cell r="AF30">
            <v>35.068392893190016</v>
          </cell>
        </row>
        <row r="31">
          <cell r="A31" t="str">
            <v>Additional Income Statement Items</v>
          </cell>
          <cell r="B31"/>
          <cell r="C31"/>
          <cell r="D31"/>
          <cell r="F31">
            <v>2.8421709430404007E-13</v>
          </cell>
          <cell r="G31">
            <v>0</v>
          </cell>
          <cell r="H31">
            <v>4.2632564145606011E-13</v>
          </cell>
          <cell r="I31">
            <v>0</v>
          </cell>
          <cell r="J31">
            <v>0</v>
          </cell>
          <cell r="K31">
            <v>0</v>
          </cell>
          <cell r="L31">
            <v>3.2684965844964609E-13</v>
          </cell>
          <cell r="M31">
            <v>-3.979039320256561E-13</v>
          </cell>
          <cell r="N31">
            <v>-5.2580162446247414E-13</v>
          </cell>
          <cell r="O31">
            <v>-4.8316906031686813E-13</v>
          </cell>
          <cell r="P31">
            <v>-9.9475983006414026E-13</v>
          </cell>
          <cell r="Q31">
            <v>8.8817841970012523E-14</v>
          </cell>
          <cell r="R31">
            <v>8.8817841970012523E-14</v>
          </cell>
          <cell r="S31">
            <v>0</v>
          </cell>
          <cell r="T31">
            <v>1.9895196601282805E-13</v>
          </cell>
          <cell r="U31">
            <v>0</v>
          </cell>
          <cell r="V31">
            <v>0</v>
          </cell>
          <cell r="W31">
            <v>3.4106051316484809E-13</v>
          </cell>
          <cell r="X31">
            <v>0</v>
          </cell>
          <cell r="Y31">
            <v>0</v>
          </cell>
          <cell r="Z31">
            <v>4.9737991503207013E-14</v>
          </cell>
          <cell r="AA31">
            <v>-3.979039320256561E-13</v>
          </cell>
          <cell r="AB31">
            <v>-8.5265128291212022E-14</v>
          </cell>
          <cell r="AC31">
            <v>-3.1263880373444408E-13</v>
          </cell>
          <cell r="AD31">
            <v>0</v>
          </cell>
          <cell r="AE31">
            <v>-3.694822225952521E-13</v>
          </cell>
          <cell r="AF31">
            <v>1.2789769243681803E-13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USD</v>
          </cell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</row>
        <row r="33">
          <cell r="B33" t="str">
            <v>Operating lease cost</v>
          </cell>
          <cell r="C33" t="str">
            <v>LEASE_PAY</v>
          </cell>
          <cell r="D33" t="str">
            <v>USD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USD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USD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</row>
        <row r="36">
          <cell r="B36" t="str">
            <v>Gross interest charge</v>
          </cell>
          <cell r="C36" t="str">
            <v>NET_INT_CH</v>
          </cell>
          <cell r="D36" t="str">
            <v>USD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</row>
        <row r="37">
          <cell r="B37" t="str">
            <v>Income from associates (operating)</v>
          </cell>
          <cell r="C37" t="str">
            <v>ASSOCIATE_OP</v>
          </cell>
          <cell r="D37" t="str">
            <v>USD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</row>
        <row r="38">
          <cell r="B38" t="str">
            <v>Depreciation ROU assets   (applicable to IFRS cos.)</v>
          </cell>
          <cell r="C38" t="str">
            <v>DEPR_ROU_ASSETS</v>
          </cell>
          <cell r="D38" t="str">
            <v>USD</v>
          </cell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</row>
        <row r="39">
          <cell r="B39" t="str">
            <v>Lease interest charge  (applicable to IFRS cos.)</v>
          </cell>
          <cell r="C39" t="str">
            <v>LEASE_INT_CHG</v>
          </cell>
          <cell r="D39" t="str">
            <v>USD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</row>
        <row r="40">
          <cell r="B40" t="str">
            <v>Lease standard adopted (US GAAP ASC 842/ IFRS 16)</v>
          </cell>
          <cell r="C40" t="str">
            <v>LEASE_ADOPT</v>
          </cell>
          <cell r="E40"/>
        </row>
        <row r="41">
          <cell r="A41" t="str">
            <v>Balance Sheet</v>
          </cell>
          <cell r="B41"/>
          <cell r="C41"/>
          <cell r="D41"/>
        </row>
        <row r="42">
          <cell r="B42" t="str">
            <v>Cash &amp; cash equivalents</v>
          </cell>
          <cell r="C42" t="str">
            <v>CASH_EQ</v>
          </cell>
          <cell r="D42" t="str">
            <v>USD</v>
          </cell>
          <cell r="F42">
            <v>514.12400000000002</v>
          </cell>
          <cell r="G42">
            <v>409.23899999999998</v>
          </cell>
          <cell r="H42">
            <v>414.899</v>
          </cell>
          <cell r="I42">
            <v>767.55399999999997</v>
          </cell>
          <cell r="J42">
            <v>1064.8240000000001</v>
          </cell>
          <cell r="K42">
            <v>892.11099999999999</v>
          </cell>
          <cell r="L42">
            <v>766.11199999999997</v>
          </cell>
          <cell r="M42">
            <v>769.447</v>
          </cell>
          <cell r="N42">
            <v>969.18706077091042</v>
          </cell>
          <cell r="O42">
            <v>849.11074417318048</v>
          </cell>
          <cell r="P42">
            <v>1022.4056066883066</v>
          </cell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</row>
        <row r="43">
          <cell r="B43" t="str">
            <v>Accounts receivable</v>
          </cell>
          <cell r="C43" t="str">
            <v>DEBTORS</v>
          </cell>
          <cell r="D43" t="str">
            <v>USD</v>
          </cell>
          <cell r="F43">
            <v>750.20399999999995</v>
          </cell>
          <cell r="G43">
            <v>607.54499999999996</v>
          </cell>
          <cell r="H43">
            <v>804.43100000000004</v>
          </cell>
          <cell r="I43">
            <v>993.03399999999999</v>
          </cell>
          <cell r="J43">
            <v>935.13499999999999</v>
          </cell>
          <cell r="K43">
            <v>930.22299999999996</v>
          </cell>
          <cell r="L43">
            <v>871.53399999999999</v>
          </cell>
          <cell r="M43">
            <v>1032.829</v>
          </cell>
          <cell r="N43">
            <v>975.85761592524591</v>
          </cell>
          <cell r="O43">
            <v>1104.7024575507246</v>
          </cell>
          <cell r="P43">
            <v>1089.1908237568557</v>
          </cell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</row>
        <row r="44">
          <cell r="B44" t="str">
            <v>Inventory</v>
          </cell>
          <cell r="C44" t="str">
            <v>STOCKS</v>
          </cell>
          <cell r="D44" t="str">
            <v>USD</v>
          </cell>
          <cell r="F44">
            <v>246.137</v>
          </cell>
          <cell r="G44">
            <v>243.28100000000001</v>
          </cell>
          <cell r="H44">
            <v>368.48099999999999</v>
          </cell>
          <cell r="I44">
            <v>528.32600000000002</v>
          </cell>
          <cell r="J44">
            <v>649.70799999999997</v>
          </cell>
          <cell r="K44">
            <v>702.58699999999999</v>
          </cell>
          <cell r="L44">
            <v>944.12800000000004</v>
          </cell>
          <cell r="M44">
            <v>982.40300000000002</v>
          </cell>
          <cell r="N44">
            <v>931.38505046289583</v>
          </cell>
          <cell r="O44">
            <v>1100.8922932971996</v>
          </cell>
          <cell r="P44">
            <v>1064.25528200077</v>
          </cell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</row>
        <row r="45">
          <cell r="B45" t="str">
            <v>Other current assets</v>
          </cell>
          <cell r="C45" t="str">
            <v>OTH_CUR_ASS</v>
          </cell>
          <cell r="D45" t="str">
            <v>USD</v>
          </cell>
          <cell r="F45">
            <v>193.98700000000008</v>
          </cell>
          <cell r="G45">
            <v>271.11000000000013</v>
          </cell>
          <cell r="H45">
            <v>255.50800000000004</v>
          </cell>
          <cell r="I45">
            <v>123.10500000000002</v>
          </cell>
          <cell r="J45">
            <v>103.1430000000001</v>
          </cell>
          <cell r="K45">
            <v>216.98800000000031</v>
          </cell>
          <cell r="L45">
            <v>266.33899999999971</v>
          </cell>
          <cell r="M45">
            <v>249.20500000000013</v>
          </cell>
          <cell r="N45">
            <v>249.20500000000013</v>
          </cell>
          <cell r="O45">
            <v>249.20500000000013</v>
          </cell>
          <cell r="P45">
            <v>249.20500000000013</v>
          </cell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</row>
        <row r="46">
          <cell r="B46" t="str">
            <v>Total current assets</v>
          </cell>
          <cell r="C46" t="str">
            <v>CUR_ASS</v>
          </cell>
          <cell r="D46" t="str">
            <v>USD</v>
          </cell>
          <cell r="F46">
            <v>1704.452</v>
          </cell>
          <cell r="G46">
            <v>1531.175</v>
          </cell>
          <cell r="H46">
            <v>1843.319</v>
          </cell>
          <cell r="I46">
            <v>2412.0189999999998</v>
          </cell>
          <cell r="J46">
            <v>2752.81</v>
          </cell>
          <cell r="K46">
            <v>2741.9090000000001</v>
          </cell>
          <cell r="L46">
            <v>2848.1129999999994</v>
          </cell>
          <cell r="M46">
            <v>3033.884</v>
          </cell>
          <cell r="N46">
            <v>3125.6347271590521</v>
          </cell>
          <cell r="O46">
            <v>3303.9104950211045</v>
          </cell>
          <cell r="P46">
            <v>3425.0567124459321</v>
          </cell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</row>
        <row r="47">
          <cell r="B47" t="str">
            <v>Gross fixed assets, PP&amp;E</v>
          </cell>
          <cell r="C47" t="str">
            <v>GR_FIX_ASS</v>
          </cell>
          <cell r="D47" t="str">
            <v>USD</v>
          </cell>
          <cell r="F47">
            <v>1394.9450000000002</v>
          </cell>
          <cell r="G47">
            <v>1387.673</v>
          </cell>
          <cell r="H47">
            <v>1471.4110000000001</v>
          </cell>
          <cell r="I47">
            <v>1647.624</v>
          </cell>
          <cell r="J47">
            <v>1682.664</v>
          </cell>
          <cell r="K47">
            <v>1832.5729999999999</v>
          </cell>
          <cell r="L47">
            <v>2171.4749999999999</v>
          </cell>
          <cell r="M47">
            <v>2454.5959999999995</v>
          </cell>
          <cell r="N47">
            <v>2678.1236264672907</v>
          </cell>
          <cell r="O47">
            <v>2915.4375098481437</v>
          </cell>
          <cell r="P47">
            <v>3168.8460692396839</v>
          </cell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</row>
        <row r="48">
          <cell r="B48" t="str">
            <v>Accumulated depreciation</v>
          </cell>
          <cell r="C48" t="str">
            <v>ACC_DDA</v>
          </cell>
          <cell r="D48" t="str">
            <v>USD</v>
          </cell>
          <cell r="F48">
            <v>-639.67700000000002</v>
          </cell>
          <cell r="G48">
            <v>-696.99</v>
          </cell>
          <cell r="H48">
            <v>-760.76400000000001</v>
          </cell>
          <cell r="I48">
            <v>-971.74099999999999</v>
          </cell>
          <cell r="J48">
            <v>-1083.328</v>
          </cell>
          <cell r="K48">
            <v>-1266.4829999999999</v>
          </cell>
          <cell r="L48">
            <v>-1443.5929999999998</v>
          </cell>
          <cell r="M48">
            <v>-1631.3459999999998</v>
          </cell>
          <cell r="N48">
            <v>-1843.6986303027138</v>
          </cell>
          <cell r="O48">
            <v>-2058.9337869694373</v>
          </cell>
          <cell r="P48">
            <v>-2279.8640249498321</v>
          </cell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</row>
        <row r="49">
          <cell r="B49" t="str">
            <v>Net PP&amp;E</v>
          </cell>
          <cell r="C49" t="str">
            <v>NET_FIX_ASS</v>
          </cell>
          <cell r="D49" t="str">
            <v>USD</v>
          </cell>
          <cell r="F49">
            <v>755.26800000000003</v>
          </cell>
          <cell r="G49">
            <v>690.68299999999999</v>
          </cell>
          <cell r="H49">
            <v>710.64700000000005</v>
          </cell>
          <cell r="I49">
            <v>675.88300000000004</v>
          </cell>
          <cell r="J49">
            <v>599.33600000000001</v>
          </cell>
          <cell r="K49">
            <v>566.09</v>
          </cell>
          <cell r="L49">
            <v>727.88199999999995</v>
          </cell>
          <cell r="M49">
            <v>823.25</v>
          </cell>
          <cell r="N49">
            <v>834.4249961645769</v>
          </cell>
          <cell r="O49">
            <v>856.50372287870641</v>
          </cell>
          <cell r="P49">
            <v>888.98204428985173</v>
          </cell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</row>
        <row r="50">
          <cell r="B50" t="str">
            <v>Gross intangibles</v>
          </cell>
          <cell r="C50" t="str">
            <v>GR_INTANG</v>
          </cell>
          <cell r="D50" t="str">
            <v>USD</v>
          </cell>
          <cell r="F50">
            <v>9.2270000000000003</v>
          </cell>
          <cell r="G50">
            <v>9.4130000000000003</v>
          </cell>
          <cell r="H50">
            <v>9.6559999999999988</v>
          </cell>
          <cell r="I50">
            <v>24.548000000000002</v>
          </cell>
          <cell r="J50">
            <v>816.10399999999993</v>
          </cell>
          <cell r="K50">
            <v>814.01100000000008</v>
          </cell>
          <cell r="L50">
            <v>821.62800000000004</v>
          </cell>
          <cell r="M50">
            <v>785.68399999999997</v>
          </cell>
          <cell r="N50">
            <v>814.01099999999997</v>
          </cell>
          <cell r="O50">
            <v>814.01099999999997</v>
          </cell>
          <cell r="P50">
            <v>814.01099999999997</v>
          </cell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</row>
        <row r="51">
          <cell r="B51" t="str">
            <v>Accumulated amortization</v>
          </cell>
          <cell r="C51" t="str">
            <v>ACC_AMORT</v>
          </cell>
          <cell r="D51" t="str">
            <v>USD</v>
          </cell>
          <cell r="F51">
            <v>-3.0979999999999999</v>
          </cell>
          <cell r="G51">
            <v>-6.2380000000000004</v>
          </cell>
          <cell r="H51">
            <v>-9.2249999999999996</v>
          </cell>
          <cell r="I51">
            <v>-10.599</v>
          </cell>
          <cell r="J51">
            <v>-25.146000000000001</v>
          </cell>
          <cell r="K51">
            <v>-69.47</v>
          </cell>
          <cell r="L51">
            <v>-112.384</v>
          </cell>
          <cell r="M51">
            <v>-151.75399999999999</v>
          </cell>
          <cell r="N51">
            <v>-188.91485340216383</v>
          </cell>
          <cell r="O51">
            <v>-223.99052080315724</v>
          </cell>
          <cell r="P51">
            <v>-257.09800706862262</v>
          </cell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</row>
        <row r="52">
          <cell r="B52" t="str">
            <v>Net intangible assets</v>
          </cell>
          <cell r="C52" t="str">
            <v>NET_INTANG</v>
          </cell>
          <cell r="D52" t="str">
            <v>USD</v>
          </cell>
          <cell r="F52">
            <v>6.1289999999999996</v>
          </cell>
          <cell r="G52">
            <v>3.1749999999999998</v>
          </cell>
          <cell r="H52">
            <v>0.43099999999999999</v>
          </cell>
          <cell r="I52">
            <v>13.949</v>
          </cell>
          <cell r="J52">
            <v>790.95799999999997</v>
          </cell>
          <cell r="K52">
            <v>744.54100000000005</v>
          </cell>
          <cell r="L52">
            <v>709.24400000000003</v>
          </cell>
          <cell r="M52">
            <v>633.92999999999995</v>
          </cell>
          <cell r="N52">
            <v>625.0961465978362</v>
          </cell>
          <cell r="O52">
            <v>590.02047919684276</v>
          </cell>
          <cell r="P52">
            <v>556.9129929313774</v>
          </cell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</row>
        <row r="53">
          <cell r="B53" t="str">
            <v>Equity method investments</v>
          </cell>
          <cell r="C53" t="str">
            <v>FIX_ASS_INV</v>
          </cell>
          <cell r="D53" t="str">
            <v>USD</v>
          </cell>
          <cell r="F53">
            <v>0</v>
          </cell>
          <cell r="G53">
            <v>0.89</v>
          </cell>
          <cell r="H53">
            <v>1.331</v>
          </cell>
          <cell r="I53">
            <v>6.5460000000000003</v>
          </cell>
          <cell r="J53">
            <v>6.1989999999999998</v>
          </cell>
          <cell r="K53">
            <v>21.71</v>
          </cell>
          <cell r="L53">
            <v>24.425999999999998</v>
          </cell>
          <cell r="M53">
            <v>171.65700000000001</v>
          </cell>
          <cell r="N53">
            <v>171.65700000000001</v>
          </cell>
          <cell r="O53">
            <v>171.65700000000001</v>
          </cell>
          <cell r="P53">
            <v>171.65700000000001</v>
          </cell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</row>
        <row r="54">
          <cell r="B54" t="str">
            <v>Investments in securities</v>
          </cell>
          <cell r="C54" t="str">
            <v>INV_SECUR</v>
          </cell>
          <cell r="D54" t="str">
            <v>USD</v>
          </cell>
          <cell r="F54">
            <v>0</v>
          </cell>
          <cell r="G54">
            <v>0</v>
          </cell>
          <cell r="H54">
            <v>5.8570000000000002</v>
          </cell>
          <cell r="I54">
            <v>10.378</v>
          </cell>
          <cell r="J54">
            <v>17.102</v>
          </cell>
          <cell r="K54">
            <v>17.693999999999999</v>
          </cell>
          <cell r="L54">
            <v>23.024000000000001</v>
          </cell>
          <cell r="M54">
            <v>28.59</v>
          </cell>
          <cell r="N54">
            <v>28.59</v>
          </cell>
          <cell r="O54">
            <v>28.59</v>
          </cell>
          <cell r="P54">
            <v>28.59</v>
          </cell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</row>
        <row r="55">
          <cell r="B55" t="str">
            <v>Other long-term assets</v>
          </cell>
          <cell r="C55" t="str">
            <v>OTH_LT_ASS</v>
          </cell>
          <cell r="D55" t="str">
            <v>USD</v>
          </cell>
          <cell r="F55">
            <v>39.518000000000143</v>
          </cell>
          <cell r="G55">
            <v>40.473000000000297</v>
          </cell>
          <cell r="H55">
            <v>53.114000000000004</v>
          </cell>
          <cell r="I55">
            <v>61.859000000000194</v>
          </cell>
          <cell r="J55">
            <v>143.33899999999969</v>
          </cell>
          <cell r="K55">
            <v>315.08500000000021</v>
          </cell>
          <cell r="L55">
            <v>306.24800000000005</v>
          </cell>
          <cell r="M55">
            <v>315.35299999999978</v>
          </cell>
          <cell r="N55">
            <v>315.35299999999978</v>
          </cell>
          <cell r="O55">
            <v>315.35299999999978</v>
          </cell>
          <cell r="P55">
            <v>315.35299999999978</v>
          </cell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</row>
        <row r="56">
          <cell r="B56" t="str">
            <v>Total assets</v>
          </cell>
          <cell r="C56" t="str">
            <v>TOT_ASSET</v>
          </cell>
          <cell r="D56" t="str">
            <v>USD</v>
          </cell>
          <cell r="F56">
            <v>2505.3670000000002</v>
          </cell>
          <cell r="G56">
            <v>2266.3960000000006</v>
          </cell>
          <cell r="H56">
            <v>2614.6990000000001</v>
          </cell>
          <cell r="I56">
            <v>3180.6340000000005</v>
          </cell>
          <cell r="J56">
            <v>4309.7439999999988</v>
          </cell>
          <cell r="K56">
            <v>4407.0290000000005</v>
          </cell>
          <cell r="L56">
            <v>4638.9369999999999</v>
          </cell>
          <cell r="M56">
            <v>5006.6640000000007</v>
          </cell>
          <cell r="N56">
            <v>5100.755869921466</v>
          </cell>
          <cell r="O56">
            <v>5266.0346970966539</v>
          </cell>
          <cell r="P56">
            <v>5386.5517496671619</v>
          </cell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</row>
        <row r="57">
          <cell r="B57" t="str">
            <v>Accounts payable</v>
          </cell>
          <cell r="C57" t="str">
            <v>ACC_PAY_GQ</v>
          </cell>
          <cell r="D57" t="str">
            <v>USD</v>
          </cell>
          <cell r="F57">
            <v>381.48700000000002</v>
          </cell>
          <cell r="G57">
            <v>357.94200000000001</v>
          </cell>
          <cell r="H57">
            <v>564.173</v>
          </cell>
          <cell r="I57">
            <v>589.48400000000004</v>
          </cell>
          <cell r="J57">
            <v>722.08900000000006</v>
          </cell>
          <cell r="K57">
            <v>691.49800000000005</v>
          </cell>
          <cell r="L57">
            <v>673.89400000000001</v>
          </cell>
          <cell r="M57">
            <v>773.29200000000003</v>
          </cell>
          <cell r="N57">
            <v>786.86130200779564</v>
          </cell>
          <cell r="O57">
            <v>869.88653257923863</v>
          </cell>
          <cell r="P57">
            <v>895.17942554410604</v>
          </cell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</row>
        <row r="58">
          <cell r="B58" t="str">
            <v>Short-term debt</v>
          </cell>
          <cell r="C58" t="str">
            <v>SHORT_T_DEBT</v>
          </cell>
          <cell r="D58" t="str">
            <v>USD</v>
          </cell>
          <cell r="F58">
            <v>445.99900000000002</v>
          </cell>
          <cell r="G58">
            <v>339.33699999999999</v>
          </cell>
          <cell r="H58">
            <v>384.81799999999998</v>
          </cell>
          <cell r="I58">
            <v>296.12700000000001</v>
          </cell>
          <cell r="J58">
            <v>989.40099999999995</v>
          </cell>
          <cell r="K58">
            <v>493.54599999999999</v>
          </cell>
          <cell r="L58">
            <v>604.37</v>
          </cell>
          <cell r="M58">
            <v>689.89099999999996</v>
          </cell>
          <cell r="N58">
            <v>689.89099999999996</v>
          </cell>
          <cell r="O58">
            <v>689.89099999999996</v>
          </cell>
          <cell r="P58">
            <v>689.89099999999996</v>
          </cell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</row>
        <row r="59">
          <cell r="B59" t="str">
            <v>Current lease liabilities (op lease: US GAAP)</v>
          </cell>
          <cell r="C59" t="str">
            <v>ST_LEASE_LIAB</v>
          </cell>
          <cell r="D59" t="str">
            <v>USD</v>
          </cell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</row>
        <row r="60">
          <cell r="B60" t="str">
            <v>Other current liabilities</v>
          </cell>
          <cell r="C60" t="str">
            <v>OTH_CUR_LIABS</v>
          </cell>
          <cell r="D60" t="str">
            <v>USD</v>
          </cell>
          <cell r="F60">
            <v>620.53599999999983</v>
          </cell>
          <cell r="G60">
            <v>379.98099999999999</v>
          </cell>
          <cell r="H60">
            <v>380.37699999999995</v>
          </cell>
          <cell r="I60">
            <v>391.26299999999998</v>
          </cell>
          <cell r="J60">
            <v>557.59599999999989</v>
          </cell>
          <cell r="K60">
            <v>477.13400000000007</v>
          </cell>
          <cell r="L60">
            <v>511.69799999999998</v>
          </cell>
          <cell r="M60">
            <v>473.9939999999998</v>
          </cell>
          <cell r="N60">
            <v>473.9939999999998</v>
          </cell>
          <cell r="O60">
            <v>473.9939999999998</v>
          </cell>
          <cell r="P60">
            <v>473.9939999999998</v>
          </cell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</row>
        <row r="61">
          <cell r="B61" t="str">
            <v>Total current liabilities</v>
          </cell>
          <cell r="C61" t="str">
            <v>SHORT_TERM_LIABS</v>
          </cell>
          <cell r="D61" t="str">
            <v>USD</v>
          </cell>
          <cell r="F61">
            <v>1448.0219999999999</v>
          </cell>
          <cell r="G61">
            <v>1077.26</v>
          </cell>
          <cell r="H61">
            <v>1329.3679999999999</v>
          </cell>
          <cell r="I61">
            <v>1276.874</v>
          </cell>
          <cell r="J61">
            <v>2269.0859999999998</v>
          </cell>
          <cell r="K61">
            <v>1662.1780000000001</v>
          </cell>
          <cell r="L61">
            <v>1789.962</v>
          </cell>
          <cell r="M61">
            <v>1937.1769999999997</v>
          </cell>
          <cell r="N61">
            <v>1950.7463020077953</v>
          </cell>
          <cell r="O61">
            <v>2033.7715325792383</v>
          </cell>
          <cell r="P61">
            <v>2059.0644255441057</v>
          </cell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</row>
        <row r="62">
          <cell r="B62" t="str">
            <v>Long-term  debt</v>
          </cell>
          <cell r="C62" t="str">
            <v>LT_DEBT</v>
          </cell>
          <cell r="D62" t="str">
            <v>USD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574.17600000000004</v>
          </cell>
          <cell r="L62">
            <v>574.55899999999997</v>
          </cell>
          <cell r="M62">
            <v>575.63199999999995</v>
          </cell>
          <cell r="N62">
            <v>575.63199999999995</v>
          </cell>
          <cell r="O62">
            <v>575.63199999999995</v>
          </cell>
          <cell r="P62">
            <v>575.63199999999995</v>
          </cell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</row>
        <row r="63">
          <cell r="B63" t="str">
            <v>Non-current lease liabilities (op lease: US GAAP)</v>
          </cell>
          <cell r="C63" t="str">
            <v>LT_LEASE_LIAB</v>
          </cell>
          <cell r="D63" t="str">
            <v>USD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</row>
        <row r="64">
          <cell r="B64" t="str">
            <v>Other long-term liabilities</v>
          </cell>
          <cell r="C64" t="str">
            <v>OTH_LT_CRED_GQ</v>
          </cell>
          <cell r="D64" t="str">
            <v>USD</v>
          </cell>
          <cell r="F64">
            <v>3.4320000000000164</v>
          </cell>
          <cell r="G64">
            <v>2.5789999999999509</v>
          </cell>
          <cell r="H64">
            <v>1.34699999999998</v>
          </cell>
          <cell r="I64">
            <v>9.8569999999999709</v>
          </cell>
          <cell r="J64">
            <v>93.330000000000382</v>
          </cell>
          <cell r="K64">
            <v>93.327999999999633</v>
          </cell>
          <cell r="L64">
            <v>84.040000000000191</v>
          </cell>
          <cell r="M64">
            <v>98.272000000000276</v>
          </cell>
          <cell r="N64">
            <v>98.272000000000276</v>
          </cell>
          <cell r="O64">
            <v>98.272000000000276</v>
          </cell>
          <cell r="P64">
            <v>98.272000000000276</v>
          </cell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</row>
        <row r="65">
          <cell r="B65" t="str">
            <v>Total long-term liabilities</v>
          </cell>
          <cell r="C65" t="str">
            <v>TOT_LT_LIAB</v>
          </cell>
          <cell r="D65" t="str">
            <v>USD</v>
          </cell>
          <cell r="F65">
            <v>3.4320000000000164</v>
          </cell>
          <cell r="G65">
            <v>2.5789999999999509</v>
          </cell>
          <cell r="H65">
            <v>1.34699999999998</v>
          </cell>
          <cell r="I65">
            <v>9.8569999999999709</v>
          </cell>
          <cell r="J65">
            <v>93.330000000000382</v>
          </cell>
          <cell r="K65">
            <v>667.50399999999968</v>
          </cell>
          <cell r="L65">
            <v>658.59900000000016</v>
          </cell>
          <cell r="M65">
            <v>673.90400000000022</v>
          </cell>
          <cell r="N65">
            <v>673.90400000000022</v>
          </cell>
          <cell r="O65">
            <v>673.90400000000022</v>
          </cell>
          <cell r="P65">
            <v>673.90400000000022</v>
          </cell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</row>
        <row r="66">
          <cell r="B66" t="str">
            <v>Total liabilities</v>
          </cell>
          <cell r="C66" t="str">
            <v>TOT_LIAB</v>
          </cell>
          <cell r="D66" t="str">
            <v>USD</v>
          </cell>
          <cell r="F66">
            <v>1451.454</v>
          </cell>
          <cell r="G66">
            <v>1079.8389999999999</v>
          </cell>
          <cell r="H66">
            <v>1330.7149999999999</v>
          </cell>
          <cell r="I66">
            <v>1286.731</v>
          </cell>
          <cell r="J66">
            <v>2362.4160000000002</v>
          </cell>
          <cell r="K66">
            <v>2329.6819999999998</v>
          </cell>
          <cell r="L66">
            <v>2448.5610000000001</v>
          </cell>
          <cell r="M66">
            <v>2611.0810000000001</v>
          </cell>
          <cell r="N66">
            <v>2624.6503020077953</v>
          </cell>
          <cell r="O66">
            <v>2707.6755325792383</v>
          </cell>
          <cell r="P66">
            <v>2732.9684255441061</v>
          </cell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</row>
        <row r="67">
          <cell r="B67" t="str">
            <v>Preferred shares</v>
          </cell>
          <cell r="C67" t="str">
            <v>PREF_SH</v>
          </cell>
          <cell r="D67" t="str">
            <v>USD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</row>
        <row r="68">
          <cell r="B68" t="str">
            <v>Total common equity</v>
          </cell>
          <cell r="C68" t="str">
            <v>ORD_SH_FUND</v>
          </cell>
          <cell r="D68" t="str">
            <v>USD</v>
          </cell>
          <cell r="F68">
            <v>1053.8820000000001</v>
          </cell>
          <cell r="G68">
            <v>1186.521</v>
          </cell>
          <cell r="H68">
            <v>1283.9509999999998</v>
          </cell>
          <cell r="I68">
            <v>1893.874</v>
          </cell>
          <cell r="J68">
            <v>1934.578</v>
          </cell>
          <cell r="K68">
            <v>2066.7469999999998</v>
          </cell>
          <cell r="L68">
            <v>2187.8719999999998</v>
          </cell>
          <cell r="M68">
            <v>2394.5699999999997</v>
          </cell>
          <cell r="N68">
            <v>2474.0085679136696</v>
          </cell>
          <cell r="O68">
            <v>2555.1781645174151</v>
          </cell>
          <cell r="P68">
            <v>2649.3183241230549</v>
          </cell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</row>
        <row r="69">
          <cell r="B69" t="str">
            <v>Minority interest</v>
          </cell>
          <cell r="C69" t="str">
            <v>MINORITIES</v>
          </cell>
          <cell r="D69" t="str">
            <v>USD</v>
          </cell>
          <cell r="F69">
            <v>3.1E-2</v>
          </cell>
          <cell r="G69">
            <v>3.5999999999999997E-2</v>
          </cell>
          <cell r="H69">
            <v>3.3000000000000002E-2</v>
          </cell>
          <cell r="I69">
            <v>2.9000000000000001E-2</v>
          </cell>
          <cell r="J69">
            <v>12.75</v>
          </cell>
          <cell r="K69">
            <v>10.6</v>
          </cell>
          <cell r="L69">
            <v>2.504</v>
          </cell>
          <cell r="M69">
            <v>1.0129999999999999</v>
          </cell>
          <cell r="N69">
            <v>2.0969999999999995</v>
          </cell>
          <cell r="O69">
            <v>3.1809999999999992</v>
          </cell>
          <cell r="P69">
            <v>4.2649999999999988</v>
          </cell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</row>
        <row r="70">
          <cell r="B70" t="str">
            <v>Total shareholders' equity</v>
          </cell>
          <cell r="C70" t="str">
            <v>EQ</v>
          </cell>
          <cell r="D70" t="str">
            <v>USD</v>
          </cell>
          <cell r="F70">
            <v>1053.913</v>
          </cell>
          <cell r="G70">
            <v>1186.557</v>
          </cell>
          <cell r="H70">
            <v>1283.9839999999997</v>
          </cell>
          <cell r="I70">
            <v>1893.903</v>
          </cell>
          <cell r="J70">
            <v>1947.328</v>
          </cell>
          <cell r="K70">
            <v>2077.3469999999998</v>
          </cell>
          <cell r="L70">
            <v>2190.3759999999997</v>
          </cell>
          <cell r="M70">
            <v>2395.5829999999996</v>
          </cell>
          <cell r="N70">
            <v>2476.1055679136698</v>
          </cell>
          <cell r="O70">
            <v>2558.3591645174151</v>
          </cell>
          <cell r="P70">
            <v>2653.5833241230548</v>
          </cell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</row>
        <row r="71">
          <cell r="B71" t="str">
            <v>Total liabilities and equity</v>
          </cell>
          <cell r="C71" t="str">
            <v>TOT_LIAB_EQ</v>
          </cell>
          <cell r="D71" t="str">
            <v>USD</v>
          </cell>
          <cell r="F71">
            <v>2505.3670000000002</v>
          </cell>
          <cell r="G71">
            <v>2266.3959999999997</v>
          </cell>
          <cell r="H71">
            <v>2614.6989999999996</v>
          </cell>
          <cell r="I71">
            <v>3180.634</v>
          </cell>
          <cell r="J71">
            <v>4309.7440000000006</v>
          </cell>
          <cell r="K71">
            <v>4407.0289999999995</v>
          </cell>
          <cell r="L71">
            <v>4638.9369999999999</v>
          </cell>
          <cell r="M71">
            <v>5006.6639999999998</v>
          </cell>
          <cell r="N71">
            <v>5100.7558699214651</v>
          </cell>
          <cell r="O71">
            <v>5266.034697096653</v>
          </cell>
          <cell r="P71">
            <v>5386.5517496671609</v>
          </cell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</row>
        <row r="72">
          <cell r="A72" t="str">
            <v>Additional Balance Sheet Items</v>
          </cell>
          <cell r="B72"/>
          <cell r="C72"/>
          <cell r="D72"/>
          <cell r="F72" t="b">
            <v>1</v>
          </cell>
          <cell r="G72" t="b">
            <v>1</v>
          </cell>
          <cell r="H72" t="b">
            <v>1</v>
          </cell>
          <cell r="I72" t="b">
            <v>1</v>
          </cell>
          <cell r="J72" t="b">
            <v>1</v>
          </cell>
          <cell r="K72" t="b">
            <v>1</v>
          </cell>
          <cell r="L72" t="b">
            <v>1</v>
          </cell>
          <cell r="M72" t="b">
            <v>1</v>
          </cell>
          <cell r="N72" t="b">
            <v>1</v>
          </cell>
          <cell r="O72" t="b">
            <v>1</v>
          </cell>
          <cell r="P72" t="b">
            <v>1</v>
          </cell>
          <cell r="Q72" t="b">
            <v>1</v>
          </cell>
        </row>
        <row r="73">
          <cell r="B73" t="str">
            <v>Total US$ debt (in US$)</v>
          </cell>
          <cell r="C73" t="str">
            <v>TOT_USD_DEBT</v>
          </cell>
          <cell r="F73">
            <v>114.307</v>
          </cell>
          <cell r="G73">
            <v>87.043000000000006</v>
          </cell>
          <cell r="H73">
            <v>118.833</v>
          </cell>
          <cell r="I73">
            <v>96.436999999999998</v>
          </cell>
          <cell r="J73">
            <v>870.10599999999999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</row>
        <row r="74">
          <cell r="B74" t="str">
            <v>% US$ debt hedged (principal)</v>
          </cell>
          <cell r="C74" t="str">
            <v>TOT_PCT_USD_DEBT_HEDGED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</row>
        <row r="75">
          <cell r="B75" t="str">
            <v>% Floating debt (local currency debt)</v>
          </cell>
          <cell r="C75" t="str">
            <v>FLOATING_PCT_LOCAL_DEBT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</row>
        <row r="76">
          <cell r="B76" t="str">
            <v>% floating debt hedged (rates)</v>
          </cell>
          <cell r="C76" t="str">
            <v>FLOATING_PCT_LOCAL_DEBT_HEDGED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</row>
        <row r="77">
          <cell r="B77" t="str">
            <v>Net debt</v>
          </cell>
          <cell r="C77" t="str">
            <v>NET_DEBT</v>
          </cell>
          <cell r="D77" t="str">
            <v>USD</v>
          </cell>
          <cell r="F77">
            <v>-68.125</v>
          </cell>
          <cell r="G77">
            <v>-69.901999999999987</v>
          </cell>
          <cell r="H77">
            <v>-30.081000000000017</v>
          </cell>
          <cell r="I77">
            <v>-471.42699999999996</v>
          </cell>
          <cell r="J77">
            <v>-75.423000000000116</v>
          </cell>
          <cell r="K77">
            <v>175.61099999999999</v>
          </cell>
          <cell r="L77">
            <v>412.81700000000012</v>
          </cell>
          <cell r="M77">
            <v>496.07599999999991</v>
          </cell>
          <cell r="N77">
            <v>296.33593922908949</v>
          </cell>
          <cell r="O77">
            <v>416.41225582681943</v>
          </cell>
          <cell r="P77">
            <v>243.11739331169326</v>
          </cell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</row>
        <row r="78">
          <cell r="B78" t="str">
            <v>Capitalized operating leases (off-balance sheet)</v>
          </cell>
          <cell r="C78" t="str">
            <v>CAP_LEASES</v>
          </cell>
          <cell r="D78" t="str">
            <v>USD</v>
          </cell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</row>
        <row r="79">
          <cell r="B79" t="str">
            <v>Deferred income taxes</v>
          </cell>
          <cell r="C79" t="str">
            <v>DEF_INC_TAX</v>
          </cell>
          <cell r="D79" t="str">
            <v>USD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</row>
        <row r="80">
          <cell r="B80" t="str">
            <v>Associates (mkt value) used in EV calculation</v>
          </cell>
          <cell r="C80" t="str">
            <v>MV_ASSOCIATES</v>
          </cell>
          <cell r="D80" t="str">
            <v>USD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</row>
        <row r="81">
          <cell r="B81" t="str">
            <v>Net debt adjustment</v>
          </cell>
          <cell r="C81" t="str">
            <v>NET_DEBT_ADJ</v>
          </cell>
          <cell r="D81" t="str">
            <v>USD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</row>
        <row r="82">
          <cell r="B82" t="str">
            <v>Company borrowing margin</v>
          </cell>
          <cell r="C82" t="str">
            <v>CO_BOR_MARGIN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</row>
        <row r="83">
          <cell r="B83" t="str">
            <v>Unfunded pensions &amp; other provisions</v>
          </cell>
          <cell r="C83" t="str">
            <v>UNF_PENS</v>
          </cell>
          <cell r="D83" t="str">
            <v>USD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</row>
        <row r="84">
          <cell r="B84" t="str">
            <v>Unfunded pension liabilities (off balance sheet)</v>
          </cell>
          <cell r="C84" t="str">
            <v>UNF_PENS_OFF</v>
          </cell>
          <cell r="D84" t="str">
            <v>USD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</row>
        <row r="85">
          <cell r="B85" t="str">
            <v>Unfunded pension liabilities &amp; other, used in EV</v>
          </cell>
          <cell r="C85" t="str">
            <v>UNF_PENS_LIAB_OTH</v>
          </cell>
          <cell r="D85" t="str">
            <v>USD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</row>
        <row r="86">
          <cell r="B86" t="str">
            <v>Adjustment for unfunded pensions &amp; goodwill</v>
          </cell>
          <cell r="C86" t="str">
            <v>ADJ_UNF_PENS_GOOD</v>
          </cell>
          <cell r="D86" t="str">
            <v>USD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</row>
        <row r="87">
          <cell r="B87" t="str">
            <v>Other GCI adjustments</v>
          </cell>
          <cell r="C87" t="str">
            <v>OTH_GCI_ADJ</v>
          </cell>
          <cell r="D87" t="str">
            <v>USD</v>
          </cell>
          <cell r="F87">
            <v>68.125</v>
          </cell>
          <cell r="G87">
            <v>69.901999999999987</v>
          </cell>
          <cell r="H87">
            <v>30.081000000000017</v>
          </cell>
          <cell r="I87">
            <v>471.42699999999996</v>
          </cell>
          <cell r="J87">
            <v>75.423000000000116</v>
          </cell>
          <cell r="K87">
            <v>-175.61100000000005</v>
          </cell>
          <cell r="L87">
            <v>-412.81700000000001</v>
          </cell>
          <cell r="M87">
            <v>-496.07599999999991</v>
          </cell>
          <cell r="N87">
            <v>-296.33593922908949</v>
          </cell>
          <cell r="O87">
            <v>-416.41225582681943</v>
          </cell>
          <cell r="P87">
            <v>-243.11739331169326</v>
          </cell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</row>
        <row r="88">
          <cell r="B88" t="str">
            <v>GCI inflator</v>
          </cell>
          <cell r="C88" t="str">
            <v>GCI_INFL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</row>
        <row r="89">
          <cell r="B89" t="str">
            <v>Minority interest</v>
          </cell>
          <cell r="C89" t="str">
            <v>BAL_MINO_INT</v>
          </cell>
          <cell r="D89" t="str">
            <v>USD</v>
          </cell>
          <cell r="F89">
            <v>3.1E-2</v>
          </cell>
          <cell r="G89">
            <v>3.5999999999999997E-2</v>
          </cell>
          <cell r="H89">
            <v>3.3000000000000002E-2</v>
          </cell>
          <cell r="I89">
            <v>2.9000000000000001E-2</v>
          </cell>
          <cell r="J89">
            <v>12.75</v>
          </cell>
          <cell r="K89">
            <v>10.6</v>
          </cell>
          <cell r="L89">
            <v>2.504</v>
          </cell>
          <cell r="M89">
            <v>1.0129999999999999</v>
          </cell>
          <cell r="N89">
            <v>2.0969999999999995</v>
          </cell>
          <cell r="O89">
            <v>3.1809999999999992</v>
          </cell>
          <cell r="P89">
            <v>4.2649999999999988</v>
          </cell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</row>
        <row r="90">
          <cell r="B90" t="str">
            <v>Right-of-use assets (op lease assets under US GAAP)</v>
          </cell>
          <cell r="C90" t="str">
            <v>ROU_ASSET</v>
          </cell>
          <cell r="D90" t="str">
            <v>USD</v>
          </cell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</row>
        <row r="91">
          <cell r="A91" t="str">
            <v>Cash Flow Statement</v>
          </cell>
          <cell r="B91"/>
          <cell r="C91"/>
          <cell r="D91"/>
        </row>
        <row r="92">
          <cell r="B92" t="str">
            <v>Minority interest add-back</v>
          </cell>
          <cell r="C92" t="str">
            <v>CF_INC_MINORITY</v>
          </cell>
          <cell r="D92" t="str">
            <v>USD</v>
          </cell>
          <cell r="F92">
            <v>-1E-3</v>
          </cell>
          <cell r="G92">
            <v>7.0000000000000001E-3</v>
          </cell>
          <cell r="H92">
            <v>0</v>
          </cell>
          <cell r="I92">
            <v>-4.0000000000000001E-3</v>
          </cell>
          <cell r="J92">
            <v>-1.2709999999999999</v>
          </cell>
          <cell r="K92">
            <v>-2.1190000000000002</v>
          </cell>
          <cell r="L92">
            <v>6.6000000000000003E-2</v>
          </cell>
          <cell r="M92">
            <v>-0.84199999999999997</v>
          </cell>
          <cell r="N92">
            <v>1.0839999999999999</v>
          </cell>
          <cell r="O92">
            <v>1.0839999999999999</v>
          </cell>
          <cell r="P92">
            <v>1.0839999999999999</v>
          </cell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</row>
        <row r="93">
          <cell r="B93" t="str">
            <v>Depreciation &amp; amortization add-back</v>
          </cell>
          <cell r="C93" t="str">
            <v>DEPR_AMORT</v>
          </cell>
          <cell r="D93" t="str">
            <v>USD</v>
          </cell>
          <cell r="F93">
            <v>144.31799999999998</v>
          </cell>
          <cell r="G93">
            <v>136.98599999999999</v>
          </cell>
          <cell r="H93">
            <v>151.51599999999999</v>
          </cell>
          <cell r="I93">
            <v>183.09100000000001</v>
          </cell>
          <cell r="J93">
            <v>200.58700000000002</v>
          </cell>
          <cell r="K93">
            <v>227.47899999999998</v>
          </cell>
          <cell r="L93">
            <v>220.024</v>
          </cell>
          <cell r="M93">
            <v>227.12299999999999</v>
          </cell>
          <cell r="N93">
            <v>249.51348370487773</v>
          </cell>
          <cell r="O93">
            <v>250.31082406771671</v>
          </cell>
          <cell r="P93">
            <v>254.0377242458604</v>
          </cell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</row>
        <row r="94">
          <cell r="B94" t="str">
            <v>(Increase)/decrease in working capital</v>
          </cell>
          <cell r="C94" t="str">
            <v>WORK_CAP</v>
          </cell>
          <cell r="D94" t="str">
            <v>USD</v>
          </cell>
          <cell r="F94">
            <v>-2554.9230000000002</v>
          </cell>
          <cell r="G94">
            <v>121.96999999999997</v>
          </cell>
          <cell r="H94">
            <v>-115.85500000000008</v>
          </cell>
          <cell r="I94">
            <v>-323.13699999999994</v>
          </cell>
          <cell r="J94">
            <v>69.122000000000071</v>
          </cell>
          <cell r="K94">
            <v>-78.557999999999993</v>
          </cell>
          <cell r="L94">
            <v>-200.45600000000013</v>
          </cell>
          <cell r="M94">
            <v>-100.17199999999991</v>
          </cell>
          <cell r="N94">
            <v>121.55863561965384</v>
          </cell>
          <cell r="O94">
            <v>-215.32685388833943</v>
          </cell>
          <cell r="P94">
            <v>77.441538055165893</v>
          </cell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</row>
        <row r="95">
          <cell r="B95" t="str">
            <v>Other operating cash flow items</v>
          </cell>
          <cell r="C95" t="str">
            <v>OTH_OP_CF</v>
          </cell>
          <cell r="D95" t="str">
            <v>USD</v>
          </cell>
          <cell r="F95">
            <v>2167.1410000000001</v>
          </cell>
          <cell r="G95">
            <v>3.3780000000000201</v>
          </cell>
          <cell r="H95">
            <v>36.311000000000085</v>
          </cell>
          <cell r="I95">
            <v>115.39099999999996</v>
          </cell>
          <cell r="J95">
            <v>194.53199999999993</v>
          </cell>
          <cell r="K95">
            <v>-69.216000000000008</v>
          </cell>
          <cell r="L95">
            <v>52.857000000000141</v>
          </cell>
          <cell r="M95">
            <v>-178.73400000000004</v>
          </cell>
          <cell r="N95">
            <v>0</v>
          </cell>
          <cell r="O95">
            <v>0</v>
          </cell>
          <cell r="P95">
            <v>0</v>
          </cell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</row>
        <row r="96">
          <cell r="B96" t="str">
            <v>Cash flow from operating activities</v>
          </cell>
          <cell r="C96" t="str">
            <v>CF_OPS</v>
          </cell>
          <cell r="D96" t="str">
            <v>USD</v>
          </cell>
          <cell r="F96">
            <v>-56.44000000000014</v>
          </cell>
          <cell r="G96">
            <v>439.35</v>
          </cell>
          <cell r="H96">
            <v>240.53399999999999</v>
          </cell>
          <cell r="I96">
            <v>155.83100000000002</v>
          </cell>
          <cell r="J96">
            <v>696.91600000000005</v>
          </cell>
          <cell r="K96">
            <v>313</v>
          </cell>
          <cell r="L96">
            <v>115.00000000000001</v>
          </cell>
          <cell r="M96">
            <v>85.000000000000028</v>
          </cell>
          <cell r="N96">
            <v>451.59468723820152</v>
          </cell>
          <cell r="O96">
            <v>117.23756678312299</v>
          </cell>
          <cell r="P96">
            <v>426.70342190666622</v>
          </cell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</row>
        <row r="97">
          <cell r="B97" t="str">
            <v>Capital expenditures, Capex</v>
          </cell>
          <cell r="C97" t="str">
            <v>CAPEX</v>
          </cell>
          <cell r="D97" t="str">
            <v>USD</v>
          </cell>
          <cell r="F97">
            <v>-109.976</v>
          </cell>
          <cell r="G97">
            <v>-138.69300000000001</v>
          </cell>
          <cell r="H97">
            <v>-198.24600000000001</v>
          </cell>
          <cell r="I97">
            <v>-118.669</v>
          </cell>
          <cell r="J97">
            <v>-118.586</v>
          </cell>
          <cell r="K97">
            <v>-288</v>
          </cell>
          <cell r="L97">
            <v>-387</v>
          </cell>
          <cell r="M97">
            <v>-241</v>
          </cell>
          <cell r="N97">
            <v>-223.52762646729107</v>
          </cell>
          <cell r="O97">
            <v>-237.3138833808529</v>
          </cell>
          <cell r="P97">
            <v>-253.40855939154014</v>
          </cell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</row>
        <row r="98">
          <cell r="B98" t="str">
            <v>Acquisitions</v>
          </cell>
          <cell r="C98" t="str">
            <v>ACQ</v>
          </cell>
          <cell r="D98" t="str">
            <v>USD</v>
          </cell>
          <cell r="F98" t="str">
            <v/>
          </cell>
          <cell r="G98">
            <v>-0.89</v>
          </cell>
          <cell r="H98">
            <v>-0.44099999999999995</v>
          </cell>
          <cell r="I98">
            <v>-5.2149999999999999</v>
          </cell>
          <cell r="J98">
            <v>-0.7999999999999996</v>
          </cell>
          <cell r="K98">
            <v>-21.25</v>
          </cell>
          <cell r="L98">
            <v>-3.357999999999997</v>
          </cell>
          <cell r="M98">
            <v>-140.82700000000003</v>
          </cell>
          <cell r="N98" t="str">
            <v/>
          </cell>
          <cell r="O98" t="str">
            <v/>
          </cell>
          <cell r="P98" t="str">
            <v/>
          </cell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</row>
        <row r="99">
          <cell r="B99" t="str">
            <v>Divestitures</v>
          </cell>
          <cell r="C99" t="str">
            <v>DIVEST</v>
          </cell>
          <cell r="D99" t="str">
            <v>USD</v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</row>
        <row r="100">
          <cell r="B100" t="str">
            <v>Other investing cash flow items</v>
          </cell>
          <cell r="C100" t="str">
            <v>OTH_INV_CF</v>
          </cell>
          <cell r="D100" t="str">
            <v>USD</v>
          </cell>
          <cell r="F100">
            <v>21.5</v>
          </cell>
          <cell r="G100">
            <v>-135.49699999999999</v>
          </cell>
          <cell r="H100">
            <v>-13.599999999999994</v>
          </cell>
          <cell r="I100">
            <v>71.557999999999993</v>
          </cell>
          <cell r="J100">
            <v>-827.74400000000003</v>
          </cell>
          <cell r="K100">
            <v>726.25</v>
          </cell>
          <cell r="L100">
            <v>-7.6169999999999618</v>
          </cell>
          <cell r="M100">
            <v>35.944000000000074</v>
          </cell>
          <cell r="N100">
            <v>-28.326999999999998</v>
          </cell>
          <cell r="O100">
            <v>0</v>
          </cell>
          <cell r="P100">
            <v>0</v>
          </cell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</row>
        <row r="101">
          <cell r="B101" t="str">
            <v>Cash flow from investing</v>
          </cell>
          <cell r="C101" t="str">
            <v>CF_INV</v>
          </cell>
          <cell r="D101" t="str">
            <v>USD</v>
          </cell>
          <cell r="F101">
            <v>-88.475999999999999</v>
          </cell>
          <cell r="G101">
            <v>-275.08</v>
          </cell>
          <cell r="H101">
            <v>-212.28700000000001</v>
          </cell>
          <cell r="I101">
            <v>-52.326000000000008</v>
          </cell>
          <cell r="J101">
            <v>-947.13</v>
          </cell>
          <cell r="K101">
            <v>417</v>
          </cell>
          <cell r="L101">
            <v>-397.97499999999997</v>
          </cell>
          <cell r="M101">
            <v>-345.88299999999992</v>
          </cell>
          <cell r="N101">
            <v>-251.85462646729107</v>
          </cell>
          <cell r="O101">
            <v>-237.3138833808529</v>
          </cell>
          <cell r="P101">
            <v>-253.40855939154014</v>
          </cell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</row>
        <row r="102">
          <cell r="B102" t="str">
            <v>Dividends paid</v>
          </cell>
          <cell r="C102" t="str">
            <v>DIV_PAID</v>
          </cell>
          <cell r="D102" t="str">
            <v>USD</v>
          </cell>
          <cell r="F102">
            <v>0</v>
          </cell>
          <cell r="G102">
            <v>-41.667000000000002</v>
          </cell>
          <cell r="H102">
            <v>-44.203000000000003</v>
          </cell>
          <cell r="I102">
            <v>-40.552999999999997</v>
          </cell>
          <cell r="J102">
            <v>-46.817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</row>
        <row r="103">
          <cell r="B103" t="str">
            <v>Common stock issuance/(repurchase)</v>
          </cell>
          <cell r="C103" t="str">
            <v>SH_REPUR</v>
          </cell>
          <cell r="D103" t="str">
            <v>USD</v>
          </cell>
          <cell r="F103">
            <v>0</v>
          </cell>
          <cell r="G103">
            <v>8.1200000000000045</v>
          </cell>
          <cell r="H103">
            <v>0</v>
          </cell>
          <cell r="I103">
            <v>22.237999999999985</v>
          </cell>
          <cell r="J103">
            <v>0.18700000000001182</v>
          </cell>
          <cell r="K103">
            <v>2.6920000000000073</v>
          </cell>
          <cell r="L103">
            <v>0.22299999999998477</v>
          </cell>
          <cell r="M103">
            <v>4.703000000000003</v>
          </cell>
          <cell r="N103">
            <v>0</v>
          </cell>
          <cell r="O103">
            <v>0</v>
          </cell>
          <cell r="P103">
            <v>0</v>
          </cell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</row>
        <row r="104">
          <cell r="B104" t="str">
            <v>Increase/(decrease) in total debt</v>
          </cell>
          <cell r="C104" t="str">
            <v>CHG_LT_DEBT</v>
          </cell>
          <cell r="D104" t="str">
            <v>USD</v>
          </cell>
          <cell r="F104">
            <v>299.63200000000001</v>
          </cell>
          <cell r="G104">
            <v>-106.66200000000003</v>
          </cell>
          <cell r="H104">
            <v>45.480999999999995</v>
          </cell>
          <cell r="I104">
            <v>-88.690999999999974</v>
          </cell>
          <cell r="J104">
            <v>693.27399999999989</v>
          </cell>
          <cell r="K104">
            <v>78.321000000000083</v>
          </cell>
          <cell r="L104">
            <v>111.20699999999994</v>
          </cell>
          <cell r="M104">
            <v>86.593999999999937</v>
          </cell>
          <cell r="N104">
            <v>0</v>
          </cell>
          <cell r="O104">
            <v>0</v>
          </cell>
          <cell r="P104">
            <v>0</v>
          </cell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str">
            <v>USD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</row>
        <row r="106">
          <cell r="B106" t="str">
            <v>Other financing cash flow items</v>
          </cell>
          <cell r="C106" t="str">
            <v>OTH_FIN_CF</v>
          </cell>
          <cell r="D106" t="str">
            <v>USD</v>
          </cell>
          <cell r="F106">
            <v>73.872999999999976</v>
          </cell>
          <cell r="G106">
            <v>-128.94599999999997</v>
          </cell>
          <cell r="H106">
            <v>-23.864999999999991</v>
          </cell>
          <cell r="I106">
            <v>356.15599999999995</v>
          </cell>
          <cell r="J106">
            <v>-99.159999999999911</v>
          </cell>
          <cell r="K106">
            <v>-983.726</v>
          </cell>
          <cell r="L106">
            <v>-708.42899999999997</v>
          </cell>
          <cell r="M106">
            <v>47.038000000000096</v>
          </cell>
          <cell r="N106">
            <v>0</v>
          </cell>
          <cell r="O106">
            <v>0</v>
          </cell>
          <cell r="P106">
            <v>0</v>
          </cell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</row>
        <row r="107">
          <cell r="B107" t="str">
            <v>Cash flow from financing</v>
          </cell>
          <cell r="C107" t="str">
            <v>CF_FIN</v>
          </cell>
          <cell r="D107" t="str">
            <v>USD</v>
          </cell>
          <cell r="F107">
            <v>373.505</v>
          </cell>
          <cell r="G107">
            <v>-269.15499999999997</v>
          </cell>
          <cell r="H107">
            <v>-22.587</v>
          </cell>
          <cell r="I107">
            <v>249.14999999999998</v>
          </cell>
          <cell r="J107">
            <v>547.48399999999992</v>
          </cell>
          <cell r="K107">
            <v>-902.71299999999997</v>
          </cell>
          <cell r="L107">
            <v>-596.99900000000002</v>
          </cell>
          <cell r="M107">
            <v>138.33500000000004</v>
          </cell>
          <cell r="N107">
            <v>0</v>
          </cell>
          <cell r="O107">
            <v>0</v>
          </cell>
          <cell r="P107">
            <v>0</v>
          </cell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</row>
        <row r="108">
          <cell r="B108" t="str">
            <v>Total cash flow</v>
          </cell>
          <cell r="C108" t="str">
            <v>TOT_CF</v>
          </cell>
          <cell r="D108" t="str">
            <v>USD</v>
          </cell>
          <cell r="F108">
            <v>228.58899999999986</v>
          </cell>
          <cell r="G108">
            <v>-104.88499999999988</v>
          </cell>
          <cell r="H108">
            <v>5.6599999999999966</v>
          </cell>
          <cell r="I108">
            <v>352.65499999999997</v>
          </cell>
          <cell r="J108">
            <v>297.27</v>
          </cell>
          <cell r="K108">
            <v>-172.71299999999997</v>
          </cell>
          <cell r="L108">
            <v>-879.97399999999993</v>
          </cell>
          <cell r="M108">
            <v>-122.54799999999986</v>
          </cell>
          <cell r="N108">
            <v>199.74006077091045</v>
          </cell>
          <cell r="O108">
            <v>-120.07631659772991</v>
          </cell>
          <cell r="P108">
            <v>173.29486251512608</v>
          </cell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</row>
        <row r="109">
          <cell r="A109" t="str">
            <v>Additional Cash Flow Items</v>
          </cell>
          <cell r="B109"/>
          <cell r="C109"/>
          <cell r="D109"/>
        </row>
        <row r="110">
          <cell r="B110" t="str">
            <v>Associate and JV add-back</v>
          </cell>
          <cell r="C110" t="str">
            <v>ASSOC_JV_ADDBK</v>
          </cell>
          <cell r="D110" t="str">
            <v>USD</v>
          </cell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</row>
        <row r="111">
          <cell r="B111" t="str">
            <v>Profit/(loss) on sale of assets</v>
          </cell>
          <cell r="C111" t="str">
            <v>PL_SALE_ASSETS</v>
          </cell>
          <cell r="D111" t="str">
            <v>USD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</row>
        <row r="112">
          <cell r="B112" t="str">
            <v>Other non-cash adjustments</v>
          </cell>
          <cell r="C112" t="str">
            <v>OTH_NONCASH_ADJ</v>
          </cell>
          <cell r="D112" t="str">
            <v>USD</v>
          </cell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</row>
        <row r="113">
          <cell r="B113" t="str">
            <v>Other DACF adjustments</v>
          </cell>
          <cell r="C113" t="str">
            <v>OTH_DACF_ADJ</v>
          </cell>
          <cell r="D113" t="str">
            <v>USD</v>
          </cell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</row>
        <row r="114">
          <cell r="B114" t="str">
            <v>Cash interest expense</v>
          </cell>
          <cell r="C114" t="str">
            <v>CASH_INT_EXP</v>
          </cell>
          <cell r="D114" t="str">
            <v>USD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</row>
        <row r="115">
          <cell r="B115" t="str">
            <v>Cash tax expense</v>
          </cell>
          <cell r="C115" t="str">
            <v>CASH_TAX_EXP</v>
          </cell>
          <cell r="D115" t="str">
            <v>USD</v>
          </cell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</row>
        <row r="116">
          <cell r="B116" t="str">
            <v>Dividends received from associates/JVs</v>
          </cell>
          <cell r="C116" t="str">
            <v>DIVDS_ASSOC_JV</v>
          </cell>
          <cell r="D116" t="str">
            <v>USD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</row>
        <row r="117">
          <cell r="B117" t="str">
            <v>Capex maintenance</v>
          </cell>
          <cell r="C117" t="str">
            <v>CAPEX_MAINTENANCE</v>
          </cell>
          <cell r="D117" t="str">
            <v>USD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</row>
        <row r="118">
          <cell r="B118" t="str">
            <v>Capex expansion</v>
          </cell>
          <cell r="C118" t="str">
            <v>CAPEX_EXPANSION</v>
          </cell>
          <cell r="D118" t="str">
            <v>USD</v>
          </cell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</row>
        <row r="119">
          <cell r="B119" t="str">
            <v>Non-PP&amp;E capex</v>
          </cell>
          <cell r="C119" t="str">
            <v>NONPPE_CAPEX</v>
          </cell>
          <cell r="D119" t="str">
            <v>USD</v>
          </cell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</row>
        <row r="120">
          <cell r="B120" t="str">
            <v>Dividends paid to minorities</v>
          </cell>
          <cell r="C120" t="str">
            <v>DIVDS_PD_MINORITIES</v>
          </cell>
          <cell r="D120" t="str">
            <v>USD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</row>
        <row r="121">
          <cell r="A121" t="str">
            <v>Other Items</v>
          </cell>
          <cell r="B121"/>
          <cell r="C121"/>
          <cell r="D121"/>
        </row>
        <row r="122">
          <cell r="B122" t="str">
            <v>Number of employees</v>
          </cell>
          <cell r="C122" t="str">
            <v>EMPLOYEES</v>
          </cell>
          <cell r="F122">
            <v>38.015999999999998</v>
          </cell>
          <cell r="G122">
            <v>35.853999999999999</v>
          </cell>
          <cell r="H122">
            <v>47.521000000000001</v>
          </cell>
          <cell r="I122">
            <v>47.7</v>
          </cell>
          <cell r="J122">
            <v>40.5</v>
          </cell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</row>
        <row r="123">
          <cell r="A123" t="str">
            <v>Geographical Breakdown</v>
          </cell>
          <cell r="B123"/>
          <cell r="C123"/>
          <cell r="D123"/>
        </row>
        <row r="124">
          <cell r="B124" t="str">
            <v>Sales - % Canada</v>
          </cell>
          <cell r="C124" t="str">
            <v>SALES_CANADA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</row>
        <row r="125">
          <cell r="B125" t="str">
            <v>Sales - % United States</v>
          </cell>
          <cell r="C125" t="str">
            <v>SALES_US</v>
          </cell>
          <cell r="F125">
            <v>3.9336253844350251E-2</v>
          </cell>
          <cell r="G125">
            <v>7.0267562809774628E-2</v>
          </cell>
          <cell r="H125">
            <v>0.3270645705596022</v>
          </cell>
          <cell r="I125">
            <v>0.36627806907314131</v>
          </cell>
          <cell r="J125">
            <v>0.36328996526143797</v>
          </cell>
          <cell r="K125">
            <v>0.36328996526143797</v>
          </cell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</row>
        <row r="126">
          <cell r="B126" t="str">
            <v>Sales - % Other North Americas</v>
          </cell>
          <cell r="C126" t="str">
            <v>SALES_OTH_NO_AMER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</row>
        <row r="127">
          <cell r="B127" t="str">
            <v>Sales - % Argentina</v>
          </cell>
          <cell r="C127" t="str">
            <v>SALES_ARGENTINA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</row>
        <row r="128">
          <cell r="B128" t="str">
            <v>Sales - % Brazil</v>
          </cell>
          <cell r="C128" t="str">
            <v>SALES_BRAZIL</v>
          </cell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</row>
        <row r="129">
          <cell r="B129" t="str">
            <v>Sales - % Chile</v>
          </cell>
          <cell r="C129" t="str">
            <v>SALES_CHILE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</row>
        <row r="130">
          <cell r="B130" t="str">
            <v>Sales - % Colombia</v>
          </cell>
          <cell r="C130" t="str">
            <v>SALES_COLOMBIA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</row>
        <row r="131">
          <cell r="B131" t="str">
            <v>Sales - % Mexico</v>
          </cell>
          <cell r="C131" t="str">
            <v>SALES_MEXICO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</row>
        <row r="132">
          <cell r="B132" t="str">
            <v>Sales - % Venezuela</v>
          </cell>
          <cell r="C132" t="str">
            <v>SALES_VENEZUELA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</row>
        <row r="133">
          <cell r="B133" t="str">
            <v>Sales - % Other Latin Americas</v>
          </cell>
          <cell r="C133" t="str">
            <v>SALES_OTH_LATAM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</row>
        <row r="134">
          <cell r="B134" t="str">
            <v>Sales - % Austria</v>
          </cell>
          <cell r="C134" t="str">
            <v>SALES_AUSTRIA</v>
          </cell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</row>
        <row r="135">
          <cell r="B135" t="str">
            <v>Sales - % Belgium</v>
          </cell>
          <cell r="C135" t="str">
            <v>SALES_BEL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</row>
        <row r="136">
          <cell r="B136" t="str">
            <v>Sales - % France</v>
          </cell>
          <cell r="C136" t="str">
            <v>SALES_FRA</v>
          </cell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</row>
        <row r="137">
          <cell r="B137" t="str">
            <v>Sales - % Germany</v>
          </cell>
          <cell r="C137" t="str">
            <v>SALES_GER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</row>
        <row r="138">
          <cell r="B138" t="str">
            <v>Sales - % Greece</v>
          </cell>
          <cell r="C138" t="str">
            <v>SALES_GRE</v>
          </cell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</row>
        <row r="139">
          <cell r="B139" t="str">
            <v>Sales - % Ireland</v>
          </cell>
          <cell r="C139" t="str">
            <v>SALES_IRE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</row>
        <row r="140">
          <cell r="B140" t="str">
            <v>Sales - % Italy</v>
          </cell>
          <cell r="C140" t="str">
            <v>SALES_ITA</v>
          </cell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</row>
        <row r="141">
          <cell r="B141" t="str">
            <v>Sales - % Netherlands</v>
          </cell>
          <cell r="C141" t="str">
            <v>SALES_NETH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</row>
        <row r="142">
          <cell r="B142" t="str">
            <v>Sales - % Norway</v>
          </cell>
          <cell r="C142" t="str">
            <v>SALES_NOR</v>
          </cell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</row>
        <row r="143">
          <cell r="B143" t="str">
            <v>Sales - % Portugal</v>
          </cell>
          <cell r="C143" t="str">
            <v>SALES_POR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</row>
        <row r="144">
          <cell r="B144" t="str">
            <v>Sales - % Spain</v>
          </cell>
          <cell r="C144" t="str">
            <v>SALES_SPA</v>
          </cell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</row>
        <row r="145">
          <cell r="B145" t="str">
            <v>Sales - % Sweden</v>
          </cell>
          <cell r="C145" t="str">
            <v>SALES_SWE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</row>
        <row r="146">
          <cell r="B146" t="str">
            <v>Sales - % Switzerland</v>
          </cell>
          <cell r="C146" t="str">
            <v>SALES_SWIT</v>
          </cell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</row>
        <row r="147">
          <cell r="B147" t="str">
            <v>Sales - % UK</v>
          </cell>
          <cell r="C147" t="str">
            <v>SALES_UK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</row>
        <row r="148">
          <cell r="B148" t="str">
            <v>Sales - % Other Western Europe</v>
          </cell>
          <cell r="C148" t="str">
            <v>SALES_OTH_WEST_EURO</v>
          </cell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</row>
        <row r="149">
          <cell r="B149" t="str">
            <v>Sales - % Poland</v>
          </cell>
          <cell r="C149" t="str">
            <v>SALES_POLAND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</row>
        <row r="150">
          <cell r="B150" t="str">
            <v>Sales - % Russia</v>
          </cell>
          <cell r="C150" t="str">
            <v>SALES_RUSSIA</v>
          </cell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</row>
        <row r="151">
          <cell r="B151" t="str">
            <v>Sales - % Turkey</v>
          </cell>
          <cell r="C151" t="str">
            <v>SALES_TURKEY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</row>
        <row r="152">
          <cell r="B152" t="str">
            <v>Sales - % Other CEE</v>
          </cell>
          <cell r="C152" t="str">
            <v>SALES_OTH_CEE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</row>
        <row r="153">
          <cell r="B153" t="str">
            <v>Sales - % Saudi Arabia</v>
          </cell>
          <cell r="C153" t="str">
            <v>SALES_SAUDI_ARABIA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</row>
        <row r="154">
          <cell r="B154" t="str">
            <v>Sales - % United Arab Emirates</v>
          </cell>
          <cell r="C154" t="str">
            <v>SALES_UAE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</row>
        <row r="155">
          <cell r="B155" t="str">
            <v>Sales - % Other Middle East</v>
          </cell>
          <cell r="C155" t="str">
            <v>SALES_OTH_ME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</row>
        <row r="156">
          <cell r="B156" t="str">
            <v>Sales - % Nigeria</v>
          </cell>
          <cell r="C156" t="str">
            <v>SALES_NIGERIA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</row>
        <row r="157">
          <cell r="B157" t="str">
            <v>Sales - % South Africa</v>
          </cell>
          <cell r="C157" t="str">
            <v>SALES_SO_AFRICA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</row>
        <row r="158">
          <cell r="B158" t="str">
            <v>Sales - % Other Africa</v>
          </cell>
          <cell r="C158" t="str">
            <v>SALES_OTH_AFRICA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</row>
        <row r="159">
          <cell r="B159" t="str">
            <v>Sales - % Hong Kong</v>
          </cell>
          <cell r="C159" t="str">
            <v>SALES_HONG_KONG</v>
          </cell>
          <cell r="F159">
            <v>6.9897680054983174E-2</v>
          </cell>
          <cell r="G159">
            <v>7.0774027428989708E-2</v>
          </cell>
          <cell r="H159">
            <v>4.8918847604035746E-2</v>
          </cell>
          <cell r="I159">
            <v>4.7546739249082696E-2</v>
          </cell>
          <cell r="J159">
            <v>6.3254889674171505E-2</v>
          </cell>
          <cell r="K159">
            <v>6.3254889674171505E-2</v>
          </cell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</row>
        <row r="160">
          <cell r="B160" t="str">
            <v>Sales - % Japan</v>
          </cell>
          <cell r="C160" t="str">
            <v>SALES_JAPAN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</row>
        <row r="161">
          <cell r="B161" t="str">
            <v>Sales - % Singapore</v>
          </cell>
          <cell r="C161" t="str">
            <v>SALES_SINGAPORE</v>
          </cell>
          <cell r="F161">
            <v>3.3399618244035367E-2</v>
          </cell>
          <cell r="G161">
            <v>4.3838615199437089E-2</v>
          </cell>
          <cell r="H161">
            <v>4.8602903904508617E-2</v>
          </cell>
          <cell r="I161">
            <v>4.1982133121572507E-2</v>
          </cell>
          <cell r="J161">
            <v>3.7606272164088836E-2</v>
          </cell>
          <cell r="K161">
            <v>3.7606272164088836E-2</v>
          </cell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</row>
        <row r="162">
          <cell r="B162" t="str">
            <v>Sales - % South Korea</v>
          </cell>
          <cell r="C162" t="str">
            <v>SALES_SK</v>
          </cell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</row>
        <row r="163">
          <cell r="B163" t="str">
            <v>Sales - % Taiwan</v>
          </cell>
          <cell r="C163" t="str">
            <v>SALES_TAIWAN</v>
          </cell>
          <cell r="F163">
            <v>0.19642746354665633</v>
          </cell>
          <cell r="G163">
            <v>0.154033116514355</v>
          </cell>
          <cell r="H163">
            <v>9.8620957830195866E-2</v>
          </cell>
          <cell r="I163">
            <v>6.9463572910815952E-2</v>
          </cell>
          <cell r="J163">
            <v>8.1408565683093945E-2</v>
          </cell>
          <cell r="K163">
            <v>8.1408565683093945E-2</v>
          </cell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</row>
        <row r="164">
          <cell r="B164" t="str">
            <v>Sales - % Other Developed Asia</v>
          </cell>
          <cell r="C164" t="str">
            <v>SALES_OTH_DEV_ASIA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</row>
        <row r="165">
          <cell r="B165" t="str">
            <v>Sales - % China</v>
          </cell>
          <cell r="C165" t="str">
            <v>SALES_CHINA</v>
          </cell>
          <cell r="F165">
            <v>0.59125442044884124</v>
          </cell>
          <cell r="G165">
            <v>0.57976796274069953</v>
          </cell>
          <cell r="H165">
            <v>0.37312603723274979</v>
          </cell>
          <cell r="I165">
            <v>0.37616507929409265</v>
          </cell>
          <cell r="J165">
            <v>0.34177227830294071</v>
          </cell>
          <cell r="K165">
            <v>0.34177227830294071</v>
          </cell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</row>
        <row r="166">
          <cell r="B166" t="str">
            <v>Sales - % India</v>
          </cell>
          <cell r="C166" t="str">
            <v>SALES_INDIA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</row>
        <row r="167">
          <cell r="B167" t="str">
            <v>Sales - % Indonesia</v>
          </cell>
          <cell r="C167" t="str">
            <v>SALES_INDONESIA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</row>
        <row r="168">
          <cell r="B168" t="str">
            <v>Sales - % Thailand</v>
          </cell>
          <cell r="C168" t="str">
            <v>SALES_THAILAND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</row>
        <row r="169">
          <cell r="B169" t="str">
            <v>Sales - % Other Emerging Asia</v>
          </cell>
          <cell r="C169" t="str">
            <v>SALES_OTH_EMERG_ASIA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</row>
        <row r="170">
          <cell r="B170" t="str">
            <v>Sales - % Australia</v>
          </cell>
          <cell r="C170" t="str">
            <v>SALES_AUSTRA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</row>
        <row r="171">
          <cell r="B171" t="str">
            <v>Sales - % New Zealand</v>
          </cell>
          <cell r="C171" t="str">
            <v>SALES_NZ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</row>
        <row r="172">
          <cell r="B172" t="str">
            <v>Sales - % Others</v>
          </cell>
          <cell r="C172" t="str">
            <v>SALES_OTHER</v>
          </cell>
          <cell r="F172">
            <v>6.9684563861133642E-2</v>
          </cell>
          <cell r="G172">
            <v>8.131871530674406E-2</v>
          </cell>
          <cell r="H172">
            <v>0.10366668286890768</v>
          </cell>
          <cell r="I172">
            <v>9.8564406351294931E-2</v>
          </cell>
          <cell r="J172">
            <v>0.11266802891426697</v>
          </cell>
          <cell r="K172">
            <v>0.11266802891426697</v>
          </cell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</row>
        <row r="173">
          <cell r="B173" t="str">
            <v>% of CoGS from U.S. (GS estimate)</v>
          </cell>
          <cell r="C173" t="str">
            <v>COGS_PCT_US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</row>
        <row r="174">
          <cell r="B174" t="str">
            <v>% of CoGS from non-U.S. (GS estimate)</v>
          </cell>
          <cell r="C174" t="str">
            <v>COGS_PCT_ROW</v>
          </cell>
          <cell r="F174">
            <v>1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</row>
        <row r="175">
          <cell r="B175" t="str">
            <v>% of SG&amp;A from U.S. (GS estimate)</v>
          </cell>
          <cell r="C175" t="str">
            <v>SGA_PCT_US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</row>
        <row r="176">
          <cell r="B176" t="str">
            <v>% of SG&amp;A from non-U.S. (GS estimate)</v>
          </cell>
          <cell r="C176" t="str">
            <v>SGA_PCT_ROW</v>
          </cell>
          <cell r="F176">
            <v>1</v>
          </cell>
          <cell r="G176">
            <v>1</v>
          </cell>
          <cell r="H176">
            <v>1</v>
          </cell>
          <cell r="I176">
            <v>1</v>
          </cell>
          <cell r="J176">
            <v>1</v>
          </cell>
          <cell r="K176">
            <v>1</v>
          </cell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</row>
        <row r="177">
          <cell r="B177" t="str">
            <v>Sales -% Consumer (C)</v>
          </cell>
          <cell r="C177" t="str">
            <v>SALES_CONS</v>
          </cell>
          <cell r="F177">
            <v>0.80478355210308217</v>
          </cell>
          <cell r="G177">
            <v>0.78857400354482277</v>
          </cell>
          <cell r="H177">
            <v>0.71017512307916641</v>
          </cell>
          <cell r="I177">
            <v>0.70851355609607269</v>
          </cell>
          <cell r="J177">
            <v>0.7457806315353247</v>
          </cell>
          <cell r="K177">
            <v>0.7457806315353247</v>
          </cell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</row>
        <row r="178">
          <cell r="B178" t="str">
            <v>Sales -% Industry (I)</v>
          </cell>
          <cell r="C178" t="str">
            <v>SALES_IND</v>
          </cell>
          <cell r="F178">
            <v>0.19521644789691783</v>
          </cell>
          <cell r="G178">
            <v>0.21142599645517723</v>
          </cell>
          <cell r="H178">
            <v>0.28982487692083359</v>
          </cell>
          <cell r="I178">
            <v>0.29148644390392731</v>
          </cell>
          <cell r="J178">
            <v>0.2542193684646753</v>
          </cell>
          <cell r="K178">
            <v>0.2542193684646753</v>
          </cell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</row>
        <row r="179">
          <cell r="B179" t="str">
            <v>Sales -% Government (G)</v>
          </cell>
          <cell r="C179" t="str">
            <v>SALES_GOV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</row>
        <row r="180">
          <cell r="B180" t="str">
            <v>Sales - % Industry Sub-Segment: Financial Services</v>
          </cell>
          <cell r="C180" t="str">
            <v>SALES_FINAN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</row>
        <row r="181">
          <cell r="B181" t="str">
            <v>Sales - % Industry Sub-Segment: Oil &amp; Gas</v>
          </cell>
          <cell r="C181" t="str">
            <v>SALES_OIL_GAS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</row>
        <row r="182">
          <cell r="A182" t="str">
            <v>Commodities Exposure - Expense</v>
          </cell>
          <cell r="B182"/>
          <cell r="C182"/>
          <cell r="D182"/>
        </row>
        <row r="183">
          <cell r="B183" t="str">
            <v>Expense - % Oil/Petrol/Fuel</v>
          </cell>
          <cell r="C183" t="str">
            <v>EXP_OIL_PETRO_FUEL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</row>
        <row r="184">
          <cell r="B184" t="str">
            <v>Expense - % Oil derivatives/NGLs/plastics</v>
          </cell>
          <cell r="C184" t="str">
            <v>EXP_OIL_DERIV_NGLS_PLASTICS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</row>
        <row r="185">
          <cell r="B185" t="str">
            <v>Expense - % Paper/pulp</v>
          </cell>
          <cell r="C185" t="str">
            <v>EXP_PAPER_PULP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</row>
        <row r="186">
          <cell r="B186" t="str">
            <v>Expense - % Glass</v>
          </cell>
          <cell r="C186" t="str">
            <v>EXP_GLASS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</row>
        <row r="187">
          <cell r="B187" t="str">
            <v>Expense - % Water</v>
          </cell>
          <cell r="C187" t="str">
            <v>EXP_WATER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</row>
        <row r="188">
          <cell r="B188" t="str">
            <v>Expense - % Other commodity</v>
          </cell>
          <cell r="C188" t="str">
            <v>EXP_OTH_COMMODITY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</row>
        <row r="189">
          <cell r="B189" t="str">
            <v>Expense - % Other (Non-Commodity) cost</v>
          </cell>
          <cell r="C189" t="str">
            <v>EXP_OTH_COST</v>
          </cell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</row>
        <row r="190">
          <cell r="A190" t="str">
            <v>FX Exposure - Sales</v>
          </cell>
          <cell r="B190"/>
          <cell r="C190"/>
          <cell r="D190"/>
        </row>
        <row r="191">
          <cell r="B191" t="str">
            <v>Sales - % FX: British Pounds/Pence</v>
          </cell>
          <cell r="C191" t="str">
            <v>SALES_FX_GPB</v>
          </cell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</row>
        <row r="192">
          <cell r="B192" t="str">
            <v>Sales - % FX: Euro</v>
          </cell>
          <cell r="C192" t="str">
            <v>SALES_FX_EUR</v>
          </cell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</row>
        <row r="193">
          <cell r="B193" t="str">
            <v>Sales - % FX: New Russian Ruble</v>
          </cell>
          <cell r="C193" t="str">
            <v>SALES_FX_RUB</v>
          </cell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/>
          <cell r="T193"/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</row>
        <row r="194">
          <cell r="B194" t="str">
            <v>Sales - % FX: U.S. Dollar</v>
          </cell>
          <cell r="C194" t="str">
            <v>SALES_FX_USD</v>
          </cell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</row>
        <row r="195">
          <cell r="B195" t="str">
            <v>Sales - % FX: Brazilian Real</v>
          </cell>
          <cell r="C195" t="str">
            <v>SALES_FX_BRL</v>
          </cell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</row>
        <row r="196">
          <cell r="B196" t="str">
            <v>Sales - % FX: Japanese Yen</v>
          </cell>
          <cell r="C196" t="str">
            <v>SALES_FX_YEN</v>
          </cell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</row>
        <row r="197">
          <cell r="B197" t="str">
            <v>Sales - % FX: Chinese Renminbi</v>
          </cell>
          <cell r="C197" t="str">
            <v>SALES_FX_CNY</v>
          </cell>
          <cell r="F197">
            <v>0.59125442044884124</v>
          </cell>
          <cell r="G197">
            <v>0.57976796274069953</v>
          </cell>
          <cell r="H197">
            <v>0.37312603723274979</v>
          </cell>
          <cell r="I197">
            <v>0.37616507929409265</v>
          </cell>
          <cell r="J197">
            <v>0.34177227830294071</v>
          </cell>
          <cell r="K197">
            <v>0.34177227830294071</v>
          </cell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</row>
        <row r="198">
          <cell r="B198" t="str">
            <v>Sales - % FX: Indian Rupee</v>
          </cell>
          <cell r="C198" t="str">
            <v>SALES_FX_INR</v>
          </cell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</row>
        <row r="199">
          <cell r="B199" t="str">
            <v>Sales - % FX: South Korean Won</v>
          </cell>
          <cell r="C199" t="str">
            <v>SALES_FX_KRW</v>
          </cell>
          <cell r="F199"/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/>
          <cell r="AE199"/>
          <cell r="AF199"/>
        </row>
        <row r="200">
          <cell r="B200" t="str">
            <v>Sales - % FX: Taiwan Dollar</v>
          </cell>
          <cell r="C200" t="str">
            <v>SALES_FX_TWD</v>
          </cell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</row>
        <row r="201">
          <cell r="B201" t="str">
            <v>Sales - % FX: Other Currency</v>
          </cell>
          <cell r="C201" t="str">
            <v>SALES_FX_OTH</v>
          </cell>
          <cell r="F201">
            <v>0.40874557955115876</v>
          </cell>
          <cell r="G201">
            <v>0.42023203725930047</v>
          </cell>
          <cell r="H201">
            <v>0.62687396276725016</v>
          </cell>
          <cell r="I201">
            <v>0.62383492070590729</v>
          </cell>
          <cell r="J201">
            <v>0.65822772169705934</v>
          </cell>
          <cell r="K201">
            <v>0.65822772169705934</v>
          </cell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</row>
        <row r="202">
          <cell r="A202" t="str">
            <v>Items to be removed</v>
          </cell>
          <cell r="B202"/>
          <cell r="C202"/>
          <cell r="D202"/>
        </row>
        <row r="203">
          <cell r="B203" t="str">
            <v>Sales - Total % Americas</v>
          </cell>
          <cell r="C203" t="str">
            <v>SALES_TOT_AM</v>
          </cell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</row>
        <row r="204">
          <cell r="B204" t="str">
            <v>Sales - % Other Americas</v>
          </cell>
          <cell r="C204" t="str">
            <v>SALES_OTH_AM</v>
          </cell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</row>
        <row r="205">
          <cell r="B205" t="str">
            <v>Sales - Total % EMEA</v>
          </cell>
          <cell r="C205" t="str">
            <v>SALES_TOT_EMEA</v>
          </cell>
          <cell r="F205"/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/>
          <cell r="AD205"/>
          <cell r="AE205"/>
          <cell r="AF205"/>
        </row>
        <row r="206">
          <cell r="B206" t="str">
            <v>Sales - % Western Europe-Ex UK</v>
          </cell>
          <cell r="C206" t="str">
            <v>SALES_EU_EX_UK</v>
          </cell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/>
          <cell r="AA206"/>
          <cell r="AB206"/>
          <cell r="AC206"/>
          <cell r="AD206"/>
          <cell r="AE206"/>
          <cell r="AF206"/>
        </row>
        <row r="207">
          <cell r="B207" t="str">
            <v>Sales - % Central &amp; Eastern Europe</v>
          </cell>
          <cell r="C207" t="str">
            <v>SALES_CEE</v>
          </cell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</row>
        <row r="208">
          <cell r="B208" t="str">
            <v>Sales - % Middle East</v>
          </cell>
          <cell r="C208" t="str">
            <v>SALES_ME</v>
          </cell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</row>
        <row r="209">
          <cell r="B209" t="str">
            <v>Sales - % Total Africa</v>
          </cell>
          <cell r="C209" t="str">
            <v>SALES_TOT_AFRICA</v>
          </cell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</row>
        <row r="210">
          <cell r="B210" t="str">
            <v>Sales - % Other EMEA</v>
          </cell>
          <cell r="C210" t="str">
            <v>SALES_OTH_EMEA</v>
          </cell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</row>
        <row r="211">
          <cell r="B211" t="str">
            <v>Sales - Total % Asia (incl Australia &amp; New Zealand)</v>
          </cell>
          <cell r="C211" t="str">
            <v>SALES_TOT_ASIA</v>
          </cell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</row>
        <row r="212">
          <cell r="B212" t="str">
            <v>Sales - % Other Asia</v>
          </cell>
          <cell r="C212" t="str">
            <v>SALES_OTH_AEJ</v>
          </cell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</row>
        <row r="213">
          <cell r="A213" t="str">
            <v>Security: FIT Hon Teng</v>
          </cell>
          <cell r="B213"/>
          <cell r="C213"/>
          <cell r="D213"/>
        </row>
        <row r="214">
          <cell r="A214" t="str">
            <v>Reference Data</v>
          </cell>
          <cell r="B214"/>
          <cell r="C214"/>
          <cell r="D214"/>
        </row>
        <row r="215">
          <cell r="B215" t="str">
            <v>Ticker</v>
          </cell>
          <cell r="C215" t="str">
            <v>Ticker</v>
          </cell>
          <cell r="E215" t="str">
            <v>6088.HK</v>
          </cell>
        </row>
        <row r="216">
          <cell r="B216" t="str">
            <v>Security Name</v>
          </cell>
          <cell r="C216" t="str">
            <v>Security Name</v>
          </cell>
          <cell r="E216" t="str">
            <v>FIT Hon Teng</v>
          </cell>
        </row>
        <row r="217">
          <cell r="B217" t="str">
            <v>Interim Type</v>
          </cell>
          <cell r="C217" t="str">
            <v>Interim Type</v>
          </cell>
          <cell r="E217" t="str">
            <v>H</v>
          </cell>
        </row>
        <row r="218">
          <cell r="B218" t="str">
            <v>Publishing Currency</v>
          </cell>
          <cell r="C218" t="str">
            <v>PUB_CURRENCY_ISO</v>
          </cell>
          <cell r="E218" t="str">
            <v>USD</v>
          </cell>
        </row>
        <row r="219">
          <cell r="B219" t="str">
            <v>Pricing Currency</v>
          </cell>
          <cell r="C219" t="str">
            <v>PRICE_CURRENCY_ISO</v>
          </cell>
          <cell r="E219" t="str">
            <v>HKD</v>
          </cell>
        </row>
        <row r="220">
          <cell r="B220" t="str">
            <v>Reporting Currency</v>
          </cell>
          <cell r="C220" t="str">
            <v>CURRENCY_ISO</v>
          </cell>
          <cell r="E220" t="str">
            <v>USD</v>
          </cell>
        </row>
        <row r="221">
          <cell r="A221" t="str">
            <v>General Information</v>
          </cell>
          <cell r="B221"/>
          <cell r="C221"/>
          <cell r="D221"/>
        </row>
        <row r="222">
          <cell r="B222" t="str">
            <v>Asia ex. Japan Investment List</v>
          </cell>
          <cell r="C222" t="str">
            <v>AEJ_LIST</v>
          </cell>
          <cell r="E222"/>
        </row>
        <row r="223">
          <cell r="B223" t="str">
            <v>Asia ex. Japan Conviction List</v>
          </cell>
          <cell r="C223" t="str">
            <v>AEJ_CONVICTION</v>
          </cell>
          <cell r="E223"/>
        </row>
        <row r="224">
          <cell r="A224"/>
          <cell r="B224" t="str">
            <v>Legal rating</v>
          </cell>
          <cell r="C224" t="str">
            <v>LEGAL_RATING</v>
          </cell>
          <cell r="D224"/>
          <cell r="E224"/>
        </row>
        <row r="225">
          <cell r="B225" t="str">
            <v>Target price</v>
          </cell>
          <cell r="C225" t="str">
            <v>TARGET_PRICE</v>
          </cell>
          <cell r="D225" t="str">
            <v>HKD</v>
          </cell>
          <cell r="E225">
            <v>1.51</v>
          </cell>
        </row>
        <row r="226">
          <cell r="B226" t="str">
            <v>Target price period</v>
          </cell>
          <cell r="C226" t="str">
            <v>TP_PERIOD</v>
          </cell>
          <cell r="D226" t="str">
            <v>HKD</v>
          </cell>
          <cell r="E226" t="str">
            <v>12 months</v>
          </cell>
        </row>
        <row r="227">
          <cell r="B227" t="str">
            <v>Fundamental value</v>
          </cell>
          <cell r="C227" t="str">
            <v>TARGET_PRICE_FUNDAMENTAL</v>
          </cell>
          <cell r="D227" t="str">
            <v>HKD</v>
          </cell>
          <cell r="E227"/>
        </row>
        <row r="228">
          <cell r="B228" t="str">
            <v>M&amp;A value</v>
          </cell>
          <cell r="C228" t="str">
            <v>TARGET_PRICE_MA</v>
          </cell>
          <cell r="D228" t="str">
            <v>HKD</v>
          </cell>
          <cell r="E228"/>
        </row>
        <row r="229">
          <cell r="B229" t="str">
            <v>Current shares outstanding (mn)</v>
          </cell>
          <cell r="C229" t="str">
            <v>NUM_SH</v>
          </cell>
          <cell r="D229" t="str">
            <v>HKD</v>
          </cell>
          <cell r="E229">
            <v>6905.4589999999998</v>
          </cell>
        </row>
        <row r="230">
          <cell r="B230" t="str">
            <v>Free float</v>
          </cell>
          <cell r="C230" t="str">
            <v>FREE_FLOAT</v>
          </cell>
          <cell r="E230"/>
        </row>
        <row r="231">
          <cell r="B231" t="str">
            <v>Foreign ownership</v>
          </cell>
          <cell r="C231" t="str">
            <v>FOREIGN_HOLDNG</v>
          </cell>
          <cell r="E231"/>
        </row>
        <row r="232">
          <cell r="B232" t="str">
            <v>Catalyst 1 date</v>
          </cell>
          <cell r="C232" t="str">
            <v>CATALYST1_DATE</v>
          </cell>
          <cell r="E232"/>
        </row>
        <row r="233">
          <cell r="B233" t="str">
            <v>Catalyst 1 description</v>
          </cell>
          <cell r="C233" t="str">
            <v>CATALYST1_EVENT</v>
          </cell>
          <cell r="E233"/>
        </row>
        <row r="234">
          <cell r="B234" t="str">
            <v>Catalyst 2 date</v>
          </cell>
          <cell r="C234" t="str">
            <v>CATALYST2_DATE</v>
          </cell>
          <cell r="E234"/>
        </row>
        <row r="235">
          <cell r="B235" t="str">
            <v>Catalyst 2 description</v>
          </cell>
          <cell r="C235" t="str">
            <v>CATALYST2_EVENT</v>
          </cell>
          <cell r="E235"/>
        </row>
        <row r="236">
          <cell r="B236" t="str">
            <v>Catalyst 3 date</v>
          </cell>
          <cell r="C236" t="str">
            <v>CATALYST3_DATE</v>
          </cell>
          <cell r="E236"/>
        </row>
        <row r="237">
          <cell r="B237" t="str">
            <v>Catalyst 3 description</v>
          </cell>
          <cell r="C237" t="str">
            <v>CATALYST3_EVENT</v>
          </cell>
          <cell r="E237"/>
        </row>
        <row r="238">
          <cell r="B238" t="str">
            <v>Catalyst 4 date</v>
          </cell>
          <cell r="C238" t="str">
            <v>CATALYST4_DATE</v>
          </cell>
          <cell r="E238"/>
        </row>
        <row r="239">
          <cell r="B239" t="str">
            <v>Catalyst 4 description</v>
          </cell>
          <cell r="C239" t="str">
            <v>CATALYST4_EVENT</v>
          </cell>
          <cell r="E239"/>
        </row>
        <row r="240">
          <cell r="B240" t="str">
            <v>Catalyst 5 date</v>
          </cell>
          <cell r="C240" t="str">
            <v>CATALYST5_DATE</v>
          </cell>
          <cell r="E240"/>
        </row>
        <row r="241">
          <cell r="B241" t="str">
            <v>Catalyst 5 description</v>
          </cell>
          <cell r="C241" t="str">
            <v>CATALYST5_EVENT</v>
          </cell>
          <cell r="E241"/>
        </row>
        <row r="242">
          <cell r="B242" t="str">
            <v>Target price multiple</v>
          </cell>
          <cell r="C242" t="str">
            <v>PRI_TARG_MULT</v>
          </cell>
          <cell r="E242">
            <v>16.624430730740215</v>
          </cell>
        </row>
        <row r="243">
          <cell r="B243" t="str">
            <v>Target price methodology</v>
          </cell>
          <cell r="C243" t="str">
            <v>PRI_TARG_METH</v>
          </cell>
          <cell r="E243" t="str">
            <v>2023 PE</v>
          </cell>
        </row>
        <row r="244">
          <cell r="A244" t="str">
            <v>Publishing Items</v>
          </cell>
          <cell r="B244"/>
          <cell r="C244"/>
          <cell r="D244"/>
          <cell r="E244" t="str">
            <v>2024 PE</v>
          </cell>
          <cell r="F244">
            <v>5.5511151231257827E-17</v>
          </cell>
          <cell r="G244">
            <v>0</v>
          </cell>
          <cell r="H244">
            <v>7.6327832942979512E-17</v>
          </cell>
          <cell r="I244">
            <v>-2.7755575615628914E-17</v>
          </cell>
          <cell r="J244">
            <v>0</v>
          </cell>
          <cell r="K244">
            <v>6.2450045135165055E-17</v>
          </cell>
          <cell r="L244">
            <v>4.9439619065339002E-17</v>
          </cell>
          <cell r="M244">
            <v>-5.8980598183211441E-17</v>
          </cell>
          <cell r="N244">
            <v>-7.8062556418956319E-17</v>
          </cell>
          <cell r="O244">
            <v>-7.1123662515049091E-17</v>
          </cell>
          <cell r="P244">
            <v>-1.474514954580286E-16</v>
          </cell>
          <cell r="Q244"/>
          <cell r="R244">
            <v>1.5612511283791264E-17</v>
          </cell>
          <cell r="S244">
            <v>-3.1225022567582528E-17</v>
          </cell>
          <cell r="T244">
            <v>3.6429192995512949E-17</v>
          </cell>
          <cell r="U244">
            <v>0</v>
          </cell>
          <cell r="V244">
            <v>0</v>
          </cell>
          <cell r="W244">
            <v>4.8572257327350599E-17</v>
          </cell>
          <cell r="X244">
            <v>1.5612511283791264E-17</v>
          </cell>
          <cell r="Y244">
            <v>0</v>
          </cell>
          <cell r="Z244">
            <v>7.3725747729014302E-18</v>
          </cell>
          <cell r="AA244">
            <v>-5.8980598183211441E-17</v>
          </cell>
          <cell r="AB244">
            <v>-1.2793585635328952E-17</v>
          </cell>
          <cell r="AC244">
            <v>-4.8572257327350599E-17</v>
          </cell>
          <cell r="AD244">
            <v>0</v>
          </cell>
          <cell r="AE244">
            <v>-5.5511151231257827E-17</v>
          </cell>
          <cell r="AF244">
            <v>1.9081958235744878E-17</v>
          </cell>
        </row>
        <row r="245">
          <cell r="A245" t="str">
            <v>Publishing Items</v>
          </cell>
          <cell r="B245" t="str">
            <v>Book value per share, BVPS (Pub)</v>
          </cell>
          <cell r="C245" t="str">
            <v>BVPS_PUB</v>
          </cell>
          <cell r="D245" t="str">
            <v>USD</v>
          </cell>
          <cell r="F245">
            <v>0.20144945155267252</v>
          </cell>
          <cell r="G245">
            <v>0.21499942830915231</v>
          </cell>
          <cell r="H245">
            <v>0.22947012896212987</v>
          </cell>
          <cell r="I245">
            <v>0.30957227146357985</v>
          </cell>
          <cell r="J245">
            <v>0.28977223876689168</v>
          </cell>
          <cell r="K245">
            <v>0.31383182264615539</v>
          </cell>
          <cell r="L245">
            <v>0.32783842194404272</v>
          </cell>
          <cell r="M245">
            <v>0.35466914313136511</v>
          </cell>
          <cell r="N245">
            <v>0.36643510061581125</v>
          </cell>
          <cell r="O245">
            <v>0.37845744754063237</v>
          </cell>
          <cell r="P245">
            <v>0.3924009153622357</v>
          </cell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</row>
        <row r="246">
          <cell r="B246" t="str">
            <v>DPS, dividend per share (Pub)</v>
          </cell>
          <cell r="C246" t="str">
            <v>DPS_PUB</v>
          </cell>
          <cell r="D246" t="str">
            <v>USD</v>
          </cell>
          <cell r="F246">
            <v>7.9647206076426322E-3</v>
          </cell>
          <cell r="G246">
            <v>8.0096078490707167E-3</v>
          </cell>
          <cell r="H246">
            <v>7.9000430004829078E-3</v>
          </cell>
          <cell r="I246">
            <v>6.6287854021241923E-3</v>
          </cell>
          <cell r="J246">
            <v>9.022045767938117E-3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</row>
        <row r="247">
          <cell r="B247" t="str">
            <v>Special dividend per share</v>
          </cell>
          <cell r="C247" t="str">
            <v>DPS_SPECIAL_PUB</v>
          </cell>
          <cell r="D247" t="str">
            <v>USD</v>
          </cell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</row>
        <row r="248">
          <cell r="B248" t="str">
            <v>EBITDA (Pub)</v>
          </cell>
          <cell r="C248" t="str">
            <v>EBITDA_PUB</v>
          </cell>
          <cell r="D248" t="str">
            <v>USD</v>
          </cell>
          <cell r="F248">
            <v>355.27800000000025</v>
          </cell>
          <cell r="G248">
            <v>292.51100000000019</v>
          </cell>
          <cell r="H248">
            <v>317.79800000000068</v>
          </cell>
          <cell r="I248">
            <v>398.59699999999975</v>
          </cell>
          <cell r="J248">
            <v>470.04200000000037</v>
          </cell>
          <cell r="K248">
            <v>462.63400000000001</v>
          </cell>
          <cell r="L248">
            <v>334.16200000000026</v>
          </cell>
          <cell r="M248">
            <v>333.38299999999981</v>
          </cell>
          <cell r="N248">
            <v>348.79413323524204</v>
          </cell>
          <cell r="O248">
            <v>352.8989417337234</v>
          </cell>
          <cell r="P248">
            <v>378.48916860084682</v>
          </cell>
          <cell r="Q248"/>
          <cell r="R248">
            <v>92.855999999999995</v>
          </cell>
          <cell r="S248">
            <v>224.94200000000023</v>
          </cell>
          <cell r="T248">
            <v>169.74300000000039</v>
          </cell>
          <cell r="U248">
            <v>228.85399999999981</v>
          </cell>
          <cell r="V248">
            <v>224.91599999999994</v>
          </cell>
          <cell r="W248">
            <v>245.12600000000066</v>
          </cell>
          <cell r="X248">
            <v>217.78800000000024</v>
          </cell>
          <cell r="Y248">
            <v>244.84599999999955</v>
          </cell>
          <cell r="Z248">
            <v>100.26299999999992</v>
          </cell>
          <cell r="AA248">
            <v>233.89899999999989</v>
          </cell>
          <cell r="AB248">
            <v>89.837999999999965</v>
          </cell>
          <cell r="AC248">
            <v>243.54499999999962</v>
          </cell>
          <cell r="AD248">
            <v>157.969950702289</v>
          </cell>
          <cell r="AE248">
            <v>190.82418253295373</v>
          </cell>
          <cell r="AF248">
            <v>158.10643739398324</v>
          </cell>
        </row>
        <row r="249">
          <cell r="B249" t="str">
            <v>EPS (Pub)</v>
          </cell>
          <cell r="C249" t="str">
            <v>EPS_PUB</v>
          </cell>
          <cell r="D249" t="str">
            <v>USD</v>
          </cell>
          <cell r="F249">
            <v>3.5749812290786477E-2</v>
          </cell>
          <cell r="G249">
            <v>3.2074302777257868E-2</v>
          </cell>
          <cell r="H249">
            <v>3.0125716540673777E-2</v>
          </cell>
          <cell r="I249">
            <v>2.9502859892718027E-2</v>
          </cell>
          <cell r="J249">
            <v>3.5041779742434422E-2</v>
          </cell>
          <cell r="K249">
            <v>3.5747193389622511E-2</v>
          </cell>
          <cell r="L249">
            <v>6.3696978060962528E-3</v>
          </cell>
          <cell r="M249">
            <v>2.0384177878890151E-2</v>
          </cell>
          <cell r="N249">
            <v>1.1765957484443588E-2</v>
          </cell>
          <cell r="O249">
            <v>1.202234692482119E-2</v>
          </cell>
          <cell r="P249">
            <v>1.3943467821605529E-2</v>
          </cell>
          <cell r="Q249"/>
          <cell r="R249">
            <v>4.2089001348635411E-3</v>
          </cell>
          <cell r="S249">
            <v>2.5916816405810141E-2</v>
          </cell>
          <cell r="T249">
            <v>1.204406709505112E-2</v>
          </cell>
          <cell r="U249">
            <v>1.8487303750160198E-2</v>
          </cell>
          <cell r="V249">
            <v>1.5988301699212927E-2</v>
          </cell>
          <cell r="W249">
            <v>1.8921686312067903E-2</v>
          </cell>
          <cell r="X249">
            <v>1.5467425056639278E-2</v>
          </cell>
          <cell r="Y249">
            <v>2.0283883256670233E-2</v>
          </cell>
          <cell r="Z249">
            <v>3.3237481830161683E-3</v>
          </cell>
          <cell r="AA249">
            <v>3.047217638259425E-3</v>
          </cell>
          <cell r="AB249">
            <v>1.3857905311194661E-3</v>
          </cell>
          <cell r="AC249">
            <v>1.9012050548317672E-2</v>
          </cell>
          <cell r="AD249">
            <v>3.9365111506924596E-3</v>
          </cell>
          <cell r="AE249">
            <v>7.8294463337511468E-3</v>
          </cell>
          <cell r="AF249">
            <v>3.9191923833538237E-3</v>
          </cell>
        </row>
        <row r="250">
          <cell r="B250" t="str">
            <v>EV adjustment (Pub)</v>
          </cell>
          <cell r="C250" t="str">
            <v>EV_ADJ_PUB</v>
          </cell>
          <cell r="D250" t="str">
            <v>USD</v>
          </cell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</row>
        <row r="251">
          <cell r="B251" t="str">
            <v>Net debt (Pub)</v>
          </cell>
          <cell r="C251" t="str">
            <v>NET_DEBT_PUB</v>
          </cell>
          <cell r="D251" t="str">
            <v>USD</v>
          </cell>
          <cell r="F251">
            <v>-68.125</v>
          </cell>
          <cell r="G251">
            <v>-69.901999999999987</v>
          </cell>
          <cell r="H251">
            <v>-30.081000000000017</v>
          </cell>
          <cell r="I251">
            <v>-471.42699999999996</v>
          </cell>
          <cell r="J251">
            <v>-75.423000000000116</v>
          </cell>
          <cell r="K251">
            <v>175.61099999999999</v>
          </cell>
          <cell r="L251">
            <v>412.81700000000012</v>
          </cell>
          <cell r="M251">
            <v>496.07599999999991</v>
          </cell>
          <cell r="N251">
            <v>296.33593922908949</v>
          </cell>
          <cell r="O251">
            <v>416.41225582681943</v>
          </cell>
          <cell r="P251">
            <v>243.11739331169326</v>
          </cell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</row>
        <row r="252">
          <cell r="B252" t="str">
            <v>Net Debt (ex leases) (Pub)</v>
          </cell>
          <cell r="C252" t="str">
            <v>NET_DEBT_EX_LEASES_PUB</v>
          </cell>
          <cell r="D252" t="str">
            <v>USD</v>
          </cell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</row>
        <row r="253">
          <cell r="B253" t="str">
            <v>Consensus equivalent net debt</v>
          </cell>
          <cell r="C253" t="str">
            <v>CEEE_NDEBT</v>
          </cell>
          <cell r="D253" t="str">
            <v>USD</v>
          </cell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</row>
        <row r="254">
          <cell r="B254" t="str">
            <v>Net income (Pub)</v>
          </cell>
          <cell r="C254" t="str">
            <v>NI_PUB</v>
          </cell>
          <cell r="D254" t="str">
            <v>USD</v>
          </cell>
          <cell r="F254">
            <v>187.02500000000029</v>
          </cell>
          <cell r="G254">
            <v>177.00900000000019</v>
          </cell>
          <cell r="H254">
            <v>168.56200000000041</v>
          </cell>
          <cell r="I254">
            <v>180.48999999999981</v>
          </cell>
          <cell r="J254">
            <v>233.94600000000017</v>
          </cell>
          <cell r="K254">
            <v>235.41400000000041</v>
          </cell>
          <cell r="L254">
            <v>42.509000000000327</v>
          </cell>
          <cell r="M254">
            <v>137.6249999999996</v>
          </cell>
          <cell r="N254">
            <v>79.438567913669402</v>
          </cell>
          <cell r="O254">
            <v>81.169596603745219</v>
          </cell>
          <cell r="P254">
            <v>94.140159605638985</v>
          </cell>
          <cell r="Q254"/>
          <cell r="R254">
            <v>23.550000000000086</v>
          </cell>
          <cell r="S254">
            <v>145.0119999999998</v>
          </cell>
          <cell r="T254">
            <v>67.3900000000002</v>
          </cell>
          <cell r="U254">
            <v>113.10000000000005</v>
          </cell>
          <cell r="V254">
            <v>107.62099999999982</v>
          </cell>
          <cell r="W254">
            <v>126.32500000000037</v>
          </cell>
          <cell r="X254">
            <v>101.83400000000009</v>
          </cell>
          <cell r="Y254">
            <v>133.57999999999998</v>
          </cell>
          <cell r="Z254">
            <v>22.173000000000048</v>
          </cell>
          <cell r="AA254">
            <v>20.335999999999608</v>
          </cell>
          <cell r="AB254">
            <v>9.2639999999999141</v>
          </cell>
          <cell r="AC254">
            <v>128.36099999999968</v>
          </cell>
          <cell r="AD254">
            <v>26.577591224569186</v>
          </cell>
          <cell r="AE254">
            <v>52.860976689100902</v>
          </cell>
          <cell r="AF254">
            <v>26.460662527756341</v>
          </cell>
        </row>
        <row r="255">
          <cell r="B255" t="str">
            <v>EBIT, operating profit (Pub)</v>
          </cell>
          <cell r="C255" t="str">
            <v>EBIT_PUB</v>
          </cell>
          <cell r="D255" t="str">
            <v>USD</v>
          </cell>
          <cell r="F255">
            <v>210.96000000000026</v>
          </cell>
          <cell r="G255">
            <v>155.5250000000002</v>
          </cell>
          <cell r="H255">
            <v>166.28200000000069</v>
          </cell>
          <cell r="I255">
            <v>215.50599999999974</v>
          </cell>
          <cell r="J255">
            <v>269.45500000000038</v>
          </cell>
          <cell r="K255">
            <v>235.15500000000003</v>
          </cell>
          <cell r="L255">
            <v>114.13800000000025</v>
          </cell>
          <cell r="M255">
            <v>106.25999999999982</v>
          </cell>
          <cell r="N255">
            <v>99.2806495303643</v>
          </cell>
          <cell r="O255">
            <v>102.5881176660067</v>
          </cell>
          <cell r="P255">
            <v>124.45144435498642</v>
          </cell>
          <cell r="Q255"/>
          <cell r="R255">
            <v>13.604999999999992</v>
          </cell>
          <cell r="S255">
            <v>152.67700000000022</v>
          </cell>
          <cell r="T255">
            <v>87.460000000000392</v>
          </cell>
          <cell r="U255">
            <v>128.04599999999979</v>
          </cell>
          <cell r="V255">
            <v>121.97399999999993</v>
          </cell>
          <cell r="W255">
            <v>147.48100000000065</v>
          </cell>
          <cell r="X255">
            <v>112.23300000000022</v>
          </cell>
          <cell r="Y255">
            <v>122.92199999999954</v>
          </cell>
          <cell r="Z255">
            <v>6.5629999999999242</v>
          </cell>
          <cell r="AA255">
            <v>107.57499999999987</v>
          </cell>
          <cell r="AB255">
            <v>-4.7040000000000362</v>
          </cell>
          <cell r="AC255">
            <v>110.96399999999963</v>
          </cell>
          <cell r="AD255">
            <v>33.213208849850126</v>
          </cell>
          <cell r="AE255">
            <v>66.067440680514864</v>
          </cell>
          <cell r="AF255">
            <v>32.951025360124888</v>
          </cell>
        </row>
        <row r="256">
          <cell r="B256" t="str">
            <v>Pre-tax profit (Pub)</v>
          </cell>
          <cell r="C256" t="str">
            <v>PTP_PUB</v>
          </cell>
          <cell r="D256" t="str">
            <v>USD</v>
          </cell>
          <cell r="F256">
            <v>234.15200000000027</v>
          </cell>
          <cell r="G256">
            <v>209.07300000000021</v>
          </cell>
          <cell r="H256">
            <v>211.59900000000042</v>
          </cell>
          <cell r="I256">
            <v>224.5539999999998</v>
          </cell>
          <cell r="J256">
            <v>311.36200000000019</v>
          </cell>
          <cell r="K256">
            <v>265.91000000000042</v>
          </cell>
          <cell r="L256">
            <v>116.52400000000033</v>
          </cell>
          <cell r="M256">
            <v>167.3269999999996</v>
          </cell>
          <cell r="N256">
            <v>100.65320989208703</v>
          </cell>
          <cell r="O256">
            <v>106.82285273213695</v>
          </cell>
          <cell r="P256">
            <v>126.96554614085233</v>
          </cell>
          <cell r="Q256"/>
          <cell r="R256">
            <v>29.618000000000087</v>
          </cell>
          <cell r="S256">
            <v>181.98099999999982</v>
          </cell>
          <cell r="T256">
            <v>91.299000000000206</v>
          </cell>
          <cell r="U256">
            <v>133.25500000000005</v>
          </cell>
          <cell r="V256">
            <v>144.15399999999983</v>
          </cell>
          <cell r="W256">
            <v>167.20800000000037</v>
          </cell>
          <cell r="X256">
            <v>118.06400000000009</v>
          </cell>
          <cell r="Y256">
            <v>147.846</v>
          </cell>
          <cell r="Z256">
            <v>25.613000000000049</v>
          </cell>
          <cell r="AA256">
            <v>90.910999999999603</v>
          </cell>
          <cell r="AB256">
            <v>13.871999999999915</v>
          </cell>
          <cell r="AC256">
            <v>153.45499999999967</v>
          </cell>
          <cell r="AD256">
            <v>33.899489030711493</v>
          </cell>
          <cell r="AE256">
            <v>66.753720861376223</v>
          </cell>
          <cell r="AF256">
            <v>35.068392893190016</v>
          </cell>
        </row>
        <row r="257">
          <cell r="B257" t="str">
            <v>Sales, revenue (Pub)</v>
          </cell>
          <cell r="C257" t="str">
            <v>REVS_PUB</v>
          </cell>
          <cell r="D257" t="str">
            <v>USD</v>
          </cell>
          <cell r="F257">
            <v>2482.2139999999999</v>
          </cell>
          <cell r="G257">
            <v>2327.902</v>
          </cell>
          <cell r="H257">
            <v>2880.26</v>
          </cell>
          <cell r="I257">
            <v>3398.8029999999999</v>
          </cell>
          <cell r="J257">
            <v>4005.6350000000002</v>
          </cell>
          <cell r="K257">
            <v>4372.3819999999996</v>
          </cell>
          <cell r="L257">
            <v>4314.6610000000001</v>
          </cell>
          <cell r="M257">
            <v>4490.2150000000001</v>
          </cell>
          <cell r="N257">
            <v>4470.5525293458213</v>
          </cell>
          <cell r="O257">
            <v>4746.2776676170579</v>
          </cell>
          <cell r="P257">
            <v>5068.1711878308024</v>
          </cell>
          <cell r="Q257"/>
          <cell r="R257">
            <v>1041.6659999999999</v>
          </cell>
          <cell r="S257">
            <v>1838.5940000000003</v>
          </cell>
          <cell r="T257">
            <v>1379.4760000000001</v>
          </cell>
          <cell r="U257">
            <v>2019.3269999999998</v>
          </cell>
          <cell r="V257">
            <v>1719.3520000000001</v>
          </cell>
          <cell r="W257">
            <v>2286.2830000000004</v>
          </cell>
          <cell r="X257">
            <v>1918.306</v>
          </cell>
          <cell r="Y257">
            <v>2454.0759999999996</v>
          </cell>
          <cell r="Z257">
            <v>1916.5429999999999</v>
          </cell>
          <cell r="AA257">
            <v>2398.1180000000004</v>
          </cell>
          <cell r="AB257">
            <v>1982.056</v>
          </cell>
          <cell r="AC257">
            <v>2508.1590000000001</v>
          </cell>
          <cell r="AD257">
            <v>1802.4313557906116</v>
          </cell>
          <cell r="AE257">
            <v>2668.1211735552101</v>
          </cell>
          <cell r="AF257">
            <v>1907.3912107983106</v>
          </cell>
        </row>
        <row r="258">
          <cell r="B258" t="str">
            <v>Total shareholders' equity (Pub)</v>
          </cell>
          <cell r="C258" t="str">
            <v>EQ_PUB</v>
          </cell>
          <cell r="D258" t="str">
            <v>USD</v>
          </cell>
          <cell r="F258">
            <v>1053.913</v>
          </cell>
          <cell r="G258">
            <v>1186.557</v>
          </cell>
          <cell r="H258">
            <v>1283.9839999999997</v>
          </cell>
          <cell r="I258">
            <v>1893.903</v>
          </cell>
          <cell r="J258">
            <v>1947.328</v>
          </cell>
          <cell r="K258">
            <v>2077.3469999999998</v>
          </cell>
          <cell r="L258">
            <v>2190.3759999999997</v>
          </cell>
          <cell r="M258">
            <v>2395.5829999999996</v>
          </cell>
          <cell r="N258">
            <v>2476.1055679136698</v>
          </cell>
          <cell r="O258">
            <v>2558.3591645174151</v>
          </cell>
          <cell r="P258">
            <v>2653.5833241230548</v>
          </cell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</row>
        <row r="259">
          <cell r="B259" t="str">
            <v>EPS (consensus)</v>
          </cell>
          <cell r="C259" t="str">
            <v>EPS_CONS_PUB</v>
          </cell>
          <cell r="D259" t="str">
            <v>USD</v>
          </cell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</row>
        <row r="260">
          <cell r="A260" t="str">
            <v>Income Statement</v>
          </cell>
          <cell r="B260"/>
          <cell r="C260"/>
          <cell r="D260"/>
          <cell r="F260">
            <v>5.5511151231257827E-17</v>
          </cell>
          <cell r="G260">
            <v>0</v>
          </cell>
          <cell r="H260">
            <v>7.6327832942979512E-17</v>
          </cell>
          <cell r="I260">
            <v>-2.7755575615628914E-17</v>
          </cell>
          <cell r="J260">
            <v>0</v>
          </cell>
          <cell r="K260">
            <v>6.2450045135165055E-17</v>
          </cell>
          <cell r="L260">
            <v>4.9439619065339002E-17</v>
          </cell>
          <cell r="M260">
            <v>-5.8980598183211441E-17</v>
          </cell>
          <cell r="N260">
            <v>-7.8062556418956319E-17</v>
          </cell>
          <cell r="O260">
            <v>-7.1123662515049091E-17</v>
          </cell>
          <cell r="P260">
            <v>-1.474514954580286E-16</v>
          </cell>
          <cell r="Q260">
            <v>1.5612511283791264E-17</v>
          </cell>
          <cell r="R260">
            <v>1.5612511283791264E-17</v>
          </cell>
          <cell r="S260">
            <v>-3.1225022567582528E-17</v>
          </cell>
          <cell r="T260">
            <v>3.6429192995512949E-17</v>
          </cell>
          <cell r="U260">
            <v>0</v>
          </cell>
          <cell r="V260">
            <v>0</v>
          </cell>
          <cell r="W260">
            <v>4.8572257327350599E-17</v>
          </cell>
          <cell r="X260">
            <v>1.5612511283791264E-17</v>
          </cell>
          <cell r="Y260">
            <v>0</v>
          </cell>
          <cell r="Z260">
            <v>7.3725747729014302E-18</v>
          </cell>
          <cell r="AA260">
            <v>-5.8980598183211441E-17</v>
          </cell>
          <cell r="AB260">
            <v>-1.2793585635328952E-17</v>
          </cell>
          <cell r="AC260">
            <v>-4.8572257327350599E-17</v>
          </cell>
          <cell r="AD260">
            <v>0</v>
          </cell>
          <cell r="AE260">
            <v>-5.5511151231257827E-17</v>
          </cell>
          <cell r="AF260">
            <v>1.9081958235744878E-17</v>
          </cell>
        </row>
        <row r="261">
          <cell r="A261" t="str">
            <v>Income Statement</v>
          </cell>
          <cell r="B261" t="str">
            <v>Provision for income tax</v>
          </cell>
          <cell r="C261" t="str">
            <v>PROV_INC_TAX</v>
          </cell>
          <cell r="D261" t="str">
            <v>USD</v>
          </cell>
          <cell r="F261">
            <v>-47.128</v>
          </cell>
          <cell r="G261">
            <v>-32.057000000000002</v>
          </cell>
          <cell r="H261">
            <v>-43.036999999999999</v>
          </cell>
          <cell r="I261">
            <v>-44.067999999999998</v>
          </cell>
          <cell r="J261">
            <v>-78.686999999999998</v>
          </cell>
          <cell r="K261">
            <v>-32.615000000000002</v>
          </cell>
          <cell r="L261">
            <v>-73.948999999999998</v>
          </cell>
          <cell r="M261">
            <v>-30.544</v>
          </cell>
          <cell r="N261">
            <v>-20.130641978417625</v>
          </cell>
          <cell r="O261">
            <v>-24.569256128391736</v>
          </cell>
          <cell r="P261">
            <v>-31.741386535213344</v>
          </cell>
          <cell r="Q261"/>
          <cell r="R261">
            <v>-6.0650000000000004</v>
          </cell>
          <cell r="S261">
            <v>-36.972000000000001</v>
          </cell>
          <cell r="T261">
            <v>-23.911999999999999</v>
          </cell>
          <cell r="U261">
            <v>-20.155999999999999</v>
          </cell>
          <cell r="V261">
            <v>-37.308999999999997</v>
          </cell>
          <cell r="W261">
            <v>-41.378</v>
          </cell>
          <cell r="X261">
            <v>-17.321000000000002</v>
          </cell>
          <cell r="Y261">
            <v>-15.294</v>
          </cell>
          <cell r="Z261">
            <v>-5.468</v>
          </cell>
          <cell r="AA261">
            <v>-68.480999999999995</v>
          </cell>
          <cell r="AB261">
            <v>-5.992</v>
          </cell>
          <cell r="AC261">
            <v>-24.552</v>
          </cell>
          <cell r="AD261">
            <v>-6.7798978061423059</v>
          </cell>
          <cell r="AE261">
            <v>-13.35074417227532</v>
          </cell>
          <cell r="AF261">
            <v>-8.0657303654336747</v>
          </cell>
        </row>
        <row r="262">
          <cell r="B262" t="str">
            <v>Minority interest</v>
          </cell>
          <cell r="C262" t="str">
            <v>INC_MINORITY</v>
          </cell>
          <cell r="D262" t="str">
            <v>USD</v>
          </cell>
          <cell r="F262">
            <v>1E-3</v>
          </cell>
          <cell r="G262">
            <v>-7.0000000000000001E-3</v>
          </cell>
          <cell r="H262">
            <v>0</v>
          </cell>
          <cell r="I262">
            <v>4.0000000000000001E-3</v>
          </cell>
          <cell r="J262">
            <v>1.2709999999999999</v>
          </cell>
          <cell r="K262">
            <v>2.1190000000000002</v>
          </cell>
          <cell r="L262">
            <v>-6.6000000000000003E-2</v>
          </cell>
          <cell r="M262">
            <v>0.84199999999999997</v>
          </cell>
          <cell r="N262">
            <v>-1.0839999999999999</v>
          </cell>
          <cell r="O262">
            <v>-1.0839999999999999</v>
          </cell>
          <cell r="P262">
            <v>-1.0839999999999999</v>
          </cell>
          <cell r="Q262"/>
          <cell r="R262">
            <v>-3.0000000000000001E-3</v>
          </cell>
          <cell r="S262">
            <v>3.0000000000000001E-3</v>
          </cell>
          <cell r="T262">
            <v>3.0000000000000001E-3</v>
          </cell>
          <cell r="U262">
            <v>1E-3</v>
          </cell>
          <cell r="V262">
            <v>0.77600000000000002</v>
          </cell>
          <cell r="W262">
            <v>0.49499999999999988</v>
          </cell>
          <cell r="X262">
            <v>1.091</v>
          </cell>
          <cell r="Y262">
            <v>1.0280000000000002</v>
          </cell>
          <cell r="Z262">
            <v>2.028</v>
          </cell>
          <cell r="AA262">
            <v>-2.0939999999999999</v>
          </cell>
          <cell r="AB262">
            <v>1.3839999999999999</v>
          </cell>
          <cell r="AC262">
            <v>-0.54199999999999993</v>
          </cell>
          <cell r="AD262">
            <v>-0.54199999999999993</v>
          </cell>
          <cell r="AE262">
            <v>-0.54199999999999993</v>
          </cell>
          <cell r="AF262">
            <v>-0.54199999999999993</v>
          </cell>
        </row>
        <row r="263">
          <cell r="B263" t="str">
            <v>Net income (pre-preferred dividends)</v>
          </cell>
          <cell r="C263" t="str">
            <v>NI_PRE_PREF</v>
          </cell>
          <cell r="D263" t="str">
            <v>USD</v>
          </cell>
          <cell r="F263">
            <v>187.02500000000029</v>
          </cell>
          <cell r="G263">
            <v>177.00900000000019</v>
          </cell>
          <cell r="H263">
            <v>168.56200000000041</v>
          </cell>
          <cell r="I263">
            <v>180.48999999999981</v>
          </cell>
          <cell r="J263">
            <v>233.94600000000017</v>
          </cell>
          <cell r="K263">
            <v>235.41400000000041</v>
          </cell>
          <cell r="L263">
            <v>42.509000000000327</v>
          </cell>
          <cell r="M263">
            <v>137.6249999999996</v>
          </cell>
          <cell r="N263">
            <v>79.438567913669402</v>
          </cell>
          <cell r="O263">
            <v>81.169596603745219</v>
          </cell>
          <cell r="P263">
            <v>94.140159605638985</v>
          </cell>
          <cell r="Q263"/>
          <cell r="R263">
            <v>23.550000000000086</v>
          </cell>
          <cell r="S263">
            <v>145.0119999999998</v>
          </cell>
          <cell r="T263">
            <v>67.3900000000002</v>
          </cell>
          <cell r="U263">
            <v>113.10000000000005</v>
          </cell>
          <cell r="V263">
            <v>107.62099999999982</v>
          </cell>
          <cell r="W263">
            <v>126.32500000000037</v>
          </cell>
          <cell r="X263">
            <v>101.83400000000009</v>
          </cell>
          <cell r="Y263">
            <v>133.57999999999998</v>
          </cell>
          <cell r="Z263">
            <v>22.173000000000048</v>
          </cell>
          <cell r="AA263">
            <v>20.335999999999608</v>
          </cell>
          <cell r="AB263">
            <v>9.2639999999999141</v>
          </cell>
          <cell r="AC263">
            <v>128.36099999999968</v>
          </cell>
          <cell r="AD263">
            <v>26.577591224569186</v>
          </cell>
          <cell r="AE263">
            <v>52.860976689100902</v>
          </cell>
          <cell r="AF263">
            <v>26.460662527756341</v>
          </cell>
        </row>
        <row r="264">
          <cell r="B264" t="str">
            <v>Preferred dividends</v>
          </cell>
          <cell r="C264" t="str">
            <v>PREF_DIV</v>
          </cell>
          <cell r="D264" t="str">
            <v>USD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</row>
        <row r="265">
          <cell r="B265" t="str">
            <v>Net income (pre-exceptionals)</v>
          </cell>
          <cell r="C265" t="str">
            <v>NET_EARNING</v>
          </cell>
          <cell r="D265" t="str">
            <v>USD</v>
          </cell>
          <cell r="F265">
            <v>187.02500000000029</v>
          </cell>
          <cell r="G265">
            <v>177.00900000000019</v>
          </cell>
          <cell r="H265">
            <v>168.56200000000041</v>
          </cell>
          <cell r="I265">
            <v>180.48999999999981</v>
          </cell>
          <cell r="J265">
            <v>233.94600000000017</v>
          </cell>
          <cell r="K265">
            <v>235.41400000000041</v>
          </cell>
          <cell r="L265">
            <v>42.509000000000327</v>
          </cell>
          <cell r="M265">
            <v>137.6249999999996</v>
          </cell>
          <cell r="N265">
            <v>79.438567913669402</v>
          </cell>
          <cell r="O265">
            <v>81.169596603745219</v>
          </cell>
          <cell r="P265">
            <v>94.140159605638985</v>
          </cell>
          <cell r="Q265"/>
          <cell r="R265">
            <v>23.550000000000086</v>
          </cell>
          <cell r="S265">
            <v>145.0119999999998</v>
          </cell>
          <cell r="T265">
            <v>67.3900000000002</v>
          </cell>
          <cell r="U265">
            <v>113.10000000000005</v>
          </cell>
          <cell r="V265">
            <v>107.62099999999982</v>
          </cell>
          <cell r="W265">
            <v>126.32500000000037</v>
          </cell>
          <cell r="X265">
            <v>101.83400000000009</v>
          </cell>
          <cell r="Y265">
            <v>133.57999999999998</v>
          </cell>
          <cell r="Z265">
            <v>22.173000000000048</v>
          </cell>
          <cell r="AA265">
            <v>20.335999999999608</v>
          </cell>
          <cell r="AB265">
            <v>9.2639999999999141</v>
          </cell>
          <cell r="AC265">
            <v>128.36099999999968</v>
          </cell>
          <cell r="AD265">
            <v>26.577591224569186</v>
          </cell>
          <cell r="AE265">
            <v>52.860976689100902</v>
          </cell>
          <cell r="AF265">
            <v>26.460662527756341</v>
          </cell>
        </row>
        <row r="266">
          <cell r="B266" t="str">
            <v>Post-tax exceptionals</v>
          </cell>
          <cell r="C266" t="str">
            <v>TAX_EXC</v>
          </cell>
          <cell r="D266" t="str">
            <v>USD</v>
          </cell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</row>
        <row r="267">
          <cell r="B267" t="str">
            <v>Net income (post-exceptionals)</v>
          </cell>
          <cell r="C267" t="str">
            <v>NET_INC</v>
          </cell>
          <cell r="D267" t="str">
            <v>USD</v>
          </cell>
          <cell r="F267">
            <v>187.02500000000029</v>
          </cell>
          <cell r="G267">
            <v>177.00900000000019</v>
          </cell>
          <cell r="H267">
            <v>168.56200000000041</v>
          </cell>
          <cell r="I267">
            <v>180.48999999999981</v>
          </cell>
          <cell r="J267">
            <v>233.94600000000017</v>
          </cell>
          <cell r="K267">
            <v>235.41400000000041</v>
          </cell>
          <cell r="L267">
            <v>42.509000000000327</v>
          </cell>
          <cell r="M267">
            <v>137.6249999999996</v>
          </cell>
          <cell r="N267">
            <v>79.438567913669402</v>
          </cell>
          <cell r="O267">
            <v>81.169596603745219</v>
          </cell>
          <cell r="P267">
            <v>94.140159605638985</v>
          </cell>
          <cell r="Q267"/>
          <cell r="R267">
            <v>23.550000000000086</v>
          </cell>
          <cell r="S267">
            <v>145.0119999999998</v>
          </cell>
          <cell r="T267">
            <v>67.3900000000002</v>
          </cell>
          <cell r="U267">
            <v>113.10000000000005</v>
          </cell>
          <cell r="V267">
            <v>107.62099999999982</v>
          </cell>
          <cell r="W267">
            <v>126.32500000000037</v>
          </cell>
          <cell r="X267">
            <v>101.83400000000009</v>
          </cell>
          <cell r="Y267">
            <v>133.57999999999998</v>
          </cell>
          <cell r="Z267">
            <v>22.173000000000048</v>
          </cell>
          <cell r="AA267">
            <v>20.335999999999608</v>
          </cell>
          <cell r="AB267">
            <v>9.2639999999999141</v>
          </cell>
          <cell r="AC267">
            <v>128.36099999999968</v>
          </cell>
          <cell r="AD267">
            <v>26.577591224569186</v>
          </cell>
          <cell r="AE267">
            <v>52.860976689100902</v>
          </cell>
          <cell r="AF267">
            <v>26.460662527756341</v>
          </cell>
        </row>
        <row r="268">
          <cell r="B268" t="str">
            <v>EPS (pre-exceptionals, basic)</v>
          </cell>
          <cell r="C268" t="str">
            <v>EPS</v>
          </cell>
          <cell r="D268" t="str">
            <v>USD</v>
          </cell>
          <cell r="F268">
            <v>3.5749812290786477E-2</v>
          </cell>
          <cell r="G268">
            <v>3.2074302777257868E-2</v>
          </cell>
          <cell r="H268">
            <v>3.0125716540673777E-2</v>
          </cell>
          <cell r="I268">
            <v>2.9502859892718027E-2</v>
          </cell>
          <cell r="J268">
            <v>3.5041779742434422E-2</v>
          </cell>
          <cell r="K268">
            <v>3.5747193389622511E-2</v>
          </cell>
          <cell r="L268">
            <v>6.3696978060962528E-3</v>
          </cell>
          <cell r="M268">
            <v>2.0384177878890151E-2</v>
          </cell>
          <cell r="N268">
            <v>1.1765957484443588E-2</v>
          </cell>
          <cell r="O268">
            <v>1.202234692482119E-2</v>
          </cell>
          <cell r="P268">
            <v>1.3943467821605529E-2</v>
          </cell>
          <cell r="Q268"/>
          <cell r="R268">
            <v>4.2089001348635411E-3</v>
          </cell>
          <cell r="S268">
            <v>2.5916816405810141E-2</v>
          </cell>
          <cell r="T268">
            <v>1.204406709505112E-2</v>
          </cell>
          <cell r="U268">
            <v>1.8487303750160198E-2</v>
          </cell>
          <cell r="V268">
            <v>1.5988301699212927E-2</v>
          </cell>
          <cell r="W268">
            <v>1.8921686312067903E-2</v>
          </cell>
          <cell r="X268">
            <v>1.5467425056639278E-2</v>
          </cell>
          <cell r="Y268">
            <v>2.0283883256670233E-2</v>
          </cell>
          <cell r="Z268">
            <v>3.3237481830161683E-3</v>
          </cell>
          <cell r="AA268">
            <v>3.047217638259425E-3</v>
          </cell>
          <cell r="AB268">
            <v>1.3857905311194661E-3</v>
          </cell>
          <cell r="AC268">
            <v>1.9012050548317672E-2</v>
          </cell>
          <cell r="AD268">
            <v>3.9365111506924596E-3</v>
          </cell>
          <cell r="AE268">
            <v>7.8294463337511468E-3</v>
          </cell>
          <cell r="AF268">
            <v>3.9191923833538237E-3</v>
          </cell>
        </row>
        <row r="269">
          <cell r="B269" t="str">
            <v>EPS (pre-exceptionals, diluted)</v>
          </cell>
          <cell r="C269" t="str">
            <v>EPS_FUL_DIL</v>
          </cell>
          <cell r="D269" t="str">
            <v>USD</v>
          </cell>
          <cell r="F269">
            <v>3.5749812290786477E-2</v>
          </cell>
          <cell r="G269">
            <v>3.1458205633433892E-2</v>
          </cell>
          <cell r="H269">
            <v>2.896472775180128E-2</v>
          </cell>
          <cell r="I269">
            <v>2.8061823388843339E-2</v>
          </cell>
          <cell r="J269">
            <v>3.3492679802359059E-2</v>
          </cell>
          <cell r="K269">
            <v>3.4850369200974805E-2</v>
          </cell>
          <cell r="L269">
            <v>6.1727722788811621E-3</v>
          </cell>
          <cell r="M269">
            <v>1.9929884458078688E-2</v>
          </cell>
          <cell r="N269">
            <v>1.1503734641487259E-2</v>
          </cell>
          <cell r="O269">
            <v>1.1754410040483297E-2</v>
          </cell>
          <cell r="P269">
            <v>1.363271574063926E-2</v>
          </cell>
          <cell r="Q269"/>
          <cell r="R269">
            <v>4.0617258143631051E-3</v>
          </cell>
          <cell r="S269">
            <v>2.4918030758677469E-2</v>
          </cell>
          <cell r="T269">
            <v>1.1497616108605502E-2</v>
          </cell>
          <cell r="U269">
            <v>1.7584310628168801E-2</v>
          </cell>
          <cell r="V269">
            <v>1.5239019002577077E-2</v>
          </cell>
          <cell r="W269">
            <v>1.8085211014648755E-2</v>
          </cell>
          <cell r="X269">
            <v>1.4792848694698241E-2</v>
          </cell>
          <cell r="Y269">
            <v>1.9775001987418786E-2</v>
          </cell>
          <cell r="Z269">
            <v>3.2344643090801827E-3</v>
          </cell>
          <cell r="AA269">
            <v>2.9530098817503098E-3</v>
          </cell>
          <cell r="AB269">
            <v>1.3423386715831532E-3</v>
          </cell>
          <cell r="AC269">
            <v>1.8588337140224811E-2</v>
          </cell>
          <cell r="AD269">
            <v>3.8487798167463143E-3</v>
          </cell>
          <cell r="AE269">
            <v>7.6549548247409624E-3</v>
          </cell>
          <cell r="AF269">
            <v>3.8318470253398567E-3</v>
          </cell>
        </row>
        <row r="270">
          <cell r="B270" t="str">
            <v>EPS (post-exceptionals, basic)</v>
          </cell>
          <cell r="C270" t="str">
            <v>EPS_POST_BASIC</v>
          </cell>
          <cell r="D270" t="str">
            <v>USD</v>
          </cell>
          <cell r="F270">
            <v>3.5749812290786477E-2</v>
          </cell>
          <cell r="G270">
            <v>3.2074302777257868E-2</v>
          </cell>
          <cell r="H270">
            <v>3.0125716540673777E-2</v>
          </cell>
          <cell r="I270">
            <v>2.9502859892718027E-2</v>
          </cell>
          <cell r="J270">
            <v>3.5041779742434422E-2</v>
          </cell>
          <cell r="K270">
            <v>3.5747193389622511E-2</v>
          </cell>
          <cell r="L270">
            <v>6.3696978060962528E-3</v>
          </cell>
          <cell r="M270">
            <v>2.0384177878890151E-2</v>
          </cell>
          <cell r="N270">
            <v>1.1765957484443588E-2</v>
          </cell>
          <cell r="O270">
            <v>1.202234692482119E-2</v>
          </cell>
          <cell r="P270">
            <v>1.3943467821605529E-2</v>
          </cell>
          <cell r="Q270"/>
          <cell r="R270">
            <v>4.2089001348635411E-3</v>
          </cell>
          <cell r="S270">
            <v>2.5916816405810141E-2</v>
          </cell>
          <cell r="T270">
            <v>1.204406709505112E-2</v>
          </cell>
          <cell r="U270">
            <v>1.8487303750160198E-2</v>
          </cell>
          <cell r="V270">
            <v>1.5988301699212927E-2</v>
          </cell>
          <cell r="W270">
            <v>1.8921686312067903E-2</v>
          </cell>
          <cell r="X270">
            <v>1.5467425056639278E-2</v>
          </cell>
          <cell r="Y270">
            <v>2.0283883256670233E-2</v>
          </cell>
          <cell r="Z270">
            <v>3.3237481830161683E-3</v>
          </cell>
          <cell r="AA270">
            <v>3.047217638259425E-3</v>
          </cell>
          <cell r="AB270">
            <v>1.3857905311194661E-3</v>
          </cell>
          <cell r="AC270">
            <v>1.9012050548317672E-2</v>
          </cell>
          <cell r="AD270">
            <v>3.9365111506924596E-3</v>
          </cell>
          <cell r="AE270">
            <v>7.8294463337511468E-3</v>
          </cell>
          <cell r="AF270">
            <v>3.9191923833538237E-3</v>
          </cell>
        </row>
        <row r="271">
          <cell r="B271" t="str">
            <v>EPS (post-exceptionals, diluted)</v>
          </cell>
          <cell r="C271" t="str">
            <v>FULLY_DIL_EPS</v>
          </cell>
          <cell r="D271" t="str">
            <v>USD</v>
          </cell>
          <cell r="F271">
            <v>3.5749812290786477E-2</v>
          </cell>
          <cell r="G271">
            <v>3.1458205633433892E-2</v>
          </cell>
          <cell r="H271">
            <v>2.896472775180128E-2</v>
          </cell>
          <cell r="I271">
            <v>2.8061823388843339E-2</v>
          </cell>
          <cell r="J271">
            <v>3.3492679802359059E-2</v>
          </cell>
          <cell r="K271">
            <v>3.4850369200974805E-2</v>
          </cell>
          <cell r="L271">
            <v>6.1727722788811621E-3</v>
          </cell>
          <cell r="M271">
            <v>1.9929884458078688E-2</v>
          </cell>
          <cell r="N271">
            <v>1.1503734641487259E-2</v>
          </cell>
          <cell r="O271">
            <v>1.1754410040483297E-2</v>
          </cell>
          <cell r="P271">
            <v>1.363271574063926E-2</v>
          </cell>
          <cell r="Q271"/>
          <cell r="R271">
            <v>4.0617258143631051E-3</v>
          </cell>
          <cell r="S271">
            <v>2.4918030758677469E-2</v>
          </cell>
          <cell r="T271">
            <v>1.1497616108605502E-2</v>
          </cell>
          <cell r="U271">
            <v>1.7584310628168801E-2</v>
          </cell>
          <cell r="V271">
            <v>1.5239019002577077E-2</v>
          </cell>
          <cell r="W271">
            <v>1.8085211014648755E-2</v>
          </cell>
          <cell r="X271">
            <v>1.4792848694698241E-2</v>
          </cell>
          <cell r="Y271">
            <v>1.9775001987418786E-2</v>
          </cell>
          <cell r="Z271">
            <v>3.2344643090801827E-3</v>
          </cell>
          <cell r="AA271">
            <v>2.9530098817503098E-3</v>
          </cell>
          <cell r="AB271">
            <v>1.3423386715831532E-3</v>
          </cell>
          <cell r="AC271">
            <v>1.8588337140224811E-2</v>
          </cell>
          <cell r="AD271">
            <v>3.8487798167463143E-3</v>
          </cell>
          <cell r="AE271">
            <v>7.6549548247409624E-3</v>
          </cell>
          <cell r="AF271">
            <v>3.8318470253398567E-3</v>
          </cell>
        </row>
        <row r="272">
          <cell r="B272" t="str">
            <v>Common dividends paid</v>
          </cell>
          <cell r="C272" t="str">
            <v>COMMON_DIV_PAID</v>
          </cell>
          <cell r="D272" t="str">
            <v>USD</v>
          </cell>
          <cell r="F272">
            <v>-41.667403999999998</v>
          </cell>
          <cell r="G272">
            <v>-44.202759</v>
          </cell>
          <cell r="H272">
            <v>-44.203000000000003</v>
          </cell>
          <cell r="I272">
            <v>-40.552999999999997</v>
          </cell>
          <cell r="J272">
            <v>-60.232999999999997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/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</row>
        <row r="273">
          <cell r="B273" t="str">
            <v>DPS, dividend per share</v>
          </cell>
          <cell r="C273" t="str">
            <v>DPS</v>
          </cell>
          <cell r="D273" t="str">
            <v>USD</v>
          </cell>
          <cell r="F273">
            <v>7.9647206076426322E-3</v>
          </cell>
          <cell r="G273">
            <v>8.0096078490707167E-3</v>
          </cell>
          <cell r="H273">
            <v>7.9000430004829078E-3</v>
          </cell>
          <cell r="I273">
            <v>6.6287854021241923E-3</v>
          </cell>
          <cell r="J273">
            <v>9.022045767938117E-3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/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</row>
        <row r="274">
          <cell r="B274" t="str">
            <v>Weighted average shares outstanding, basic</v>
          </cell>
          <cell r="C274" t="str">
            <v>SH</v>
          </cell>
          <cell r="D274" t="str">
            <v>USD</v>
          </cell>
          <cell r="F274">
            <v>5231.4960000000001</v>
          </cell>
          <cell r="G274">
            <v>5518.7169999999996</v>
          </cell>
          <cell r="H274">
            <v>5595.2860000000001</v>
          </cell>
          <cell r="I274">
            <v>6117.7120000000004</v>
          </cell>
          <cell r="J274">
            <v>6676.2020000000002</v>
          </cell>
          <cell r="K274">
            <v>6585.5240000000003</v>
          </cell>
          <cell r="L274">
            <v>6673.6289999999999</v>
          </cell>
          <cell r="M274">
            <v>6751.56</v>
          </cell>
          <cell r="N274">
            <v>6751.5599999999531</v>
          </cell>
          <cell r="O274">
            <v>6751.5599999999558</v>
          </cell>
          <cell r="P274">
            <v>6751.5599999999968</v>
          </cell>
          <cell r="Q274"/>
          <cell r="R274">
            <v>5595.2860000000001</v>
          </cell>
          <cell r="S274">
            <v>5595.2860000000001</v>
          </cell>
          <cell r="T274">
            <v>5595.2860000000001</v>
          </cell>
          <cell r="U274">
            <v>6117.7120000000004</v>
          </cell>
          <cell r="V274">
            <v>6731.2340000000004</v>
          </cell>
          <cell r="W274">
            <v>6676.2020000000002</v>
          </cell>
          <cell r="X274">
            <v>6583.7719999999999</v>
          </cell>
          <cell r="Y274">
            <v>6585.5240000000003</v>
          </cell>
          <cell r="Z274">
            <v>6671.0829999999996</v>
          </cell>
          <cell r="AA274">
            <v>6673.6289999999999</v>
          </cell>
          <cell r="AB274">
            <v>6684.9930000000004</v>
          </cell>
          <cell r="AC274">
            <v>6751.56</v>
          </cell>
          <cell r="AD274">
            <v>6751.56</v>
          </cell>
          <cell r="AE274">
            <v>6751.56</v>
          </cell>
          <cell r="AF274">
            <v>6751.56</v>
          </cell>
        </row>
        <row r="275">
          <cell r="B275" t="str">
            <v>Diluted average shares outstanding (mn)</v>
          </cell>
          <cell r="C275" t="str">
            <v>DILUTE_SHARES</v>
          </cell>
          <cell r="F275">
            <v>5231.4960000000001</v>
          </cell>
          <cell r="G275">
            <v>5626.799</v>
          </cell>
          <cell r="H275">
            <v>5819.5609999999997</v>
          </cell>
          <cell r="I275">
            <v>6431.87</v>
          </cell>
          <cell r="J275">
            <v>6984.9889999999996</v>
          </cell>
          <cell r="K275">
            <v>6754.9930000000004</v>
          </cell>
          <cell r="L275">
            <v>6886.5330000000004</v>
          </cell>
          <cell r="M275">
            <v>6905.4589999999998</v>
          </cell>
          <cell r="N275">
            <v>6905.4589999999507</v>
          </cell>
          <cell r="O275">
            <v>6905.4589999999553</v>
          </cell>
          <cell r="P275">
            <v>6905.4589999999953</v>
          </cell>
          <cell r="Q275"/>
          <cell r="R275">
            <v>5798.0280000000002</v>
          </cell>
          <cell r="S275">
            <v>5819.5609999999997</v>
          </cell>
          <cell r="T275">
            <v>5861.2150000000001</v>
          </cell>
          <cell r="U275">
            <v>6431.87</v>
          </cell>
          <cell r="V275">
            <v>7062.2</v>
          </cell>
          <cell r="W275">
            <v>6984.9889999999996</v>
          </cell>
          <cell r="X275">
            <v>6884.0020000000004</v>
          </cell>
          <cell r="Y275">
            <v>6754.9930000000004</v>
          </cell>
          <cell r="Z275">
            <v>6855.2309999999998</v>
          </cell>
          <cell r="AA275">
            <v>6886.5330000000004</v>
          </cell>
          <cell r="AB275">
            <v>6901.3879999999999</v>
          </cell>
          <cell r="AC275">
            <v>6905.4589999999998</v>
          </cell>
          <cell r="AD275">
            <v>6905.4589999999998</v>
          </cell>
          <cell r="AE275">
            <v>6905.4589999999998</v>
          </cell>
          <cell r="AF275">
            <v>6905.4589999999998</v>
          </cell>
        </row>
        <row r="276">
          <cell r="B276" t="str">
            <v>Period-end shares outstanding</v>
          </cell>
          <cell r="C276" t="str">
            <v>NON_OP_ADD</v>
          </cell>
          <cell r="F276">
            <v>5231.4960000000001</v>
          </cell>
          <cell r="G276">
            <v>5518.7169999999996</v>
          </cell>
          <cell r="H276">
            <v>5595.2860000000001</v>
          </cell>
          <cell r="I276">
            <v>6117.7120000000004</v>
          </cell>
          <cell r="J276">
            <v>6676.2020000000002</v>
          </cell>
          <cell r="K276">
            <v>6585.5240000000003</v>
          </cell>
          <cell r="L276">
            <v>6673.6289999999999</v>
          </cell>
          <cell r="M276">
            <v>6751.56</v>
          </cell>
          <cell r="N276">
            <v>6751.5599999999531</v>
          </cell>
          <cell r="O276">
            <v>6751.5599999999558</v>
          </cell>
          <cell r="P276">
            <v>6751.5599999999968</v>
          </cell>
          <cell r="Q276"/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</row>
        <row r="277">
          <cell r="A277" t="str">
            <v>Additional Income Statement Items</v>
          </cell>
          <cell r="B277"/>
          <cell r="C277"/>
          <cell r="D277"/>
          <cell r="F277">
            <v>5231.4960000000001</v>
          </cell>
          <cell r="G277">
            <v>5518.7169999999996</v>
          </cell>
          <cell r="H277">
            <v>5595.2860000000001</v>
          </cell>
          <cell r="I277">
            <v>6117.7120000000004</v>
          </cell>
          <cell r="J277">
            <v>6676.2020000000002</v>
          </cell>
          <cell r="K277">
            <v>6585.5240000000003</v>
          </cell>
          <cell r="L277">
            <v>6673.6289999999999</v>
          </cell>
          <cell r="M277">
            <v>6751.56</v>
          </cell>
          <cell r="N277">
            <v>6997.6210000000001</v>
          </cell>
          <cell r="O277">
            <v>7084.8110000000061</v>
          </cell>
          <cell r="P277">
            <v>7084.8109999999715</v>
          </cell>
          <cell r="Q277">
            <v>7084.8109999999997</v>
          </cell>
          <cell r="R277"/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</row>
        <row r="278">
          <cell r="A278" t="str">
            <v>Additional Income Statement Items</v>
          </cell>
          <cell r="B278" t="str">
            <v>Marginal tax rate</v>
          </cell>
          <cell r="C278" t="str">
            <v>MARGIN_TAX_RATE</v>
          </cell>
          <cell r="D278"/>
          <cell r="F278">
            <v>0.20127096928490895</v>
          </cell>
          <cell r="G278">
            <v>0.15332921993753379</v>
          </cell>
          <cell r="H278">
            <v>0.20338943000675808</v>
          </cell>
          <cell r="I278">
            <v>0.19624678251111091</v>
          </cell>
          <cell r="J278">
            <v>0.25271870041944744</v>
          </cell>
          <cell r="K278">
            <v>0.12265428152382385</v>
          </cell>
          <cell r="L278">
            <v>0.63462462668634789</v>
          </cell>
          <cell r="M278">
            <v>0.18254077345556904</v>
          </cell>
          <cell r="N278">
            <v>0.20000000000000112</v>
          </cell>
          <cell r="O278">
            <v>0.23000000000000118</v>
          </cell>
          <cell r="P278">
            <v>0.25000000000000011</v>
          </cell>
          <cell r="Q278"/>
          <cell r="R278">
            <v>0.20477412384360863</v>
          </cell>
          <cell r="S278">
            <v>0.20316406657837907</v>
          </cell>
          <cell r="T278">
            <v>0.26190867369850707</v>
          </cell>
          <cell r="U278">
            <v>0.15125886458294246</v>
          </cell>
          <cell r="V278">
            <v>0.25881349112754415</v>
          </cell>
          <cell r="W278">
            <v>0.2474642361609492</v>
          </cell>
          <cell r="X278">
            <v>0.14670856484618514</v>
          </cell>
          <cell r="Y278">
            <v>0.10344547705044436</v>
          </cell>
          <cell r="Z278">
            <v>0.21348533947604731</v>
          </cell>
          <cell r="AA278">
            <v>0.7532751812211943</v>
          </cell>
          <cell r="AB278">
            <v>0.43194925028835063</v>
          </cell>
          <cell r="AC278">
            <v>0.15999478674529993</v>
          </cell>
          <cell r="AD278">
            <v>0.2</v>
          </cell>
          <cell r="AE278">
            <v>0.2</v>
          </cell>
          <cell r="AF278">
            <v>0.23</v>
          </cell>
        </row>
        <row r="279">
          <cell r="B279" t="str">
            <v>Net income (consensus) (Pub)</v>
          </cell>
          <cell r="C279" t="str">
            <v>NI_CONS</v>
          </cell>
          <cell r="D279" t="str">
            <v>USD</v>
          </cell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</row>
        <row r="280">
          <cell r="A280" t="str">
            <v>Balance Sheet</v>
          </cell>
          <cell r="B280"/>
          <cell r="C280"/>
          <cell r="D280"/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</row>
        <row r="281">
          <cell r="A281" t="str">
            <v>Balance Sheet</v>
          </cell>
          <cell r="B281" t="str">
            <v>BVPS, book value per share</v>
          </cell>
          <cell r="C281" t="str">
            <v>BVPS</v>
          </cell>
          <cell r="D281" t="str">
            <v>USD</v>
          </cell>
          <cell r="F281">
            <v>0.20144945155267252</v>
          </cell>
          <cell r="G281">
            <v>0.21499942830915231</v>
          </cell>
          <cell r="H281">
            <v>0.22947012896212987</v>
          </cell>
          <cell r="I281">
            <v>0.30957227146357985</v>
          </cell>
          <cell r="J281">
            <v>0.28977223876689168</v>
          </cell>
          <cell r="K281">
            <v>0.31383182264615539</v>
          </cell>
          <cell r="L281">
            <v>0.32783842194404272</v>
          </cell>
          <cell r="M281">
            <v>0.35466914313136511</v>
          </cell>
          <cell r="N281">
            <v>0.36643510061581125</v>
          </cell>
          <cell r="O281">
            <v>0.37845744754063237</v>
          </cell>
          <cell r="P281">
            <v>0.3924009153622357</v>
          </cell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</row>
        <row r="282">
          <cell r="A282" t="str">
            <v>Cash Flow Statement</v>
          </cell>
          <cell r="B282"/>
          <cell r="C282"/>
          <cell r="D282"/>
          <cell r="F282">
            <v>0.20144945155267252</v>
          </cell>
          <cell r="G282">
            <v>0.21499942830915231</v>
          </cell>
          <cell r="H282">
            <v>0.22947012896212987</v>
          </cell>
          <cell r="I282">
            <v>0.30957227146357985</v>
          </cell>
          <cell r="J282">
            <v>0.28977223876689168</v>
          </cell>
          <cell r="K282">
            <v>0.31383182264615539</v>
          </cell>
          <cell r="L282">
            <v>0.32783842194404272</v>
          </cell>
          <cell r="M282">
            <v>0.35466914313136511</v>
          </cell>
          <cell r="N282">
            <v>0.33516347913097888</v>
          </cell>
          <cell r="O282">
            <v>0.35138166045482216</v>
          </cell>
          <cell r="P282">
            <v>0.36549550911579809</v>
          </cell>
          <cell r="Q282">
            <v>0.38183847844484348</v>
          </cell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</row>
        <row r="283">
          <cell r="A283" t="str">
            <v>Cash Flow Statement</v>
          </cell>
          <cell r="B283" t="str">
            <v>Net income (pre-preferred dividends)</v>
          </cell>
          <cell r="C283" t="str">
            <v>CF_NI_PRE_PREF</v>
          </cell>
          <cell r="D283" t="str">
            <v>USD</v>
          </cell>
          <cell r="F283">
            <v>187.02500000000001</v>
          </cell>
          <cell r="G283">
            <v>177.00900000000001</v>
          </cell>
          <cell r="H283">
            <v>168.56199999999998</v>
          </cell>
          <cell r="I283">
            <v>180.48999999999998</v>
          </cell>
          <cell r="J283">
            <v>233.946</v>
          </cell>
          <cell r="K283">
            <v>235.41400000000002</v>
          </cell>
          <cell r="L283">
            <v>42.509</v>
          </cell>
          <cell r="M283">
            <v>137.625</v>
          </cell>
          <cell r="N283">
            <v>79.438567913669928</v>
          </cell>
          <cell r="O283">
            <v>81.169596603745703</v>
          </cell>
          <cell r="P283">
            <v>94.14015960563998</v>
          </cell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</row>
        <row r="284">
          <cell r="A284" t="str">
            <v>Other Items</v>
          </cell>
          <cell r="B284"/>
          <cell r="C284"/>
          <cell r="D284"/>
          <cell r="F284">
            <v>187.02500000000001</v>
          </cell>
          <cell r="G284">
            <v>177.00900000000001</v>
          </cell>
          <cell r="H284">
            <v>168.56199999999998</v>
          </cell>
          <cell r="I284">
            <v>180.48999999999998</v>
          </cell>
          <cell r="J284">
            <v>233.946</v>
          </cell>
          <cell r="K284">
            <v>235.41400000000002</v>
          </cell>
          <cell r="L284">
            <v>42.509</v>
          </cell>
          <cell r="M284">
            <v>137.625</v>
          </cell>
          <cell r="N284">
            <v>169.61899999999997</v>
          </cell>
          <cell r="O284">
            <v>144.12565318859143</v>
          </cell>
          <cell r="P284">
            <v>99.993950245605149</v>
          </cell>
          <cell r="Q284">
            <v>115.78684887509394</v>
          </cell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</row>
        <row r="285">
          <cell r="A285" t="str">
            <v>Other Items</v>
          </cell>
          <cell r="B285" t="str">
            <v>Beta</v>
          </cell>
          <cell r="C285" t="str">
            <v>BETA_ANALYST</v>
          </cell>
          <cell r="D285"/>
          <cell r="E285"/>
        </row>
        <row r="286">
          <cell r="B286" t="str">
            <v>Market equity risk premium</v>
          </cell>
          <cell r="C286" t="str">
            <v>MKT_EQ_RISK_PREM</v>
          </cell>
          <cell r="E286"/>
        </row>
        <row r="287">
          <cell r="B287" t="str">
            <v>Risk-free rate</v>
          </cell>
          <cell r="C287" t="str">
            <v>RISK_FR_RATE</v>
          </cell>
          <cell r="E287"/>
        </row>
      </sheetData>
      <sheetData sheetId="14">
        <row r="1">
          <cell r="A1" t="str">
            <v>Issuer: FIT Hon Teng</v>
          </cell>
          <cell r="C1">
            <v>1992848318</v>
          </cell>
          <cell r="F1">
            <v>2014</v>
          </cell>
          <cell r="G1">
            <v>2015</v>
          </cell>
          <cell r="H1">
            <v>2016</v>
          </cell>
          <cell r="I1">
            <v>2017</v>
          </cell>
          <cell r="J1">
            <v>2018</v>
          </cell>
          <cell r="K1">
            <v>2019</v>
          </cell>
          <cell r="L1">
            <v>2020</v>
          </cell>
          <cell r="M1">
            <v>2021</v>
          </cell>
          <cell r="N1">
            <v>2022</v>
          </cell>
          <cell r="O1">
            <v>2023</v>
          </cell>
          <cell r="P1">
            <v>2024</v>
          </cell>
          <cell r="Q1" t="str">
            <v>2016 H1</v>
          </cell>
          <cell r="R1" t="str">
            <v>2016 H1</v>
          </cell>
          <cell r="S1" t="str">
            <v>2016 H2</v>
          </cell>
          <cell r="T1" t="str">
            <v>2017 H1</v>
          </cell>
          <cell r="U1" t="str">
            <v>2017 H2</v>
          </cell>
          <cell r="V1" t="str">
            <v>2018 H1</v>
          </cell>
          <cell r="W1" t="str">
            <v>2018 H2</v>
          </cell>
          <cell r="X1" t="str">
            <v>2019 H1</v>
          </cell>
          <cell r="Y1" t="str">
            <v>2019 H2</v>
          </cell>
          <cell r="Z1" t="str">
            <v>2020 H1</v>
          </cell>
          <cell r="AA1" t="str">
            <v>2020 H2</v>
          </cell>
          <cell r="AB1" t="str">
            <v>2021 H1</v>
          </cell>
          <cell r="AC1" t="str">
            <v>2021 H2</v>
          </cell>
          <cell r="AD1" t="str">
            <v>2022 H1</v>
          </cell>
          <cell r="AE1" t="str">
            <v>2022 H2</v>
          </cell>
          <cell r="AF1" t="str">
            <v>2023 H1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Estimate</v>
          </cell>
          <cell r="N2" t="str">
            <v>Estimate</v>
          </cell>
          <cell r="O2" t="str">
            <v>Estimate</v>
          </cell>
          <cell r="P2" t="str">
            <v>Estimate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Estimate</v>
          </cell>
          <cell r="AD2" t="str">
            <v>Estimate</v>
          </cell>
          <cell r="AE2" t="str">
            <v>Estimate</v>
          </cell>
          <cell r="AF2" t="str">
            <v>Estimate</v>
          </cell>
        </row>
        <row r="3">
          <cell r="F3">
            <v>42004</v>
          </cell>
          <cell r="G3">
            <v>42369</v>
          </cell>
          <cell r="H3">
            <v>42735</v>
          </cell>
          <cell r="I3">
            <v>43100</v>
          </cell>
          <cell r="J3">
            <v>43465</v>
          </cell>
          <cell r="K3">
            <v>43830</v>
          </cell>
          <cell r="L3">
            <v>44196</v>
          </cell>
          <cell r="M3">
            <v>44561</v>
          </cell>
          <cell r="N3">
            <v>44926</v>
          </cell>
          <cell r="O3">
            <v>45291</v>
          </cell>
          <cell r="P3">
            <v>45657</v>
          </cell>
          <cell r="Q3">
            <v>42551</v>
          </cell>
          <cell r="R3">
            <v>42551</v>
          </cell>
          <cell r="S3">
            <v>42735</v>
          </cell>
          <cell r="T3">
            <v>42916</v>
          </cell>
          <cell r="U3">
            <v>43100</v>
          </cell>
          <cell r="V3">
            <v>43281</v>
          </cell>
          <cell r="W3">
            <v>43465</v>
          </cell>
          <cell r="X3">
            <v>43646</v>
          </cell>
          <cell r="Y3">
            <v>43830</v>
          </cell>
          <cell r="Z3">
            <v>44012</v>
          </cell>
          <cell r="AA3">
            <v>44196</v>
          </cell>
          <cell r="AB3">
            <v>44377</v>
          </cell>
          <cell r="AC3">
            <v>44561</v>
          </cell>
          <cell r="AD3">
            <v>44742</v>
          </cell>
          <cell r="AE3">
            <v>44926</v>
          </cell>
          <cell r="AF3">
            <v>45107</v>
          </cell>
        </row>
        <row r="4">
          <cell r="A4" t="str">
            <v>Issuer: FIT Hon Teng</v>
          </cell>
          <cell r="B4" t="str">
            <v>132DWP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FIT Hon Teng</v>
          </cell>
        </row>
        <row r="7">
          <cell r="B7" t="str">
            <v>Reporting Currency</v>
          </cell>
          <cell r="C7" t="str">
            <v>CURRENCY_ISO</v>
          </cell>
          <cell r="E7" t="str">
            <v>USD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USD</v>
          </cell>
          <cell r="F11">
            <v>2482.2139999999999</v>
          </cell>
          <cell r="G11">
            <v>2327.902</v>
          </cell>
          <cell r="H11">
            <v>2880.26</v>
          </cell>
          <cell r="I11">
            <v>3398.8029999999999</v>
          </cell>
          <cell r="J11">
            <v>4005.6350000000002</v>
          </cell>
          <cell r="K11">
            <v>4372.3819999999996</v>
          </cell>
          <cell r="L11">
            <v>4314.6610000000001</v>
          </cell>
          <cell r="M11">
            <v>4199.2737687584604</v>
          </cell>
          <cell r="N11">
            <v>4362.3481147226203</v>
          </cell>
          <cell r="O11">
            <v>4750.5879800784196</v>
          </cell>
          <cell r="P11">
            <v>5068.1711878307997</v>
          </cell>
          <cell r="Q11">
            <v>1041.6659999999999</v>
          </cell>
          <cell r="R11">
            <v>1041.6659999999999</v>
          </cell>
          <cell r="S11">
            <v>1838.5940000000001</v>
          </cell>
          <cell r="T11">
            <v>1379.4760000000001</v>
          </cell>
          <cell r="U11">
            <v>2019.327</v>
          </cell>
          <cell r="V11">
            <v>1719.3520000000001</v>
          </cell>
          <cell r="W11">
            <v>2286.2829999999999</v>
          </cell>
          <cell r="X11">
            <v>1918.306</v>
          </cell>
          <cell r="Y11">
            <v>2454.076</v>
          </cell>
          <cell r="Z11">
            <v>1916.5429999999999</v>
          </cell>
          <cell r="AA11">
            <v>2398.1179999999999</v>
          </cell>
          <cell r="AB11">
            <v>1982.056</v>
          </cell>
          <cell r="AC11">
            <v>2217.2177687584599</v>
          </cell>
          <cell r="AD11">
            <v>2038.5541224828401</v>
          </cell>
          <cell r="AE11">
            <v>2323.79399223978</v>
          </cell>
          <cell r="AF11">
            <v>2202.35209938054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USD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USD</v>
          </cell>
          <cell r="F13">
            <v>-2004.655</v>
          </cell>
          <cell r="G13">
            <v>-1892.662</v>
          </cell>
          <cell r="H13">
            <v>-2389.85</v>
          </cell>
          <cell r="I13">
            <v>-2829.3589999999999</v>
          </cell>
          <cell r="J13">
            <v>-3297.558</v>
          </cell>
          <cell r="K13">
            <v>-3618.1869999999999</v>
          </cell>
          <cell r="L13">
            <v>-3734.8890000000001</v>
          </cell>
          <cell r="M13">
            <v>-3621.6281603059901</v>
          </cell>
          <cell r="N13">
            <v>-3729.56704745551</v>
          </cell>
          <cell r="O13">
            <v>-4052.3341385273502</v>
          </cell>
          <cell r="P13">
            <v>-4294.9938314334704</v>
          </cell>
          <cell r="Q13">
            <v>-860.77800000000002</v>
          </cell>
          <cell r="R13">
            <v>-860.77800000000002</v>
          </cell>
          <cell r="S13">
            <v>-1529.0719999999999</v>
          </cell>
          <cell r="T13">
            <v>-1132.8779999999999</v>
          </cell>
          <cell r="U13">
            <v>-1696.481</v>
          </cell>
          <cell r="V13">
            <v>-1410.702</v>
          </cell>
          <cell r="W13">
            <v>-1886.856</v>
          </cell>
          <cell r="X13">
            <v>-1541.9459999999999</v>
          </cell>
          <cell r="Y13">
            <v>-2076.241</v>
          </cell>
          <cell r="Z13">
            <v>-1655.326</v>
          </cell>
          <cell r="AA13">
            <v>-2079.5630000000001</v>
          </cell>
          <cell r="AB13">
            <v>-1714.28</v>
          </cell>
          <cell r="AC13">
            <v>-1907.3481603059899</v>
          </cell>
          <cell r="AD13">
            <v>-1753.8975551083699</v>
          </cell>
          <cell r="AE13">
            <v>-1975.66949234714</v>
          </cell>
          <cell r="AF13">
            <v>-1892.3677923124901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USD</v>
          </cell>
          <cell r="F14">
            <v>-148.28299999999999</v>
          </cell>
          <cell r="G14">
            <v>-158.03200000000001</v>
          </cell>
          <cell r="H14">
            <v>-155.37899999999999</v>
          </cell>
          <cell r="I14">
            <v>-164.083</v>
          </cell>
          <cell r="J14">
            <v>-211.53899999999999</v>
          </cell>
          <cell r="K14">
            <v>-269.25299999999999</v>
          </cell>
          <cell r="L14">
            <v>-230.49100000000001</v>
          </cell>
          <cell r="M14">
            <v>-207.76653306275401</v>
          </cell>
          <cell r="N14">
            <v>-209.392709506686</v>
          </cell>
          <cell r="O14">
            <v>-228.028223043764</v>
          </cell>
          <cell r="P14">
            <v>-293.95392889418702</v>
          </cell>
          <cell r="Q14">
            <v>-79.177999999999997</v>
          </cell>
          <cell r="R14">
            <v>-79.177999999999997</v>
          </cell>
          <cell r="S14">
            <v>-76.200999999999993</v>
          </cell>
          <cell r="T14">
            <v>-75.540999999999997</v>
          </cell>
          <cell r="U14">
            <v>-88.542000000000002</v>
          </cell>
          <cell r="V14">
            <v>-96.4</v>
          </cell>
          <cell r="W14">
            <v>-115.139</v>
          </cell>
          <cell r="X14">
            <v>-142.80199999999999</v>
          </cell>
          <cell r="Y14">
            <v>-126.45099999999999</v>
          </cell>
          <cell r="Z14">
            <v>-139.459</v>
          </cell>
          <cell r="AA14">
            <v>-91.031999999999996</v>
          </cell>
          <cell r="AB14">
            <v>-141.25</v>
          </cell>
          <cell r="AC14">
            <v>-66.516533062753993</v>
          </cell>
          <cell r="AD14">
            <v>-97.850597879175993</v>
          </cell>
          <cell r="AE14">
            <v>-111.54211162751</v>
          </cell>
          <cell r="AF14">
            <v>-105.712900770266</v>
          </cell>
        </row>
        <row r="15">
          <cell r="B15" t="str">
            <v>Total operating expense</v>
          </cell>
          <cell r="C15" t="str">
            <v>OP_COST</v>
          </cell>
          <cell r="D15" t="str">
            <v>USD</v>
          </cell>
          <cell r="F15">
            <v>-2152.9380000000001</v>
          </cell>
          <cell r="G15">
            <v>-2050.694</v>
          </cell>
          <cell r="H15">
            <v>-2545.2289999999998</v>
          </cell>
          <cell r="I15">
            <v>-2993.442</v>
          </cell>
          <cell r="J15">
            <v>-3509.0970000000002</v>
          </cell>
          <cell r="K15">
            <v>-3887.44</v>
          </cell>
          <cell r="L15">
            <v>-3965.38</v>
          </cell>
          <cell r="M15">
            <v>-3829.3946933687398</v>
          </cell>
          <cell r="N15">
            <v>-3938.9597569622001</v>
          </cell>
          <cell r="O15">
            <v>-4280.3623615711103</v>
          </cell>
          <cell r="P15">
            <v>-4588.94776032766</v>
          </cell>
          <cell r="Q15">
            <v>-939.95600000000002</v>
          </cell>
          <cell r="R15">
            <v>-939.95600000000002</v>
          </cell>
          <cell r="S15">
            <v>-1605.2729999999999</v>
          </cell>
          <cell r="T15">
            <v>-1208.4190000000001</v>
          </cell>
          <cell r="U15">
            <v>-1785.0229999999999</v>
          </cell>
          <cell r="V15">
            <v>-1507.1020000000001</v>
          </cell>
          <cell r="W15">
            <v>-2001.9949999999999</v>
          </cell>
          <cell r="X15">
            <v>-1684.748</v>
          </cell>
          <cell r="Y15">
            <v>-2202.692</v>
          </cell>
          <cell r="Z15">
            <v>-1794.7850000000001</v>
          </cell>
          <cell r="AA15">
            <v>-2170.5949999999998</v>
          </cell>
          <cell r="AB15">
            <v>-1855.53</v>
          </cell>
          <cell r="AC15">
            <v>-1973.8646933687401</v>
          </cell>
          <cell r="AD15">
            <v>-1851.7481529875499</v>
          </cell>
          <cell r="AE15">
            <v>-2087.2116039746502</v>
          </cell>
          <cell r="AF15">
            <v>-1998.08069308276</v>
          </cell>
        </row>
        <row r="16">
          <cell r="B16" t="str">
            <v>R&amp;D expense</v>
          </cell>
          <cell r="C16" t="str">
            <v>RD_EXP</v>
          </cell>
          <cell r="D16" t="str">
            <v>USD</v>
          </cell>
          <cell r="F16">
            <v>-118.316</v>
          </cell>
          <cell r="G16">
            <v>-121.68300000000001</v>
          </cell>
          <cell r="H16">
            <v>-168.749</v>
          </cell>
          <cell r="I16">
            <v>-189.85499999999999</v>
          </cell>
          <cell r="J16">
            <v>-227.083</v>
          </cell>
          <cell r="K16">
            <v>-249.78700000000001</v>
          </cell>
          <cell r="L16">
            <v>-235.143</v>
          </cell>
          <cell r="M16">
            <v>-231.00479959412999</v>
          </cell>
          <cell r="N16">
            <v>-239.929146309744</v>
          </cell>
          <cell r="O16">
            <v>-261.28233890431301</v>
          </cell>
          <cell r="P16">
            <v>-354.77198314815598</v>
          </cell>
          <cell r="Q16">
            <v>-88.105000000000004</v>
          </cell>
          <cell r="R16">
            <v>-88.105000000000004</v>
          </cell>
          <cell r="S16">
            <v>-80.644000000000005</v>
          </cell>
          <cell r="T16">
            <v>-83.596999999999994</v>
          </cell>
          <cell r="U16">
            <v>-106.258</v>
          </cell>
          <cell r="V16">
            <v>-90.275999999999996</v>
          </cell>
          <cell r="W16">
            <v>-136.80699999999999</v>
          </cell>
          <cell r="X16">
            <v>-121.325</v>
          </cell>
          <cell r="Y16">
            <v>-128.46199999999999</v>
          </cell>
          <cell r="Z16">
            <v>-115.19499999999999</v>
          </cell>
          <cell r="AA16">
            <v>-119.94799999999999</v>
          </cell>
          <cell r="AB16">
            <v>-131.22999999999999</v>
          </cell>
          <cell r="AC16">
            <v>-99.774799594130002</v>
          </cell>
          <cell r="AD16">
            <v>-112.120476736556</v>
          </cell>
          <cell r="AE16">
            <v>-127.808669573188</v>
          </cell>
          <cell r="AF16">
            <v>-121.12936546592999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USD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USD</v>
          </cell>
          <cell r="F18">
            <v>-2271.2539999999999</v>
          </cell>
          <cell r="G18">
            <v>-2172.377</v>
          </cell>
          <cell r="H18">
            <v>-2713.9780000000001</v>
          </cell>
          <cell r="I18">
            <v>-3183.297</v>
          </cell>
          <cell r="J18">
            <v>-3736.18</v>
          </cell>
          <cell r="K18">
            <v>-4137.2269999999999</v>
          </cell>
          <cell r="L18">
            <v>-4200.5230000000001</v>
          </cell>
          <cell r="M18">
            <v>-4060.3994929628702</v>
          </cell>
          <cell r="N18">
            <v>-4178.8889032719399</v>
          </cell>
          <cell r="O18">
            <v>-4541.64470047543</v>
          </cell>
          <cell r="P18">
            <v>-4943.71974347582</v>
          </cell>
          <cell r="Q18">
            <v>-1028.0609999999999</v>
          </cell>
          <cell r="R18">
            <v>-1028.0609999999999</v>
          </cell>
          <cell r="S18">
            <v>-1685.9169999999999</v>
          </cell>
          <cell r="T18">
            <v>-1292.0160000000001</v>
          </cell>
          <cell r="U18">
            <v>-1891.2809999999999</v>
          </cell>
          <cell r="V18">
            <v>-1597.3779999999999</v>
          </cell>
          <cell r="W18">
            <v>-2138.8020000000001</v>
          </cell>
          <cell r="X18">
            <v>-1806.0730000000001</v>
          </cell>
          <cell r="Y18">
            <v>-2331.154</v>
          </cell>
          <cell r="Z18">
            <v>-1909.98</v>
          </cell>
          <cell r="AA18">
            <v>-2290.5430000000001</v>
          </cell>
          <cell r="AB18">
            <v>-1986.76</v>
          </cell>
          <cell r="AC18">
            <v>-2073.63949296288</v>
          </cell>
          <cell r="AD18">
            <v>-1963.86862972411</v>
          </cell>
          <cell r="AE18">
            <v>-2215.0202735478301</v>
          </cell>
          <cell r="AF18">
            <v>-2119.2100585486901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USD</v>
          </cell>
          <cell r="F19">
            <v>-2126.9360000000001</v>
          </cell>
          <cell r="G19">
            <v>-2035.3910000000001</v>
          </cell>
          <cell r="H19">
            <v>-2562.462</v>
          </cell>
          <cell r="I19">
            <v>-3000.2060000000001</v>
          </cell>
          <cell r="J19">
            <v>-3535.5929999999998</v>
          </cell>
          <cell r="K19">
            <v>-3909.748</v>
          </cell>
          <cell r="L19">
            <v>-3980.4989999999998</v>
          </cell>
          <cell r="M19">
            <v>-3792.2298523549298</v>
          </cell>
          <cell r="N19">
            <v>-3879.1941427962201</v>
          </cell>
          <cell r="O19">
            <v>-4230.4495082956</v>
          </cell>
          <cell r="P19">
            <v>-4689.6820192299601</v>
          </cell>
          <cell r="Q19">
            <v>-948.81</v>
          </cell>
          <cell r="R19">
            <v>-948.81</v>
          </cell>
          <cell r="S19">
            <v>-1613.652</v>
          </cell>
          <cell r="T19">
            <v>-1209.7329999999999</v>
          </cell>
          <cell r="U19">
            <v>-1790.473</v>
          </cell>
          <cell r="V19">
            <v>-1494.4359999999999</v>
          </cell>
          <cell r="W19">
            <v>-2041.1569999999999</v>
          </cell>
          <cell r="X19">
            <v>-1700.518</v>
          </cell>
          <cell r="Y19">
            <v>-2209.23</v>
          </cell>
          <cell r="Z19">
            <v>-1816.28</v>
          </cell>
          <cell r="AA19">
            <v>-2164.2190000000001</v>
          </cell>
          <cell r="AB19">
            <v>-1892.2180000000001</v>
          </cell>
          <cell r="AC19">
            <v>-1900.0118523549299</v>
          </cell>
          <cell r="AD19">
            <v>-1814.0212494862501</v>
          </cell>
          <cell r="AE19">
            <v>-2065.1728933099698</v>
          </cell>
          <cell r="AF19">
            <v>-1963.6124624587701</v>
          </cell>
        </row>
        <row r="20">
          <cell r="B20" t="str">
            <v>EBITDA</v>
          </cell>
          <cell r="C20" t="str">
            <v>EBITDA_CALC</v>
          </cell>
          <cell r="D20" t="str">
            <v>USD</v>
          </cell>
          <cell r="F20">
            <v>355.27800000000002</v>
          </cell>
          <cell r="G20">
            <v>292.51100000000002</v>
          </cell>
          <cell r="H20">
            <v>317.79800000000103</v>
          </cell>
          <cell r="I20">
            <v>398.59699999999998</v>
          </cell>
          <cell r="J20">
            <v>470.04199999999997</v>
          </cell>
          <cell r="K20">
            <v>462.63400000000001</v>
          </cell>
          <cell r="L20">
            <v>334.16199999999998</v>
          </cell>
          <cell r="M20">
            <v>407.043916403531</v>
          </cell>
          <cell r="N20">
            <v>483.15397192640501</v>
          </cell>
          <cell r="O20">
            <v>520.13847178281503</v>
          </cell>
          <cell r="P20">
            <v>378.48916860084699</v>
          </cell>
          <cell r="Q20">
            <v>92.855999999999995</v>
          </cell>
          <cell r="R20">
            <v>92.855999999999995</v>
          </cell>
          <cell r="S20">
            <v>224.94200000000001</v>
          </cell>
          <cell r="T20">
            <v>169.74299999999999</v>
          </cell>
          <cell r="U20">
            <v>228.85400000000001</v>
          </cell>
          <cell r="V20">
            <v>224.916</v>
          </cell>
          <cell r="W20">
            <v>245.126000000001</v>
          </cell>
          <cell r="X20">
            <v>217.78800000000001</v>
          </cell>
          <cell r="Y20">
            <v>244.846</v>
          </cell>
          <cell r="Z20">
            <v>100.26300000000001</v>
          </cell>
          <cell r="AA20">
            <v>233.899</v>
          </cell>
          <cell r="AB20">
            <v>89.837999999999994</v>
          </cell>
          <cell r="AC20">
            <v>317.20591640353001</v>
          </cell>
          <cell r="AD20">
            <v>224.53287299659499</v>
          </cell>
          <cell r="AE20">
            <v>258.62109892981198</v>
          </cell>
          <cell r="AF20">
            <v>238.73963692176599</v>
          </cell>
        </row>
        <row r="21">
          <cell r="B21" t="str">
            <v>Depreciation</v>
          </cell>
          <cell r="C21" t="str">
            <v>DEPREC</v>
          </cell>
          <cell r="D21" t="str">
            <v>USD</v>
          </cell>
          <cell r="F21">
            <v>-141.32</v>
          </cell>
          <cell r="G21">
            <v>-133.96799999999999</v>
          </cell>
          <cell r="H21">
            <v>-148.495</v>
          </cell>
          <cell r="I21">
            <v>-181.51900000000001</v>
          </cell>
          <cell r="J21">
            <v>-186.77600000000001</v>
          </cell>
          <cell r="K21">
            <v>-183.155</v>
          </cell>
          <cell r="L21">
            <v>-177.11</v>
          </cell>
          <cell r="M21">
            <v>-227.72912614601901</v>
          </cell>
          <cell r="N21">
            <v>-261.58516430790701</v>
          </cell>
          <cell r="O21">
            <v>-275.28216438090499</v>
          </cell>
          <cell r="P21">
            <v>-220.93023798039499</v>
          </cell>
          <cell r="Q21">
            <v>-77.715000000000003</v>
          </cell>
          <cell r="R21">
            <v>-77.715000000000003</v>
          </cell>
          <cell r="S21">
            <v>-70.78</v>
          </cell>
          <cell r="T21">
            <v>-81.486999999999995</v>
          </cell>
          <cell r="U21">
            <v>-100.032</v>
          </cell>
          <cell r="V21">
            <v>-100.801</v>
          </cell>
          <cell r="W21">
            <v>-85.974999999999994</v>
          </cell>
          <cell r="X21">
            <v>-84.766000000000005</v>
          </cell>
          <cell r="Y21">
            <v>-98.388999999999996</v>
          </cell>
          <cell r="Z21">
            <v>-72.525999999999996</v>
          </cell>
          <cell r="AA21">
            <v>-104.584</v>
          </cell>
          <cell r="AB21">
            <v>-74.051000000000002</v>
          </cell>
          <cell r="AC21">
            <v>-153.678126146019</v>
          </cell>
          <cell r="AD21">
            <v>-130.79258215395399</v>
          </cell>
          <cell r="AE21">
            <v>-130.79258215395399</v>
          </cell>
          <cell r="AF21">
            <v>-137.64108219045201</v>
          </cell>
        </row>
        <row r="22">
          <cell r="B22" t="str">
            <v>Amortization</v>
          </cell>
          <cell r="C22" t="str">
            <v>GOODWILL_AMORT</v>
          </cell>
          <cell r="D22" t="str">
            <v>USD</v>
          </cell>
          <cell r="F22">
            <v>-2.9980000000000002</v>
          </cell>
          <cell r="G22">
            <v>-3.0179999999999998</v>
          </cell>
          <cell r="H22">
            <v>-3.0209999999999999</v>
          </cell>
          <cell r="I22">
            <v>-1.5720000000000001</v>
          </cell>
          <cell r="J22">
            <v>-13.811</v>
          </cell>
          <cell r="K22">
            <v>-44.323999999999998</v>
          </cell>
          <cell r="L22">
            <v>-42.914000000000001</v>
          </cell>
          <cell r="M22">
            <v>-40.44051446193</v>
          </cell>
          <cell r="N22">
            <v>-38.109596167813997</v>
          </cell>
          <cell r="O22">
            <v>-35.913027798919003</v>
          </cell>
          <cell r="P22">
            <v>-33.107486265464999</v>
          </cell>
          <cell r="Q22">
            <v>-1.536</v>
          </cell>
          <cell r="R22">
            <v>-1.536</v>
          </cell>
          <cell r="S22">
            <v>-1.4850000000000001</v>
          </cell>
          <cell r="T22">
            <v>-0.79600000000000004</v>
          </cell>
          <cell r="U22">
            <v>-0.77600000000000002</v>
          </cell>
          <cell r="V22">
            <v>-2.141</v>
          </cell>
          <cell r="W22">
            <v>-11.67</v>
          </cell>
          <cell r="X22">
            <v>-20.789000000000001</v>
          </cell>
          <cell r="Y22">
            <v>-23.535</v>
          </cell>
          <cell r="Z22">
            <v>-21.173999999999999</v>
          </cell>
          <cell r="AA22">
            <v>-21.74</v>
          </cell>
          <cell r="AB22">
            <v>-20.491</v>
          </cell>
          <cell r="AC22">
            <v>-19.949514461930001</v>
          </cell>
          <cell r="AD22">
            <v>-19.054798083906999</v>
          </cell>
          <cell r="AE22">
            <v>-19.054798083906999</v>
          </cell>
          <cell r="AF22">
            <v>-17.956513899459999</v>
          </cell>
        </row>
        <row r="23">
          <cell r="B23" t="str">
            <v>EBIT, operating profit</v>
          </cell>
          <cell r="C23" t="str">
            <v>EBIT</v>
          </cell>
          <cell r="D23" t="str">
            <v>USD</v>
          </cell>
          <cell r="F23">
            <v>210.96</v>
          </cell>
          <cell r="G23">
            <v>155.52500000000001</v>
          </cell>
          <cell r="H23">
            <v>166.28200000000101</v>
          </cell>
          <cell r="I23">
            <v>215.506</v>
          </cell>
          <cell r="J23">
            <v>269.45499999999998</v>
          </cell>
          <cell r="K23">
            <v>235.155</v>
          </cell>
          <cell r="L23">
            <v>114.13800000000001</v>
          </cell>
          <cell r="M23">
            <v>138.87427579558101</v>
          </cell>
          <cell r="N23">
            <v>183.459211450683</v>
          </cell>
          <cell r="O23">
            <v>208.943279602991</v>
          </cell>
          <cell r="P23">
            <v>124.45144435498599</v>
          </cell>
          <cell r="Q23">
            <v>13.605</v>
          </cell>
          <cell r="R23">
            <v>13.605</v>
          </cell>
          <cell r="S23">
            <v>152.67699999999999</v>
          </cell>
          <cell r="T23">
            <v>87.46</v>
          </cell>
          <cell r="U23">
            <v>128.04599999999999</v>
          </cell>
          <cell r="V23">
            <v>121.974</v>
          </cell>
          <cell r="W23">
            <v>147.48100000000099</v>
          </cell>
          <cell r="X23">
            <v>112.233</v>
          </cell>
          <cell r="Y23">
            <v>122.922</v>
          </cell>
          <cell r="Z23">
            <v>6.5629999999999997</v>
          </cell>
          <cell r="AA23">
            <v>107.575</v>
          </cell>
          <cell r="AB23">
            <v>-4.7039999999999997</v>
          </cell>
          <cell r="AC23">
            <v>143.57827579558</v>
          </cell>
          <cell r="AD23">
            <v>74.685492758734</v>
          </cell>
          <cell r="AE23">
            <v>108.773718691951</v>
          </cell>
          <cell r="AF23">
            <v>83.142040831854004</v>
          </cell>
        </row>
        <row r="24">
          <cell r="B24" t="str">
            <v>Interest income</v>
          </cell>
          <cell r="C24" t="str">
            <v>INT_INC_IND</v>
          </cell>
          <cell r="D24" t="str">
            <v>USD</v>
          </cell>
          <cell r="F24">
            <v>7.3330000000000002</v>
          </cell>
          <cell r="G24">
            <v>5.915</v>
          </cell>
          <cell r="H24">
            <v>5.53</v>
          </cell>
          <cell r="I24">
            <v>9.77</v>
          </cell>
          <cell r="J24">
            <v>16.242000000000001</v>
          </cell>
          <cell r="K24">
            <v>21.837</v>
          </cell>
          <cell r="L24">
            <v>17.61</v>
          </cell>
          <cell r="M24">
            <v>15.322240000000001</v>
          </cell>
          <cell r="N24">
            <v>14.324548374729</v>
          </cell>
          <cell r="O24">
            <v>18.285467486278002</v>
          </cell>
          <cell r="P24">
            <v>12.167330298354999</v>
          </cell>
          <cell r="Q24">
            <v>2.9359999999999999</v>
          </cell>
          <cell r="R24">
            <v>2.9359999999999999</v>
          </cell>
          <cell r="S24">
            <v>2.5939999999999999</v>
          </cell>
          <cell r="T24">
            <v>4.492</v>
          </cell>
          <cell r="U24">
            <v>5.2779999999999996</v>
          </cell>
          <cell r="V24">
            <v>7.9480000000000004</v>
          </cell>
          <cell r="W24">
            <v>8.2940000000000005</v>
          </cell>
          <cell r="X24">
            <v>11.526</v>
          </cell>
          <cell r="Y24">
            <v>10.311</v>
          </cell>
          <cell r="Z24">
            <v>9.1020000000000003</v>
          </cell>
          <cell r="AA24">
            <v>8.5079999999999991</v>
          </cell>
          <cell r="AB24">
            <v>5.8890000000000002</v>
          </cell>
          <cell r="AC24">
            <v>9.4332399999999996</v>
          </cell>
          <cell r="AD24">
            <v>7.1622741873639999</v>
          </cell>
          <cell r="AE24">
            <v>7.1622741873639999</v>
          </cell>
          <cell r="AF24">
            <v>9.1427337431390008</v>
          </cell>
        </row>
        <row r="25">
          <cell r="B25" t="str">
            <v>Interest expense</v>
          </cell>
          <cell r="C25" t="str">
            <v>INT_EXP_IND</v>
          </cell>
          <cell r="D25" t="str">
            <v>USD</v>
          </cell>
          <cell r="F25">
            <v>-3.2610000000000001</v>
          </cell>
          <cell r="G25">
            <v>-5.9550000000000001</v>
          </cell>
          <cell r="H25">
            <v>-3.8260000000000001</v>
          </cell>
          <cell r="I25">
            <v>-4.7569999999999997</v>
          </cell>
          <cell r="J25">
            <v>-13.324999999999999</v>
          </cell>
          <cell r="K25">
            <v>-29.332999999999998</v>
          </cell>
          <cell r="L25">
            <v>-16.992000000000001</v>
          </cell>
          <cell r="M25">
            <v>-31.831083</v>
          </cell>
          <cell r="N25">
            <v>-31.954931999999999</v>
          </cell>
          <cell r="O25">
            <v>-31.954931999999999</v>
          </cell>
          <cell r="P25">
            <v>-13.653228512488999</v>
          </cell>
          <cell r="Q25">
            <v>-1.9490000000000001</v>
          </cell>
          <cell r="R25">
            <v>-1.9490000000000001</v>
          </cell>
          <cell r="S25">
            <v>-1.877</v>
          </cell>
          <cell r="T25">
            <v>-2.9430000000000001</v>
          </cell>
          <cell r="U25">
            <v>-1.8140000000000001</v>
          </cell>
          <cell r="V25">
            <v>-3.4220000000000002</v>
          </cell>
          <cell r="W25">
            <v>-9.9030000000000005</v>
          </cell>
          <cell r="X25">
            <v>-15.298</v>
          </cell>
          <cell r="Y25">
            <v>-14.035</v>
          </cell>
          <cell r="Z25">
            <v>-11.840999999999999</v>
          </cell>
          <cell r="AA25">
            <v>-5.1509999999999998</v>
          </cell>
          <cell r="AB25">
            <v>-6.4459999999999997</v>
          </cell>
          <cell r="AC25">
            <v>-25.385083000000002</v>
          </cell>
          <cell r="AD25">
            <v>-15.977466</v>
          </cell>
          <cell r="AE25">
            <v>-15.977466</v>
          </cell>
          <cell r="AF25">
            <v>-15.977466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USD</v>
          </cell>
          <cell r="F26">
            <v>4.0720000000000001</v>
          </cell>
          <cell r="G26">
            <v>-0.04</v>
          </cell>
          <cell r="H26">
            <v>1.704</v>
          </cell>
          <cell r="I26">
            <v>5.0129999999999999</v>
          </cell>
          <cell r="J26">
            <v>2.9169999999999998</v>
          </cell>
          <cell r="K26">
            <v>-7.4960000000000004</v>
          </cell>
          <cell r="L26">
            <v>0.61799999999999999</v>
          </cell>
          <cell r="M26">
            <v>-16.508842999999999</v>
          </cell>
          <cell r="N26">
            <v>-17.630383625271001</v>
          </cell>
          <cell r="O26">
            <v>-13.669464513722</v>
          </cell>
          <cell r="P26">
            <v>-1.485898214134</v>
          </cell>
          <cell r="Q26">
            <v>0.98699999999999999</v>
          </cell>
          <cell r="R26">
            <v>0.98699999999999999</v>
          </cell>
          <cell r="S26">
            <v>0.71699999999999997</v>
          </cell>
          <cell r="T26">
            <v>1.5489999999999999</v>
          </cell>
          <cell r="U26">
            <v>3.464</v>
          </cell>
          <cell r="V26">
            <v>4.5259999999999998</v>
          </cell>
          <cell r="W26">
            <v>-1.609</v>
          </cell>
          <cell r="X26">
            <v>-3.7719999999999998</v>
          </cell>
          <cell r="Y26">
            <v>-3.7240000000000002</v>
          </cell>
          <cell r="Z26">
            <v>-2.7389999999999999</v>
          </cell>
          <cell r="AA26">
            <v>3.3570000000000002</v>
          </cell>
          <cell r="AB26">
            <v>-0.55700000000000005</v>
          </cell>
          <cell r="AC26">
            <v>-15.951843</v>
          </cell>
          <cell r="AD26">
            <v>-8.8151918126359998</v>
          </cell>
          <cell r="AE26">
            <v>-8.8151918126359998</v>
          </cell>
          <cell r="AF26">
            <v>-6.8347322568609998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USD</v>
          </cell>
          <cell r="F27">
            <v>3.6539999999999999</v>
          </cell>
          <cell r="G27">
            <v>11.446999999999999</v>
          </cell>
          <cell r="H27">
            <v>2.4049999999999998</v>
          </cell>
          <cell r="I27">
            <v>15.055</v>
          </cell>
          <cell r="J27">
            <v>2.2320000000000002</v>
          </cell>
          <cell r="M27">
            <v>4.7370000000000001</v>
          </cell>
          <cell r="N27">
            <v>-2.661</v>
          </cell>
          <cell r="Q27">
            <v>1.2024999999999999</v>
          </cell>
          <cell r="R27">
            <v>1.2024999999999999</v>
          </cell>
          <cell r="S27">
            <v>1.2024999999999999</v>
          </cell>
          <cell r="T27">
            <v>7.5274999999999999</v>
          </cell>
          <cell r="U27">
            <v>7.5274999999999999</v>
          </cell>
          <cell r="V27">
            <v>1.1160000000000001</v>
          </cell>
          <cell r="W27">
            <v>1.1160000000000001</v>
          </cell>
          <cell r="X27">
            <v>1.1160000000000001</v>
          </cell>
          <cell r="AC27">
            <v>4.7370000000000001</v>
          </cell>
          <cell r="AE27">
            <v>-2.661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USD</v>
          </cell>
          <cell r="F28">
            <v>2.4049999999999998</v>
          </cell>
          <cell r="G28">
            <v>3.4</v>
          </cell>
          <cell r="H28">
            <v>2.9000000000000001E-2</v>
          </cell>
          <cell r="I28">
            <v>1.244</v>
          </cell>
          <cell r="J28">
            <v>1.913</v>
          </cell>
          <cell r="M28">
            <v>0.69499999999999995</v>
          </cell>
          <cell r="N28">
            <v>1.7</v>
          </cell>
          <cell r="Q28">
            <v>1.4500000000000001E-2</v>
          </cell>
          <cell r="R28">
            <v>1.4500000000000001E-2</v>
          </cell>
          <cell r="S28">
            <v>1.4500000000000001E-2</v>
          </cell>
          <cell r="T28">
            <v>0.622</v>
          </cell>
          <cell r="U28">
            <v>0.622</v>
          </cell>
          <cell r="V28">
            <v>0.95650000000000002</v>
          </cell>
          <cell r="W28">
            <v>0.95650000000000002</v>
          </cell>
          <cell r="X28">
            <v>0.95650000000000002</v>
          </cell>
          <cell r="AC28">
            <v>0.69499999999999995</v>
          </cell>
          <cell r="AE28">
            <v>1.7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USD</v>
          </cell>
          <cell r="F29">
            <v>13.061</v>
          </cell>
          <cell r="G29">
            <v>38.741</v>
          </cell>
          <cell r="H29">
            <v>41.179000000000002</v>
          </cell>
          <cell r="I29">
            <v>-12.263999999999999</v>
          </cell>
          <cell r="J29">
            <v>34.844999999999999</v>
          </cell>
          <cell r="K29">
            <v>38.250999999999998</v>
          </cell>
          <cell r="L29">
            <v>1.768</v>
          </cell>
          <cell r="M29">
            <v>19.132999999999999</v>
          </cell>
          <cell r="N29">
            <v>16</v>
          </cell>
          <cell r="O29">
            <v>16</v>
          </cell>
          <cell r="P29">
            <v>4</v>
          </cell>
          <cell r="Q29">
            <v>13.808999999999999</v>
          </cell>
          <cell r="R29">
            <v>13.808999999999999</v>
          </cell>
          <cell r="S29">
            <v>27.37</v>
          </cell>
          <cell r="T29">
            <v>-5.8594999999999997</v>
          </cell>
          <cell r="U29">
            <v>-6.4044999999999996</v>
          </cell>
          <cell r="V29">
            <v>15.5815</v>
          </cell>
          <cell r="W29">
            <v>19.263500000000001</v>
          </cell>
          <cell r="X29">
            <v>9.6029999999999998</v>
          </cell>
          <cell r="Y29">
            <v>28.648000000001002</v>
          </cell>
          <cell r="Z29">
            <v>21.789000000000001</v>
          </cell>
          <cell r="AA29">
            <v>-20.021000000000001</v>
          </cell>
          <cell r="AB29">
            <v>19.132999999999999</v>
          </cell>
          <cell r="AC29">
            <v>0</v>
          </cell>
          <cell r="AD29">
            <v>8</v>
          </cell>
          <cell r="AE29">
            <v>8</v>
          </cell>
          <cell r="AF29">
            <v>8</v>
          </cell>
        </row>
        <row r="30">
          <cell r="B30" t="str">
            <v>Pre-tax profit</v>
          </cell>
          <cell r="C30" t="str">
            <v>PT_PROF</v>
          </cell>
          <cell r="D30" t="str">
            <v>USD</v>
          </cell>
          <cell r="F30">
            <v>234.15199999999999</v>
          </cell>
          <cell r="G30">
            <v>209.07300000000001</v>
          </cell>
          <cell r="H30">
            <v>211.59899999999999</v>
          </cell>
          <cell r="I30">
            <v>224.554</v>
          </cell>
          <cell r="J30">
            <v>311.36200000000002</v>
          </cell>
          <cell r="K30">
            <v>265.91000000000003</v>
          </cell>
          <cell r="L30">
            <v>116.524</v>
          </cell>
          <cell r="M30">
            <v>141.49843279558101</v>
          </cell>
          <cell r="N30">
            <v>181.82882782541199</v>
          </cell>
          <cell r="O30">
            <v>211.27381508926899</v>
          </cell>
          <cell r="P30">
            <v>126.965546140852</v>
          </cell>
          <cell r="Q30">
            <v>29.617999999999999</v>
          </cell>
          <cell r="R30">
            <v>29.617999999999999</v>
          </cell>
          <cell r="S30">
            <v>181.98099999999999</v>
          </cell>
          <cell r="T30">
            <v>91.299000000000007</v>
          </cell>
          <cell r="U30">
            <v>133.255</v>
          </cell>
          <cell r="V30">
            <v>144.154</v>
          </cell>
          <cell r="W30">
            <v>167.208</v>
          </cell>
          <cell r="X30">
            <v>118.06399999999999</v>
          </cell>
          <cell r="Y30">
            <v>147.846</v>
          </cell>
          <cell r="Z30">
            <v>25.613</v>
          </cell>
          <cell r="AA30">
            <v>90.911000000000001</v>
          </cell>
          <cell r="AB30">
            <v>13.872</v>
          </cell>
          <cell r="AC30">
            <v>127.62643279558</v>
          </cell>
          <cell r="AD30">
            <v>73.870300946097998</v>
          </cell>
          <cell r="AE30">
            <v>107.958526879315</v>
          </cell>
          <cell r="AF30">
            <v>84.307308574993002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USD</v>
          </cell>
        </row>
        <row r="33">
          <cell r="B33" t="str">
            <v>Operating lease cost</v>
          </cell>
          <cell r="C33" t="str">
            <v>LEASE_PAY</v>
          </cell>
          <cell r="D33" t="str">
            <v>USD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USD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USD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USD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USD</v>
          </cell>
        </row>
        <row r="38">
          <cell r="B38" t="str">
            <v>Depreciation ROU assets   (applicable to IFRS cos.)</v>
          </cell>
          <cell r="C38" t="str">
            <v>DEPR_ROU_ASSETS</v>
          </cell>
          <cell r="D38" t="str">
            <v>USD</v>
          </cell>
        </row>
        <row r="39">
          <cell r="B39" t="str">
            <v>Lease interest charge  (applicable to IFRS cos.)</v>
          </cell>
          <cell r="C39" t="str">
            <v>LEASE_INT_CHG</v>
          </cell>
          <cell r="D39" t="str">
            <v>USD</v>
          </cell>
        </row>
        <row r="40">
          <cell r="B40" t="str">
            <v>Lease standard adopted (US GAAP ASC 842/ IFRS 16)</v>
          </cell>
          <cell r="C40" t="str">
            <v>LEASE_ADOPT</v>
          </cell>
        </row>
        <row r="41">
          <cell r="A41" t="str">
            <v>Balance Sheet</v>
          </cell>
        </row>
        <row r="42">
          <cell r="B42" t="str">
            <v>Cash &amp; cash equivalents</v>
          </cell>
          <cell r="C42" t="str">
            <v>CASH_EQ</v>
          </cell>
          <cell r="D42" t="str">
            <v>USD</v>
          </cell>
          <cell r="F42">
            <v>514.12400000000002</v>
          </cell>
          <cell r="G42">
            <v>409.23899999999998</v>
          </cell>
          <cell r="H42">
            <v>414.899</v>
          </cell>
          <cell r="I42">
            <v>767.55399999999997</v>
          </cell>
          <cell r="J42">
            <v>1064.8240000000001</v>
          </cell>
          <cell r="K42">
            <v>892.11099999999999</v>
          </cell>
          <cell r="L42">
            <v>766.11199999999997</v>
          </cell>
          <cell r="M42">
            <v>716.22741873643497</v>
          </cell>
          <cell r="N42">
            <v>914.27337431388901</v>
          </cell>
          <cell r="O42">
            <v>974.41884316214305</v>
          </cell>
          <cell r="P42">
            <v>1022.4056066883099</v>
          </cell>
          <cell r="Q42">
            <v>705.01835366045805</v>
          </cell>
        </row>
        <row r="43">
          <cell r="B43" t="str">
            <v>Accounts receivable</v>
          </cell>
          <cell r="C43" t="str">
            <v>DEBTORS</v>
          </cell>
          <cell r="D43" t="str">
            <v>USD</v>
          </cell>
          <cell r="F43">
            <v>750.20399999999995</v>
          </cell>
          <cell r="G43">
            <v>607.54499999999996</v>
          </cell>
          <cell r="H43">
            <v>804.43100000000004</v>
          </cell>
          <cell r="I43">
            <v>993.03399999999999</v>
          </cell>
          <cell r="J43">
            <v>935.13499999999999</v>
          </cell>
          <cell r="K43">
            <v>930.22299999999996</v>
          </cell>
          <cell r="L43">
            <v>871.53399999999999</v>
          </cell>
          <cell r="M43">
            <v>716.13663037990898</v>
          </cell>
          <cell r="N43">
            <v>837.57639678157295</v>
          </cell>
          <cell r="O43">
            <v>854.41384269841103</v>
          </cell>
          <cell r="P43">
            <v>1089.19082375686</v>
          </cell>
          <cell r="Q43">
            <v>1073.4835729343499</v>
          </cell>
        </row>
        <row r="44">
          <cell r="B44" t="str">
            <v>Inventory</v>
          </cell>
          <cell r="C44" t="str">
            <v>STOCKS</v>
          </cell>
          <cell r="D44" t="str">
            <v>USD</v>
          </cell>
          <cell r="F44">
            <v>246.137</v>
          </cell>
          <cell r="G44">
            <v>243.28100000000001</v>
          </cell>
          <cell r="H44">
            <v>368.48099999999999</v>
          </cell>
          <cell r="I44">
            <v>528.32600000000002</v>
          </cell>
          <cell r="J44">
            <v>649.70799999999997</v>
          </cell>
          <cell r="K44">
            <v>702.58699999999999</v>
          </cell>
          <cell r="L44">
            <v>944.12800000000004</v>
          </cell>
          <cell r="M44">
            <v>1060.1703243337299</v>
          </cell>
          <cell r="N44">
            <v>1024.30002547702</v>
          </cell>
          <cell r="O44">
            <v>1173.95246610767</v>
          </cell>
          <cell r="P44">
            <v>1064.25528200077</v>
          </cell>
          <cell r="Q44">
            <v>1037.8377369423499</v>
          </cell>
        </row>
        <row r="45">
          <cell r="B45" t="str">
            <v>Other current assets</v>
          </cell>
          <cell r="C45" t="str">
            <v>OTH_CUR_ASS</v>
          </cell>
          <cell r="D45" t="str">
            <v>USD</v>
          </cell>
          <cell r="F45">
            <v>193.98699999999999</v>
          </cell>
          <cell r="G45">
            <v>271.11</v>
          </cell>
          <cell r="H45">
            <v>255.50800000000001</v>
          </cell>
          <cell r="I45">
            <v>123.105</v>
          </cell>
          <cell r="J45">
            <v>103.143</v>
          </cell>
          <cell r="K45">
            <v>216.988</v>
          </cell>
          <cell r="L45">
            <v>266.339</v>
          </cell>
          <cell r="M45">
            <v>266.339</v>
          </cell>
          <cell r="N45">
            <v>266.339</v>
          </cell>
          <cell r="O45">
            <v>266.339</v>
          </cell>
          <cell r="P45">
            <v>249.20500000000001</v>
          </cell>
          <cell r="Q45">
            <v>163.154</v>
          </cell>
        </row>
        <row r="46">
          <cell r="B46" t="str">
            <v>Total current assets</v>
          </cell>
          <cell r="C46" t="str">
            <v>CUR_ASS</v>
          </cell>
          <cell r="D46" t="str">
            <v>USD</v>
          </cell>
          <cell r="F46">
            <v>1704.452</v>
          </cell>
          <cell r="G46">
            <v>1531.175</v>
          </cell>
          <cell r="H46">
            <v>1843.319</v>
          </cell>
          <cell r="I46">
            <v>2412.0189999999998</v>
          </cell>
          <cell r="J46">
            <v>2752.81</v>
          </cell>
          <cell r="K46">
            <v>2741.9090000000001</v>
          </cell>
          <cell r="L46">
            <v>2848.1129999999998</v>
          </cell>
          <cell r="M46">
            <v>2758.8733734500702</v>
          </cell>
          <cell r="N46">
            <v>3042.4887965724902</v>
          </cell>
          <cell r="O46">
            <v>3269.1241519682299</v>
          </cell>
          <cell r="P46">
            <v>3425.0567124459299</v>
          </cell>
          <cell r="Q46">
            <v>2979.49366353715</v>
          </cell>
        </row>
        <row r="47">
          <cell r="B47" t="str">
            <v>Gross fixed assets, PP&amp;E</v>
          </cell>
          <cell r="C47" t="str">
            <v>GR_FIX_ASS</v>
          </cell>
          <cell r="D47" t="str">
            <v>USD</v>
          </cell>
          <cell r="F47">
            <v>1394.9449999999999</v>
          </cell>
          <cell r="G47">
            <v>1387.673</v>
          </cell>
          <cell r="H47">
            <v>1471.4110000000001</v>
          </cell>
          <cell r="I47">
            <v>1647.624</v>
          </cell>
          <cell r="J47">
            <v>1682.664</v>
          </cell>
          <cell r="K47">
            <v>1832.5730000000001</v>
          </cell>
          <cell r="L47">
            <v>2171.4749999999999</v>
          </cell>
          <cell r="M47">
            <v>2507.4169015006801</v>
          </cell>
          <cell r="N47">
            <v>2812.78126953126</v>
          </cell>
          <cell r="O47">
            <v>3097.8165483359599</v>
          </cell>
          <cell r="P47">
            <v>3168.8460692396802</v>
          </cell>
          <cell r="Q47">
            <v>3872.8894785207499</v>
          </cell>
        </row>
        <row r="48">
          <cell r="B48" t="str">
            <v>Accumulated depreciation</v>
          </cell>
          <cell r="C48" t="str">
            <v>ACC_DDA</v>
          </cell>
          <cell r="D48" t="str">
            <v>USD</v>
          </cell>
          <cell r="F48">
            <v>-639.67700000000002</v>
          </cell>
          <cell r="G48">
            <v>-696.99</v>
          </cell>
          <cell r="H48">
            <v>-760.76400000000001</v>
          </cell>
          <cell r="I48">
            <v>-971.74099999999999</v>
          </cell>
          <cell r="J48">
            <v>-1083.328</v>
          </cell>
          <cell r="K48">
            <v>-1266.4829999999999</v>
          </cell>
          <cell r="L48">
            <v>-1443.5930000000001</v>
          </cell>
          <cell r="M48">
            <v>-1671.3221261460201</v>
          </cell>
          <cell r="N48">
            <v>-1932.90729045393</v>
          </cell>
          <cell r="O48">
            <v>-2208.18945483483</v>
          </cell>
          <cell r="P48">
            <v>-2279.8640249498299</v>
          </cell>
          <cell r="Q48">
            <v>-2570.8283700369002</v>
          </cell>
        </row>
        <row r="49">
          <cell r="B49" t="str">
            <v>Net PP&amp;E</v>
          </cell>
          <cell r="C49" t="str">
            <v>NET_FIX_ASS</v>
          </cell>
          <cell r="D49" t="str">
            <v>USD</v>
          </cell>
          <cell r="F49">
            <v>755.26800000000003</v>
          </cell>
          <cell r="G49">
            <v>690.68299999999999</v>
          </cell>
          <cell r="H49">
            <v>710.64700000000005</v>
          </cell>
          <cell r="I49">
            <v>675.88300000000004</v>
          </cell>
          <cell r="J49">
            <v>599.33600000000001</v>
          </cell>
          <cell r="K49">
            <v>566.09</v>
          </cell>
          <cell r="L49">
            <v>727.88199999999995</v>
          </cell>
          <cell r="M49">
            <v>836.09477535465703</v>
          </cell>
          <cell r="N49">
            <v>879.87397907733396</v>
          </cell>
          <cell r="O49">
            <v>889.627093501133</v>
          </cell>
          <cell r="P49">
            <v>888.98204428985196</v>
          </cell>
          <cell r="Q49">
            <v>1302.0611084838499</v>
          </cell>
        </row>
        <row r="50">
          <cell r="B50" t="str">
            <v>Gross intangibles</v>
          </cell>
          <cell r="C50" t="str">
            <v>GR_INTANG</v>
          </cell>
          <cell r="D50" t="str">
            <v>USD</v>
          </cell>
          <cell r="F50">
            <v>9.2270000000000003</v>
          </cell>
          <cell r="G50">
            <v>9.4130000000000003</v>
          </cell>
          <cell r="H50">
            <v>9.6560000000000006</v>
          </cell>
          <cell r="I50">
            <v>24.547999999999998</v>
          </cell>
          <cell r="J50">
            <v>816.10400000000004</v>
          </cell>
          <cell r="K50">
            <v>814.01099999999997</v>
          </cell>
          <cell r="L50">
            <v>821.62800000000004</v>
          </cell>
          <cell r="M50">
            <v>814.01099999999997</v>
          </cell>
          <cell r="N50">
            <v>814.01099999999997</v>
          </cell>
          <cell r="O50">
            <v>814.01099999999997</v>
          </cell>
          <cell r="P50">
            <v>814.01099999999997</v>
          </cell>
          <cell r="Q50">
            <v>814.01099999999997</v>
          </cell>
        </row>
        <row r="51">
          <cell r="B51" t="str">
            <v>Accumulated amortization</v>
          </cell>
          <cell r="C51" t="str">
            <v>ACC_AMORT</v>
          </cell>
          <cell r="D51" t="str">
            <v>USD</v>
          </cell>
          <cell r="F51">
            <v>-3.0979999999999999</v>
          </cell>
          <cell r="G51">
            <v>-6.2380000000000004</v>
          </cell>
          <cell r="H51">
            <v>-9.2249999999999996</v>
          </cell>
          <cell r="I51">
            <v>-10.599</v>
          </cell>
          <cell r="J51">
            <v>-25.146000000000001</v>
          </cell>
          <cell r="K51">
            <v>-69.47</v>
          </cell>
          <cell r="L51">
            <v>-112.384</v>
          </cell>
          <cell r="M51">
            <v>-152.82451446192999</v>
          </cell>
          <cell r="N51">
            <v>-190.93411062974499</v>
          </cell>
          <cell r="O51">
            <v>-226.84713842866401</v>
          </cell>
          <cell r="P51">
            <v>-257.09800706862302</v>
          </cell>
          <cell r="Q51">
            <v>-296.00562250424002</v>
          </cell>
        </row>
        <row r="52">
          <cell r="B52" t="str">
            <v>Net intangible assets</v>
          </cell>
          <cell r="C52" t="str">
            <v>NET_INTANG</v>
          </cell>
          <cell r="D52" t="str">
            <v>USD</v>
          </cell>
          <cell r="F52">
            <v>6.1289999999999996</v>
          </cell>
          <cell r="G52">
            <v>3.1749999999999998</v>
          </cell>
          <cell r="H52">
            <v>0.43099999999999999</v>
          </cell>
          <cell r="I52">
            <v>13.949</v>
          </cell>
          <cell r="J52">
            <v>790.95799999999997</v>
          </cell>
          <cell r="K52">
            <v>744.54100000000005</v>
          </cell>
          <cell r="L52">
            <v>709.24400000000003</v>
          </cell>
          <cell r="M52">
            <v>661.18648553806997</v>
          </cell>
          <cell r="N52">
            <v>623.076889370255</v>
          </cell>
          <cell r="O52">
            <v>587.16386157133604</v>
          </cell>
          <cell r="P52">
            <v>556.91299293137695</v>
          </cell>
          <cell r="Q52">
            <v>518.00537749575994</v>
          </cell>
        </row>
        <row r="53">
          <cell r="B53" t="str">
            <v>Equity method investments</v>
          </cell>
          <cell r="C53" t="str">
            <v>FIX_ASS_INV</v>
          </cell>
          <cell r="D53" t="str">
            <v>USD</v>
          </cell>
          <cell r="G53">
            <v>0.89</v>
          </cell>
          <cell r="H53">
            <v>1.331</v>
          </cell>
          <cell r="I53">
            <v>6.5460000000000003</v>
          </cell>
          <cell r="J53">
            <v>6.1989999999999998</v>
          </cell>
          <cell r="K53">
            <v>21.71</v>
          </cell>
          <cell r="L53">
            <v>24.425999999999998</v>
          </cell>
          <cell r="M53">
            <v>24.425999999999998</v>
          </cell>
          <cell r="N53">
            <v>24.425999999999998</v>
          </cell>
          <cell r="O53">
            <v>24.425999999999998</v>
          </cell>
          <cell r="P53">
            <v>171.65700000000001</v>
          </cell>
          <cell r="Q53">
            <v>123.321</v>
          </cell>
        </row>
        <row r="54">
          <cell r="B54" t="str">
            <v>Investments in securities</v>
          </cell>
          <cell r="C54" t="str">
            <v>INV_SECUR</v>
          </cell>
          <cell r="D54" t="str">
            <v>USD</v>
          </cell>
          <cell r="H54">
            <v>5.8570000000000002</v>
          </cell>
          <cell r="I54">
            <v>10.378</v>
          </cell>
          <cell r="J54">
            <v>17.102</v>
          </cell>
          <cell r="K54">
            <v>17.693999999999999</v>
          </cell>
          <cell r="L54">
            <v>23.024000000000001</v>
          </cell>
          <cell r="M54">
            <v>23.024000000000001</v>
          </cell>
          <cell r="N54">
            <v>23.024000000000001</v>
          </cell>
          <cell r="O54">
            <v>23.024000000000001</v>
          </cell>
          <cell r="P54">
            <v>28.59</v>
          </cell>
          <cell r="Q54">
            <v>26.873000000000001</v>
          </cell>
        </row>
        <row r="55">
          <cell r="B55" t="str">
            <v>Other long-term assets</v>
          </cell>
          <cell r="C55" t="str">
            <v>OTH_LT_ASS</v>
          </cell>
          <cell r="D55" t="str">
            <v>USD</v>
          </cell>
          <cell r="F55">
            <v>39.518000000000001</v>
          </cell>
          <cell r="G55">
            <v>40.472999999999999</v>
          </cell>
          <cell r="H55">
            <v>53.113999999999997</v>
          </cell>
          <cell r="I55">
            <v>61.859000000000002</v>
          </cell>
          <cell r="J55">
            <v>143.339</v>
          </cell>
          <cell r="K55">
            <v>315.08499999999998</v>
          </cell>
          <cell r="L55">
            <v>306.24799999999999</v>
          </cell>
          <cell r="M55">
            <v>306.24799999999999</v>
          </cell>
          <cell r="N55">
            <v>306.24799999999999</v>
          </cell>
          <cell r="O55">
            <v>306.24799999999999</v>
          </cell>
          <cell r="P55">
            <v>315.35300000000001</v>
          </cell>
          <cell r="Q55">
            <v>278.80799999999999</v>
          </cell>
        </row>
        <row r="56">
          <cell r="B56" t="str">
            <v>Total assets</v>
          </cell>
          <cell r="C56" t="str">
            <v>TOT_ASSET</v>
          </cell>
          <cell r="D56" t="str">
            <v>USD</v>
          </cell>
          <cell r="F56">
            <v>2505.3670000000002</v>
          </cell>
          <cell r="G56">
            <v>2266.3960000000002</v>
          </cell>
          <cell r="H56">
            <v>2614.6990000000001</v>
          </cell>
          <cell r="I56">
            <v>3180.634</v>
          </cell>
          <cell r="J56">
            <v>4309.7439999999997</v>
          </cell>
          <cell r="K56">
            <v>4407.0290000000005</v>
          </cell>
          <cell r="L56">
            <v>4638.9369999999999</v>
          </cell>
          <cell r="M56">
            <v>4609.8526343428002</v>
          </cell>
          <cell r="N56">
            <v>4899.13766502007</v>
          </cell>
          <cell r="O56">
            <v>5099.6131070407</v>
          </cell>
          <cell r="P56">
            <v>5386.55174966716</v>
          </cell>
          <cell r="Q56">
            <v>5228.5621495167698</v>
          </cell>
        </row>
        <row r="57">
          <cell r="B57" t="str">
            <v>Accounts payable</v>
          </cell>
          <cell r="C57" t="str">
            <v>ACC_PAY_GQ</v>
          </cell>
          <cell r="D57" t="str">
            <v>USD</v>
          </cell>
          <cell r="F57">
            <v>381.48700000000002</v>
          </cell>
          <cell r="G57">
            <v>357.94200000000001</v>
          </cell>
          <cell r="H57">
            <v>564.173</v>
          </cell>
          <cell r="I57">
            <v>589.48400000000004</v>
          </cell>
          <cell r="J57">
            <v>722.08900000000006</v>
          </cell>
          <cell r="K57">
            <v>691.49800000000005</v>
          </cell>
          <cell r="L57">
            <v>673.89400000000001</v>
          </cell>
          <cell r="M57">
            <v>536.62280974611201</v>
          </cell>
          <cell r="N57">
            <v>689.53621955432902</v>
          </cell>
          <cell r="O57">
            <v>731.55630025800099</v>
          </cell>
          <cell r="P57">
            <v>895.17942554410604</v>
          </cell>
          <cell r="Q57">
            <v>898.11172105902403</v>
          </cell>
        </row>
        <row r="58">
          <cell r="B58" t="str">
            <v>Short-term debt</v>
          </cell>
          <cell r="C58" t="str">
            <v>SHORT_T_DEBT</v>
          </cell>
          <cell r="D58" t="str">
            <v>USD</v>
          </cell>
          <cell r="F58">
            <v>445.99900000000002</v>
          </cell>
          <cell r="G58">
            <v>339.33699999999999</v>
          </cell>
          <cell r="H58">
            <v>384.81799999999998</v>
          </cell>
          <cell r="I58">
            <v>296.12700000000001</v>
          </cell>
          <cell r="J58">
            <v>989.40099999999995</v>
          </cell>
          <cell r="K58">
            <v>493.54599999999999</v>
          </cell>
          <cell r="L58">
            <v>604.37</v>
          </cell>
          <cell r="M58">
            <v>1183.5160000000001</v>
          </cell>
          <cell r="N58">
            <v>1183.5160000000001</v>
          </cell>
          <cell r="O58">
            <v>1183.5160000000001</v>
          </cell>
          <cell r="P58">
            <v>689.89099999999996</v>
          </cell>
          <cell r="Q58">
            <v>452.65499999999997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 t="str">
            <v>USD</v>
          </cell>
        </row>
        <row r="60">
          <cell r="B60" t="str">
            <v>Other current liabilities</v>
          </cell>
          <cell r="C60" t="str">
            <v>OTH_CUR_LIABS</v>
          </cell>
          <cell r="D60" t="str">
            <v>USD</v>
          </cell>
          <cell r="F60">
            <v>620.53599999999994</v>
          </cell>
          <cell r="G60">
            <v>379.98099999999999</v>
          </cell>
          <cell r="H60">
            <v>380.37700000000001</v>
          </cell>
          <cell r="I60">
            <v>391.26299999999998</v>
          </cell>
          <cell r="J60">
            <v>557.596</v>
          </cell>
          <cell r="K60">
            <v>477.13400000000001</v>
          </cell>
          <cell r="L60">
            <v>511.69799999999998</v>
          </cell>
          <cell r="M60">
            <v>511.69799999999998</v>
          </cell>
          <cell r="N60">
            <v>511.69799999999998</v>
          </cell>
          <cell r="O60">
            <v>511.69799999999998</v>
          </cell>
          <cell r="P60">
            <v>473.99400000000003</v>
          </cell>
          <cell r="Q60">
            <v>425.95699999999999</v>
          </cell>
        </row>
        <row r="61">
          <cell r="B61" t="str">
            <v>Total current liabilities</v>
          </cell>
          <cell r="C61" t="str">
            <v>SHORT_TERM_LIABS</v>
          </cell>
          <cell r="D61" t="str">
            <v>USD</v>
          </cell>
          <cell r="F61">
            <v>1448.0219999999999</v>
          </cell>
          <cell r="G61">
            <v>1077.26</v>
          </cell>
          <cell r="H61">
            <v>1329.3679999999999</v>
          </cell>
          <cell r="I61">
            <v>1276.874</v>
          </cell>
          <cell r="J61">
            <v>2269.0859999999998</v>
          </cell>
          <cell r="K61">
            <v>1662.1780000000001</v>
          </cell>
          <cell r="L61">
            <v>1789.962</v>
          </cell>
          <cell r="M61">
            <v>2231.8368097461098</v>
          </cell>
          <cell r="N61">
            <v>2384.7502195543302</v>
          </cell>
          <cell r="O61">
            <v>2426.7703002580001</v>
          </cell>
          <cell r="P61">
            <v>2059.0644255441098</v>
          </cell>
          <cell r="Q61">
            <v>1776.7237210590199</v>
          </cell>
        </row>
        <row r="62">
          <cell r="B62" t="str">
            <v>Long-term  debt</v>
          </cell>
          <cell r="C62" t="str">
            <v>LT_DEBT</v>
          </cell>
          <cell r="D62" t="str">
            <v>USD</v>
          </cell>
          <cell r="K62">
            <v>574.17600000000004</v>
          </cell>
          <cell r="L62">
            <v>574.55899999999997</v>
          </cell>
          <cell r="M62">
            <v>0</v>
          </cell>
          <cell r="N62">
            <v>0</v>
          </cell>
          <cell r="O62">
            <v>0</v>
          </cell>
          <cell r="P62">
            <v>575.63199999999995</v>
          </cell>
          <cell r="Q62">
            <v>574.73199999999997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 t="str">
            <v>USD</v>
          </cell>
        </row>
        <row r="64">
          <cell r="B64" t="str">
            <v>Other long-term liabilities</v>
          </cell>
          <cell r="C64" t="str">
            <v>OTH_LT_CRED_GQ</v>
          </cell>
          <cell r="D64" t="str">
            <v>USD</v>
          </cell>
          <cell r="F64">
            <v>3.4319999999999999</v>
          </cell>
          <cell r="G64">
            <v>2.5790000000000002</v>
          </cell>
          <cell r="H64">
            <v>1.347</v>
          </cell>
          <cell r="I64">
            <v>9.8569999999999993</v>
          </cell>
          <cell r="J64">
            <v>93.33</v>
          </cell>
          <cell r="K64">
            <v>93.328000000000003</v>
          </cell>
          <cell r="L64">
            <v>84.04</v>
          </cell>
          <cell r="M64">
            <v>84.04</v>
          </cell>
          <cell r="N64">
            <v>84.04</v>
          </cell>
          <cell r="O64">
            <v>84.04</v>
          </cell>
          <cell r="P64">
            <v>98.272000000000006</v>
          </cell>
          <cell r="Q64">
            <v>86.152000000000001</v>
          </cell>
        </row>
        <row r="65">
          <cell r="B65" t="str">
            <v>Total long-term liabilities</v>
          </cell>
          <cell r="C65" t="str">
            <v>TOT_LT_LIAB</v>
          </cell>
          <cell r="D65" t="str">
            <v>USD</v>
          </cell>
          <cell r="F65">
            <v>3.4319999999999999</v>
          </cell>
          <cell r="G65">
            <v>2.5790000000000002</v>
          </cell>
          <cell r="H65">
            <v>1.347</v>
          </cell>
          <cell r="I65">
            <v>9.8569999999999993</v>
          </cell>
          <cell r="J65">
            <v>93.33</v>
          </cell>
          <cell r="K65">
            <v>667.50400000000002</v>
          </cell>
          <cell r="L65">
            <v>658.59900000000005</v>
          </cell>
          <cell r="M65">
            <v>84.04</v>
          </cell>
          <cell r="N65">
            <v>84.04</v>
          </cell>
          <cell r="O65">
            <v>84.04</v>
          </cell>
          <cell r="P65">
            <v>673.904</v>
          </cell>
          <cell r="Q65">
            <v>660.88400000000001</v>
          </cell>
        </row>
        <row r="66">
          <cell r="B66" t="str">
            <v>Total liabilities</v>
          </cell>
          <cell r="C66" t="str">
            <v>TOT_LIAB</v>
          </cell>
          <cell r="D66" t="str">
            <v>USD</v>
          </cell>
          <cell r="F66">
            <v>1451.454</v>
          </cell>
          <cell r="G66">
            <v>1079.8389999999999</v>
          </cell>
          <cell r="H66">
            <v>1330.7149999999999</v>
          </cell>
          <cell r="I66">
            <v>1286.731</v>
          </cell>
          <cell r="J66">
            <v>2362.4160000000002</v>
          </cell>
          <cell r="K66">
            <v>2329.6819999999998</v>
          </cell>
          <cell r="L66">
            <v>2448.5610000000001</v>
          </cell>
          <cell r="M66">
            <v>2315.8768097461102</v>
          </cell>
          <cell r="N66">
            <v>2468.7902195543302</v>
          </cell>
          <cell r="O66">
            <v>2510.8103002580001</v>
          </cell>
          <cell r="P66">
            <v>2732.9684255441098</v>
          </cell>
          <cell r="Q66">
            <v>2437.6077210590202</v>
          </cell>
        </row>
        <row r="67">
          <cell r="B67" t="str">
            <v>Preferred shares</v>
          </cell>
          <cell r="C67" t="str">
            <v>PREF_SH</v>
          </cell>
          <cell r="D67" t="str">
            <v>USD</v>
          </cell>
        </row>
        <row r="68">
          <cell r="B68" t="str">
            <v>Total common equity</v>
          </cell>
          <cell r="C68" t="str">
            <v>ORD_SH_FUND</v>
          </cell>
          <cell r="D68" t="str">
            <v>USD</v>
          </cell>
          <cell r="F68">
            <v>1053.8820000000001</v>
          </cell>
          <cell r="G68">
            <v>1186.521</v>
          </cell>
          <cell r="H68">
            <v>1283.951</v>
          </cell>
          <cell r="I68">
            <v>1893.874</v>
          </cell>
          <cell r="J68">
            <v>1934.578</v>
          </cell>
          <cell r="K68">
            <v>2066.7469999999998</v>
          </cell>
          <cell r="L68">
            <v>2187.8719999999998</v>
          </cell>
          <cell r="M68">
            <v>2294.2398245966901</v>
          </cell>
          <cell r="N68">
            <v>2433.37944546574</v>
          </cell>
          <cell r="O68">
            <v>2594.6028067827001</v>
          </cell>
          <cell r="P68">
            <v>2649.3183241230499</v>
          </cell>
          <cell r="Q68">
            <v>2787.2384284577402</v>
          </cell>
        </row>
        <row r="69">
          <cell r="B69" t="str">
            <v>Minority interest</v>
          </cell>
          <cell r="C69" t="str">
            <v>MINORITIES</v>
          </cell>
          <cell r="D69" t="str">
            <v>USD</v>
          </cell>
          <cell r="F69">
            <v>3.1E-2</v>
          </cell>
          <cell r="G69">
            <v>3.5999999999999997E-2</v>
          </cell>
          <cell r="H69">
            <v>3.3000000000000002E-2</v>
          </cell>
          <cell r="I69">
            <v>2.9000000000000001E-2</v>
          </cell>
          <cell r="J69">
            <v>12.75</v>
          </cell>
          <cell r="K69">
            <v>10.6</v>
          </cell>
          <cell r="L69">
            <v>2.504</v>
          </cell>
          <cell r="M69">
            <v>-0.26400000000000001</v>
          </cell>
          <cell r="N69">
            <v>-3.032</v>
          </cell>
          <cell r="O69">
            <v>-5.8</v>
          </cell>
          <cell r="P69">
            <v>4.2649999999999997</v>
          </cell>
          <cell r="Q69">
            <v>3.7160000000000002</v>
          </cell>
        </row>
        <row r="70">
          <cell r="B70" t="str">
            <v>Total shareholders' equity</v>
          </cell>
          <cell r="C70" t="str">
            <v>EQ</v>
          </cell>
          <cell r="D70" t="str">
            <v>USD</v>
          </cell>
          <cell r="F70">
            <v>1053.913</v>
          </cell>
          <cell r="G70">
            <v>1186.557</v>
          </cell>
          <cell r="H70">
            <v>1283.9839999999999</v>
          </cell>
          <cell r="I70">
            <v>1893.903</v>
          </cell>
          <cell r="J70">
            <v>1947.328</v>
          </cell>
          <cell r="K70">
            <v>2077.3470000000002</v>
          </cell>
          <cell r="L70">
            <v>2190.3760000000002</v>
          </cell>
          <cell r="M70">
            <v>2293.97582459669</v>
          </cell>
          <cell r="N70">
            <v>2430.3474454657398</v>
          </cell>
          <cell r="O70">
            <v>2588.8028067826999</v>
          </cell>
          <cell r="P70">
            <v>2653.5833241230498</v>
          </cell>
          <cell r="Q70">
            <v>2790.9544284577401</v>
          </cell>
        </row>
        <row r="71">
          <cell r="B71" t="str">
            <v>Total liabilities and equity</v>
          </cell>
          <cell r="C71" t="str">
            <v>TOT_LIAB_EQ</v>
          </cell>
          <cell r="D71" t="str">
            <v>USD</v>
          </cell>
          <cell r="F71">
            <v>2505.3670000000002</v>
          </cell>
          <cell r="G71">
            <v>2266.3960000000002</v>
          </cell>
          <cell r="H71">
            <v>2614.6990000000001</v>
          </cell>
          <cell r="I71">
            <v>3180.634</v>
          </cell>
          <cell r="J71">
            <v>4309.7439999999997</v>
          </cell>
          <cell r="K71">
            <v>4407.0290000000005</v>
          </cell>
          <cell r="L71">
            <v>4638.9369999999999</v>
          </cell>
          <cell r="M71">
            <v>4609.8526343428002</v>
          </cell>
          <cell r="N71">
            <v>4899.13766502007</v>
          </cell>
          <cell r="O71">
            <v>5099.6131070407</v>
          </cell>
          <cell r="P71">
            <v>5386.55174966716</v>
          </cell>
          <cell r="Q71">
            <v>5228.5621495167698</v>
          </cell>
        </row>
        <row r="72">
          <cell r="A72" t="str">
            <v>Additional Balance Sheet Items</v>
          </cell>
        </row>
        <row r="73">
          <cell r="B73" t="str">
            <v>Total US$ debt (in US$)</v>
          </cell>
          <cell r="C73" t="str">
            <v>TOT_USD_DEBT</v>
          </cell>
          <cell r="F73">
            <v>114.307</v>
          </cell>
          <cell r="G73">
            <v>87.043000000000006</v>
          </cell>
          <cell r="H73">
            <v>118.833</v>
          </cell>
          <cell r="I73">
            <v>96.436999999999998</v>
          </cell>
          <cell r="J73">
            <v>870.10599999999999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</v>
          </cell>
        </row>
        <row r="74">
          <cell r="B74" t="str">
            <v>% US$ debt hedged (principal)</v>
          </cell>
          <cell r="C74" t="str">
            <v>TOT_PCT_USD_DEBT_HEDGED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% Floating debt (local currency debt)</v>
          </cell>
          <cell r="C75" t="str">
            <v>FLOATING_PCT_LOCAL_DEBT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% floating debt hedged (rates)</v>
          </cell>
          <cell r="C76" t="str">
            <v>FLOATING_PCT_LOCAL_DEBT_HEDGED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Net debt</v>
          </cell>
          <cell r="C77" t="str">
            <v>NET_DEBT</v>
          </cell>
          <cell r="D77" t="str">
            <v>USD</v>
          </cell>
          <cell r="F77">
            <v>-68.125</v>
          </cell>
          <cell r="G77">
            <v>-69.902000000000001</v>
          </cell>
          <cell r="H77">
            <v>-30.081</v>
          </cell>
          <cell r="I77">
            <v>-471.42700000000002</v>
          </cell>
          <cell r="J77">
            <v>-75.423000000000002</v>
          </cell>
          <cell r="K77">
            <v>175.61099999999999</v>
          </cell>
          <cell r="L77">
            <v>412.81700000000001</v>
          </cell>
          <cell r="M77">
            <v>467.28858126356499</v>
          </cell>
          <cell r="N77">
            <v>269.24262568611101</v>
          </cell>
          <cell r="O77">
            <v>209.097156837857</v>
          </cell>
          <cell r="P77">
            <v>243.11739331169301</v>
          </cell>
          <cell r="Q77">
            <v>322.36864633954201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 t="str">
            <v>USD</v>
          </cell>
        </row>
        <row r="79">
          <cell r="B79" t="str">
            <v>Deferred income taxes</v>
          </cell>
          <cell r="C79" t="str">
            <v>DEF_INC_TAX</v>
          </cell>
          <cell r="D79" t="str">
            <v>USD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 t="str">
            <v>USD</v>
          </cell>
        </row>
        <row r="81">
          <cell r="B81" t="str">
            <v>Net debt adjustment</v>
          </cell>
          <cell r="C81" t="str">
            <v>NET_DEBT_ADJ</v>
          </cell>
          <cell r="D81" t="str">
            <v>USD</v>
          </cell>
        </row>
        <row r="82">
          <cell r="B82" t="str">
            <v>Company borrowing margin</v>
          </cell>
          <cell r="C82" t="str">
            <v>CO_BOR_MARGIN</v>
          </cell>
        </row>
        <row r="83">
          <cell r="B83" t="str">
            <v>Unfunded pensions &amp; other provisions</v>
          </cell>
          <cell r="C83" t="str">
            <v>UNF_PENS</v>
          </cell>
          <cell r="D83" t="str">
            <v>USD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 t="str">
            <v>USD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 t="str">
            <v>USD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 t="str">
            <v>USD</v>
          </cell>
        </row>
        <row r="87">
          <cell r="B87" t="str">
            <v>Other GCI adjustments</v>
          </cell>
          <cell r="C87" t="str">
            <v>OTH_GCI_ADJ</v>
          </cell>
          <cell r="D87" t="str">
            <v>USD</v>
          </cell>
          <cell r="F87">
            <v>68.125</v>
          </cell>
          <cell r="G87">
            <v>69.902000000000001</v>
          </cell>
          <cell r="H87">
            <v>30.081</v>
          </cell>
          <cell r="I87">
            <v>471.42700000000002</v>
          </cell>
          <cell r="J87">
            <v>75.423000000000002</v>
          </cell>
          <cell r="K87">
            <v>-175.61099999999999</v>
          </cell>
          <cell r="L87">
            <v>-412.81700000000001</v>
          </cell>
          <cell r="M87">
            <v>-467.28858126356499</v>
          </cell>
          <cell r="N87">
            <v>-269.24262568611101</v>
          </cell>
          <cell r="O87">
            <v>-209.097156837857</v>
          </cell>
          <cell r="P87">
            <v>-243.11739331169301</v>
          </cell>
          <cell r="Q87">
            <v>-322.36864633954201</v>
          </cell>
        </row>
        <row r="88">
          <cell r="B88" t="str">
            <v>GCI inflator</v>
          </cell>
          <cell r="C88" t="str">
            <v>GCI_INFL</v>
          </cell>
        </row>
        <row r="89">
          <cell r="B89" t="str">
            <v>Minority interest</v>
          </cell>
          <cell r="C89" t="str">
            <v>BAL_MINO_INT</v>
          </cell>
          <cell r="D89" t="str">
            <v>USD</v>
          </cell>
          <cell r="F89">
            <v>3.1E-2</v>
          </cell>
          <cell r="G89">
            <v>3.5999999999999997E-2</v>
          </cell>
          <cell r="H89">
            <v>3.3000000000000002E-2</v>
          </cell>
          <cell r="I89">
            <v>2.9000000000000001E-2</v>
          </cell>
          <cell r="J89">
            <v>12.75</v>
          </cell>
          <cell r="K89">
            <v>10.6</v>
          </cell>
          <cell r="L89">
            <v>2.504</v>
          </cell>
          <cell r="M89">
            <v>-0.26400000000000001</v>
          </cell>
          <cell r="N89">
            <v>-3.032</v>
          </cell>
          <cell r="O89">
            <v>-5.8</v>
          </cell>
          <cell r="P89">
            <v>4.2649999999999997</v>
          </cell>
          <cell r="Q89">
            <v>3.7160000000000002</v>
          </cell>
        </row>
        <row r="90">
          <cell r="B90" t="str">
            <v>Right-of-use assets (op lease assets under US GAAP)</v>
          </cell>
          <cell r="C90" t="str">
            <v>ROU_ASSET</v>
          </cell>
          <cell r="D90" t="str">
            <v>USD</v>
          </cell>
        </row>
        <row r="91">
          <cell r="A91" t="str">
            <v>Cash Flow Statement</v>
          </cell>
        </row>
        <row r="92">
          <cell r="B92" t="str">
            <v>Minority interest add-back</v>
          </cell>
          <cell r="C92" t="str">
            <v>CF_INC_MINORITY</v>
          </cell>
          <cell r="D92" t="str">
            <v>USD</v>
          </cell>
          <cell r="F92">
            <v>-1E-3</v>
          </cell>
          <cell r="G92">
            <v>7.0000000000000001E-3</v>
          </cell>
          <cell r="I92">
            <v>-4.0000000000000001E-3</v>
          </cell>
          <cell r="J92">
            <v>-1.2709999999999999</v>
          </cell>
          <cell r="K92">
            <v>-2.1190000000000002</v>
          </cell>
          <cell r="L92">
            <v>6.6000000000000003E-2</v>
          </cell>
          <cell r="M92">
            <v>-2.7679999999999998</v>
          </cell>
          <cell r="N92">
            <v>-2.7679999999999998</v>
          </cell>
          <cell r="O92">
            <v>-2.7679999999999998</v>
          </cell>
          <cell r="P92">
            <v>1.0840000000000001</v>
          </cell>
          <cell r="Q92">
            <v>0.70799999999999996</v>
          </cell>
        </row>
        <row r="93">
          <cell r="B93" t="str">
            <v>Depreciation &amp; amortization add-back</v>
          </cell>
          <cell r="C93" t="str">
            <v>DEPR_AMORT</v>
          </cell>
          <cell r="D93" t="str">
            <v>USD</v>
          </cell>
          <cell r="F93">
            <v>144.31800000000001</v>
          </cell>
          <cell r="G93">
            <v>136.98599999999999</v>
          </cell>
          <cell r="H93">
            <v>151.51599999999999</v>
          </cell>
          <cell r="I93">
            <v>183.09100000000001</v>
          </cell>
          <cell r="J93">
            <v>200.58699999999999</v>
          </cell>
          <cell r="K93">
            <v>227.47900000000001</v>
          </cell>
          <cell r="L93">
            <v>220.024</v>
          </cell>
          <cell r="M93">
            <v>268.16964060794902</v>
          </cell>
          <cell r="N93">
            <v>299.69476047572198</v>
          </cell>
          <cell r="O93">
            <v>311.19519217982401</v>
          </cell>
          <cell r="P93">
            <v>254.03772424586001</v>
          </cell>
          <cell r="Q93">
            <v>332.07465119073902</v>
          </cell>
        </row>
        <row r="94">
          <cell r="B94" t="str">
            <v>(Increase)/decrease in working capital</v>
          </cell>
          <cell r="C94" t="str">
            <v>WORK_CAP</v>
          </cell>
          <cell r="D94" t="str">
            <v>USD</v>
          </cell>
          <cell r="F94">
            <v>-2554.9229999999998</v>
          </cell>
          <cell r="G94">
            <v>121.97</v>
          </cell>
          <cell r="H94">
            <v>-115.855</v>
          </cell>
          <cell r="I94">
            <v>-323.137</v>
          </cell>
          <cell r="J94">
            <v>69.122</v>
          </cell>
          <cell r="K94">
            <v>-78.558000000000007</v>
          </cell>
          <cell r="L94">
            <v>-200.45599999999999</v>
          </cell>
          <cell r="M94">
            <v>-97.916144967524005</v>
          </cell>
          <cell r="N94">
            <v>67.343942263257006</v>
          </cell>
          <cell r="O94">
            <v>-124.46980584381799</v>
          </cell>
          <cell r="P94">
            <v>77.441538055166006</v>
          </cell>
          <cell r="Q94">
            <v>-15.762116859340001</v>
          </cell>
        </row>
        <row r="95">
          <cell r="B95" t="str">
            <v>Other operating cash flow items</v>
          </cell>
          <cell r="C95" t="str">
            <v>OTH_OP_CF</v>
          </cell>
          <cell r="D95" t="str">
            <v>USD</v>
          </cell>
          <cell r="F95">
            <v>2167.1410000000001</v>
          </cell>
          <cell r="G95">
            <v>3.3780000000000001</v>
          </cell>
          <cell r="H95">
            <v>36.311</v>
          </cell>
          <cell r="I95">
            <v>115.39100000000001</v>
          </cell>
          <cell r="J95">
            <v>194.53200000000001</v>
          </cell>
          <cell r="K95">
            <v>-69.215999999999994</v>
          </cell>
          <cell r="L95">
            <v>52.856999999999999</v>
          </cell>
          <cell r="M95">
            <v>-178.73400000000001</v>
          </cell>
          <cell r="N95">
            <v>-46.792999999999999</v>
          </cell>
        </row>
        <row r="96">
          <cell r="B96" t="str">
            <v>Cash flow from operating activities</v>
          </cell>
          <cell r="C96" t="str">
            <v>CF_OPS</v>
          </cell>
          <cell r="D96" t="str">
            <v>USD</v>
          </cell>
          <cell r="F96">
            <v>-56.44</v>
          </cell>
          <cell r="G96">
            <v>439.35</v>
          </cell>
          <cell r="H96">
            <v>240.53399999999999</v>
          </cell>
          <cell r="I96">
            <v>155.83099999999999</v>
          </cell>
          <cell r="J96">
            <v>696.91600000000005</v>
          </cell>
          <cell r="K96">
            <v>313</v>
          </cell>
          <cell r="L96">
            <v>115</v>
          </cell>
          <cell r="M96">
            <v>273.85332023711101</v>
          </cell>
          <cell r="N96">
            <v>503.41032360803803</v>
          </cell>
          <cell r="O96">
            <v>345.18074765295898</v>
          </cell>
          <cell r="P96">
            <v>426.70342190666599</v>
          </cell>
          <cell r="Q96">
            <v>492.01197942150401</v>
          </cell>
        </row>
        <row r="97">
          <cell r="B97" t="str">
            <v>Capital expenditures, Capex</v>
          </cell>
          <cell r="C97" t="str">
            <v>CAPEX</v>
          </cell>
          <cell r="D97" t="str">
            <v>USD</v>
          </cell>
          <cell r="F97">
            <v>-109.976</v>
          </cell>
          <cell r="G97">
            <v>-138.69300000000001</v>
          </cell>
          <cell r="H97">
            <v>-198.24600000000001</v>
          </cell>
          <cell r="I97">
            <v>-118.669</v>
          </cell>
          <cell r="J97">
            <v>-118.586</v>
          </cell>
          <cell r="K97">
            <v>-288</v>
          </cell>
          <cell r="L97">
            <v>-387</v>
          </cell>
          <cell r="M97">
            <v>-335.94190150067601</v>
          </cell>
          <cell r="N97">
            <v>-305.36436803058399</v>
          </cell>
          <cell r="O97">
            <v>-285.035278804705</v>
          </cell>
          <cell r="P97">
            <v>-253.40855939154</v>
          </cell>
          <cell r="Q97">
            <v>-210.277419015547</v>
          </cell>
        </row>
        <row r="98">
          <cell r="B98" t="str">
            <v>Acquisitions</v>
          </cell>
          <cell r="C98" t="str">
            <v>ACQ</v>
          </cell>
          <cell r="D98" t="str">
            <v>USD</v>
          </cell>
          <cell r="G98">
            <v>-0.89</v>
          </cell>
          <cell r="H98">
            <v>-0.441</v>
          </cell>
          <cell r="I98">
            <v>-5.2149999999999999</v>
          </cell>
          <cell r="J98">
            <v>-0.8</v>
          </cell>
          <cell r="K98">
            <v>-21.25</v>
          </cell>
          <cell r="L98">
            <v>-3.3580000000000001</v>
          </cell>
          <cell r="M98">
            <v>-140.827</v>
          </cell>
        </row>
        <row r="99">
          <cell r="B99" t="str">
            <v>Divestitures</v>
          </cell>
          <cell r="C99" t="str">
            <v>DIVEST</v>
          </cell>
          <cell r="D99" t="str">
            <v>USD</v>
          </cell>
          <cell r="N99">
            <v>48.898000000000003</v>
          </cell>
        </row>
        <row r="100">
          <cell r="B100" t="str">
            <v>Other investing cash flow items</v>
          </cell>
          <cell r="C100" t="str">
            <v>OTH_INV_CF</v>
          </cell>
          <cell r="D100" t="str">
            <v>USD</v>
          </cell>
          <cell r="F100">
            <v>21.5</v>
          </cell>
          <cell r="G100">
            <v>-135.49700000000001</v>
          </cell>
          <cell r="H100">
            <v>-13.6</v>
          </cell>
          <cell r="I100">
            <v>71.558000000000007</v>
          </cell>
          <cell r="J100">
            <v>-827.74400000000003</v>
          </cell>
          <cell r="K100">
            <v>726.25</v>
          </cell>
          <cell r="L100">
            <v>-7.617</v>
          </cell>
          <cell r="M100">
            <v>7.617</v>
          </cell>
          <cell r="N100">
            <v>-28.327000000000002</v>
          </cell>
          <cell r="O100">
            <v>-21.457000000000001</v>
          </cell>
        </row>
        <row r="101">
          <cell r="B101" t="str">
            <v>Cash flow from investing</v>
          </cell>
          <cell r="C101" t="str">
            <v>CF_INV</v>
          </cell>
          <cell r="D101" t="str">
            <v>USD</v>
          </cell>
          <cell r="F101">
            <v>-88.475999999999999</v>
          </cell>
          <cell r="G101">
            <v>-275.08</v>
          </cell>
          <cell r="H101">
            <v>-212.28700000000001</v>
          </cell>
          <cell r="I101">
            <v>-52.326000000000001</v>
          </cell>
          <cell r="J101">
            <v>-947.13</v>
          </cell>
          <cell r="K101">
            <v>417</v>
          </cell>
          <cell r="L101">
            <v>-397.97500000000002</v>
          </cell>
          <cell r="M101">
            <v>-328.32490150067702</v>
          </cell>
          <cell r="N101">
            <v>-305.36436803058399</v>
          </cell>
          <cell r="O101">
            <v>-285.035278804705</v>
          </cell>
          <cell r="P101">
            <v>-253.40855939154</v>
          </cell>
          <cell r="Q101">
            <v>-210.277419015547</v>
          </cell>
        </row>
        <row r="102">
          <cell r="B102" t="str">
            <v>Dividends paid</v>
          </cell>
          <cell r="C102" t="str">
            <v>DIV_PAID</v>
          </cell>
          <cell r="D102" t="str">
            <v>USD</v>
          </cell>
          <cell r="G102">
            <v>-41.667000000000002</v>
          </cell>
          <cell r="H102">
            <v>-44.203000000000003</v>
          </cell>
          <cell r="I102">
            <v>-40.552999999999997</v>
          </cell>
          <cell r="J102">
            <v>-46.817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Common stock issuance/(repurchase)</v>
          </cell>
          <cell r="C103" t="str">
            <v>SH_REPUR</v>
          </cell>
          <cell r="D103" t="str">
            <v>USD</v>
          </cell>
          <cell r="G103">
            <v>8.1199999999999992</v>
          </cell>
          <cell r="I103">
            <v>22.238</v>
          </cell>
          <cell r="J103">
            <v>0.187</v>
          </cell>
          <cell r="K103">
            <v>2.6920000000000002</v>
          </cell>
          <cell r="L103">
            <v>0.223</v>
          </cell>
          <cell r="M103">
            <v>4.7030000000000003</v>
          </cell>
          <cell r="N103">
            <v>2.8340000000000001</v>
          </cell>
        </row>
        <row r="104">
          <cell r="B104" t="str">
            <v>Increase/(decrease) in total debt</v>
          </cell>
          <cell r="C104" t="str">
            <v>CHG_LT_DEBT</v>
          </cell>
          <cell r="D104" t="str">
            <v>USD</v>
          </cell>
          <cell r="F104">
            <v>299.63200000000001</v>
          </cell>
          <cell r="G104">
            <v>-106.66200000000001</v>
          </cell>
          <cell r="H104">
            <v>45.481000000000002</v>
          </cell>
          <cell r="I104">
            <v>-88.691000000000003</v>
          </cell>
          <cell r="J104">
            <v>693.274</v>
          </cell>
          <cell r="K104">
            <v>78.320999999999998</v>
          </cell>
          <cell r="L104">
            <v>111.20699999999999</v>
          </cell>
          <cell r="M104">
            <v>4.5869999999999997</v>
          </cell>
          <cell r="N104">
            <v>-238.136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str">
            <v>USD</v>
          </cell>
        </row>
        <row r="106">
          <cell r="B106" t="str">
            <v>Other financing cash flow items</v>
          </cell>
          <cell r="C106" t="str">
            <v>OTH_FIN_CF</v>
          </cell>
          <cell r="D106" t="str">
            <v>USD</v>
          </cell>
          <cell r="F106">
            <v>73.873000000000005</v>
          </cell>
          <cell r="G106">
            <v>-128.946</v>
          </cell>
          <cell r="H106">
            <v>-23.864999999999998</v>
          </cell>
          <cell r="I106">
            <v>356.15600000000001</v>
          </cell>
          <cell r="J106">
            <v>-99.16</v>
          </cell>
          <cell r="K106">
            <v>-983.726</v>
          </cell>
          <cell r="L106">
            <v>-708.42899999999997</v>
          </cell>
          <cell r="M106">
            <v>47.037999999999997</v>
          </cell>
          <cell r="N106">
            <v>-110.1</v>
          </cell>
        </row>
        <row r="107">
          <cell r="B107" t="str">
            <v>Cash flow from financing</v>
          </cell>
          <cell r="C107" t="str">
            <v>CF_FIN</v>
          </cell>
          <cell r="D107" t="str">
            <v>USD</v>
          </cell>
          <cell r="F107">
            <v>373.505</v>
          </cell>
          <cell r="G107">
            <v>-269.15499999999997</v>
          </cell>
          <cell r="H107">
            <v>-22.587</v>
          </cell>
          <cell r="I107">
            <v>249.15</v>
          </cell>
          <cell r="J107">
            <v>547.48400000000004</v>
          </cell>
          <cell r="K107">
            <v>-902.71299999999997</v>
          </cell>
          <cell r="L107">
            <v>-596.99900000000002</v>
          </cell>
          <cell r="M107">
            <v>4.5869999999999997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Total cash flow</v>
          </cell>
          <cell r="C108" t="str">
            <v>TOT_CF</v>
          </cell>
          <cell r="D108" t="str">
            <v>USD</v>
          </cell>
          <cell r="F108">
            <v>228.589</v>
          </cell>
          <cell r="G108">
            <v>-104.88500000000001</v>
          </cell>
          <cell r="H108">
            <v>5.66</v>
          </cell>
          <cell r="I108">
            <v>352.65499999999997</v>
          </cell>
          <cell r="J108">
            <v>297.27</v>
          </cell>
          <cell r="K108">
            <v>-172.71299999999999</v>
          </cell>
          <cell r="L108">
            <v>-879.97400000000005</v>
          </cell>
          <cell r="M108">
            <v>-49.884581263565003</v>
          </cell>
          <cell r="N108">
            <v>198.04595557745401</v>
          </cell>
          <cell r="O108">
            <v>60.145468848253998</v>
          </cell>
          <cell r="P108">
            <v>173.294862515126</v>
          </cell>
          <cell r="Q108">
            <v>281.73456040595698</v>
          </cell>
        </row>
        <row r="109">
          <cell r="A109" t="str">
            <v>Additional Cash Flow Items</v>
          </cell>
        </row>
        <row r="110">
          <cell r="B110" t="str">
            <v>Associate and JV add-back</v>
          </cell>
          <cell r="C110" t="str">
            <v>ASSOC_JV_ADDBK</v>
          </cell>
          <cell r="D110" t="str">
            <v>USD</v>
          </cell>
        </row>
        <row r="111">
          <cell r="B111" t="str">
            <v>Profit/(loss) on sale of assets</v>
          </cell>
          <cell r="C111" t="str">
            <v>PL_SALE_ASSETS</v>
          </cell>
          <cell r="D111" t="str">
            <v>USD</v>
          </cell>
        </row>
        <row r="112">
          <cell r="B112" t="str">
            <v>Other non-cash adjustments</v>
          </cell>
          <cell r="C112" t="str">
            <v>OTH_NONCASH_ADJ</v>
          </cell>
          <cell r="D112" t="str">
            <v>USD</v>
          </cell>
        </row>
        <row r="113">
          <cell r="B113" t="str">
            <v>Other DACF adjustments</v>
          </cell>
          <cell r="C113" t="str">
            <v>OTH_DACF_ADJ</v>
          </cell>
          <cell r="D113" t="str">
            <v>USD</v>
          </cell>
        </row>
        <row r="114">
          <cell r="B114" t="str">
            <v>Cash interest expense</v>
          </cell>
          <cell r="C114" t="str">
            <v>CASH_INT_EXP</v>
          </cell>
          <cell r="D114" t="str">
            <v>USD</v>
          </cell>
        </row>
        <row r="115">
          <cell r="B115" t="str">
            <v>Cash tax expense</v>
          </cell>
          <cell r="C115" t="str">
            <v>CASH_TAX_EXP</v>
          </cell>
          <cell r="D115" t="str">
            <v>USD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 t="str">
            <v>USD</v>
          </cell>
        </row>
        <row r="117">
          <cell r="B117" t="str">
            <v>Capex maintenance</v>
          </cell>
          <cell r="C117" t="str">
            <v>CAPEX_MAINTENANCE</v>
          </cell>
          <cell r="D117" t="str">
            <v>USD</v>
          </cell>
        </row>
        <row r="118">
          <cell r="B118" t="str">
            <v>Capex expansion</v>
          </cell>
          <cell r="C118" t="str">
            <v>CAPEX_EXPANSION</v>
          </cell>
          <cell r="D118" t="str">
            <v>USD</v>
          </cell>
        </row>
        <row r="119">
          <cell r="B119" t="str">
            <v>Non-PP&amp;E capex</v>
          </cell>
          <cell r="C119" t="str">
            <v>NONPPE_CAPEX</v>
          </cell>
          <cell r="D119" t="str">
            <v>USD</v>
          </cell>
        </row>
        <row r="120">
          <cell r="B120" t="str">
            <v>Dividends paid to minorities</v>
          </cell>
          <cell r="C120" t="str">
            <v>DIVDS_PD_MINORITIES</v>
          </cell>
          <cell r="D120" t="str">
            <v>USD</v>
          </cell>
        </row>
        <row r="121">
          <cell r="A121" t="str">
            <v>Other Items</v>
          </cell>
        </row>
        <row r="122">
          <cell r="B122" t="str">
            <v>Number of employees</v>
          </cell>
          <cell r="C122" t="str">
            <v>EMPLOYEES</v>
          </cell>
          <cell r="F122">
            <v>38.015999999999998</v>
          </cell>
          <cell r="G122">
            <v>35.853999999999999</v>
          </cell>
          <cell r="H122">
            <v>47.521000000000001</v>
          </cell>
          <cell r="I122">
            <v>47.7</v>
          </cell>
          <cell r="J122">
            <v>40.5</v>
          </cell>
          <cell r="K122">
            <v>40.5</v>
          </cell>
          <cell r="L122">
            <v>40.5</v>
          </cell>
          <cell r="M122">
            <v>40.5</v>
          </cell>
          <cell r="N122">
            <v>40.5</v>
          </cell>
          <cell r="O122">
            <v>40.5</v>
          </cell>
        </row>
        <row r="123">
          <cell r="A123" t="str">
            <v>Geographical Breakdown</v>
          </cell>
        </row>
        <row r="124">
          <cell r="B124" t="str">
            <v>Sales - % Canada</v>
          </cell>
          <cell r="C124" t="str">
            <v>SALES_CANADA</v>
          </cell>
        </row>
        <row r="125">
          <cell r="B125" t="str">
            <v>Sales - % United States</v>
          </cell>
          <cell r="C125" t="str">
            <v>SALES_US</v>
          </cell>
          <cell r="F125">
            <v>3.9336253844000003E-2</v>
          </cell>
          <cell r="G125">
            <v>7.0267562810000003E-2</v>
          </cell>
          <cell r="H125">
            <v>0.32706457055999999</v>
          </cell>
          <cell r="I125">
            <v>0.36627806907299998</v>
          </cell>
          <cell r="J125">
            <v>0.36328996526099999</v>
          </cell>
          <cell r="K125">
            <v>0.36328996526099999</v>
          </cell>
          <cell r="L125">
            <v>0.36328996526099999</v>
          </cell>
          <cell r="M125">
            <v>0.36328996526099999</v>
          </cell>
          <cell r="N125">
            <v>0.36328996526099999</v>
          </cell>
          <cell r="O125">
            <v>0.36328996526099999</v>
          </cell>
        </row>
        <row r="126">
          <cell r="B126" t="str">
            <v>Sales - % Other North Americas</v>
          </cell>
          <cell r="C126" t="str">
            <v>SALES_OTH_NO_AMER</v>
          </cell>
        </row>
        <row r="127">
          <cell r="B127" t="str">
            <v>Sales - % Argentina</v>
          </cell>
          <cell r="C127" t="str">
            <v>SALES_ARGENTINA</v>
          </cell>
        </row>
        <row r="128">
          <cell r="B128" t="str">
            <v>Sales - % Brazil</v>
          </cell>
          <cell r="C128" t="str">
            <v>SALES_BRAZIL</v>
          </cell>
        </row>
        <row r="129">
          <cell r="B129" t="str">
            <v>Sales - % Chile</v>
          </cell>
          <cell r="C129" t="str">
            <v>SALES_CHILE</v>
          </cell>
        </row>
        <row r="130">
          <cell r="B130" t="str">
            <v>Sales - % Colombia</v>
          </cell>
          <cell r="C130" t="str">
            <v>SALES_COLOMBIA</v>
          </cell>
        </row>
        <row r="131">
          <cell r="B131" t="str">
            <v>Sales - % Mexico</v>
          </cell>
          <cell r="C131" t="str">
            <v>SALES_MEXICO</v>
          </cell>
        </row>
        <row r="132">
          <cell r="B132" t="str">
            <v>Sales - % Venezuela</v>
          </cell>
          <cell r="C132" t="str">
            <v>SALES_VENEZUELA</v>
          </cell>
        </row>
        <row r="133">
          <cell r="B133" t="str">
            <v>Sales - % Other Latin Americas</v>
          </cell>
          <cell r="C133" t="str">
            <v>SALES_OTH_LATAM</v>
          </cell>
        </row>
        <row r="134">
          <cell r="B134" t="str">
            <v>Sales - % Austria</v>
          </cell>
          <cell r="C134" t="str">
            <v>SALES_AUSTRIA</v>
          </cell>
        </row>
        <row r="135">
          <cell r="B135" t="str">
            <v>Sales - % Belgium</v>
          </cell>
          <cell r="C135" t="str">
            <v>SALES_BEL</v>
          </cell>
        </row>
        <row r="136">
          <cell r="B136" t="str">
            <v>Sales - % France</v>
          </cell>
          <cell r="C136" t="str">
            <v>SALES_FRA</v>
          </cell>
        </row>
        <row r="137">
          <cell r="B137" t="str">
            <v>Sales - % Germany</v>
          </cell>
          <cell r="C137" t="str">
            <v>SALES_GER</v>
          </cell>
        </row>
        <row r="138">
          <cell r="B138" t="str">
            <v>Sales - % Greece</v>
          </cell>
          <cell r="C138" t="str">
            <v>SALES_GRE</v>
          </cell>
        </row>
        <row r="139">
          <cell r="B139" t="str">
            <v>Sales - % Ireland</v>
          </cell>
          <cell r="C139" t="str">
            <v>SALES_IRE</v>
          </cell>
        </row>
        <row r="140">
          <cell r="B140" t="str">
            <v>Sales - % Italy</v>
          </cell>
          <cell r="C140" t="str">
            <v>SALES_ITA</v>
          </cell>
        </row>
        <row r="141">
          <cell r="B141" t="str">
            <v>Sales - % Netherlands</v>
          </cell>
          <cell r="C141" t="str">
            <v>SALES_NETH</v>
          </cell>
        </row>
        <row r="142">
          <cell r="B142" t="str">
            <v>Sales - % Norway</v>
          </cell>
          <cell r="C142" t="str">
            <v>SALES_NOR</v>
          </cell>
        </row>
        <row r="143">
          <cell r="B143" t="str">
            <v>Sales - % Portugal</v>
          </cell>
          <cell r="C143" t="str">
            <v>SALES_POR</v>
          </cell>
        </row>
        <row r="144">
          <cell r="B144" t="str">
            <v>Sales - % Spain</v>
          </cell>
          <cell r="C144" t="str">
            <v>SALES_SPA</v>
          </cell>
        </row>
        <row r="145">
          <cell r="B145" t="str">
            <v>Sales - % Sweden</v>
          </cell>
          <cell r="C145" t="str">
            <v>SALES_SWE</v>
          </cell>
        </row>
        <row r="146">
          <cell r="B146" t="str">
            <v>Sales - % Switzerland</v>
          </cell>
          <cell r="C146" t="str">
            <v>SALES_SWIT</v>
          </cell>
        </row>
        <row r="147">
          <cell r="B147" t="str">
            <v>Sales - % UK</v>
          </cell>
          <cell r="C147" t="str">
            <v>SALES_UK</v>
          </cell>
        </row>
        <row r="148">
          <cell r="B148" t="str">
            <v>Sales - % Other Western Europe</v>
          </cell>
          <cell r="C148" t="str">
            <v>SALES_OTH_WEST_EURO</v>
          </cell>
        </row>
        <row r="149">
          <cell r="B149" t="str">
            <v>Sales - % Poland</v>
          </cell>
          <cell r="C149" t="str">
            <v>SALES_POLAND</v>
          </cell>
        </row>
        <row r="150">
          <cell r="B150" t="str">
            <v>Sales - % Russia</v>
          </cell>
          <cell r="C150" t="str">
            <v>SALES_RUSSIA</v>
          </cell>
        </row>
        <row r="151">
          <cell r="B151" t="str">
            <v>Sales - % Turkey</v>
          </cell>
          <cell r="C151" t="str">
            <v>SALES_TURKEY</v>
          </cell>
        </row>
        <row r="152">
          <cell r="B152" t="str">
            <v>Sales - % Other CEE</v>
          </cell>
          <cell r="C152" t="str">
            <v>SALES_OTH_CEE</v>
          </cell>
        </row>
        <row r="153">
          <cell r="B153" t="str">
            <v>Sales - % Saudi Arabia</v>
          </cell>
          <cell r="C153" t="str">
            <v>SALES_SAUDI_ARABIA</v>
          </cell>
        </row>
        <row r="154">
          <cell r="B154" t="str">
            <v>Sales - % United Arab Emirates</v>
          </cell>
          <cell r="C154" t="str">
            <v>SALES_UAE</v>
          </cell>
        </row>
        <row r="155">
          <cell r="B155" t="str">
            <v>Sales - % Other Middle East</v>
          </cell>
          <cell r="C155" t="str">
            <v>SALES_OTH_ME</v>
          </cell>
        </row>
        <row r="156">
          <cell r="B156" t="str">
            <v>Sales - % Nigeria</v>
          </cell>
          <cell r="C156" t="str">
            <v>SALES_NIGERIA</v>
          </cell>
        </row>
        <row r="157">
          <cell r="B157" t="str">
            <v>Sales - % South Africa</v>
          </cell>
          <cell r="C157" t="str">
            <v>SALES_SO_AFRICA</v>
          </cell>
        </row>
        <row r="158">
          <cell r="B158" t="str">
            <v>Sales - % Other Africa</v>
          </cell>
          <cell r="C158" t="str">
            <v>SALES_OTH_AFRICA</v>
          </cell>
        </row>
        <row r="159">
          <cell r="B159" t="str">
            <v>Sales - % Hong Kong</v>
          </cell>
          <cell r="C159" t="str">
            <v>SALES_HONG_KONG</v>
          </cell>
          <cell r="F159">
            <v>6.9897680054999994E-2</v>
          </cell>
          <cell r="G159">
            <v>7.0774027429000005E-2</v>
          </cell>
          <cell r="H159">
            <v>4.8918847603999997E-2</v>
          </cell>
          <cell r="I159">
            <v>4.7546739248999999E-2</v>
          </cell>
          <cell r="J159">
            <v>6.3254889674000003E-2</v>
          </cell>
          <cell r="K159">
            <v>6.3254889674000003E-2</v>
          </cell>
          <cell r="L159">
            <v>6.3254889674000003E-2</v>
          </cell>
          <cell r="M159">
            <v>6.3254889674000003E-2</v>
          </cell>
          <cell r="N159">
            <v>6.3254889674000003E-2</v>
          </cell>
          <cell r="O159">
            <v>6.3254889674000003E-2</v>
          </cell>
        </row>
        <row r="160">
          <cell r="B160" t="str">
            <v>Sales - % Japan</v>
          </cell>
          <cell r="C160" t="str">
            <v>SALES_JAPAN</v>
          </cell>
        </row>
        <row r="161">
          <cell r="B161" t="str">
            <v>Sales - % Singapore</v>
          </cell>
          <cell r="C161" t="str">
            <v>SALES_SINGAPORE</v>
          </cell>
          <cell r="F161">
            <v>3.3399618244E-2</v>
          </cell>
          <cell r="G161">
            <v>4.3838615199000001E-2</v>
          </cell>
          <cell r="H161">
            <v>4.8602903905000001E-2</v>
          </cell>
          <cell r="I161">
            <v>4.1982133121999998E-2</v>
          </cell>
          <cell r="J161">
            <v>3.7606272163999997E-2</v>
          </cell>
          <cell r="K161">
            <v>3.7606272163999997E-2</v>
          </cell>
          <cell r="L161">
            <v>3.7606272163999997E-2</v>
          </cell>
          <cell r="M161">
            <v>3.7606272163999997E-2</v>
          </cell>
          <cell r="N161">
            <v>3.7606272163999997E-2</v>
          </cell>
          <cell r="O161">
            <v>3.7606272163999997E-2</v>
          </cell>
        </row>
        <row r="162">
          <cell r="B162" t="str">
            <v>Sales - % South Korea</v>
          </cell>
          <cell r="C162" t="str">
            <v>SALES_SK</v>
          </cell>
        </row>
        <row r="163">
          <cell r="B163" t="str">
            <v>Sales - % Taiwan</v>
          </cell>
          <cell r="C163" t="str">
            <v>SALES_TAIWAN</v>
          </cell>
          <cell r="F163">
            <v>0.196427463547</v>
          </cell>
          <cell r="G163">
            <v>0.15403311651400001</v>
          </cell>
          <cell r="H163">
            <v>9.8620957829999994E-2</v>
          </cell>
          <cell r="I163">
            <v>6.9463572910999999E-2</v>
          </cell>
          <cell r="J163">
            <v>8.1408565683000006E-2</v>
          </cell>
          <cell r="K163">
            <v>8.1408565683000006E-2</v>
          </cell>
          <cell r="L163">
            <v>8.1408565683000006E-2</v>
          </cell>
          <cell r="M163">
            <v>8.1408565683000006E-2</v>
          </cell>
          <cell r="N163">
            <v>8.1408565683000006E-2</v>
          </cell>
          <cell r="O163">
            <v>8.1408565683000006E-2</v>
          </cell>
        </row>
        <row r="164">
          <cell r="B164" t="str">
            <v>Sales - % Other Developed Asia</v>
          </cell>
          <cell r="C164" t="str">
            <v>SALES_OTH_DEV_ASIA</v>
          </cell>
        </row>
        <row r="165">
          <cell r="B165" t="str">
            <v>Sales - % China</v>
          </cell>
          <cell r="C165" t="str">
            <v>SALES_CHINA</v>
          </cell>
          <cell r="F165">
            <v>0.59125442044900001</v>
          </cell>
          <cell r="G165">
            <v>0.57976796274099995</v>
          </cell>
          <cell r="H165">
            <v>0.37312603723299997</v>
          </cell>
          <cell r="I165">
            <v>0.376165079294</v>
          </cell>
          <cell r="J165">
            <v>0.341772278303</v>
          </cell>
          <cell r="K165">
            <v>0.341772278303</v>
          </cell>
          <cell r="L165">
            <v>0.341772278303</v>
          </cell>
          <cell r="M165">
            <v>0.341772278303</v>
          </cell>
          <cell r="N165">
            <v>0.341772278303</v>
          </cell>
          <cell r="O165">
            <v>0.341772278303</v>
          </cell>
        </row>
        <row r="166">
          <cell r="B166" t="str">
            <v>Sales - % India</v>
          </cell>
          <cell r="C166" t="str">
            <v>SALES_INDIA</v>
          </cell>
        </row>
        <row r="167">
          <cell r="B167" t="str">
            <v>Sales - % Indonesia</v>
          </cell>
          <cell r="C167" t="str">
            <v>SALES_INDONESIA</v>
          </cell>
        </row>
        <row r="168">
          <cell r="B168" t="str">
            <v>Sales - % Thailand</v>
          </cell>
          <cell r="C168" t="str">
            <v>SALES_THAILAND</v>
          </cell>
        </row>
        <row r="169">
          <cell r="B169" t="str">
            <v>Sales - % Other Emerging Asia</v>
          </cell>
          <cell r="C169" t="str">
            <v>SALES_OTH_EMERG_ASIA</v>
          </cell>
        </row>
        <row r="170">
          <cell r="B170" t="str">
            <v>Sales - % Australia</v>
          </cell>
          <cell r="C170" t="str">
            <v>SALES_AUSTRA</v>
          </cell>
        </row>
        <row r="171">
          <cell r="B171" t="str">
            <v>Sales - % New Zealand</v>
          </cell>
          <cell r="C171" t="str">
            <v>SALES_NZ</v>
          </cell>
        </row>
        <row r="172">
          <cell r="B172" t="str">
            <v>Sales - % Others</v>
          </cell>
          <cell r="C172" t="str">
            <v>SALES_OTHER</v>
          </cell>
          <cell r="F172">
            <v>6.9684563860999998E-2</v>
          </cell>
          <cell r="G172">
            <v>8.1318715306999995E-2</v>
          </cell>
          <cell r="H172">
            <v>0.10366668286899999</v>
          </cell>
          <cell r="I172">
            <v>9.8564406351E-2</v>
          </cell>
          <cell r="J172">
            <v>0.112668028914</v>
          </cell>
          <cell r="K172">
            <v>0.112668028914</v>
          </cell>
          <cell r="L172">
            <v>0.112668028914</v>
          </cell>
          <cell r="M172">
            <v>0.112668028914</v>
          </cell>
          <cell r="N172">
            <v>0.112668028914</v>
          </cell>
          <cell r="O172">
            <v>0.112668028914</v>
          </cell>
        </row>
        <row r="173">
          <cell r="B173" t="str">
            <v>% of CoGS from U.S. (GS estimate)</v>
          </cell>
          <cell r="C173" t="str">
            <v>COGS_PCT_US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% of CoGS from non-U.S. (GS estimate)</v>
          </cell>
          <cell r="C174" t="str">
            <v>COGS_PCT_ROW</v>
          </cell>
          <cell r="F174">
            <v>1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</row>
        <row r="175">
          <cell r="B175" t="str">
            <v>% of SG&amp;A from U.S. (GS estimate)</v>
          </cell>
          <cell r="C175" t="str">
            <v>SGA_PCT_US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% of SG&amp;A from non-U.S. (GS estimate)</v>
          </cell>
          <cell r="C176" t="str">
            <v>SGA_PCT_ROW</v>
          </cell>
          <cell r="F176">
            <v>1</v>
          </cell>
          <cell r="G176">
            <v>1</v>
          </cell>
          <cell r="H176">
            <v>1</v>
          </cell>
          <cell r="I176">
            <v>1</v>
          </cell>
          <cell r="J176">
            <v>1</v>
          </cell>
          <cell r="K176">
            <v>1</v>
          </cell>
          <cell r="L176">
            <v>1</v>
          </cell>
          <cell r="M176">
            <v>1</v>
          </cell>
          <cell r="N176">
            <v>1</v>
          </cell>
          <cell r="O176">
            <v>1</v>
          </cell>
        </row>
        <row r="177">
          <cell r="B177" t="str">
            <v>Sales -% Consumer (C)</v>
          </cell>
          <cell r="C177" t="str">
            <v>SALES_CONS</v>
          </cell>
          <cell r="F177">
            <v>0.80478355210300001</v>
          </cell>
          <cell r="G177">
            <v>0.78857400354499996</v>
          </cell>
          <cell r="H177">
            <v>0.71017512307899999</v>
          </cell>
          <cell r="I177">
            <v>0.70851355609599997</v>
          </cell>
          <cell r="J177">
            <v>0.74578063153499996</v>
          </cell>
          <cell r="K177">
            <v>0.74578063153499996</v>
          </cell>
          <cell r="L177">
            <v>0.74578063153499996</v>
          </cell>
          <cell r="M177">
            <v>0.74578063153499996</v>
          </cell>
          <cell r="N177">
            <v>0.74578063153499996</v>
          </cell>
          <cell r="O177">
            <v>0.74578063153499996</v>
          </cell>
        </row>
        <row r="178">
          <cell r="B178" t="str">
            <v>Sales -% Industry (I)</v>
          </cell>
          <cell r="C178" t="str">
            <v>SALES_IND</v>
          </cell>
          <cell r="F178">
            <v>0.19521644789699999</v>
          </cell>
          <cell r="G178">
            <v>0.21142599645499999</v>
          </cell>
          <cell r="H178">
            <v>0.28982487692100001</v>
          </cell>
          <cell r="I178">
            <v>0.29148644390400003</v>
          </cell>
          <cell r="J178">
            <v>0.25421936846499998</v>
          </cell>
          <cell r="K178">
            <v>0.25421936846499998</v>
          </cell>
          <cell r="L178">
            <v>0.25421936846499998</v>
          </cell>
          <cell r="M178">
            <v>0.25421936846499998</v>
          </cell>
          <cell r="N178">
            <v>0.25421936846499998</v>
          </cell>
          <cell r="O178">
            <v>0.25421936846499998</v>
          </cell>
        </row>
        <row r="179">
          <cell r="B179" t="str">
            <v>Sales -% Government (G)</v>
          </cell>
          <cell r="C179" t="str">
            <v>SALES_GOV</v>
          </cell>
        </row>
        <row r="180">
          <cell r="B180" t="str">
            <v>Sales - % Industry Sub-Segment: Financial Services</v>
          </cell>
          <cell r="C180" t="str">
            <v>SALES_FINAN</v>
          </cell>
        </row>
        <row r="181">
          <cell r="B181" t="str">
            <v>Sales - % Industry Sub-Segment: Oil &amp; Gas</v>
          </cell>
          <cell r="C181" t="str">
            <v>SALES_OIL_GAS</v>
          </cell>
        </row>
        <row r="182">
          <cell r="A182" t="str">
            <v>Commodities Exposure - Expense</v>
          </cell>
        </row>
        <row r="183">
          <cell r="B183" t="str">
            <v>Expense - % Oil/Petrol/Fuel</v>
          </cell>
          <cell r="C183" t="str">
            <v>EXP_OIL_PETRO_FUEL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B185" t="str">
            <v>Expense - % Paper/pulp</v>
          </cell>
          <cell r="C185" t="str">
            <v>EXP_PAPER_PULP</v>
          </cell>
        </row>
        <row r="186">
          <cell r="B186" t="str">
            <v>Expense - % Glass</v>
          </cell>
          <cell r="C186" t="str">
            <v>EXP_GLASS</v>
          </cell>
        </row>
        <row r="187">
          <cell r="B187" t="str">
            <v>Expense - % Water</v>
          </cell>
          <cell r="C187" t="str">
            <v>EXP_WATER</v>
          </cell>
        </row>
        <row r="188">
          <cell r="B188" t="str">
            <v>Expense - % Other commodity</v>
          </cell>
          <cell r="C188" t="str">
            <v>EXP_OTH_COMMODITY</v>
          </cell>
        </row>
        <row r="189">
          <cell r="B189" t="str">
            <v>Expense - % Other (Non-Commodity) cost</v>
          </cell>
          <cell r="C189" t="str">
            <v>EXP_OTH_COST</v>
          </cell>
        </row>
        <row r="190">
          <cell r="A190" t="str">
            <v>FX Exposure - Sales</v>
          </cell>
        </row>
        <row r="191">
          <cell r="B191" t="str">
            <v>Sales - % FX: British Pounds/Pence</v>
          </cell>
          <cell r="C191" t="str">
            <v>SALES_FX_GPB</v>
          </cell>
        </row>
        <row r="192">
          <cell r="B192" t="str">
            <v>Sales - % FX: Euro</v>
          </cell>
          <cell r="C192" t="str">
            <v>SALES_FX_EUR</v>
          </cell>
        </row>
        <row r="193">
          <cell r="B193" t="str">
            <v>Sales - % FX: New Russian Ruble</v>
          </cell>
          <cell r="C193" t="str">
            <v>SALES_FX_RUB</v>
          </cell>
        </row>
        <row r="194">
          <cell r="B194" t="str">
            <v>Sales - % FX: U.S. Dollar</v>
          </cell>
          <cell r="C194" t="str">
            <v>SALES_FX_USD</v>
          </cell>
        </row>
        <row r="195">
          <cell r="B195" t="str">
            <v>Sales - % FX: Brazilian Real</v>
          </cell>
          <cell r="C195" t="str">
            <v>SALES_FX_BRL</v>
          </cell>
        </row>
        <row r="196">
          <cell r="B196" t="str">
            <v>Sales - % FX: Japanese Yen</v>
          </cell>
          <cell r="C196" t="str">
            <v>SALES_FX_YEN</v>
          </cell>
        </row>
        <row r="197">
          <cell r="B197" t="str">
            <v>Sales - % FX: Chinese Renminbi</v>
          </cell>
          <cell r="C197" t="str">
            <v>SALES_FX_CNY</v>
          </cell>
          <cell r="F197">
            <v>0.59125442044900001</v>
          </cell>
          <cell r="G197">
            <v>0.57976796274099995</v>
          </cell>
          <cell r="H197">
            <v>0.37312603723299997</v>
          </cell>
          <cell r="I197">
            <v>0.376165079294</v>
          </cell>
          <cell r="J197">
            <v>0.341772278303</v>
          </cell>
          <cell r="K197">
            <v>0.341772278303</v>
          </cell>
          <cell r="L197">
            <v>0.341772278303</v>
          </cell>
          <cell r="M197">
            <v>0.341772278303</v>
          </cell>
          <cell r="N197">
            <v>0.341772278303</v>
          </cell>
          <cell r="O197">
            <v>0.341772278303</v>
          </cell>
        </row>
        <row r="198">
          <cell r="B198" t="str">
            <v>Sales - % FX: Indian Rupee</v>
          </cell>
          <cell r="C198" t="str">
            <v>SALES_FX_INR</v>
          </cell>
        </row>
        <row r="199">
          <cell r="B199" t="str">
            <v>Sales - % FX: South Korean Won</v>
          </cell>
          <cell r="C199" t="str">
            <v>SALES_FX_KRW</v>
          </cell>
        </row>
        <row r="200">
          <cell r="B200" t="str">
            <v>Sales - % FX: Taiwan Dollar</v>
          </cell>
          <cell r="C200" t="str">
            <v>SALES_FX_TWD</v>
          </cell>
        </row>
        <row r="201">
          <cell r="B201" t="str">
            <v>Sales - % FX: Other Currency</v>
          </cell>
          <cell r="C201" t="str">
            <v>SALES_FX_OTH</v>
          </cell>
          <cell r="F201">
            <v>0.40874557955099999</v>
          </cell>
          <cell r="G201">
            <v>0.42023203725899999</v>
          </cell>
          <cell r="H201">
            <v>0.62687396276700003</v>
          </cell>
          <cell r="I201">
            <v>0.623834920706</v>
          </cell>
          <cell r="J201">
            <v>0.65822772169699995</v>
          </cell>
          <cell r="K201">
            <v>0.65822772169699995</v>
          </cell>
          <cell r="L201">
            <v>0.65822772169699995</v>
          </cell>
          <cell r="M201">
            <v>0.65822772169699995</v>
          </cell>
          <cell r="N201">
            <v>0.65822772169699995</v>
          </cell>
          <cell r="O201">
            <v>0.65822772169699995</v>
          </cell>
        </row>
        <row r="202">
          <cell r="A202" t="str">
            <v>Items to be removed</v>
          </cell>
        </row>
        <row r="203">
          <cell r="B203" t="str">
            <v>Sales - Total % Americas</v>
          </cell>
          <cell r="C203" t="str">
            <v>SALES_TOT_AM</v>
          </cell>
        </row>
        <row r="204">
          <cell r="B204" t="str">
            <v>Sales - % Other Americas</v>
          </cell>
          <cell r="C204" t="str">
            <v>SALES_OTH_AM</v>
          </cell>
        </row>
        <row r="205">
          <cell r="B205" t="str">
            <v>Sales - Total % EMEA</v>
          </cell>
          <cell r="C205" t="str">
            <v>SALES_TOT_EMEA</v>
          </cell>
        </row>
        <row r="206">
          <cell r="B206" t="str">
            <v>Sales - % Western Europe-Ex UK</v>
          </cell>
          <cell r="C206" t="str">
            <v>SALES_EU_EX_UK</v>
          </cell>
        </row>
        <row r="207">
          <cell r="B207" t="str">
            <v>Sales - % Central &amp; Eastern Europe</v>
          </cell>
          <cell r="C207" t="str">
            <v>SALES_CEE</v>
          </cell>
        </row>
        <row r="208">
          <cell r="B208" t="str">
            <v>Sales - % Middle East</v>
          </cell>
          <cell r="C208" t="str">
            <v>SALES_ME</v>
          </cell>
        </row>
        <row r="209">
          <cell r="B209" t="str">
            <v>Sales - % Total Africa</v>
          </cell>
          <cell r="C209" t="str">
            <v>SALES_TOT_AFRICA</v>
          </cell>
        </row>
        <row r="210">
          <cell r="B210" t="str">
            <v>Sales - % Other EMEA</v>
          </cell>
          <cell r="C210" t="str">
            <v>SALES_OTH_EMEA</v>
          </cell>
        </row>
        <row r="211">
          <cell r="B211" t="str">
            <v>Sales - Total % Asia (incl Australia &amp; New Zealand)</v>
          </cell>
          <cell r="C211" t="str">
            <v>SALES_TOT_ASIA</v>
          </cell>
        </row>
        <row r="212">
          <cell r="B212" t="str">
            <v>Sales - % Other Asia</v>
          </cell>
          <cell r="C212" t="str">
            <v>SALES_OTH_AEJ</v>
          </cell>
        </row>
        <row r="213">
          <cell r="A213" t="str">
            <v>Security: FIT Hon Teng</v>
          </cell>
          <cell r="B213" t="str">
            <v>132E4W</v>
          </cell>
        </row>
        <row r="214">
          <cell r="A214" t="str">
            <v>Reference Data</v>
          </cell>
        </row>
        <row r="215">
          <cell r="B215" t="str">
            <v>Ticker</v>
          </cell>
          <cell r="C215" t="str">
            <v>Ticker</v>
          </cell>
          <cell r="E215" t="str">
            <v>6088.HK</v>
          </cell>
        </row>
        <row r="216">
          <cell r="B216" t="str">
            <v>Security Name</v>
          </cell>
          <cell r="C216" t="str">
            <v>Security Name</v>
          </cell>
          <cell r="E216" t="str">
            <v>FIT Hon Teng</v>
          </cell>
        </row>
        <row r="217">
          <cell r="B217" t="str">
            <v>Interim Type</v>
          </cell>
          <cell r="C217" t="str">
            <v>Interim Type</v>
          </cell>
          <cell r="E217" t="str">
            <v>H</v>
          </cell>
        </row>
        <row r="218">
          <cell r="B218" t="str">
            <v>Publishing Currency</v>
          </cell>
          <cell r="C218" t="str">
            <v>PUB_CURRENCY_ISO</v>
          </cell>
          <cell r="E218" t="str">
            <v>USD</v>
          </cell>
        </row>
        <row r="219">
          <cell r="B219" t="str">
            <v>Pricing Currency</v>
          </cell>
          <cell r="C219" t="str">
            <v>PRICE_CURRENCY_ISO</v>
          </cell>
          <cell r="E219" t="str">
            <v>HKD</v>
          </cell>
        </row>
        <row r="220">
          <cell r="B220" t="str">
            <v>Reporting Currency</v>
          </cell>
          <cell r="C220" t="str">
            <v>CURRENCY_ISO</v>
          </cell>
          <cell r="E220" t="str">
            <v>USD</v>
          </cell>
        </row>
        <row r="221">
          <cell r="A221" t="str">
            <v>General Information</v>
          </cell>
        </row>
        <row r="222">
          <cell r="B222" t="str">
            <v>Asia ex. Japan Investment List</v>
          </cell>
          <cell r="C222" t="str">
            <v>AEJ_LIST</v>
          </cell>
          <cell r="E222" t="str">
            <v>Buy</v>
          </cell>
        </row>
        <row r="223">
          <cell r="B223" t="str">
            <v>Asia ex. Japan Conviction List</v>
          </cell>
          <cell r="C223" t="str">
            <v>AEJ_CONVICTION</v>
          </cell>
        </row>
        <row r="224">
          <cell r="B224" t="str">
            <v>Legal rating</v>
          </cell>
          <cell r="C224" t="str">
            <v>LEGAL_RATING</v>
          </cell>
          <cell r="F224"/>
          <cell r="G224"/>
          <cell r="H224"/>
          <cell r="I224"/>
          <cell r="J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</row>
        <row r="225">
          <cell r="B225" t="str">
            <v>Target price</v>
          </cell>
          <cell r="C225" t="str">
            <v>TARGET_PRICE</v>
          </cell>
          <cell r="D225" t="str">
            <v>HKD</v>
          </cell>
          <cell r="E225">
            <v>1.76</v>
          </cell>
        </row>
        <row r="226">
          <cell r="B226" t="str">
            <v>Target price period</v>
          </cell>
          <cell r="C226" t="str">
            <v>TP_PERIOD</v>
          </cell>
          <cell r="D226" t="str">
            <v>HKD</v>
          </cell>
          <cell r="E226" t="str">
            <v>12 months</v>
          </cell>
        </row>
        <row r="227">
          <cell r="B227" t="str">
            <v>Fundamental value</v>
          </cell>
          <cell r="C227" t="str">
            <v>TARGET_PRICE_FUNDAMENTAL</v>
          </cell>
          <cell r="D227" t="str">
            <v>HKD</v>
          </cell>
          <cell r="E227" t="str">
            <v>12 months</v>
          </cell>
        </row>
        <row r="228">
          <cell r="B228" t="str">
            <v>M&amp;A value</v>
          </cell>
          <cell r="C228" t="str">
            <v>TARGET_PRICE_MA</v>
          </cell>
          <cell r="D228" t="str">
            <v>HKD</v>
          </cell>
        </row>
        <row r="229">
          <cell r="B229" t="str">
            <v>Current shares outstanding (mn)</v>
          </cell>
          <cell r="C229" t="str">
            <v>NUM_SH</v>
          </cell>
          <cell r="D229" t="str">
            <v>HKD</v>
          </cell>
          <cell r="E229">
            <v>7133.5085719999997</v>
          </cell>
        </row>
        <row r="230">
          <cell r="B230" t="str">
            <v>Free float</v>
          </cell>
          <cell r="C230" t="str">
            <v>FREE_FLOAT</v>
          </cell>
          <cell r="E230">
            <v>7204.7065018685698</v>
          </cell>
        </row>
        <row r="231">
          <cell r="B231" t="str">
            <v>Foreign ownership</v>
          </cell>
          <cell r="C231" t="str">
            <v>FOREIGN_HOLDNG</v>
          </cell>
        </row>
        <row r="232">
          <cell r="B232" t="str">
            <v>Catalyst 1 date</v>
          </cell>
          <cell r="C232" t="str">
            <v>CATALYST1_DATE</v>
          </cell>
        </row>
        <row r="233">
          <cell r="B233" t="str">
            <v>Catalyst 1 description</v>
          </cell>
          <cell r="C233" t="str">
            <v>CATALYST1_EVENT</v>
          </cell>
        </row>
        <row r="234">
          <cell r="B234" t="str">
            <v>Catalyst 2 date</v>
          </cell>
          <cell r="C234" t="str">
            <v>CATALYST2_DATE</v>
          </cell>
        </row>
        <row r="235">
          <cell r="B235" t="str">
            <v>Catalyst 2 description</v>
          </cell>
          <cell r="C235" t="str">
            <v>CATALYST2_EVENT</v>
          </cell>
        </row>
        <row r="236">
          <cell r="B236" t="str">
            <v>Catalyst 3 date</v>
          </cell>
          <cell r="C236" t="str">
            <v>CATALYST3_DATE</v>
          </cell>
        </row>
        <row r="237">
          <cell r="B237" t="str">
            <v>Catalyst 3 description</v>
          </cell>
          <cell r="C237" t="str">
            <v>CATALYST3_EVENT</v>
          </cell>
        </row>
        <row r="238">
          <cell r="B238" t="str">
            <v>Catalyst 4 date</v>
          </cell>
          <cell r="C238" t="str">
            <v>CATALYST4_DATE</v>
          </cell>
        </row>
        <row r="239">
          <cell r="B239" t="str">
            <v>Catalyst 4 description</v>
          </cell>
          <cell r="C239" t="str">
            <v>CATALYST4_EVENT</v>
          </cell>
        </row>
        <row r="240">
          <cell r="B240" t="str">
            <v>Catalyst 5 date</v>
          </cell>
          <cell r="C240" t="str">
            <v>CATALYST5_DATE</v>
          </cell>
        </row>
        <row r="241">
          <cell r="B241" t="str">
            <v>Catalyst 5 description</v>
          </cell>
          <cell r="C241" t="str">
            <v>CATALYST5_EVENT</v>
          </cell>
        </row>
        <row r="242">
          <cell r="B242" t="str">
            <v>Target price multiple</v>
          </cell>
          <cell r="C242" t="str">
            <v>PRI_TARG_MULT</v>
          </cell>
          <cell r="E242">
            <v>11.669174303108001</v>
          </cell>
        </row>
        <row r="243">
          <cell r="B243" t="str">
            <v>Target price methodology</v>
          </cell>
          <cell r="C243" t="str">
            <v>PRI_TARG_METH</v>
          </cell>
          <cell r="E243" t="str">
            <v>2022 PE</v>
          </cell>
        </row>
        <row r="244">
          <cell r="A244" t="str">
            <v>Publishing Items</v>
          </cell>
          <cell r="B244" t="str">
            <v>Target price methodology</v>
          </cell>
          <cell r="C244" t="str">
            <v>PRI_TARG_METH</v>
          </cell>
          <cell r="E244" t="str">
            <v>2024 PE</v>
          </cell>
        </row>
        <row r="245">
          <cell r="A245" t="str">
            <v>Publishing Items</v>
          </cell>
          <cell r="B245" t="str">
            <v>Book value per share, BVPS (Pub)</v>
          </cell>
          <cell r="C245" t="str">
            <v>BVPS_PUB</v>
          </cell>
          <cell r="D245" t="str">
            <v>USD</v>
          </cell>
          <cell r="F245">
            <v>0.20144945155300001</v>
          </cell>
          <cell r="G245">
            <v>0.21499942830900001</v>
          </cell>
          <cell r="H245">
            <v>0.229470128962</v>
          </cell>
          <cell r="I245">
            <v>0.30957227146400002</v>
          </cell>
          <cell r="J245">
            <v>0.28977223876699998</v>
          </cell>
          <cell r="K245">
            <v>0.31383182264600001</v>
          </cell>
          <cell r="L245">
            <v>0.32783842194399998</v>
          </cell>
          <cell r="M245">
            <v>0.34319255451699998</v>
          </cell>
          <cell r="N245">
            <v>0.364006281752</v>
          </cell>
          <cell r="O245">
            <v>0.388123488952</v>
          </cell>
          <cell r="P245">
            <v>0.392400915362</v>
          </cell>
          <cell r="Q245">
            <v>0.39831228762699999</v>
          </cell>
        </row>
        <row r="246">
          <cell r="B246" t="str">
            <v>DPS, dividend per share (Pub)</v>
          </cell>
          <cell r="C246" t="str">
            <v>DPS_PUB</v>
          </cell>
          <cell r="D246" t="str">
            <v>USD</v>
          </cell>
          <cell r="F246">
            <v>7.9647206080000008E-3</v>
          </cell>
          <cell r="G246">
            <v>8.0096078490000007E-3</v>
          </cell>
          <cell r="H246">
            <v>7.9000430000000007E-3</v>
          </cell>
          <cell r="I246">
            <v>6.628785402E-3</v>
          </cell>
          <cell r="J246">
            <v>9.0220457679999998E-3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</row>
        <row r="247">
          <cell r="B247" t="str">
            <v>Special dividend per share</v>
          </cell>
          <cell r="C247" t="str">
            <v>DPS_SPECIAL_PUB</v>
          </cell>
          <cell r="D247" t="str">
            <v>USD</v>
          </cell>
          <cell r="F247">
            <v>7.9647206080000008E-3</v>
          </cell>
          <cell r="G247">
            <v>8.0096078490000007E-3</v>
          </cell>
          <cell r="H247">
            <v>7.9000430000000007E-3</v>
          </cell>
          <cell r="I247">
            <v>6.628785402E-3</v>
          </cell>
          <cell r="J247">
            <v>9.0220457679999998E-3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B248" t="str">
            <v>EBITDA (Pub)</v>
          </cell>
          <cell r="C248" t="str">
            <v>EBITDA_PUB</v>
          </cell>
          <cell r="D248" t="str">
            <v>USD</v>
          </cell>
          <cell r="F248">
            <v>355.27800000000002</v>
          </cell>
          <cell r="G248">
            <v>292.51100000000002</v>
          </cell>
          <cell r="H248">
            <v>317.79800000000103</v>
          </cell>
          <cell r="I248">
            <v>398.59699999999998</v>
          </cell>
          <cell r="J248">
            <v>470.04199999999997</v>
          </cell>
          <cell r="K248">
            <v>462.63400000000001</v>
          </cell>
          <cell r="L248">
            <v>334.16199999999998</v>
          </cell>
          <cell r="M248">
            <v>407.043916403531</v>
          </cell>
          <cell r="N248">
            <v>483.15397192640501</v>
          </cell>
          <cell r="O248">
            <v>520.13847178281503</v>
          </cell>
          <cell r="P248">
            <v>378.48916860084699</v>
          </cell>
          <cell r="Q248">
            <v>92.855999999999995</v>
          </cell>
          <cell r="R248">
            <v>92.855999999999995</v>
          </cell>
          <cell r="S248">
            <v>224.94200000000001</v>
          </cell>
          <cell r="T248">
            <v>169.74299999999999</v>
          </cell>
          <cell r="U248">
            <v>228.85400000000001</v>
          </cell>
          <cell r="V248">
            <v>224.916</v>
          </cell>
          <cell r="W248">
            <v>245.126000000001</v>
          </cell>
          <cell r="X248">
            <v>217.78800000000001</v>
          </cell>
          <cell r="Y248">
            <v>244.846</v>
          </cell>
          <cell r="Z248">
            <v>100.26300000000001</v>
          </cell>
          <cell r="AA248">
            <v>233.899</v>
          </cell>
          <cell r="AB248">
            <v>89.837999999999994</v>
          </cell>
          <cell r="AC248">
            <v>317.20591640353001</v>
          </cell>
          <cell r="AD248">
            <v>224.53287299659499</v>
          </cell>
          <cell r="AE248">
            <v>258.62109892981198</v>
          </cell>
          <cell r="AF248">
            <v>238.73963692176599</v>
          </cell>
        </row>
        <row r="249">
          <cell r="B249" t="str">
            <v>EPS (Pub)</v>
          </cell>
          <cell r="C249" t="str">
            <v>EPS_PUB</v>
          </cell>
          <cell r="D249" t="str">
            <v>USD</v>
          </cell>
          <cell r="F249">
            <v>3.5749812291000001E-2</v>
          </cell>
          <cell r="G249">
            <v>3.2074302776999998E-2</v>
          </cell>
          <cell r="H249">
            <v>3.0125716540999999E-2</v>
          </cell>
          <cell r="I249">
            <v>2.9502859893E-2</v>
          </cell>
          <cell r="J249">
            <v>3.5041779741999998E-2</v>
          </cell>
          <cell r="K249">
            <v>3.5747193390000001E-2</v>
          </cell>
          <cell r="L249">
            <v>6.3696978059999999E-3</v>
          </cell>
          <cell r="M249">
            <v>1.5911433953000001E-2</v>
          </cell>
          <cell r="N249">
            <v>2.0813727234999999E-2</v>
          </cell>
          <cell r="O249">
            <v>2.4117207201E-2</v>
          </cell>
          <cell r="P249">
            <v>1.3943467822E-2</v>
          </cell>
          <cell r="Q249">
            <v>4.2089001349999997E-3</v>
          </cell>
          <cell r="R249">
            <v>4.2089001349999997E-3</v>
          </cell>
          <cell r="S249">
            <v>2.5916816406E-2</v>
          </cell>
          <cell r="T249">
            <v>1.2044067095E-2</v>
          </cell>
          <cell r="U249">
            <v>1.848730375E-2</v>
          </cell>
          <cell r="V249">
            <v>1.5988301699E-2</v>
          </cell>
          <cell r="W249">
            <v>1.8921686311999999E-2</v>
          </cell>
          <cell r="X249">
            <v>1.5467425057E-2</v>
          </cell>
          <cell r="Y249">
            <v>2.0283883257E-2</v>
          </cell>
          <cell r="Z249">
            <v>3.3237481830000002E-3</v>
          </cell>
          <cell r="AA249">
            <v>3.0472176380000001E-3</v>
          </cell>
          <cell r="AB249">
            <v>1.3857905310000001E-3</v>
          </cell>
          <cell r="AC249">
            <v>1.4525643422E-2</v>
          </cell>
          <cell r="AD249">
            <v>8.4946574680000008E-3</v>
          </cell>
          <cell r="AE249">
            <v>1.2319069767E-2</v>
          </cell>
          <cell r="AF249">
            <v>9.6656019579999999E-3</v>
          </cell>
        </row>
        <row r="250">
          <cell r="B250" t="str">
            <v>EV adjustment (Pub)</v>
          </cell>
          <cell r="C250" t="str">
            <v>EV_ADJ_PUB</v>
          </cell>
          <cell r="D250" t="str">
            <v>USD</v>
          </cell>
          <cell r="F250">
            <v>3.5749812291000001E-2</v>
          </cell>
          <cell r="G250">
            <v>3.2074302776999998E-2</v>
          </cell>
          <cell r="H250">
            <v>3.0125716540999999E-2</v>
          </cell>
          <cell r="I250">
            <v>2.9502859893E-2</v>
          </cell>
          <cell r="J250">
            <v>3.5041779741999998E-2</v>
          </cell>
          <cell r="K250">
            <v>3.5747193390000001E-2</v>
          </cell>
          <cell r="L250">
            <v>6.3696978059999999E-3</v>
          </cell>
          <cell r="M250">
            <v>2.0384177879000001E-2</v>
          </cell>
          <cell r="N250">
            <v>2.4239523690000001E-2</v>
          </cell>
          <cell r="O250">
            <v>2.0342907269E-2</v>
          </cell>
          <cell r="P250">
            <v>1.4113848661E-2</v>
          </cell>
          <cell r="Q250">
            <v>1.6342969329E-2</v>
          </cell>
          <cell r="S250">
            <v>4.2089001349999997E-3</v>
          </cell>
          <cell r="T250">
            <v>2.5916816406E-2</v>
          </cell>
          <cell r="U250">
            <v>1.2044067095E-2</v>
          </cell>
          <cell r="V250">
            <v>1.848730375E-2</v>
          </cell>
          <cell r="W250">
            <v>1.5988301699E-2</v>
          </cell>
          <cell r="X250">
            <v>1.8921686311999999E-2</v>
          </cell>
          <cell r="Y250">
            <v>1.5467425057E-2</v>
          </cell>
          <cell r="Z250">
            <v>2.0283883257E-2</v>
          </cell>
          <cell r="AA250">
            <v>3.3237481830000002E-3</v>
          </cell>
          <cell r="AB250">
            <v>3.0472176380000001E-3</v>
          </cell>
          <cell r="AC250">
            <v>1.3857905310000001E-3</v>
          </cell>
          <cell r="AD250">
            <v>1.9012050547999999E-2</v>
          </cell>
          <cell r="AE250">
            <v>1.2287966637E-2</v>
          </cell>
          <cell r="AF250">
            <v>1.1951557053E-2</v>
          </cell>
        </row>
        <row r="251">
          <cell r="B251" t="str">
            <v>Net debt (Pub)</v>
          </cell>
          <cell r="C251" t="str">
            <v>NET_DEBT_PUB</v>
          </cell>
          <cell r="D251" t="str">
            <v>USD</v>
          </cell>
          <cell r="F251">
            <v>-68.125</v>
          </cell>
          <cell r="G251">
            <v>-69.902000000000001</v>
          </cell>
          <cell r="H251">
            <v>-30.081</v>
          </cell>
          <cell r="I251">
            <v>-471.42700000000002</v>
          </cell>
          <cell r="J251">
            <v>-75.423000000000002</v>
          </cell>
          <cell r="K251">
            <v>175.61099999999999</v>
          </cell>
          <cell r="L251">
            <v>412.81700000000001</v>
          </cell>
          <cell r="M251">
            <v>467.28858126356499</v>
          </cell>
          <cell r="N251">
            <v>269.24262568611101</v>
          </cell>
          <cell r="O251">
            <v>209.097156837857</v>
          </cell>
          <cell r="P251">
            <v>243.11739331169301</v>
          </cell>
          <cell r="Q251">
            <v>322.36864633954201</v>
          </cell>
        </row>
        <row r="252">
          <cell r="B252" t="str">
            <v>Net Debt (ex leases) (Pub)</v>
          </cell>
          <cell r="C252" t="str">
            <v>NET_DEBT_EX_LEASES_PUB</v>
          </cell>
          <cell r="D252" t="str">
            <v>USD</v>
          </cell>
          <cell r="F252">
            <v>-68.125</v>
          </cell>
          <cell r="G252">
            <v>-69.902000000000001</v>
          </cell>
          <cell r="H252">
            <v>-30.081</v>
          </cell>
          <cell r="I252">
            <v>-471.42700000000002</v>
          </cell>
          <cell r="J252">
            <v>-75.423000000000002</v>
          </cell>
          <cell r="K252">
            <v>175.61099999999999</v>
          </cell>
          <cell r="L252">
            <v>412.81700000000001</v>
          </cell>
          <cell r="M252">
            <v>496.07600000000002</v>
          </cell>
          <cell r="N252">
            <v>113.342</v>
          </cell>
          <cell r="O252">
            <v>-280.64195375897702</v>
          </cell>
          <cell r="P252">
            <v>267.81867608708001</v>
          </cell>
          <cell r="Q252">
            <v>-494.76015763099099</v>
          </cell>
        </row>
        <row r="253">
          <cell r="B253" t="str">
            <v>Consensus equivalent net debt</v>
          </cell>
          <cell r="C253" t="str">
            <v>CEEE_NDEBT</v>
          </cell>
          <cell r="D253" t="str">
            <v>USD</v>
          </cell>
        </row>
        <row r="254">
          <cell r="B254" t="str">
            <v>Net income (Pub)</v>
          </cell>
          <cell r="C254" t="str">
            <v>NI_PUB</v>
          </cell>
          <cell r="D254" t="str">
            <v>USD</v>
          </cell>
          <cell r="F254">
            <v>187.02500000000001</v>
          </cell>
          <cell r="G254">
            <v>177.00899999999999</v>
          </cell>
          <cell r="H254">
            <v>168.56200000000001</v>
          </cell>
          <cell r="I254">
            <v>180.49</v>
          </cell>
          <cell r="J254">
            <v>233.946</v>
          </cell>
          <cell r="K254">
            <v>235.41399999999999</v>
          </cell>
          <cell r="L254">
            <v>42.509</v>
          </cell>
          <cell r="M254">
            <v>106.36782459668601</v>
          </cell>
          <cell r="N254">
            <v>139.139620869059</v>
          </cell>
          <cell r="O254">
            <v>161.22336131695101</v>
          </cell>
          <cell r="P254">
            <v>94.140159605638999</v>
          </cell>
          <cell r="Q254">
            <v>23.55</v>
          </cell>
          <cell r="R254">
            <v>23.55</v>
          </cell>
          <cell r="S254">
            <v>145.012</v>
          </cell>
          <cell r="T254">
            <v>67.39</v>
          </cell>
          <cell r="U254">
            <v>113.1</v>
          </cell>
          <cell r="V254">
            <v>107.621</v>
          </cell>
          <cell r="W254">
            <v>126.325</v>
          </cell>
          <cell r="X254">
            <v>101.834</v>
          </cell>
          <cell r="Y254">
            <v>133.58000000000001</v>
          </cell>
          <cell r="Z254">
            <v>22.172999999999998</v>
          </cell>
          <cell r="AA254">
            <v>20.335999999999999</v>
          </cell>
          <cell r="AB254">
            <v>9.2639999999999993</v>
          </cell>
          <cell r="AC254">
            <v>97.103824596685001</v>
          </cell>
          <cell r="AD254">
            <v>56.786725709574</v>
          </cell>
          <cell r="AE254">
            <v>82.352895159485996</v>
          </cell>
          <cell r="AF254">
            <v>64.614481431244997</v>
          </cell>
        </row>
        <row r="255">
          <cell r="B255" t="str">
            <v>EBIT, operating profit (Pub)</v>
          </cell>
          <cell r="C255" t="str">
            <v>EBIT_PUB</v>
          </cell>
          <cell r="D255" t="str">
            <v>USD</v>
          </cell>
          <cell r="F255">
            <v>210.96</v>
          </cell>
          <cell r="G255">
            <v>155.52500000000001</v>
          </cell>
          <cell r="H255">
            <v>166.28200000000101</v>
          </cell>
          <cell r="I255">
            <v>215.506</v>
          </cell>
          <cell r="J255">
            <v>269.45499999999998</v>
          </cell>
          <cell r="K255">
            <v>235.155</v>
          </cell>
          <cell r="L255">
            <v>114.13800000000001</v>
          </cell>
          <cell r="M255">
            <v>138.87427579558101</v>
          </cell>
          <cell r="N255">
            <v>183.459211450683</v>
          </cell>
          <cell r="O255">
            <v>208.943279602991</v>
          </cell>
          <cell r="P255">
            <v>124.45144435498599</v>
          </cell>
          <cell r="Q255">
            <v>13.605</v>
          </cell>
          <cell r="R255">
            <v>13.605</v>
          </cell>
          <cell r="S255">
            <v>152.67699999999999</v>
          </cell>
          <cell r="T255">
            <v>87.46</v>
          </cell>
          <cell r="U255">
            <v>128.04599999999999</v>
          </cell>
          <cell r="V255">
            <v>121.974</v>
          </cell>
          <cell r="W255">
            <v>147.48100000000099</v>
          </cell>
          <cell r="X255">
            <v>112.233</v>
          </cell>
          <cell r="Y255">
            <v>122.922</v>
          </cell>
          <cell r="Z255">
            <v>6.5629999999999997</v>
          </cell>
          <cell r="AA255">
            <v>107.575</v>
          </cell>
          <cell r="AB255">
            <v>-4.7039999999999997</v>
          </cell>
          <cell r="AC255">
            <v>143.57827579558</v>
          </cell>
          <cell r="AD255">
            <v>74.685492758734</v>
          </cell>
          <cell r="AE255">
            <v>108.773718691951</v>
          </cell>
          <cell r="AF255">
            <v>83.142040831854004</v>
          </cell>
        </row>
        <row r="256">
          <cell r="B256" t="str">
            <v>Pre-tax profit (Pub)</v>
          </cell>
          <cell r="C256" t="str">
            <v>PTP_PUB</v>
          </cell>
          <cell r="D256" t="str">
            <v>USD</v>
          </cell>
          <cell r="F256">
            <v>234.15199999999999</v>
          </cell>
          <cell r="G256">
            <v>209.07300000000001</v>
          </cell>
          <cell r="H256">
            <v>211.59899999999999</v>
          </cell>
          <cell r="I256">
            <v>224.554</v>
          </cell>
          <cell r="J256">
            <v>311.36200000000002</v>
          </cell>
          <cell r="K256">
            <v>265.91000000000003</v>
          </cell>
          <cell r="L256">
            <v>116.524</v>
          </cell>
          <cell r="M256">
            <v>141.49843279558101</v>
          </cell>
          <cell r="N256">
            <v>181.82882782541199</v>
          </cell>
          <cell r="O256">
            <v>211.27381508926899</v>
          </cell>
          <cell r="P256">
            <v>126.965546140852</v>
          </cell>
          <cell r="Q256">
            <v>29.617999999999999</v>
          </cell>
          <cell r="R256">
            <v>29.617999999999999</v>
          </cell>
          <cell r="S256">
            <v>181.98099999999999</v>
          </cell>
          <cell r="T256">
            <v>91.299000000000007</v>
          </cell>
          <cell r="U256">
            <v>133.255</v>
          </cell>
          <cell r="V256">
            <v>144.154</v>
          </cell>
          <cell r="W256">
            <v>167.208</v>
          </cell>
          <cell r="X256">
            <v>118.06399999999999</v>
          </cell>
          <cell r="Y256">
            <v>147.846</v>
          </cell>
          <cell r="Z256">
            <v>25.613</v>
          </cell>
          <cell r="AA256">
            <v>90.911000000000001</v>
          </cell>
          <cell r="AB256">
            <v>13.872</v>
          </cell>
          <cell r="AC256">
            <v>127.62643279558</v>
          </cell>
          <cell r="AD256">
            <v>73.870300946097998</v>
          </cell>
          <cell r="AE256">
            <v>107.958526879315</v>
          </cell>
          <cell r="AF256">
            <v>84.307308574993002</v>
          </cell>
        </row>
        <row r="257">
          <cell r="B257" t="str">
            <v>Sales, revenue (Pub)</v>
          </cell>
          <cell r="C257" t="str">
            <v>REVS_PUB</v>
          </cell>
          <cell r="D257" t="str">
            <v>USD</v>
          </cell>
          <cell r="F257">
            <v>2482.2139999999999</v>
          </cell>
          <cell r="G257">
            <v>2327.902</v>
          </cell>
          <cell r="H257">
            <v>2880.26</v>
          </cell>
          <cell r="I257">
            <v>3398.8029999999999</v>
          </cell>
          <cell r="J257">
            <v>4005.6350000000002</v>
          </cell>
          <cell r="K257">
            <v>4372.3819999999996</v>
          </cell>
          <cell r="L257">
            <v>4314.6610000000001</v>
          </cell>
          <cell r="M257">
            <v>4199.2737687584604</v>
          </cell>
          <cell r="N257">
            <v>4362.3481147226203</v>
          </cell>
          <cell r="O257">
            <v>4750.5879800784196</v>
          </cell>
          <cell r="P257">
            <v>5068.1711878307997</v>
          </cell>
          <cell r="Q257">
            <v>1041.6659999999999</v>
          </cell>
          <cell r="R257">
            <v>1041.6659999999999</v>
          </cell>
          <cell r="S257">
            <v>1838.5940000000001</v>
          </cell>
          <cell r="T257">
            <v>1379.4760000000001</v>
          </cell>
          <cell r="U257">
            <v>2019.327</v>
          </cell>
          <cell r="V257">
            <v>1719.3520000000001</v>
          </cell>
          <cell r="W257">
            <v>2286.2829999999999</v>
          </cell>
          <cell r="X257">
            <v>1918.306</v>
          </cell>
          <cell r="Y257">
            <v>2454.076</v>
          </cell>
          <cell r="Z257">
            <v>1916.5429999999999</v>
          </cell>
          <cell r="AA257">
            <v>2398.1179999999999</v>
          </cell>
          <cell r="AB257">
            <v>1982.056</v>
          </cell>
          <cell r="AC257">
            <v>2217.2177687584599</v>
          </cell>
          <cell r="AD257">
            <v>2038.5541224828401</v>
          </cell>
          <cell r="AE257">
            <v>2323.79399223978</v>
          </cell>
          <cell r="AF257">
            <v>2202.35209938054</v>
          </cell>
        </row>
        <row r="258">
          <cell r="B258" t="str">
            <v>Total shareholders' equity (Pub)</v>
          </cell>
          <cell r="C258" t="str">
            <v>EQ_PUB</v>
          </cell>
          <cell r="D258" t="str">
            <v>USD</v>
          </cell>
          <cell r="F258">
            <v>1053.913</v>
          </cell>
          <cell r="G258">
            <v>1186.557</v>
          </cell>
          <cell r="H258">
            <v>1283.9839999999999</v>
          </cell>
          <cell r="I258">
            <v>1893.903</v>
          </cell>
          <cell r="J258">
            <v>1947.328</v>
          </cell>
          <cell r="K258">
            <v>2077.3470000000002</v>
          </cell>
          <cell r="L258">
            <v>2190.3760000000002</v>
          </cell>
          <cell r="M258">
            <v>2293.97582459669</v>
          </cell>
          <cell r="N258">
            <v>2430.3474454657398</v>
          </cell>
          <cell r="O258">
            <v>2588.8028067826999</v>
          </cell>
          <cell r="P258">
            <v>2653.5833241230498</v>
          </cell>
          <cell r="Q258">
            <v>2790.9544284577401</v>
          </cell>
          <cell r="S258">
            <v>1041.6659999999999</v>
          </cell>
          <cell r="T258">
            <v>1838.5940000000001</v>
          </cell>
          <cell r="U258">
            <v>1379.4760000000001</v>
          </cell>
          <cell r="V258">
            <v>2019.327</v>
          </cell>
          <cell r="W258">
            <v>1719.3520000000001</v>
          </cell>
          <cell r="X258">
            <v>2286.2829999999999</v>
          </cell>
          <cell r="Y258">
            <v>1918.306</v>
          </cell>
          <cell r="Z258">
            <v>2454.076</v>
          </cell>
          <cell r="AA258">
            <v>1916.5429999999999</v>
          </cell>
          <cell r="AB258">
            <v>2398.1179999999999</v>
          </cell>
          <cell r="AC258">
            <v>1982.056</v>
          </cell>
          <cell r="AD258">
            <v>2508.1590000000001</v>
          </cell>
          <cell r="AE258">
            <v>2101.326</v>
          </cell>
          <cell r="AF258">
            <v>2429.277</v>
          </cell>
        </row>
        <row r="259">
          <cell r="B259" t="str">
            <v>EPS (consensus)</v>
          </cell>
          <cell r="C259" t="str">
            <v>EPS_CONS_PUB</v>
          </cell>
          <cell r="D259" t="str">
            <v>USD</v>
          </cell>
          <cell r="F259">
            <v>1053.913</v>
          </cell>
          <cell r="G259">
            <v>1186.557</v>
          </cell>
          <cell r="H259">
            <v>1283.9839999999999</v>
          </cell>
          <cell r="I259">
            <v>1893.903</v>
          </cell>
          <cell r="J259">
            <v>1947.328</v>
          </cell>
          <cell r="K259">
            <v>2077.3470000000002</v>
          </cell>
          <cell r="L259">
            <v>2190.3760000000002</v>
          </cell>
          <cell r="M259">
            <v>2395.5830000000001</v>
          </cell>
          <cell r="N259">
            <v>2346.9389999999999</v>
          </cell>
          <cell r="O259">
            <v>2491.6106531885898</v>
          </cell>
          <cell r="P259">
            <v>2592.1506034342001</v>
          </cell>
          <cell r="Q259">
            <v>2708.48345230929</v>
          </cell>
        </row>
        <row r="260">
          <cell r="A260" t="str">
            <v>Income Statement</v>
          </cell>
          <cell r="B260" t="str">
            <v>EPS (consensus)</v>
          </cell>
          <cell r="C260" t="str">
            <v>EPS_CONS_PUB</v>
          </cell>
          <cell r="D260" t="str">
            <v>USD</v>
          </cell>
        </row>
        <row r="261">
          <cell r="A261" t="str">
            <v>Income Statement</v>
          </cell>
          <cell r="B261" t="str">
            <v>Provision for income tax</v>
          </cell>
          <cell r="C261" t="str">
            <v>PROV_INC_TAX</v>
          </cell>
          <cell r="D261" t="str">
            <v>USD</v>
          </cell>
          <cell r="F261">
            <v>-47.128</v>
          </cell>
          <cell r="G261">
            <v>-32.057000000000002</v>
          </cell>
          <cell r="H261">
            <v>-43.036999999999999</v>
          </cell>
          <cell r="I261">
            <v>-44.067999999999998</v>
          </cell>
          <cell r="J261">
            <v>-78.686999999999998</v>
          </cell>
          <cell r="K261">
            <v>-32.615000000000002</v>
          </cell>
          <cell r="L261">
            <v>-73.948999999999998</v>
          </cell>
          <cell r="M261">
            <v>-37.898608198894998</v>
          </cell>
          <cell r="N261">
            <v>-45.457206956352998</v>
          </cell>
          <cell r="O261">
            <v>-52.818453772317</v>
          </cell>
          <cell r="P261">
            <v>-31.741386535213</v>
          </cell>
          <cell r="Q261">
            <v>-6.0650000000000004</v>
          </cell>
          <cell r="R261">
            <v>-6.0650000000000004</v>
          </cell>
          <cell r="S261">
            <v>-36.972000000000001</v>
          </cell>
          <cell r="T261">
            <v>-23.911999999999999</v>
          </cell>
          <cell r="U261">
            <v>-20.155999999999999</v>
          </cell>
          <cell r="V261">
            <v>-37.308999999999997</v>
          </cell>
          <cell r="W261">
            <v>-41.378</v>
          </cell>
          <cell r="X261">
            <v>-17.321000000000002</v>
          </cell>
          <cell r="Y261">
            <v>-15.294</v>
          </cell>
          <cell r="Z261">
            <v>-5.468</v>
          </cell>
          <cell r="AA261">
            <v>-68.480999999999995</v>
          </cell>
          <cell r="AB261">
            <v>-5.992</v>
          </cell>
          <cell r="AC261">
            <v>-31.906608198895</v>
          </cell>
          <cell r="AD261">
            <v>-18.467575236525001</v>
          </cell>
          <cell r="AE261">
            <v>-26.989631719828999</v>
          </cell>
          <cell r="AF261">
            <v>-21.076827143748002</v>
          </cell>
        </row>
        <row r="262">
          <cell r="B262" t="str">
            <v>Minority interest</v>
          </cell>
          <cell r="C262" t="str">
            <v>INC_MINORITY</v>
          </cell>
          <cell r="D262" t="str">
            <v>USD</v>
          </cell>
          <cell r="F262">
            <v>1E-3</v>
          </cell>
          <cell r="G262">
            <v>-7.0000000000000001E-3</v>
          </cell>
          <cell r="H262">
            <v>-43.036999999999999</v>
          </cell>
          <cell r="I262">
            <v>4.0000000000000001E-3</v>
          </cell>
          <cell r="J262">
            <v>1.2709999999999999</v>
          </cell>
          <cell r="K262">
            <v>2.1190000000000002</v>
          </cell>
          <cell r="L262">
            <v>-6.6000000000000003E-2</v>
          </cell>
          <cell r="M262">
            <v>2.7679999999999998</v>
          </cell>
          <cell r="N262">
            <v>2.7679999999999998</v>
          </cell>
          <cell r="O262">
            <v>2.7679999999999998</v>
          </cell>
          <cell r="P262">
            <v>-1.0840000000000001</v>
          </cell>
          <cell r="Q262">
            <v>-3.0000000000000001E-3</v>
          </cell>
          <cell r="R262">
            <v>-3.0000000000000001E-3</v>
          </cell>
          <cell r="S262">
            <v>3.0000000000000001E-3</v>
          </cell>
          <cell r="T262">
            <v>3.0000000000000001E-3</v>
          </cell>
          <cell r="U262">
            <v>1E-3</v>
          </cell>
          <cell r="V262">
            <v>0.77600000000000002</v>
          </cell>
          <cell r="W262">
            <v>0.495</v>
          </cell>
          <cell r="X262">
            <v>1.091</v>
          </cell>
          <cell r="Y262">
            <v>1.028</v>
          </cell>
          <cell r="Z262">
            <v>2.028</v>
          </cell>
          <cell r="AA262">
            <v>-2.0939999999999999</v>
          </cell>
          <cell r="AB262">
            <v>1.3839999999999999</v>
          </cell>
          <cell r="AC262">
            <v>1.3839999999999999</v>
          </cell>
          <cell r="AD262">
            <v>1.3839999999999999</v>
          </cell>
          <cell r="AE262">
            <v>1.3839999999999999</v>
          </cell>
          <cell r="AF262">
            <v>1.3839999999999999</v>
          </cell>
        </row>
        <row r="263">
          <cell r="B263" t="str">
            <v>Net income (pre-preferred dividends)</v>
          </cell>
          <cell r="C263" t="str">
            <v>NI_PRE_PREF</v>
          </cell>
          <cell r="D263" t="str">
            <v>USD</v>
          </cell>
          <cell r="F263">
            <v>187.02500000000001</v>
          </cell>
          <cell r="G263">
            <v>177.00899999999999</v>
          </cell>
          <cell r="H263">
            <v>168.56200000000001</v>
          </cell>
          <cell r="I263">
            <v>180.49</v>
          </cell>
          <cell r="J263">
            <v>233.946</v>
          </cell>
          <cell r="K263">
            <v>235.41399999999999</v>
          </cell>
          <cell r="L263">
            <v>42.509</v>
          </cell>
          <cell r="M263">
            <v>106.36782459668601</v>
          </cell>
          <cell r="N263">
            <v>139.139620869059</v>
          </cell>
          <cell r="O263">
            <v>161.22336131695101</v>
          </cell>
          <cell r="P263">
            <v>94.140159605638999</v>
          </cell>
          <cell r="Q263">
            <v>23.55</v>
          </cell>
          <cell r="R263">
            <v>23.55</v>
          </cell>
          <cell r="S263">
            <v>145.012</v>
          </cell>
          <cell r="T263">
            <v>67.39</v>
          </cell>
          <cell r="U263">
            <v>113.1</v>
          </cell>
          <cell r="V263">
            <v>107.621</v>
          </cell>
          <cell r="W263">
            <v>126.325</v>
          </cell>
          <cell r="X263">
            <v>101.834</v>
          </cell>
          <cell r="Y263">
            <v>133.58000000000001</v>
          </cell>
          <cell r="Z263">
            <v>22.172999999999998</v>
          </cell>
          <cell r="AA263">
            <v>20.335999999999999</v>
          </cell>
          <cell r="AB263">
            <v>9.2639999999999993</v>
          </cell>
          <cell r="AC263">
            <v>97.103824596685001</v>
          </cell>
          <cell r="AD263">
            <v>56.786725709574</v>
          </cell>
          <cell r="AE263">
            <v>82.352895159485996</v>
          </cell>
          <cell r="AF263">
            <v>64.614481431244997</v>
          </cell>
        </row>
        <row r="264">
          <cell r="B264" t="str">
            <v>Preferred dividends</v>
          </cell>
          <cell r="C264" t="str">
            <v>PREF_DIV</v>
          </cell>
          <cell r="D264" t="str">
            <v>USD</v>
          </cell>
          <cell r="F264">
            <v>187.02500000000001</v>
          </cell>
          <cell r="G264">
            <v>177.00899999999999</v>
          </cell>
          <cell r="H264">
            <v>168.56200000000001</v>
          </cell>
          <cell r="I264">
            <v>180.49</v>
          </cell>
          <cell r="J264">
            <v>233.946</v>
          </cell>
          <cell r="K264">
            <v>235.41399999999999</v>
          </cell>
          <cell r="L264">
            <v>42.509</v>
          </cell>
          <cell r="M264">
            <v>137.625</v>
          </cell>
          <cell r="N264">
            <v>169.61899999999901</v>
          </cell>
          <cell r="O264">
            <v>144.125653188591</v>
          </cell>
          <cell r="P264">
            <v>99.993950245603997</v>
          </cell>
          <cell r="Q264">
            <v>115.786848875093</v>
          </cell>
          <cell r="S264">
            <v>23.55</v>
          </cell>
          <cell r="T264">
            <v>145.012</v>
          </cell>
          <cell r="U264">
            <v>67.39</v>
          </cell>
          <cell r="V264">
            <v>113.1</v>
          </cell>
          <cell r="W264">
            <v>107.621</v>
          </cell>
          <cell r="X264">
            <v>126.325</v>
          </cell>
          <cell r="Y264">
            <v>101.834</v>
          </cell>
          <cell r="Z264">
            <v>133.58000000000001</v>
          </cell>
          <cell r="AA264">
            <v>22.172999999999998</v>
          </cell>
          <cell r="AB264">
            <v>20.335999999999999</v>
          </cell>
          <cell r="AC264">
            <v>9.2639999999999993</v>
          </cell>
          <cell r="AD264">
            <v>128.36099999999999</v>
          </cell>
          <cell r="AE264">
            <v>85.117000000000004</v>
          </cell>
          <cell r="AF264">
            <v>84.501999999999995</v>
          </cell>
        </row>
        <row r="265">
          <cell r="B265" t="str">
            <v>Net income (pre-exceptionals)</v>
          </cell>
          <cell r="C265" t="str">
            <v>NET_EARNING</v>
          </cell>
          <cell r="D265" t="str">
            <v>USD</v>
          </cell>
          <cell r="F265">
            <v>187.02500000000001</v>
          </cell>
          <cell r="G265">
            <v>177.00899999999999</v>
          </cell>
          <cell r="H265">
            <v>168.56200000000001</v>
          </cell>
          <cell r="I265">
            <v>180.49</v>
          </cell>
          <cell r="J265">
            <v>233.946</v>
          </cell>
          <cell r="K265">
            <v>235.41399999999999</v>
          </cell>
          <cell r="L265">
            <v>42.509</v>
          </cell>
          <cell r="M265">
            <v>106.36782459668601</v>
          </cell>
          <cell r="N265">
            <v>139.139620869059</v>
          </cell>
          <cell r="O265">
            <v>161.22336131695101</v>
          </cell>
          <cell r="P265">
            <v>94.140159605638999</v>
          </cell>
          <cell r="Q265">
            <v>23.55</v>
          </cell>
          <cell r="R265">
            <v>23.55</v>
          </cell>
          <cell r="S265">
            <v>145.012</v>
          </cell>
          <cell r="T265">
            <v>67.39</v>
          </cell>
          <cell r="U265">
            <v>113.1</v>
          </cell>
          <cell r="V265">
            <v>107.621</v>
          </cell>
          <cell r="W265">
            <v>126.325</v>
          </cell>
          <cell r="X265">
            <v>101.834</v>
          </cell>
          <cell r="Y265">
            <v>133.58000000000001</v>
          </cell>
          <cell r="Z265">
            <v>22.172999999999998</v>
          </cell>
          <cell r="AA265">
            <v>20.335999999999999</v>
          </cell>
          <cell r="AB265">
            <v>9.2639999999999993</v>
          </cell>
          <cell r="AC265">
            <v>97.103824596685001</v>
          </cell>
          <cell r="AD265">
            <v>56.786725709574</v>
          </cell>
          <cell r="AE265">
            <v>82.352895159485996</v>
          </cell>
          <cell r="AF265">
            <v>64.614481431244997</v>
          </cell>
        </row>
        <row r="266">
          <cell r="B266" t="str">
            <v>Post-tax exceptionals</v>
          </cell>
          <cell r="C266" t="str">
            <v>TAX_EXC</v>
          </cell>
          <cell r="D266" t="str">
            <v>USD</v>
          </cell>
          <cell r="F266">
            <v>187.02500000000001</v>
          </cell>
          <cell r="G266">
            <v>177.00899999999999</v>
          </cell>
          <cell r="H266">
            <v>168.56200000000001</v>
          </cell>
          <cell r="I266">
            <v>180.49</v>
          </cell>
          <cell r="J266">
            <v>233.946</v>
          </cell>
          <cell r="K266">
            <v>235.41399999999999</v>
          </cell>
          <cell r="L266">
            <v>42.509</v>
          </cell>
          <cell r="M266">
            <v>137.625</v>
          </cell>
          <cell r="N266">
            <v>169.61899999999901</v>
          </cell>
          <cell r="O266">
            <v>144.125653188591</v>
          </cell>
          <cell r="P266">
            <v>99.993950245603997</v>
          </cell>
          <cell r="Q266">
            <v>115.786848875093</v>
          </cell>
          <cell r="S266">
            <v>23.55</v>
          </cell>
          <cell r="T266">
            <v>145.012</v>
          </cell>
          <cell r="U266">
            <v>67.39</v>
          </cell>
          <cell r="V266">
            <v>113.1</v>
          </cell>
          <cell r="W266">
            <v>107.621</v>
          </cell>
          <cell r="X266">
            <v>126.325</v>
          </cell>
          <cell r="Y266">
            <v>101.834</v>
          </cell>
          <cell r="Z266">
            <v>133.58000000000001</v>
          </cell>
          <cell r="AA266">
            <v>22.172999999999998</v>
          </cell>
          <cell r="AB266">
            <v>20.335999999999999</v>
          </cell>
          <cell r="AC266">
            <v>9.2639999999999993</v>
          </cell>
          <cell r="AD266">
            <v>128.36099999999999</v>
          </cell>
          <cell r="AE266">
            <v>85.117000000000004</v>
          </cell>
          <cell r="AF266">
            <v>84.501999999999995</v>
          </cell>
        </row>
        <row r="267">
          <cell r="B267" t="str">
            <v>Net income (post-exceptionals)</v>
          </cell>
          <cell r="C267" t="str">
            <v>NET_INC</v>
          </cell>
          <cell r="D267" t="str">
            <v>USD</v>
          </cell>
          <cell r="F267">
            <v>187.02500000000001</v>
          </cell>
          <cell r="G267">
            <v>177.00899999999999</v>
          </cell>
          <cell r="H267">
            <v>168.56200000000001</v>
          </cell>
          <cell r="I267">
            <v>180.49</v>
          </cell>
          <cell r="J267">
            <v>233.946</v>
          </cell>
          <cell r="K267">
            <v>235.41399999999999</v>
          </cell>
          <cell r="L267">
            <v>42.509</v>
          </cell>
          <cell r="M267">
            <v>106.36782459668601</v>
          </cell>
          <cell r="N267">
            <v>139.139620869059</v>
          </cell>
          <cell r="O267">
            <v>161.22336131695101</v>
          </cell>
          <cell r="P267">
            <v>94.140159605638999</v>
          </cell>
          <cell r="Q267">
            <v>23.55</v>
          </cell>
          <cell r="R267">
            <v>23.55</v>
          </cell>
          <cell r="S267">
            <v>145.012</v>
          </cell>
          <cell r="T267">
            <v>67.39</v>
          </cell>
          <cell r="U267">
            <v>113.1</v>
          </cell>
          <cell r="V267">
            <v>107.621</v>
          </cell>
          <cell r="W267">
            <v>126.325</v>
          </cell>
          <cell r="X267">
            <v>101.834</v>
          </cell>
          <cell r="Y267">
            <v>133.58000000000001</v>
          </cell>
          <cell r="Z267">
            <v>22.172999999999998</v>
          </cell>
          <cell r="AA267">
            <v>20.335999999999999</v>
          </cell>
          <cell r="AB267">
            <v>9.2639999999999993</v>
          </cell>
          <cell r="AC267">
            <v>97.103824596685001</v>
          </cell>
          <cell r="AD267">
            <v>56.786725709574</v>
          </cell>
          <cell r="AE267">
            <v>82.352895159485996</v>
          </cell>
          <cell r="AF267">
            <v>64.614481431244997</v>
          </cell>
        </row>
        <row r="268">
          <cell r="B268" t="str">
            <v>EPS (pre-exceptionals, basic)</v>
          </cell>
          <cell r="C268" t="str">
            <v>EPS</v>
          </cell>
          <cell r="D268" t="str">
            <v>USD</v>
          </cell>
          <cell r="F268">
            <v>3.5749812291000001E-2</v>
          </cell>
          <cell r="G268">
            <v>3.2074302776999998E-2</v>
          </cell>
          <cell r="H268">
            <v>3.0125716540999999E-2</v>
          </cell>
          <cell r="I268">
            <v>2.9502859893E-2</v>
          </cell>
          <cell r="J268">
            <v>3.5041779741999998E-2</v>
          </cell>
          <cell r="K268">
            <v>3.5747193390000001E-2</v>
          </cell>
          <cell r="L268">
            <v>6.3696978059999999E-3</v>
          </cell>
          <cell r="M268">
            <v>1.5911433953000001E-2</v>
          </cell>
          <cell r="N268">
            <v>2.0813727234999999E-2</v>
          </cell>
          <cell r="O268">
            <v>2.4117207201E-2</v>
          </cell>
          <cell r="P268">
            <v>1.3943467822E-2</v>
          </cell>
          <cell r="Q268">
            <v>4.2089001349999997E-3</v>
          </cell>
          <cell r="R268">
            <v>4.2089001349999997E-3</v>
          </cell>
          <cell r="S268">
            <v>2.5916816406E-2</v>
          </cell>
          <cell r="T268">
            <v>1.2044067095E-2</v>
          </cell>
          <cell r="U268">
            <v>1.848730375E-2</v>
          </cell>
          <cell r="V268">
            <v>1.5988301699E-2</v>
          </cell>
          <cell r="W268">
            <v>1.8921686311999999E-2</v>
          </cell>
          <cell r="X268">
            <v>1.5467425057E-2</v>
          </cell>
          <cell r="Y268">
            <v>2.0283883257E-2</v>
          </cell>
          <cell r="Z268">
            <v>3.3237481830000002E-3</v>
          </cell>
          <cell r="AA268">
            <v>3.0472176380000001E-3</v>
          </cell>
          <cell r="AB268">
            <v>1.3857905310000001E-3</v>
          </cell>
          <cell r="AC268">
            <v>1.4525643422E-2</v>
          </cell>
          <cell r="AD268">
            <v>8.4946574680000008E-3</v>
          </cell>
          <cell r="AE268">
            <v>1.2319069767E-2</v>
          </cell>
          <cell r="AF268">
            <v>9.6656019579999999E-3</v>
          </cell>
        </row>
        <row r="269">
          <cell r="B269" t="str">
            <v>EPS (pre-exceptionals, diluted)</v>
          </cell>
          <cell r="C269" t="str">
            <v>EPS_FUL_DIL</v>
          </cell>
          <cell r="D269" t="str">
            <v>USD</v>
          </cell>
          <cell r="F269">
            <v>3.5749812291000001E-2</v>
          </cell>
          <cell r="G269">
            <v>3.1458205633000003E-2</v>
          </cell>
          <cell r="H269">
            <v>2.8964727752E-2</v>
          </cell>
          <cell r="I269">
            <v>2.8061823388999999E-2</v>
          </cell>
          <cell r="J269">
            <v>3.3492679801999999E-2</v>
          </cell>
          <cell r="K269">
            <v>3.4850369201E-2</v>
          </cell>
          <cell r="L269">
            <v>6.1727722790000002E-3</v>
          </cell>
          <cell r="M269">
            <v>1.4954689958999999E-2</v>
          </cell>
          <cell r="N269">
            <v>1.9505075162E-2</v>
          </cell>
          <cell r="O269">
            <v>2.2600850576E-2</v>
          </cell>
          <cell r="P269">
            <v>1.3632715740999999E-2</v>
          </cell>
          <cell r="Q269">
            <v>4.0617258139999998E-3</v>
          </cell>
          <cell r="R269">
            <v>4.0617258139999998E-3</v>
          </cell>
          <cell r="S269">
            <v>2.4918030758999999E-2</v>
          </cell>
          <cell r="T269">
            <v>1.1497616109E-2</v>
          </cell>
          <cell r="U269">
            <v>1.7584310628000002E-2</v>
          </cell>
          <cell r="V269">
            <v>1.5239019003000001E-2</v>
          </cell>
          <cell r="W269">
            <v>1.8085211015000002E-2</v>
          </cell>
          <cell r="X269">
            <v>1.4792848694999999E-2</v>
          </cell>
          <cell r="Y269">
            <v>1.9775001986999999E-2</v>
          </cell>
          <cell r="Z269">
            <v>3.2344643089999999E-3</v>
          </cell>
          <cell r="AA269">
            <v>2.9530098819999999E-3</v>
          </cell>
          <cell r="AB269">
            <v>1.3423386719999999E-3</v>
          </cell>
          <cell r="AC269">
            <v>1.3612351288000001E-2</v>
          </cell>
          <cell r="AD269">
            <v>7.9605603800000004E-3</v>
          </cell>
          <cell r="AE269">
            <v>1.1544514782E-2</v>
          </cell>
          <cell r="AF269">
            <v>9.0578823560000001E-3</v>
          </cell>
        </row>
        <row r="270">
          <cell r="B270" t="str">
            <v>EPS (post-exceptionals, basic)</v>
          </cell>
          <cell r="C270" t="str">
            <v>EPS_POST_BASIC</v>
          </cell>
          <cell r="D270" t="str">
            <v>USD</v>
          </cell>
          <cell r="F270">
            <v>3.5749812291000001E-2</v>
          </cell>
          <cell r="G270">
            <v>3.2074302776999998E-2</v>
          </cell>
          <cell r="H270">
            <v>3.0125716540999999E-2</v>
          </cell>
          <cell r="I270">
            <v>2.9502859893E-2</v>
          </cell>
          <cell r="J270">
            <v>3.5041779741999998E-2</v>
          </cell>
          <cell r="K270">
            <v>3.5747193390000001E-2</v>
          </cell>
          <cell r="L270">
            <v>6.3696978059999999E-3</v>
          </cell>
          <cell r="M270">
            <v>1.5911433953000001E-2</v>
          </cell>
          <cell r="N270">
            <v>2.0813727234999999E-2</v>
          </cell>
          <cell r="O270">
            <v>2.4117207201E-2</v>
          </cell>
          <cell r="P270">
            <v>1.3943467822E-2</v>
          </cell>
          <cell r="Q270">
            <v>4.2089001349999997E-3</v>
          </cell>
          <cell r="R270">
            <v>4.2089001349999997E-3</v>
          </cell>
          <cell r="S270">
            <v>2.5916816406E-2</v>
          </cell>
          <cell r="T270">
            <v>1.2044067095E-2</v>
          </cell>
          <cell r="U270">
            <v>1.848730375E-2</v>
          </cell>
          <cell r="V270">
            <v>1.5988301699E-2</v>
          </cell>
          <cell r="W270">
            <v>1.8921686311999999E-2</v>
          </cell>
          <cell r="X270">
            <v>1.5467425057E-2</v>
          </cell>
          <cell r="Y270">
            <v>2.0283883257E-2</v>
          </cell>
          <cell r="Z270">
            <v>3.3237481830000002E-3</v>
          </cell>
          <cell r="AA270">
            <v>3.0472176380000001E-3</v>
          </cell>
          <cell r="AB270">
            <v>1.3857905310000001E-3</v>
          </cell>
          <cell r="AC270">
            <v>1.4525643422E-2</v>
          </cell>
          <cell r="AD270">
            <v>8.4946574680000008E-3</v>
          </cell>
          <cell r="AE270">
            <v>1.2319069767E-2</v>
          </cell>
          <cell r="AF270">
            <v>9.6656019579999999E-3</v>
          </cell>
        </row>
        <row r="271">
          <cell r="B271" t="str">
            <v>EPS (post-exceptionals, diluted)</v>
          </cell>
          <cell r="C271" t="str">
            <v>FULLY_DIL_EPS</v>
          </cell>
          <cell r="D271" t="str">
            <v>USD</v>
          </cell>
          <cell r="F271">
            <v>3.5749812291000001E-2</v>
          </cell>
          <cell r="G271">
            <v>3.1458205633000003E-2</v>
          </cell>
          <cell r="H271">
            <v>2.8964727752E-2</v>
          </cell>
          <cell r="I271">
            <v>2.8061823388999999E-2</v>
          </cell>
          <cell r="J271">
            <v>3.3492679801999999E-2</v>
          </cell>
          <cell r="K271">
            <v>3.4850369201E-2</v>
          </cell>
          <cell r="L271">
            <v>6.1727722790000002E-3</v>
          </cell>
          <cell r="M271">
            <v>1.4954689958999999E-2</v>
          </cell>
          <cell r="N271">
            <v>1.9505075162E-2</v>
          </cell>
          <cell r="O271">
            <v>2.2600850576E-2</v>
          </cell>
          <cell r="P271">
            <v>1.3632715740999999E-2</v>
          </cell>
          <cell r="Q271">
            <v>4.0617258139999998E-3</v>
          </cell>
          <cell r="R271">
            <v>4.0617258139999998E-3</v>
          </cell>
          <cell r="S271">
            <v>2.4918030758999999E-2</v>
          </cell>
          <cell r="T271">
            <v>1.1497616109E-2</v>
          </cell>
          <cell r="U271">
            <v>1.7584310628000002E-2</v>
          </cell>
          <cell r="V271">
            <v>1.5239019003000001E-2</v>
          </cell>
          <cell r="W271">
            <v>1.8085211015000002E-2</v>
          </cell>
          <cell r="X271">
            <v>1.4792848694999999E-2</v>
          </cell>
          <cell r="Y271">
            <v>1.9775001986999999E-2</v>
          </cell>
          <cell r="Z271">
            <v>3.2344643089999999E-3</v>
          </cell>
          <cell r="AA271">
            <v>2.9530098819999999E-3</v>
          </cell>
          <cell r="AB271">
            <v>1.3423386719999999E-3</v>
          </cell>
          <cell r="AC271">
            <v>1.3612351288000001E-2</v>
          </cell>
          <cell r="AD271">
            <v>7.9605603800000004E-3</v>
          </cell>
          <cell r="AE271">
            <v>1.1544514782E-2</v>
          </cell>
          <cell r="AF271">
            <v>9.0578823560000001E-3</v>
          </cell>
        </row>
        <row r="272">
          <cell r="B272" t="str">
            <v>Common dividends paid</v>
          </cell>
          <cell r="C272" t="str">
            <v>COMMON_DIV_PAID</v>
          </cell>
          <cell r="D272" t="str">
            <v>USD</v>
          </cell>
          <cell r="F272">
            <v>-41.667403999999998</v>
          </cell>
          <cell r="G272">
            <v>-44.202759</v>
          </cell>
          <cell r="H272">
            <v>-44.203000000000003</v>
          </cell>
          <cell r="I272">
            <v>-40.552999999999997</v>
          </cell>
          <cell r="J272">
            <v>-60.232999999999997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</row>
        <row r="273">
          <cell r="B273" t="str">
            <v>DPS, dividend per share</v>
          </cell>
          <cell r="C273" t="str">
            <v>DPS</v>
          </cell>
          <cell r="D273" t="str">
            <v>USD</v>
          </cell>
          <cell r="F273">
            <v>7.9647206080000008E-3</v>
          </cell>
          <cell r="G273">
            <v>8.0096078490000007E-3</v>
          </cell>
          <cell r="H273">
            <v>7.9000430000000007E-3</v>
          </cell>
          <cell r="I273">
            <v>6.628785402E-3</v>
          </cell>
          <cell r="J273">
            <v>9.0220457679999998E-3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</row>
        <row r="274">
          <cell r="B274" t="str">
            <v>Weighted average shares outstanding, basic</v>
          </cell>
          <cell r="C274" t="str">
            <v>SH</v>
          </cell>
          <cell r="D274" t="str">
            <v>USD</v>
          </cell>
          <cell r="F274">
            <v>5231.4960000000001</v>
          </cell>
          <cell r="G274">
            <v>5518.7169999999996</v>
          </cell>
          <cell r="H274">
            <v>5595.2860000000001</v>
          </cell>
          <cell r="I274">
            <v>6117.7120000000004</v>
          </cell>
          <cell r="J274">
            <v>6676.2020000000002</v>
          </cell>
          <cell r="K274">
            <v>6585.5240000000003</v>
          </cell>
          <cell r="L274">
            <v>6673.6289999999999</v>
          </cell>
          <cell r="M274">
            <v>6684.9929999999704</v>
          </cell>
          <cell r="N274">
            <v>6684.9929999999804</v>
          </cell>
          <cell r="O274">
            <v>6684.9930000000204</v>
          </cell>
          <cell r="P274">
            <v>6751.56</v>
          </cell>
          <cell r="Q274">
            <v>5595.2860000000001</v>
          </cell>
          <cell r="R274">
            <v>5595.2860000000001</v>
          </cell>
          <cell r="S274">
            <v>5595.2860000000001</v>
          </cell>
          <cell r="T274">
            <v>5595.2860000000001</v>
          </cell>
          <cell r="U274">
            <v>6117.7120000000004</v>
          </cell>
          <cell r="V274">
            <v>6731.2340000000004</v>
          </cell>
          <cell r="W274">
            <v>6676.2020000000002</v>
          </cell>
          <cell r="X274">
            <v>6583.7719999999999</v>
          </cell>
          <cell r="Y274">
            <v>6585.5240000000003</v>
          </cell>
          <cell r="Z274">
            <v>6671.0829999999996</v>
          </cell>
          <cell r="AA274">
            <v>6673.6289999999999</v>
          </cell>
          <cell r="AB274">
            <v>6684.9930000000004</v>
          </cell>
          <cell r="AC274">
            <v>6684.9930000000004</v>
          </cell>
          <cell r="AD274">
            <v>6684.9930000000004</v>
          </cell>
          <cell r="AE274">
            <v>6684.9930000000004</v>
          </cell>
          <cell r="AF274">
            <v>6684.9930000000004</v>
          </cell>
        </row>
        <row r="275">
          <cell r="B275" t="str">
            <v>Diluted average shares outstanding (mn)</v>
          </cell>
          <cell r="C275" t="str">
            <v>DILUTE_SHARES</v>
          </cell>
          <cell r="F275">
            <v>5231.4960000000001</v>
          </cell>
          <cell r="G275">
            <v>5626.799</v>
          </cell>
          <cell r="H275">
            <v>5819.5609999999997</v>
          </cell>
          <cell r="I275">
            <v>6431.87</v>
          </cell>
          <cell r="J275">
            <v>6984.9889999999996</v>
          </cell>
          <cell r="K275">
            <v>6754.9930000000004</v>
          </cell>
          <cell r="L275">
            <v>6886.5330000000004</v>
          </cell>
          <cell r="M275">
            <v>7112.6733409714097</v>
          </cell>
          <cell r="N275">
            <v>7133.5085719999797</v>
          </cell>
          <cell r="O275">
            <v>7133.5085720000297</v>
          </cell>
          <cell r="P275">
            <v>6905.4589999999998</v>
          </cell>
          <cell r="Q275">
            <v>5798.0280000000002</v>
          </cell>
          <cell r="R275">
            <v>5798.0280000000002</v>
          </cell>
          <cell r="S275">
            <v>5819.5609999999997</v>
          </cell>
          <cell r="T275">
            <v>5861.2150000000001</v>
          </cell>
          <cell r="U275">
            <v>6431.87</v>
          </cell>
          <cell r="V275">
            <v>7062.2</v>
          </cell>
          <cell r="W275">
            <v>6984.9889999999996</v>
          </cell>
          <cell r="X275">
            <v>6884.0020000000004</v>
          </cell>
          <cell r="Y275">
            <v>6754.9930000000004</v>
          </cell>
          <cell r="Z275">
            <v>6855.2309999999998</v>
          </cell>
          <cell r="AA275">
            <v>6886.5330000000004</v>
          </cell>
          <cell r="AB275">
            <v>6901.3879999999999</v>
          </cell>
          <cell r="AC275">
            <v>7133.5085719999997</v>
          </cell>
          <cell r="AD275">
            <v>7133.5085719999997</v>
          </cell>
          <cell r="AE275">
            <v>7133.5085719999997</v>
          </cell>
          <cell r="AF275">
            <v>7133.5085719999997</v>
          </cell>
        </row>
        <row r="276">
          <cell r="B276" t="str">
            <v>Period-end shares outstanding</v>
          </cell>
          <cell r="C276" t="str">
            <v>NON_OP_ADD</v>
          </cell>
          <cell r="F276">
            <v>5231.4960000000001</v>
          </cell>
          <cell r="G276">
            <v>5518.7169999999996</v>
          </cell>
          <cell r="H276">
            <v>5595.2860000000001</v>
          </cell>
          <cell r="I276">
            <v>6117.7120000000004</v>
          </cell>
          <cell r="J276">
            <v>6676.2020000000002</v>
          </cell>
          <cell r="K276">
            <v>6585.5240000000003</v>
          </cell>
          <cell r="L276">
            <v>6673.6289999999999</v>
          </cell>
          <cell r="M276">
            <v>6684.9929999999704</v>
          </cell>
          <cell r="N276">
            <v>6684.9929999999804</v>
          </cell>
          <cell r="O276">
            <v>6684.9930000000204</v>
          </cell>
          <cell r="P276">
            <v>6751.56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</row>
        <row r="277">
          <cell r="A277" t="str">
            <v>Additional Income Statement Items</v>
          </cell>
          <cell r="B277" t="str">
            <v>Period-end shares outstanding</v>
          </cell>
          <cell r="C277" t="str">
            <v>NON_OP_ADD</v>
          </cell>
          <cell r="F277">
            <v>5231.4960000000001</v>
          </cell>
          <cell r="G277">
            <v>5518.7169999999996</v>
          </cell>
          <cell r="H277">
            <v>5595.2860000000001</v>
          </cell>
          <cell r="I277">
            <v>6117.7120000000004</v>
          </cell>
          <cell r="J277">
            <v>6676.2020000000002</v>
          </cell>
          <cell r="K277">
            <v>6585.5240000000003</v>
          </cell>
          <cell r="L277">
            <v>6673.6289999999999</v>
          </cell>
          <cell r="M277">
            <v>6751.56</v>
          </cell>
          <cell r="N277">
            <v>6997.6210000000001</v>
          </cell>
          <cell r="O277">
            <v>7084.8109999999497</v>
          </cell>
          <cell r="P277">
            <v>7084.8109999999997</v>
          </cell>
          <cell r="Q277">
            <v>7084.8109999999997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</row>
        <row r="278">
          <cell r="A278" t="str">
            <v>Additional Income Statement Items</v>
          </cell>
          <cell r="B278" t="str">
            <v>Marginal tax rate</v>
          </cell>
          <cell r="C278" t="str">
            <v>MARGIN_TAX_RATE</v>
          </cell>
          <cell r="F278">
            <v>0.20127096928499999</v>
          </cell>
          <cell r="G278">
            <v>0.153329219938</v>
          </cell>
          <cell r="H278">
            <v>0.20338943000699999</v>
          </cell>
          <cell r="I278">
            <v>0.196246782511</v>
          </cell>
          <cell r="J278">
            <v>0.25271870041900002</v>
          </cell>
          <cell r="K278">
            <v>0.122654281524</v>
          </cell>
          <cell r="L278">
            <v>0.63462462668599995</v>
          </cell>
          <cell r="M278">
            <v>0.26783765339400001</v>
          </cell>
          <cell r="N278">
            <v>0.25</v>
          </cell>
          <cell r="O278">
            <v>0.25</v>
          </cell>
          <cell r="P278">
            <v>0.25</v>
          </cell>
          <cell r="Q278">
            <v>0.20477412384400001</v>
          </cell>
          <cell r="R278">
            <v>0.20477412384400001</v>
          </cell>
          <cell r="S278">
            <v>0.20316406657800001</v>
          </cell>
          <cell r="T278">
            <v>0.26190867369900001</v>
          </cell>
          <cell r="U278">
            <v>0.151258864583</v>
          </cell>
          <cell r="V278">
            <v>0.25881349112800001</v>
          </cell>
          <cell r="W278">
            <v>0.247464236161</v>
          </cell>
          <cell r="X278">
            <v>0.14670856484600001</v>
          </cell>
          <cell r="Y278">
            <v>0.10344547705</v>
          </cell>
          <cell r="Z278">
            <v>0.21348533947600001</v>
          </cell>
          <cell r="AA278">
            <v>0.75327518122100001</v>
          </cell>
          <cell r="AB278">
            <v>0.43194925028800002</v>
          </cell>
          <cell r="AC278">
            <v>0.25</v>
          </cell>
          <cell r="AD278">
            <v>0.25</v>
          </cell>
          <cell r="AE278">
            <v>0.25</v>
          </cell>
          <cell r="AF278">
            <v>0.25</v>
          </cell>
        </row>
        <row r="279">
          <cell r="B279" t="str">
            <v>Net income (consensus) (Pub)</v>
          </cell>
          <cell r="C279" t="str">
            <v>NI_CONS</v>
          </cell>
          <cell r="D279" t="str">
            <v>USD</v>
          </cell>
          <cell r="F279">
            <v>0.20127096928499999</v>
          </cell>
          <cell r="G279">
            <v>0.153329219938</v>
          </cell>
          <cell r="H279">
            <v>0.20338943000699999</v>
          </cell>
          <cell r="I279">
            <v>0.196246782511</v>
          </cell>
          <cell r="J279">
            <v>0.25271870041900002</v>
          </cell>
          <cell r="K279">
            <v>0.122654281524</v>
          </cell>
          <cell r="L279">
            <v>0.63462462668599995</v>
          </cell>
          <cell r="M279">
            <v>0.18254077345600001</v>
          </cell>
          <cell r="N279">
            <v>0.31300412983199999</v>
          </cell>
          <cell r="O279">
            <v>0.26069231921399999</v>
          </cell>
          <cell r="P279">
            <v>0.315</v>
          </cell>
          <cell r="Q279">
            <v>0.315</v>
          </cell>
          <cell r="S279">
            <v>0.20477412384400001</v>
          </cell>
          <cell r="T279">
            <v>0.20316406657800001</v>
          </cell>
          <cell r="U279">
            <v>0.26190867369900001</v>
          </cell>
          <cell r="V279">
            <v>0.151258864583</v>
          </cell>
          <cell r="W279">
            <v>0.25881349112800001</v>
          </cell>
          <cell r="X279">
            <v>0.247464236161</v>
          </cell>
          <cell r="Y279">
            <v>0.14670856484600001</v>
          </cell>
          <cell r="Z279">
            <v>0.10344547705</v>
          </cell>
          <cell r="AA279">
            <v>0.21348533947600001</v>
          </cell>
          <cell r="AB279">
            <v>0.75327518122100001</v>
          </cell>
          <cell r="AC279">
            <v>0.43194925028800002</v>
          </cell>
          <cell r="AD279">
            <v>0.15999478674500001</v>
          </cell>
          <cell r="AE279">
            <v>0.205380132179</v>
          </cell>
          <cell r="AF279">
            <v>0.39548767195500001</v>
          </cell>
        </row>
        <row r="280">
          <cell r="A280" t="str">
            <v>Balance Sheet</v>
          </cell>
          <cell r="B280" t="str">
            <v>Net income (consensus) (Pub)</v>
          </cell>
          <cell r="C280" t="str">
            <v>NI_CONS</v>
          </cell>
          <cell r="D280" t="str">
            <v>USD</v>
          </cell>
        </row>
        <row r="281">
          <cell r="A281" t="str">
            <v>Balance Sheet</v>
          </cell>
          <cell r="B281" t="str">
            <v>BVPS, book value per share</v>
          </cell>
          <cell r="C281" t="str">
            <v>BVPS</v>
          </cell>
          <cell r="D281" t="str">
            <v>USD</v>
          </cell>
          <cell r="F281">
            <v>0.20144945155300001</v>
          </cell>
          <cell r="G281">
            <v>0.21499942830900001</v>
          </cell>
          <cell r="H281">
            <v>0.229470128962</v>
          </cell>
          <cell r="I281">
            <v>0.30957227146400002</v>
          </cell>
          <cell r="J281">
            <v>0.28977223876699998</v>
          </cell>
          <cell r="K281">
            <v>0.31383182264600001</v>
          </cell>
          <cell r="L281">
            <v>0.32783842194399998</v>
          </cell>
          <cell r="M281">
            <v>0.34319255451699998</v>
          </cell>
          <cell r="N281">
            <v>0.364006281752</v>
          </cell>
          <cell r="O281">
            <v>0.388123488952</v>
          </cell>
          <cell r="P281">
            <v>0.392400915362</v>
          </cell>
          <cell r="Q281">
            <v>0.39831228762699999</v>
          </cell>
        </row>
        <row r="282">
          <cell r="A282" t="str">
            <v>Cash Flow Statement</v>
          </cell>
          <cell r="B282" t="str">
            <v>BVPS, book value per share</v>
          </cell>
          <cell r="C282" t="str">
            <v>BVPS</v>
          </cell>
          <cell r="D282" t="str">
            <v>USD</v>
          </cell>
          <cell r="F282">
            <v>0.20144945155300001</v>
          </cell>
          <cell r="G282">
            <v>0.21499942830900001</v>
          </cell>
          <cell r="H282">
            <v>0.229470128962</v>
          </cell>
          <cell r="I282">
            <v>0.30957227146400002</v>
          </cell>
          <cell r="J282">
            <v>0.28977223876699998</v>
          </cell>
          <cell r="K282">
            <v>0.31383182264600001</v>
          </cell>
          <cell r="L282">
            <v>0.32783842194399998</v>
          </cell>
          <cell r="M282">
            <v>0.35466914313100001</v>
          </cell>
          <cell r="N282">
            <v>0.33516347913099998</v>
          </cell>
          <cell r="O282">
            <v>0.35138166045500002</v>
          </cell>
          <cell r="P282">
            <v>0.36549550911599998</v>
          </cell>
          <cell r="Q282">
            <v>0.38183847844500002</v>
          </cell>
        </row>
        <row r="283">
          <cell r="A283" t="str">
            <v>Cash Flow Statement</v>
          </cell>
          <cell r="B283" t="str">
            <v>Net income (pre-preferred dividends)</v>
          </cell>
          <cell r="C283" t="str">
            <v>CF_NI_PRE_PREF</v>
          </cell>
          <cell r="D283" t="str">
            <v>USD</v>
          </cell>
          <cell r="F283">
            <v>187.02500000000001</v>
          </cell>
          <cell r="G283">
            <v>177.00899999999999</v>
          </cell>
          <cell r="H283">
            <v>168.56200000000001</v>
          </cell>
          <cell r="I283">
            <v>180.49</v>
          </cell>
          <cell r="J283">
            <v>233.946</v>
          </cell>
          <cell r="K283">
            <v>235.41399999999999</v>
          </cell>
          <cell r="L283">
            <v>42.509</v>
          </cell>
          <cell r="M283">
            <v>106.36782459668601</v>
          </cell>
          <cell r="N283">
            <v>139.139620869059</v>
          </cell>
          <cell r="O283">
            <v>161.223361316953</v>
          </cell>
          <cell r="P283">
            <v>94.140159605639994</v>
          </cell>
          <cell r="Q283">
            <v>174.99144509010401</v>
          </cell>
        </row>
        <row r="284">
          <cell r="A284" t="str">
            <v>Other Items</v>
          </cell>
          <cell r="B284" t="str">
            <v>Net income (pre-preferred dividends)</v>
          </cell>
          <cell r="C284" t="str">
            <v>CF_NI_PRE_PREF</v>
          </cell>
          <cell r="D284" t="str">
            <v>USD</v>
          </cell>
          <cell r="F284">
            <v>187.02500000000001</v>
          </cell>
          <cell r="G284">
            <v>177.00899999999999</v>
          </cell>
          <cell r="H284">
            <v>168.56200000000001</v>
          </cell>
          <cell r="I284">
            <v>180.49</v>
          </cell>
          <cell r="J284">
            <v>233.946</v>
          </cell>
          <cell r="K284">
            <v>235.41399999999999</v>
          </cell>
          <cell r="L284">
            <v>42.509</v>
          </cell>
          <cell r="M284">
            <v>137.625</v>
          </cell>
          <cell r="N284">
            <v>169.619</v>
          </cell>
          <cell r="O284">
            <v>144.125653188591</v>
          </cell>
          <cell r="P284">
            <v>99.993950245605006</v>
          </cell>
          <cell r="Q284">
            <v>115.78684887509399</v>
          </cell>
        </row>
        <row r="285">
          <cell r="A285" t="str">
            <v>Other Items</v>
          </cell>
          <cell r="B285" t="str">
            <v>Beta</v>
          </cell>
          <cell r="C285" t="str">
            <v>BETA_ANALYST</v>
          </cell>
        </row>
        <row r="286">
          <cell r="B286" t="str">
            <v>Market equity risk premium</v>
          </cell>
          <cell r="C286" t="str">
            <v>MKT_EQ_RISK_PREM</v>
          </cell>
        </row>
        <row r="287">
          <cell r="B287" t="str">
            <v>Risk-free rate</v>
          </cell>
          <cell r="C287" t="str">
            <v>RISK_FR_RATE</v>
          </cell>
        </row>
      </sheetData>
      <sheetData sheetId="15">
        <row r="1">
          <cell r="A1" t="str">
            <v>ecfc3c34-d2ae-4117-ab0a-2fb9c9065542</v>
          </cell>
        </row>
        <row r="2">
          <cell r="A2" t="str">
            <v>\\firmwide.corp.gs.com\root\Projects\Research\hk\gc_tech_telco\GC Tech\Models\FIT\[FIT model wip.xlsx]6088.HK_Validation_Sheet</v>
          </cell>
        </row>
        <row r="3">
          <cell r="A3" t="str">
            <v>Enabled</v>
          </cell>
          <cell r="L3" t="str">
            <v>ERROR</v>
          </cell>
          <cell r="M3" t="str">
            <v>ERROR</v>
          </cell>
          <cell r="Y3" t="str">
            <v>ERROR</v>
          </cell>
          <cell r="Z3" t="str">
            <v>ERROR</v>
          </cell>
          <cell r="AA3" t="str">
            <v>ERROR</v>
          </cell>
          <cell r="AC3" t="str">
            <v>ERROR</v>
          </cell>
          <cell r="AD3" t="str">
            <v>ERROR</v>
          </cell>
        </row>
        <row r="7">
          <cell r="A7" t="str">
            <v>Scalar|||208019317|||ISSR|||CURRENCY_ISO|||False|||</v>
          </cell>
          <cell r="C7" t="str">
            <v>V_KEYWORD_ISSR_208019317_CURRENCY_ISO</v>
          </cell>
        </row>
        <row r="9">
          <cell r="A9" t="str">
            <v>Scalar|||208019317|||ISSR|||MA_PROB|||False|||</v>
          </cell>
          <cell r="C9" t="str">
            <v>V_KEYWORD_ISSR_208019317_MA_PROB</v>
          </cell>
        </row>
        <row r="11">
          <cell r="A11" t="str">
            <v>Vector|||208019317|||ISSR|||SALES|||False|||</v>
          </cell>
          <cell r="C11" t="str">
            <v>V_KEYWORD_ISSR_208019317_SALES</v>
          </cell>
        </row>
        <row r="12">
          <cell r="A12" t="str">
            <v>Vector|||208019317|||ISSR|||PERSONNEL|||False|||</v>
          </cell>
          <cell r="C12" t="str">
            <v>V_KEYWORD_ISSR_208019317_PERSONNEL</v>
          </cell>
        </row>
        <row r="13">
          <cell r="A13" t="str">
            <v>Vector|||208019317|||ISSR|||COST_GD_SD|||False|||</v>
          </cell>
          <cell r="C13" t="str">
            <v>V_KEYWORD_ISSR_208019317_COST_GD_SD</v>
          </cell>
        </row>
        <row r="14">
          <cell r="A14" t="str">
            <v>Vector|||208019317|||ISSR|||SEL_GL_AD|||False|||</v>
          </cell>
          <cell r="C14" t="str">
            <v>V_KEYWORD_ISSR_208019317_SEL_GL_AD</v>
          </cell>
        </row>
        <row r="15">
          <cell r="A15" t="str">
            <v>Vector|||208019317|||ISSR|||OP_COST|||False|||</v>
          </cell>
          <cell r="C15" t="str">
            <v>V_KEYWORD_ISSR_208019317_OP_COST</v>
          </cell>
        </row>
        <row r="16">
          <cell r="A16" t="str">
            <v>Vector|||208019317|||ISSR|||RD_EXP|||False|||</v>
          </cell>
          <cell r="C16" t="str">
            <v>V_KEYWORD_ISSR_208019317_RD_EXP</v>
          </cell>
        </row>
        <row r="17">
          <cell r="A17" t="str">
            <v>Vector|||208019317|||ISSR|||OTH_OP_INC_EXP|||False|||</v>
          </cell>
          <cell r="C17" t="str">
            <v>V_KEYWORD_ISSR_208019317_OTH_OP_INC_EXP</v>
          </cell>
        </row>
        <row r="18">
          <cell r="A18" t="str">
            <v>Vector|||208019317|||ISSR|||TOT_OPS_EXP_DDA|||False|||</v>
          </cell>
          <cell r="C18" t="str">
            <v>V_KEYWORD_ISSR_208019317_TOT_OPS_EXP_DDA</v>
          </cell>
        </row>
        <row r="19">
          <cell r="A19" t="str">
            <v>Vector|||208019317|||ISSR|||TOT_OPS_EXP|||False|||</v>
          </cell>
          <cell r="C19" t="str">
            <v>V_KEYWORD_ISSR_208019317_TOT_OPS_EXP</v>
          </cell>
        </row>
        <row r="20">
          <cell r="A20" t="str">
            <v>Vector|||208019317|||ISSR|||EBITDA_CALC|||False|||</v>
          </cell>
          <cell r="C20" t="str">
            <v>V_KEYWORD_ISSR_208019317_EBITDA_CALC</v>
          </cell>
        </row>
        <row r="21">
          <cell r="A21" t="str">
            <v>Vector|||208019317|||ISSR|||DEPREC|||False|||</v>
          </cell>
          <cell r="C21" t="str">
            <v>V_KEYWORD_ISSR_208019317_DEPREC</v>
          </cell>
        </row>
        <row r="22">
          <cell r="A22" t="str">
            <v>Vector|||208019317|||ISSR|||GOODWILL_AMORT|||False|||</v>
          </cell>
          <cell r="C22" t="str">
            <v>V_KEYWORD_ISSR_208019317_GOODWILL_AMORT</v>
          </cell>
        </row>
        <row r="23">
          <cell r="A23" t="str">
            <v>Vector|||208019317|||ISSR|||EBIT|||False|||</v>
          </cell>
          <cell r="C23" t="str">
            <v>V_KEYWORD_ISSR_208019317_EBIT</v>
          </cell>
        </row>
        <row r="24">
          <cell r="A24" t="str">
            <v>Vector|||208019317|||ISSR|||INT_INC_IND|||False|||</v>
          </cell>
          <cell r="C24" t="str">
            <v>V_KEYWORD_ISSR_208019317_INT_INC_IND</v>
          </cell>
        </row>
        <row r="25">
          <cell r="A25" t="str">
            <v>Vector|||208019317|||ISSR|||INT_EXP_IND|||False|||</v>
          </cell>
          <cell r="C25" t="str">
            <v>V_KEYWORD_ISSR_208019317_INT_EXP_IND</v>
          </cell>
        </row>
        <row r="26">
          <cell r="A26" t="str">
            <v>Vector|||208019317|||ISSR|||NET_INT_EXP|||False|||</v>
          </cell>
          <cell r="C26" t="str">
            <v>V_KEYWORD_ISSR_208019317_NET_INT_EXP</v>
          </cell>
        </row>
        <row r="27">
          <cell r="A27" t="str">
            <v>Vector|||208019317|||ISSR|||ASSOCIATE|||False|||</v>
          </cell>
          <cell r="C27" t="str">
            <v>V_KEYWORD_ISSR_208019317_ASSOCIATE</v>
          </cell>
        </row>
        <row r="28">
          <cell r="A28" t="str">
            <v>Vector|||208019317|||ISSR|||PROFIT_ON_DISP|||False|||</v>
          </cell>
          <cell r="C28" t="str">
            <v>V_KEYWORD_ISSR_208019317_PROFIT_ON_DISP</v>
          </cell>
        </row>
        <row r="29">
          <cell r="A29" t="str">
            <v>Vector|||208019317|||ISSR|||OTH_COST_INC|||False|||</v>
          </cell>
          <cell r="C29" t="str">
            <v>V_KEYWORD_ISSR_208019317_OTH_COST_INC</v>
          </cell>
        </row>
        <row r="30">
          <cell r="A30" t="str">
            <v>Vector|||208019317|||ISSR|||PT_PROF|||False|||</v>
          </cell>
          <cell r="C30" t="str">
            <v>V_KEYWORD_ISSR_208019317_PT_PROF</v>
          </cell>
        </row>
        <row r="32">
          <cell r="A32" t="str">
            <v>Vector|||208019317|||ISSR|||CONTRIB_MARGIN_RATIO|||False|||</v>
          </cell>
          <cell r="C32" t="str">
            <v>V_KEYWORD_ISSR_208019317_CONTRIB_MARGIN_RATIO</v>
          </cell>
        </row>
        <row r="33">
          <cell r="A33" t="str">
            <v>Vector|||208019317|||ISSR|||LEASE_PAY|||False|||</v>
          </cell>
          <cell r="C33" t="str">
            <v>V_KEYWORD_ISSR_208019317_LEASE_PAY</v>
          </cell>
        </row>
        <row r="34">
          <cell r="A34" t="str">
            <v>Vector|||208019317|||ISSR|||LEASE_DEEM_INT|||False|||</v>
          </cell>
          <cell r="C34" t="str">
            <v>V_KEYWORD_ISSR_208019317_LEASE_DEEM_INT</v>
          </cell>
        </row>
        <row r="35">
          <cell r="A35" t="str">
            <v>Vector|||208019317|||ISSR|||LEASE_DEEM_DEPR|||False|||</v>
          </cell>
          <cell r="C35" t="str">
            <v>V_KEYWORD_ISSR_208019317_LEASE_DEEM_DEPR</v>
          </cell>
        </row>
        <row r="36">
          <cell r="A36" t="str">
            <v>Vector|||208019317|||ISSR|||NET_INT_CH|||False|||</v>
          </cell>
          <cell r="C36" t="str">
            <v>V_KEYWORD_ISSR_208019317_NET_INT_CH</v>
          </cell>
        </row>
        <row r="37">
          <cell r="A37" t="str">
            <v>Vector|||208019317|||ISSR|||ASSOCIATE_OP|||False|||</v>
          </cell>
          <cell r="C37" t="str">
            <v>V_KEYWORD_ISSR_208019317_ASSOCIATE_OP</v>
          </cell>
        </row>
        <row r="38">
          <cell r="A38" t="str">
            <v>Vector|||208019317|||ISSR|||DEPR_ROU_ASSETS|||False|||</v>
          </cell>
          <cell r="C38" t="str">
            <v>V_KEYWORD_ISSR_208019317_DEPR_ROU_ASSETS</v>
          </cell>
        </row>
        <row r="39">
          <cell r="A39" t="str">
            <v>Vector|||208019317|||ISSR|||LEASE_INT_CHG|||False|||</v>
          </cell>
          <cell r="C39" t="str">
            <v>V_KEYWORD_ISSR_208019317_LEASE_INT_CHG</v>
          </cell>
        </row>
        <row r="40">
          <cell r="A40" t="str">
            <v>Scalar|||208019317|||ISSR|||LEASE_ADOPT|||False|||</v>
          </cell>
          <cell r="C40" t="str">
            <v>V_KEYWORD_ISSR_208019317_LEASE_ADOPT</v>
          </cell>
        </row>
        <row r="42">
          <cell r="A42" t="str">
            <v>Vector|||208019317|||ISSR|||CASH_EQ|||False|||</v>
          </cell>
          <cell r="C42" t="str">
            <v>V_KEYWORD_ISSR_208019317_CASH_EQ</v>
          </cell>
        </row>
        <row r="43">
          <cell r="A43" t="str">
            <v>Vector|||208019317|||ISSR|||DEBTORS|||False|||</v>
          </cell>
          <cell r="C43" t="str">
            <v>V_KEYWORD_ISSR_208019317_DEBTORS</v>
          </cell>
        </row>
        <row r="44">
          <cell r="A44" t="str">
            <v>Vector|||208019317|||ISSR|||STOCKS|||False|||</v>
          </cell>
          <cell r="C44" t="str">
            <v>V_KEYWORD_ISSR_208019317_STOCKS</v>
          </cell>
        </row>
        <row r="45">
          <cell r="A45" t="str">
            <v>Vector|||208019317|||ISSR|||OTH_CUR_ASS|||False|||</v>
          </cell>
          <cell r="C45" t="str">
            <v>V_KEYWORD_ISSR_208019317_OTH_CUR_ASS</v>
          </cell>
        </row>
        <row r="46">
          <cell r="A46" t="str">
            <v>Vector|||208019317|||ISSR|||CUR_ASS|||False|||</v>
          </cell>
          <cell r="C46" t="str">
            <v>V_KEYWORD_ISSR_208019317_CUR_ASS</v>
          </cell>
        </row>
        <row r="47">
          <cell r="A47" t="str">
            <v>Vector|||208019317|||ISSR|||GR_FIX_ASS|||False|||</v>
          </cell>
          <cell r="C47" t="str">
            <v>V_KEYWORD_ISSR_208019317_GR_FIX_ASS</v>
          </cell>
        </row>
        <row r="48">
          <cell r="A48" t="str">
            <v>Vector|||208019317|||ISSR|||ACC_DDA|||False|||</v>
          </cell>
          <cell r="C48" t="str">
            <v>V_KEYWORD_ISSR_208019317_ACC_DDA</v>
          </cell>
        </row>
        <row r="49">
          <cell r="A49" t="str">
            <v>Vector|||208019317|||ISSR|||NET_FIX_ASS|||False|||</v>
          </cell>
          <cell r="C49" t="str">
            <v>V_KEYWORD_ISSR_208019317_NET_FIX_ASS</v>
          </cell>
        </row>
        <row r="50">
          <cell r="A50" t="str">
            <v>Vector|||208019317|||ISSR|||GR_INTANG|||False|||</v>
          </cell>
          <cell r="C50" t="str">
            <v>V_KEYWORD_ISSR_208019317_GR_INTANG</v>
          </cell>
        </row>
        <row r="51">
          <cell r="A51" t="str">
            <v>Vector|||208019317|||ISSR|||ACC_AMORT|||False|||</v>
          </cell>
          <cell r="C51" t="str">
            <v>V_KEYWORD_ISSR_208019317_ACC_AMORT</v>
          </cell>
        </row>
        <row r="52">
          <cell r="A52" t="str">
            <v>Vector|||208019317|||ISSR|||NET_INTANG|||False|||</v>
          </cell>
          <cell r="C52" t="str">
            <v>V_KEYWORD_ISSR_208019317_NET_INTANG</v>
          </cell>
        </row>
        <row r="53">
          <cell r="A53" t="str">
            <v>Vector|||208019317|||ISSR|||FIX_ASS_INV|||False|||</v>
          </cell>
          <cell r="C53" t="str">
            <v>V_KEYWORD_ISSR_208019317_FIX_ASS_INV</v>
          </cell>
        </row>
        <row r="54">
          <cell r="A54" t="str">
            <v>Vector|||208019317|||ISSR|||INV_SECUR|||False|||</v>
          </cell>
          <cell r="C54" t="str">
            <v>V_KEYWORD_ISSR_208019317_INV_SECUR</v>
          </cell>
        </row>
        <row r="55">
          <cell r="A55" t="str">
            <v>Vector|||208019317|||ISSR|||OTH_LT_ASS|||False|||</v>
          </cell>
          <cell r="C55" t="str">
            <v>V_KEYWORD_ISSR_208019317_OTH_LT_ASS</v>
          </cell>
        </row>
        <row r="56">
          <cell r="A56" t="str">
            <v>Vector|||208019317|||ISSR|||TOT_ASSET|||False|||</v>
          </cell>
          <cell r="C56" t="str">
            <v>V_KEYWORD_ISSR_208019317_TOT_ASSET</v>
          </cell>
        </row>
        <row r="57">
          <cell r="A57" t="str">
            <v>Vector|||208019317|||ISSR|||ACC_PAY_GQ|||False|||</v>
          </cell>
          <cell r="C57" t="str">
            <v>V_KEYWORD_ISSR_208019317_ACC_PAY_GQ</v>
          </cell>
        </row>
        <row r="58">
          <cell r="A58" t="str">
            <v>Vector|||208019317|||ISSR|||SHORT_T_DEBT|||False|||</v>
          </cell>
          <cell r="C58" t="str">
            <v>V_KEYWORD_ISSR_208019317_SHORT_T_DEBT</v>
          </cell>
        </row>
        <row r="59">
          <cell r="A59" t="str">
            <v>Vector|||208019317|||ISSR|||ST_LEASE_LIAB|||False|||</v>
          </cell>
          <cell r="C59" t="str">
            <v>V_KEYWORD_ISSR_208019317_ST_LEASE_LIAB</v>
          </cell>
        </row>
        <row r="60">
          <cell r="A60" t="str">
            <v>Vector|||208019317|||ISSR|||OTH_CUR_LIABS|||False|||</v>
          </cell>
          <cell r="C60" t="str">
            <v>V_KEYWORD_ISSR_208019317_OTH_CUR_LIABS</v>
          </cell>
        </row>
        <row r="61">
          <cell r="A61" t="str">
            <v>Vector|||208019317|||ISSR|||SHORT_TERM_LIABS|||False|||</v>
          </cell>
          <cell r="C61" t="str">
            <v>V_KEYWORD_ISSR_208019317_SHORT_TERM_LIABS</v>
          </cell>
        </row>
        <row r="62">
          <cell r="A62" t="str">
            <v>Vector|||208019317|||ISSR|||LT_DEBT|||False|||</v>
          </cell>
          <cell r="C62" t="str">
            <v>V_KEYWORD_ISSR_208019317_LT_DEBT</v>
          </cell>
        </row>
        <row r="63">
          <cell r="A63" t="str">
            <v>Vector|||208019317|||ISSR|||LT_LEASE_LIAB|||False|||</v>
          </cell>
          <cell r="C63" t="str">
            <v>V_KEYWORD_ISSR_208019317_LT_LEASE_LIAB</v>
          </cell>
        </row>
        <row r="64">
          <cell r="A64" t="str">
            <v>Vector|||208019317|||ISSR|||OTH_LT_CRED_GQ|||False|||</v>
          </cell>
          <cell r="C64" t="str">
            <v>V_KEYWORD_ISSR_208019317_OTH_LT_CRED_GQ</v>
          </cell>
        </row>
        <row r="65">
          <cell r="A65" t="str">
            <v>Vector|||208019317|||ISSR|||TOT_LT_LIAB|||False|||</v>
          </cell>
          <cell r="C65" t="str">
            <v>V_KEYWORD_ISSR_208019317_TOT_LT_LIAB</v>
          </cell>
        </row>
        <row r="66">
          <cell r="A66" t="str">
            <v>Vector|||208019317|||ISSR|||TOT_LIAB|||False|||</v>
          </cell>
          <cell r="C66" t="str">
            <v>V_KEYWORD_ISSR_208019317_TOT_LIAB</v>
          </cell>
        </row>
        <row r="67">
          <cell r="A67" t="str">
            <v>Vector|||208019317|||ISSR|||PREF_SH|||False|||</v>
          </cell>
          <cell r="C67" t="str">
            <v>V_KEYWORD_ISSR_208019317_PREF_SH</v>
          </cell>
        </row>
        <row r="68">
          <cell r="A68" t="str">
            <v>Vector|||208019317|||ISSR|||ORD_SH_FUND|||False|||</v>
          </cell>
          <cell r="C68" t="str">
            <v>V_KEYWORD_ISSR_208019317_ORD_SH_FUND</v>
          </cell>
        </row>
        <row r="69">
          <cell r="A69" t="str">
            <v>Vector|||208019317|||ISSR|||MINORITIES|||False|||</v>
          </cell>
          <cell r="C69" t="str">
            <v>V_KEYWORD_ISSR_208019317_MINORITIES</v>
          </cell>
        </row>
        <row r="70">
          <cell r="A70" t="str">
            <v>Vector|||208019317|||ISSR|||EQ|||False|||</v>
          </cell>
          <cell r="C70" t="str">
            <v>V_KEYWORD_ISSR_208019317_EQ</v>
          </cell>
        </row>
        <row r="71">
          <cell r="A71" t="str">
            <v>Vector|||208019317|||ISSR|||TOT_LIAB_EQ|||False|||</v>
          </cell>
          <cell r="C71" t="str">
            <v>V_KEYWORD_ISSR_208019317_TOT_LIAB_EQ</v>
          </cell>
        </row>
        <row r="73">
          <cell r="A73" t="str">
            <v>Vector|||208019317|||ISSR|||TOT_USD_DEBT|||False|||</v>
          </cell>
          <cell r="C73" t="str">
            <v>V_KEYWORD_ISSR_208019317_TOT_USD_DEBT</v>
          </cell>
        </row>
        <row r="74">
          <cell r="A74" t="str">
            <v>Vector|||208019317|||ISSR|||TOT_PCT_USD_DEBT_HEDGED|||False|||</v>
          </cell>
          <cell r="C74" t="str">
            <v>V_KEYWORD_ISSR_208019317_TOT_PCT_USD_DEBT_HEDGED</v>
          </cell>
        </row>
        <row r="75">
          <cell r="A75" t="str">
            <v>Vector|||208019317|||ISSR|||FLOATING_PCT_LOCAL_DEBT|||False|||</v>
          </cell>
          <cell r="C75" t="str">
            <v>V_KEYWORD_ISSR_208019317_FLOATING_PCT_LOCAL_DEBT</v>
          </cell>
        </row>
        <row r="76">
          <cell r="A76" t="str">
            <v>Vector|||208019317|||ISSR|||FLOATING_PCT_LOCAL_DEBT_HEDGED|||False|||</v>
          </cell>
          <cell r="C76" t="str">
            <v>V_KEYWORD_ISSR_208019317_FLOATING_PCT_LOCAL_DEBT_HEDGED</v>
          </cell>
        </row>
        <row r="77">
          <cell r="A77" t="str">
            <v>Vector|||208019317|||ISSR|||NET_DEBT|||False|||</v>
          </cell>
          <cell r="C77" t="str">
            <v>V_KEYWORD_ISSR_208019317_NET_DEBT</v>
          </cell>
        </row>
        <row r="78">
          <cell r="A78" t="str">
            <v>Vector|||208019317|||ISSR|||CAP_LEASES|||False|||</v>
          </cell>
          <cell r="C78" t="str">
            <v>V_KEYWORD_ISSR_208019317_CAP_LEASES</v>
          </cell>
        </row>
        <row r="79">
          <cell r="A79" t="str">
            <v>Vector|||208019317|||ISSR|||DEF_INC_TAX|||False|||</v>
          </cell>
          <cell r="C79" t="str">
            <v>V_KEYWORD_ISSR_208019317_DEF_INC_TAX</v>
          </cell>
        </row>
        <row r="80">
          <cell r="A80" t="str">
            <v>Vector|||208019317|||ISSR|||MV_ASSOCIATES|||False|||</v>
          </cell>
          <cell r="C80" t="str">
            <v>V_KEYWORD_ISSR_208019317_MV_ASSOCIATES</v>
          </cell>
        </row>
        <row r="81">
          <cell r="A81" t="str">
            <v>Vector|||208019317|||ISSR|||NET_DEBT_ADJ|||False|||</v>
          </cell>
          <cell r="C81" t="str">
            <v>V_KEYWORD_ISSR_208019317_NET_DEBT_ADJ</v>
          </cell>
        </row>
        <row r="82">
          <cell r="A82" t="str">
            <v>Vector|||208019317|||ISSR|||CO_BOR_MARGIN|||False|||</v>
          </cell>
          <cell r="C82" t="str">
            <v>V_KEYWORD_ISSR_208019317_CO_BOR_MARGIN</v>
          </cell>
        </row>
        <row r="83">
          <cell r="A83" t="str">
            <v>Vector|||208019317|||ISSR|||UNF_PENS|||False|||</v>
          </cell>
          <cell r="C83" t="str">
            <v>V_KEYWORD_ISSR_208019317_UNF_PENS</v>
          </cell>
        </row>
        <row r="84">
          <cell r="A84" t="str">
            <v>Vector|||208019317|||ISSR|||UNF_PENS_OFF|||False|||</v>
          </cell>
          <cell r="C84" t="str">
            <v>V_KEYWORD_ISSR_208019317_UNF_PENS_OFF</v>
          </cell>
        </row>
        <row r="85">
          <cell r="A85" t="str">
            <v>Vector|||208019317|||ISSR|||UNF_PENS_LIAB_OTH|||False|||</v>
          </cell>
          <cell r="C85" t="str">
            <v>V_KEYWORD_ISSR_208019317_UNF_PENS_LIAB_OTH</v>
          </cell>
        </row>
        <row r="86">
          <cell r="A86" t="str">
            <v>Vector|||208019317|||ISSR|||ADJ_UNF_PENS_GOOD|||False|||</v>
          </cell>
          <cell r="C86" t="str">
            <v>V_KEYWORD_ISSR_208019317_ADJ_UNF_PENS_GOOD</v>
          </cell>
        </row>
        <row r="87">
          <cell r="A87" t="str">
            <v>Vector|||208019317|||ISSR|||OTH_GCI_ADJ|||False|||</v>
          </cell>
          <cell r="C87" t="str">
            <v>V_KEYWORD_ISSR_208019317_OTH_GCI_ADJ</v>
          </cell>
        </row>
        <row r="88">
          <cell r="A88" t="str">
            <v>Vector|||208019317|||ISSR|||GCI_INFL|||False|||</v>
          </cell>
          <cell r="C88" t="str">
            <v>V_KEYWORD_ISSR_208019317_GCI_INFL</v>
          </cell>
        </row>
        <row r="89">
          <cell r="A89" t="str">
            <v>Vector|||208019317|||ISSR|||BAL_MINO_INT|||False|||</v>
          </cell>
          <cell r="C89" t="str">
            <v>V_KEYWORD_ISSR_208019317_BAL_MINO_INT</v>
          </cell>
        </row>
        <row r="90">
          <cell r="A90" t="str">
            <v>Vector|||208019317|||ISSR|||ROU_ASSET|||False|||</v>
          </cell>
          <cell r="C90" t="str">
            <v>V_KEYWORD_ISSR_208019317_ROU_ASSET</v>
          </cell>
        </row>
        <row r="92">
          <cell r="A92" t="str">
            <v>Vector|||208019317|||ISSR|||CF_INC_MINORITY|||False|||</v>
          </cell>
          <cell r="C92" t="str">
            <v>V_KEYWORD_ISSR_208019317_CF_INC_MINORITY</v>
          </cell>
        </row>
        <row r="93">
          <cell r="A93" t="str">
            <v>Vector|||208019317|||ISSR|||DEPR_AMORT|||False|||</v>
          </cell>
          <cell r="C93" t="str">
            <v>V_KEYWORD_ISSR_208019317_DEPR_AMORT</v>
          </cell>
        </row>
        <row r="94">
          <cell r="A94" t="str">
            <v>Vector|||208019317|||ISSR|||WORK_CAP|||False|||</v>
          </cell>
          <cell r="C94" t="str">
            <v>V_KEYWORD_ISSR_208019317_WORK_CAP</v>
          </cell>
        </row>
        <row r="95">
          <cell r="A95" t="str">
            <v>Vector|||208019317|||ISSR|||OTH_OP_CF|||False|||</v>
          </cell>
          <cell r="C95" t="str">
            <v>V_KEYWORD_ISSR_208019317_OTH_OP_CF</v>
          </cell>
        </row>
        <row r="96">
          <cell r="A96" t="str">
            <v>Vector|||208019317|||ISSR|||CF_OPS|||False|||</v>
          </cell>
          <cell r="C96" t="str">
            <v>V_KEYWORD_ISSR_208019317_CF_OPS</v>
          </cell>
        </row>
        <row r="97">
          <cell r="A97" t="str">
            <v>Vector|||208019317|||ISSR|||CAPEX|||False|||</v>
          </cell>
          <cell r="C97" t="str">
            <v>V_KEYWORD_ISSR_208019317_CAPEX</v>
          </cell>
        </row>
        <row r="98">
          <cell r="A98" t="str">
            <v>Vector|||208019317|||ISSR|||ACQ|||False|||</v>
          </cell>
          <cell r="C98" t="str">
            <v>V_KEYWORD_ISSR_208019317_ACQ</v>
          </cell>
        </row>
        <row r="99">
          <cell r="A99" t="str">
            <v>Vector|||208019317|||ISSR|||DIVEST|||False|||</v>
          </cell>
          <cell r="C99" t="str">
            <v>V_KEYWORD_ISSR_208019317_DIVEST</v>
          </cell>
        </row>
        <row r="100">
          <cell r="A100" t="str">
            <v>Vector|||208019317|||ISSR|||OTH_INV_CF|||False|||</v>
          </cell>
          <cell r="C100" t="str">
            <v>V_KEYWORD_ISSR_208019317_OTH_INV_CF</v>
          </cell>
        </row>
        <row r="101">
          <cell r="A101" t="str">
            <v>Vector|||208019317|||ISSR|||CF_INV|||False|||</v>
          </cell>
          <cell r="C101" t="str">
            <v>V_KEYWORD_ISSR_208019317_CF_INV</v>
          </cell>
        </row>
        <row r="102">
          <cell r="A102" t="str">
            <v>Vector|||208019317|||ISSR|||DIV_PAID|||False|||</v>
          </cell>
          <cell r="C102" t="str">
            <v>V_KEYWORD_ISSR_208019317_DIV_PAID</v>
          </cell>
        </row>
        <row r="103">
          <cell r="A103" t="str">
            <v>Vector|||208019317|||ISSR|||SH_REPUR|||False|||</v>
          </cell>
          <cell r="C103" t="str">
            <v>V_KEYWORD_ISSR_208019317_SH_REPUR</v>
          </cell>
        </row>
        <row r="104">
          <cell r="A104" t="str">
            <v>Vector|||208019317|||ISSR|||CHG_LT_DEBT|||False|||</v>
          </cell>
          <cell r="C104" t="str">
            <v>V_KEYWORD_ISSR_208019317_CHG_LT_DEBT</v>
          </cell>
        </row>
        <row r="105">
          <cell r="A105" t="str">
            <v>Vector|||208019317|||ISSR|||LEASE_PRINCIPAL_CASH|||False|||</v>
          </cell>
          <cell r="C105" t="str">
            <v>V_KEYWORD_ISSR_208019317_LEASE_PRINCIPAL_CASH</v>
          </cell>
        </row>
        <row r="106">
          <cell r="A106" t="str">
            <v>Vector|||208019317|||ISSR|||OTH_FIN_CF|||False|||</v>
          </cell>
          <cell r="C106" t="str">
            <v>V_KEYWORD_ISSR_208019317_OTH_FIN_CF</v>
          </cell>
        </row>
        <row r="107">
          <cell r="A107" t="str">
            <v>Vector|||208019317|||ISSR|||CF_FIN|||False|||</v>
          </cell>
          <cell r="C107" t="str">
            <v>V_KEYWORD_ISSR_208019317_CF_FIN</v>
          </cell>
        </row>
        <row r="108">
          <cell r="A108" t="str">
            <v>Vector|||208019317|||ISSR|||TOT_CF|||False|||</v>
          </cell>
          <cell r="C108" t="str">
            <v>V_KEYWORD_ISSR_208019317_TOT_CF</v>
          </cell>
        </row>
        <row r="110">
          <cell r="A110" t="str">
            <v>Vector|||208019317|||ISSR|||ASSOC_JV_ADDBK|||False|||</v>
          </cell>
          <cell r="C110" t="str">
            <v>V_KEYWORD_ISSR_208019317_ASSOC_JV_ADDBK</v>
          </cell>
        </row>
        <row r="111">
          <cell r="A111" t="str">
            <v>Vector|||208019317|||ISSR|||PL_SALE_ASSETS|||False|||</v>
          </cell>
          <cell r="C111" t="str">
            <v>V_KEYWORD_ISSR_208019317_PL_SALE_ASSETS</v>
          </cell>
        </row>
        <row r="112">
          <cell r="A112" t="str">
            <v>Vector|||208019317|||ISSR|||OTH_NONCASH_ADJ|||False|||</v>
          </cell>
          <cell r="C112" t="str">
            <v>V_KEYWORD_ISSR_208019317_OTH_NONCASH_ADJ</v>
          </cell>
        </row>
        <row r="113">
          <cell r="A113" t="str">
            <v>Vector|||208019317|||ISSR|||OTH_DACF_ADJ|||False|||</v>
          </cell>
          <cell r="C113" t="str">
            <v>V_KEYWORD_ISSR_208019317_OTH_DACF_ADJ</v>
          </cell>
        </row>
        <row r="114">
          <cell r="A114" t="str">
            <v>Vector|||208019317|||ISSR|||CASH_INT_EXP|||False|||</v>
          </cell>
          <cell r="C114" t="str">
            <v>V_KEYWORD_ISSR_208019317_CASH_INT_EXP</v>
          </cell>
        </row>
        <row r="115">
          <cell r="A115" t="str">
            <v>Vector|||208019317|||ISSR|||CASH_TAX_EXP|||False|||</v>
          </cell>
          <cell r="C115" t="str">
            <v>V_KEYWORD_ISSR_208019317_CASH_TAX_EXP</v>
          </cell>
        </row>
        <row r="116">
          <cell r="A116" t="str">
            <v>Vector|||208019317|||ISSR|||DIVDS_ASSOC_JV|||False|||</v>
          </cell>
          <cell r="C116" t="str">
            <v>V_KEYWORD_ISSR_208019317_DIVDS_ASSOC_JV</v>
          </cell>
        </row>
        <row r="117">
          <cell r="A117" t="str">
            <v>Vector|||208019317|||ISSR|||CAPEX_MAINTENANCE|||False|||</v>
          </cell>
          <cell r="C117" t="str">
            <v>V_KEYWORD_ISSR_208019317_CAPEX_MAINTENANCE</v>
          </cell>
        </row>
        <row r="118">
          <cell r="A118" t="str">
            <v>Vector|||208019317|||ISSR|||CAPEX_EXPANSION|||False|||</v>
          </cell>
          <cell r="C118" t="str">
            <v>V_KEYWORD_ISSR_208019317_CAPEX_EXPANSION</v>
          </cell>
        </row>
        <row r="119">
          <cell r="A119" t="str">
            <v>Vector|||208019317|||ISSR|||NONPPE_CAPEX|||False|||</v>
          </cell>
          <cell r="C119" t="str">
            <v>V_KEYWORD_ISSR_208019317_NONPPE_CAPEX</v>
          </cell>
        </row>
        <row r="120">
          <cell r="A120" t="str">
            <v>Vector|||208019317|||ISSR|||DIVDS_PD_MINORITIES|||False|||</v>
          </cell>
          <cell r="C120" t="str">
            <v>V_KEYWORD_ISSR_208019317_DIVDS_PD_MINORITIES</v>
          </cell>
        </row>
        <row r="122">
          <cell r="A122" t="str">
            <v>Vector|||208019317|||ISSR|||EMPLOYEES|||False|||</v>
          </cell>
          <cell r="C122" t="str">
            <v>V_KEYWORD_ISSR_208019317_EMPLOYEES</v>
          </cell>
        </row>
        <row r="124">
          <cell r="A124" t="str">
            <v>Vector|||208019317|||ISSR|||SALES_CANADA|||False|||</v>
          </cell>
          <cell r="C124" t="str">
            <v>V_KEYWORD_ISSR_208019317_SALES_CANADA</v>
          </cell>
        </row>
        <row r="125">
          <cell r="A125" t="str">
            <v>Vector|||208019317|||ISSR|||SALES_US|||False|||</v>
          </cell>
          <cell r="C125" t="str">
            <v>V_KEYWORD_ISSR_208019317_SALES_US</v>
          </cell>
        </row>
        <row r="126">
          <cell r="A126" t="str">
            <v>Vector|||208019317|||ISSR|||SALES_OTH_NO_AMER|||False|||</v>
          </cell>
          <cell r="C126" t="str">
            <v>V_KEYWORD_ISSR_208019317_SALES_OTH_NO_AMER</v>
          </cell>
        </row>
        <row r="127">
          <cell r="A127" t="str">
            <v>Vector|||208019317|||ISSR|||SALES_ARGENTINA|||False|||</v>
          </cell>
          <cell r="C127" t="str">
            <v>V_KEYWORD_ISSR_208019317_SALES_ARGENTINA</v>
          </cell>
        </row>
        <row r="128">
          <cell r="A128" t="str">
            <v>Vector|||208019317|||ISSR|||SALES_BRAZIL|||False|||</v>
          </cell>
          <cell r="C128" t="str">
            <v>V_KEYWORD_ISSR_208019317_SALES_BRAZIL</v>
          </cell>
        </row>
        <row r="129">
          <cell r="A129" t="str">
            <v>Vector|||208019317|||ISSR|||SALES_CHILE|||False|||</v>
          </cell>
          <cell r="C129" t="str">
            <v>V_KEYWORD_ISSR_208019317_SALES_CHILE</v>
          </cell>
        </row>
        <row r="130">
          <cell r="A130" t="str">
            <v>Vector|||208019317|||ISSR|||SALES_COLOMBIA|||False|||</v>
          </cell>
          <cell r="C130" t="str">
            <v>V_KEYWORD_ISSR_208019317_SALES_COLOMBIA</v>
          </cell>
        </row>
        <row r="131">
          <cell r="A131" t="str">
            <v>Vector|||208019317|||ISSR|||SALES_MEXICO|||False|||</v>
          </cell>
          <cell r="C131" t="str">
            <v>V_KEYWORD_ISSR_208019317_SALES_MEXICO</v>
          </cell>
        </row>
        <row r="132">
          <cell r="A132" t="str">
            <v>Vector|||208019317|||ISSR|||SALES_VENEZUELA|||False|||</v>
          </cell>
          <cell r="C132" t="str">
            <v>V_KEYWORD_ISSR_208019317_SALES_VENEZUELA</v>
          </cell>
        </row>
        <row r="133">
          <cell r="A133" t="str">
            <v>Vector|||208019317|||ISSR|||SALES_OTH_LATAM|||False|||</v>
          </cell>
          <cell r="C133" t="str">
            <v>V_KEYWORD_ISSR_208019317_SALES_OTH_LATAM</v>
          </cell>
        </row>
        <row r="134">
          <cell r="A134" t="str">
            <v>Vector|||208019317|||ISSR|||SALES_AUSTRIA|||False|||</v>
          </cell>
          <cell r="C134" t="str">
            <v>V_KEYWORD_ISSR_208019317_SALES_AUSTRIA</v>
          </cell>
        </row>
        <row r="135">
          <cell r="A135" t="str">
            <v>Vector|||208019317|||ISSR|||SALES_BEL|||False|||</v>
          </cell>
          <cell r="C135" t="str">
            <v>V_KEYWORD_ISSR_208019317_SALES_BEL</v>
          </cell>
        </row>
        <row r="136">
          <cell r="A136" t="str">
            <v>Vector|||208019317|||ISSR|||SALES_FRA|||False|||</v>
          </cell>
          <cell r="C136" t="str">
            <v>V_KEYWORD_ISSR_208019317_SALES_FRA</v>
          </cell>
        </row>
        <row r="137">
          <cell r="A137" t="str">
            <v>Vector|||208019317|||ISSR|||SALES_GER|||False|||</v>
          </cell>
          <cell r="C137" t="str">
            <v>V_KEYWORD_ISSR_208019317_SALES_GER</v>
          </cell>
        </row>
        <row r="138">
          <cell r="A138" t="str">
            <v>Vector|||208019317|||ISSR|||SALES_GRE|||False|||</v>
          </cell>
          <cell r="C138" t="str">
            <v>V_KEYWORD_ISSR_208019317_SALES_GRE</v>
          </cell>
        </row>
        <row r="139">
          <cell r="A139" t="str">
            <v>Vector|||208019317|||ISSR|||SALES_IRE|||False|||</v>
          </cell>
          <cell r="C139" t="str">
            <v>V_KEYWORD_ISSR_208019317_SALES_IRE</v>
          </cell>
        </row>
        <row r="140">
          <cell r="A140" t="str">
            <v>Vector|||208019317|||ISSR|||SALES_ITA|||False|||</v>
          </cell>
          <cell r="C140" t="str">
            <v>V_KEYWORD_ISSR_208019317_SALES_ITA</v>
          </cell>
        </row>
        <row r="141">
          <cell r="A141" t="str">
            <v>Vector|||208019317|||ISSR|||SALES_NETH|||False|||</v>
          </cell>
          <cell r="C141" t="str">
            <v>V_KEYWORD_ISSR_208019317_SALES_NETH</v>
          </cell>
        </row>
        <row r="142">
          <cell r="A142" t="str">
            <v>Vector|||208019317|||ISSR|||SALES_NOR|||False|||</v>
          </cell>
          <cell r="C142" t="str">
            <v>V_KEYWORD_ISSR_208019317_SALES_NOR</v>
          </cell>
        </row>
        <row r="143">
          <cell r="A143" t="str">
            <v>Vector|||208019317|||ISSR|||SALES_POR|||False|||</v>
          </cell>
          <cell r="C143" t="str">
            <v>V_KEYWORD_ISSR_208019317_SALES_POR</v>
          </cell>
        </row>
        <row r="144">
          <cell r="A144" t="str">
            <v>Vector|||208019317|||ISSR|||SALES_SPA|||False|||</v>
          </cell>
          <cell r="C144" t="str">
            <v>V_KEYWORD_ISSR_208019317_SALES_SPA</v>
          </cell>
        </row>
        <row r="145">
          <cell r="A145" t="str">
            <v>Vector|||208019317|||ISSR|||SALES_SWE|||False|||</v>
          </cell>
          <cell r="C145" t="str">
            <v>V_KEYWORD_ISSR_208019317_SALES_SWE</v>
          </cell>
        </row>
        <row r="146">
          <cell r="A146" t="str">
            <v>Vector|||208019317|||ISSR|||SALES_SWIT|||False|||</v>
          </cell>
          <cell r="C146" t="str">
            <v>V_KEYWORD_ISSR_208019317_SALES_SWIT</v>
          </cell>
        </row>
        <row r="147">
          <cell r="A147" t="str">
            <v>Vector|||208019317|||ISSR|||SALES_UK|||False|||</v>
          </cell>
          <cell r="C147" t="str">
            <v>V_KEYWORD_ISSR_208019317_SALES_UK</v>
          </cell>
        </row>
        <row r="148">
          <cell r="A148" t="str">
            <v>Vector|||208019317|||ISSR|||SALES_OTH_WEST_EURO|||False|||</v>
          </cell>
          <cell r="C148" t="str">
            <v>V_KEYWORD_ISSR_208019317_SALES_OTH_WEST_EURO</v>
          </cell>
        </row>
        <row r="149">
          <cell r="A149" t="str">
            <v>Vector|||208019317|||ISSR|||SALES_POLAND|||False|||</v>
          </cell>
          <cell r="C149" t="str">
            <v>V_KEYWORD_ISSR_208019317_SALES_POLAND</v>
          </cell>
        </row>
        <row r="150">
          <cell r="A150" t="str">
            <v>Vector|||208019317|||ISSR|||SALES_RUSSIA|||False|||</v>
          </cell>
          <cell r="C150" t="str">
            <v>V_KEYWORD_ISSR_208019317_SALES_RUSSIA</v>
          </cell>
        </row>
        <row r="151">
          <cell r="A151" t="str">
            <v>Vector|||208019317|||ISSR|||SALES_TURKEY|||False|||</v>
          </cell>
          <cell r="C151" t="str">
            <v>V_KEYWORD_ISSR_208019317_SALES_TURKEY</v>
          </cell>
        </row>
        <row r="152">
          <cell r="A152" t="str">
            <v>Vector|||208019317|||ISSR|||SALES_OTH_CEE|||False|||</v>
          </cell>
          <cell r="C152" t="str">
            <v>V_KEYWORD_ISSR_208019317_SALES_OTH_CEE</v>
          </cell>
        </row>
        <row r="153">
          <cell r="A153" t="str">
            <v>Vector|||208019317|||ISSR|||SALES_SAUDI_ARABIA|||False|||</v>
          </cell>
          <cell r="C153" t="str">
            <v>V_KEYWORD_ISSR_208019317_SALES_SAUDI_ARABIA</v>
          </cell>
        </row>
        <row r="154">
          <cell r="A154" t="str">
            <v>Vector|||208019317|||ISSR|||SALES_UAE|||False|||</v>
          </cell>
          <cell r="C154" t="str">
            <v>V_KEYWORD_ISSR_208019317_SALES_UAE</v>
          </cell>
        </row>
        <row r="155">
          <cell r="A155" t="str">
            <v>Vector|||208019317|||ISSR|||SALES_OTH_ME|||False|||</v>
          </cell>
          <cell r="C155" t="str">
            <v>V_KEYWORD_ISSR_208019317_SALES_OTH_ME</v>
          </cell>
        </row>
        <row r="156">
          <cell r="A156" t="str">
            <v>Vector|||208019317|||ISSR|||SALES_NIGERIA|||False|||</v>
          </cell>
          <cell r="C156" t="str">
            <v>V_KEYWORD_ISSR_208019317_SALES_NIGERIA</v>
          </cell>
        </row>
        <row r="157">
          <cell r="A157" t="str">
            <v>Vector|||208019317|||ISSR|||SALES_SO_AFRICA|||False|||</v>
          </cell>
          <cell r="C157" t="str">
            <v>V_KEYWORD_ISSR_208019317_SALES_SO_AFRICA</v>
          </cell>
        </row>
        <row r="158">
          <cell r="A158" t="str">
            <v>Vector|||208019317|||ISSR|||SALES_OTH_AFRICA|||False|||</v>
          </cell>
          <cell r="C158" t="str">
            <v>V_KEYWORD_ISSR_208019317_SALES_OTH_AFRICA</v>
          </cell>
        </row>
        <row r="159">
          <cell r="A159" t="str">
            <v>Vector|||208019317|||ISSR|||SALES_HONG_KONG|||False|||</v>
          </cell>
          <cell r="C159" t="str">
            <v>V_KEYWORD_ISSR_208019317_SALES_HONG_KONG</v>
          </cell>
        </row>
        <row r="160">
          <cell r="A160" t="str">
            <v>Vector|||208019317|||ISSR|||SALES_JAPAN|||False|||</v>
          </cell>
          <cell r="C160" t="str">
            <v>V_KEYWORD_ISSR_208019317_SALES_JAPAN</v>
          </cell>
        </row>
        <row r="161">
          <cell r="A161" t="str">
            <v>Vector|||208019317|||ISSR|||SALES_SINGAPORE|||False|||</v>
          </cell>
          <cell r="C161" t="str">
            <v>V_KEYWORD_ISSR_208019317_SALES_SINGAPORE</v>
          </cell>
        </row>
        <row r="162">
          <cell r="A162" t="str">
            <v>Vector|||208019317|||ISSR|||SALES_SK|||False|||</v>
          </cell>
          <cell r="C162" t="str">
            <v>V_KEYWORD_ISSR_208019317_SALES_SK</v>
          </cell>
        </row>
        <row r="163">
          <cell r="A163" t="str">
            <v>Vector|||208019317|||ISSR|||SALES_TAIWAN|||False|||</v>
          </cell>
          <cell r="C163" t="str">
            <v>V_KEYWORD_ISSR_208019317_SALES_TAIWAN</v>
          </cell>
        </row>
        <row r="164">
          <cell r="A164" t="str">
            <v>Vector|||208019317|||ISSR|||SALES_OTH_DEV_ASIA|||False|||</v>
          </cell>
          <cell r="C164" t="str">
            <v>V_KEYWORD_ISSR_208019317_SALES_OTH_DEV_ASIA</v>
          </cell>
        </row>
        <row r="165">
          <cell r="A165" t="str">
            <v>Vector|||208019317|||ISSR|||SALES_CHINA|||False|||</v>
          </cell>
          <cell r="C165" t="str">
            <v>V_KEYWORD_ISSR_208019317_SALES_CHINA</v>
          </cell>
        </row>
        <row r="166">
          <cell r="A166" t="str">
            <v>Vector|||208019317|||ISSR|||SALES_INDIA|||False|||</v>
          </cell>
          <cell r="C166" t="str">
            <v>V_KEYWORD_ISSR_208019317_SALES_INDIA</v>
          </cell>
        </row>
        <row r="167">
          <cell r="A167" t="str">
            <v>Vector|||208019317|||ISSR|||SALES_INDONESIA|||False|||</v>
          </cell>
          <cell r="C167" t="str">
            <v>V_KEYWORD_ISSR_208019317_SALES_INDONESIA</v>
          </cell>
        </row>
        <row r="168">
          <cell r="A168" t="str">
            <v>Vector|||208019317|||ISSR|||SALES_THAILAND|||False|||</v>
          </cell>
          <cell r="C168" t="str">
            <v>V_KEYWORD_ISSR_208019317_SALES_THAILAND</v>
          </cell>
        </row>
        <row r="169">
          <cell r="A169" t="str">
            <v>Vector|||208019317|||ISSR|||SALES_OTH_EMERG_ASIA|||False|||</v>
          </cell>
          <cell r="C169" t="str">
            <v>V_KEYWORD_ISSR_208019317_SALES_OTH_EMERG_ASIA</v>
          </cell>
        </row>
        <row r="170">
          <cell r="A170" t="str">
            <v>Vector|||208019317|||ISSR|||SALES_AUSTRA|||False|||</v>
          </cell>
          <cell r="C170" t="str">
            <v>V_KEYWORD_ISSR_208019317_SALES_AUSTRA</v>
          </cell>
        </row>
        <row r="171">
          <cell r="A171" t="str">
            <v>Vector|||208019317|||ISSR|||SALES_NZ|||False|||</v>
          </cell>
          <cell r="C171" t="str">
            <v>V_KEYWORD_ISSR_208019317_SALES_NZ</v>
          </cell>
        </row>
        <row r="172">
          <cell r="A172" t="str">
            <v>Vector|||208019317|||ISSR|||SALES_OTHER|||False|||</v>
          </cell>
          <cell r="C172" t="str">
            <v>V_KEYWORD_ISSR_208019317_SALES_OTHER</v>
          </cell>
        </row>
        <row r="173">
          <cell r="A173" t="str">
            <v>Vector|||208019317|||ISSR|||COGS_PCT_US|||False|||</v>
          </cell>
          <cell r="C173" t="str">
            <v>V_KEYWORD_ISSR_208019317_COGS_PCT_US</v>
          </cell>
        </row>
        <row r="174">
          <cell r="A174" t="str">
            <v>Vector|||208019317|||ISSR|||COGS_PCT_ROW|||False|||</v>
          </cell>
          <cell r="C174" t="str">
            <v>V_KEYWORD_ISSR_208019317_COGS_PCT_ROW</v>
          </cell>
        </row>
        <row r="175">
          <cell r="A175" t="str">
            <v>Vector|||208019317|||ISSR|||SGA_PCT_US|||False|||</v>
          </cell>
          <cell r="C175" t="str">
            <v>V_KEYWORD_ISSR_208019317_SGA_PCT_US</v>
          </cell>
        </row>
        <row r="176">
          <cell r="A176" t="str">
            <v>Vector|||208019317|||ISSR|||SGA_PCT_ROW|||False|||</v>
          </cell>
          <cell r="C176" t="str">
            <v>V_KEYWORD_ISSR_208019317_SGA_PCT_ROW</v>
          </cell>
        </row>
        <row r="177">
          <cell r="A177" t="str">
            <v>Vector|||208019317|||ISSR|||SALES_CONS|||False|||</v>
          </cell>
          <cell r="C177" t="str">
            <v>V_KEYWORD_ISSR_208019317_SALES_CONS</v>
          </cell>
        </row>
        <row r="178">
          <cell r="A178" t="str">
            <v>Vector|||208019317|||ISSR|||SALES_IND|||False|||</v>
          </cell>
          <cell r="C178" t="str">
            <v>V_KEYWORD_ISSR_208019317_SALES_IND</v>
          </cell>
        </row>
        <row r="179">
          <cell r="A179" t="str">
            <v>Vector|||208019317|||ISSR|||SALES_GOV|||False|||</v>
          </cell>
          <cell r="C179" t="str">
            <v>V_KEYWORD_ISSR_208019317_SALES_GOV</v>
          </cell>
        </row>
        <row r="180">
          <cell r="A180" t="str">
            <v>Vector|||208019317|||ISSR|||SALES_FINAN|||False|||</v>
          </cell>
          <cell r="C180" t="str">
            <v>V_KEYWORD_ISSR_208019317_SALES_FINAN</v>
          </cell>
        </row>
        <row r="181">
          <cell r="A181" t="str">
            <v>Vector|||208019317|||ISSR|||SALES_OIL_GAS|||False|||</v>
          </cell>
          <cell r="C181" t="str">
            <v>V_KEYWORD_ISSR_208019317_SALES_OIL_GAS</v>
          </cell>
        </row>
        <row r="183">
          <cell r="A183" t="str">
            <v>Vector|||208019317|||ISSR|||EXP_OIL_PETRO_FUEL|||False|||</v>
          </cell>
          <cell r="C183" t="str">
            <v>V_KEYWORD_ISSR_208019317_EXP_OIL_PETRO_FUEL</v>
          </cell>
        </row>
        <row r="184">
          <cell r="A184" t="str">
            <v>Vector|||208019317|||ISSR|||EXP_OIL_DERIV_NGLS_PLASTICS|||False|||</v>
          </cell>
          <cell r="C184" t="str">
            <v>V_KEYWORD_ISSR_208019317_EXP_OIL_DERIV_NGLS_PLASTICS</v>
          </cell>
        </row>
        <row r="185">
          <cell r="A185" t="str">
            <v>Vector|||208019317|||ISSR|||EXP_PAPER_PULP|||False|||</v>
          </cell>
          <cell r="C185" t="str">
            <v>V_KEYWORD_ISSR_208019317_EXP_PAPER_PULP</v>
          </cell>
        </row>
        <row r="186">
          <cell r="A186" t="str">
            <v>Vector|||208019317|||ISSR|||EXP_GLASS|||False|||</v>
          </cell>
          <cell r="C186" t="str">
            <v>V_KEYWORD_ISSR_208019317_EXP_GLASS</v>
          </cell>
        </row>
        <row r="187">
          <cell r="A187" t="str">
            <v>Vector|||208019317|||ISSR|||EXP_WATER|||False|||</v>
          </cell>
          <cell r="C187" t="str">
            <v>V_KEYWORD_ISSR_208019317_EXP_WATER</v>
          </cell>
        </row>
        <row r="188">
          <cell r="A188" t="str">
            <v>Vector|||208019317|||ISSR|||EXP_OTH_COMMODITY|||False|||</v>
          </cell>
          <cell r="C188" t="str">
            <v>V_KEYWORD_ISSR_208019317_EXP_OTH_COMMODITY</v>
          </cell>
        </row>
        <row r="189">
          <cell r="A189" t="str">
            <v>Vector|||208019317|||ISSR|||EXP_OTH_COST|||False|||</v>
          </cell>
          <cell r="C189" t="str">
            <v>V_KEYWORD_ISSR_208019317_EXP_OTH_COST</v>
          </cell>
        </row>
        <row r="191">
          <cell r="A191" t="str">
            <v>Vector|||208019317|||ISSR|||SALES_FX_GPB|||False|||</v>
          </cell>
          <cell r="C191" t="str">
            <v>V_KEYWORD_ISSR_208019317_SALES_FX_GPB</v>
          </cell>
        </row>
        <row r="192">
          <cell r="A192" t="str">
            <v>Vector|||208019317|||ISSR|||SALES_FX_EUR|||False|||</v>
          </cell>
          <cell r="C192" t="str">
            <v>V_KEYWORD_ISSR_208019317_SALES_FX_EUR</v>
          </cell>
        </row>
        <row r="193">
          <cell r="A193" t="str">
            <v>Vector|||208019317|||ISSR|||SALES_FX_RUB|||False|||</v>
          </cell>
          <cell r="C193" t="str">
            <v>V_KEYWORD_ISSR_208019317_SALES_FX_RUB</v>
          </cell>
        </row>
        <row r="194">
          <cell r="A194" t="str">
            <v>Vector|||208019317|||ISSR|||SALES_FX_USD|||False|||</v>
          </cell>
          <cell r="C194" t="str">
            <v>V_KEYWORD_ISSR_208019317_SALES_FX_USD</v>
          </cell>
        </row>
        <row r="195">
          <cell r="A195" t="str">
            <v>Vector|||208019317|||ISSR|||SALES_FX_BRL|||False|||</v>
          </cell>
          <cell r="C195" t="str">
            <v>V_KEYWORD_ISSR_208019317_SALES_FX_BRL</v>
          </cell>
        </row>
        <row r="196">
          <cell r="A196" t="str">
            <v>Vector|||208019317|||ISSR|||SALES_FX_YEN|||False|||</v>
          </cell>
          <cell r="C196" t="str">
            <v>V_KEYWORD_ISSR_208019317_SALES_FX_YEN</v>
          </cell>
        </row>
        <row r="197">
          <cell r="A197" t="str">
            <v>Vector|||208019317|||ISSR|||SALES_FX_CNY|||False|||</v>
          </cell>
          <cell r="C197" t="str">
            <v>V_KEYWORD_ISSR_208019317_SALES_FX_CNY</v>
          </cell>
        </row>
        <row r="198">
          <cell r="A198" t="str">
            <v>Vector|||208019317|||ISSR|||SALES_FX_INR|||False|||</v>
          </cell>
          <cell r="C198" t="str">
            <v>V_KEYWORD_ISSR_208019317_SALES_FX_INR</v>
          </cell>
        </row>
        <row r="199">
          <cell r="A199" t="str">
            <v>Vector|||208019317|||ISSR|||SALES_FX_KRW|||False|||</v>
          </cell>
          <cell r="C199" t="str">
            <v>V_KEYWORD_ISSR_208019317_SALES_FX_KRW</v>
          </cell>
        </row>
        <row r="200">
          <cell r="A200" t="str">
            <v>Vector|||208019317|||ISSR|||SALES_FX_TWD|||False|||</v>
          </cell>
          <cell r="C200" t="str">
            <v>V_KEYWORD_ISSR_208019317_SALES_FX_TWD</v>
          </cell>
        </row>
        <row r="201">
          <cell r="A201" t="str">
            <v>Vector|||208019317|||ISSR|||SALES_FX_OTH|||False|||</v>
          </cell>
          <cell r="C201" t="str">
            <v>V_KEYWORD_ISSR_208019317_SALES_FX_OTH</v>
          </cell>
        </row>
        <row r="203">
          <cell r="A203" t="str">
            <v>Vector|||208019317|||ISSR|||SALES_TOT_AM|||False|||</v>
          </cell>
          <cell r="C203" t="str">
            <v>V_KEYWORD_ISSR_208019317_SALES_TOT_AM</v>
          </cell>
        </row>
        <row r="204">
          <cell r="A204" t="str">
            <v>Vector|||208019317|||ISSR|||SALES_OTH_AM|||False|||</v>
          </cell>
          <cell r="C204" t="str">
            <v>V_KEYWORD_ISSR_208019317_SALES_OTH_AM</v>
          </cell>
        </row>
        <row r="205">
          <cell r="A205" t="str">
            <v>Vector|||208019317|||ISSR|||SALES_TOT_EMEA|||False|||</v>
          </cell>
          <cell r="C205" t="str">
            <v>V_KEYWORD_ISSR_208019317_SALES_TOT_EMEA</v>
          </cell>
        </row>
        <row r="206">
          <cell r="A206" t="str">
            <v>Vector|||208019317|||ISSR|||SALES_EU_EX_UK|||False|||</v>
          </cell>
          <cell r="C206" t="str">
            <v>V_KEYWORD_ISSR_208019317_SALES_EU_EX_UK</v>
          </cell>
        </row>
        <row r="207">
          <cell r="A207" t="str">
            <v>Vector|||208019317|||ISSR|||SALES_CEE|||False|||</v>
          </cell>
          <cell r="C207" t="str">
            <v>V_KEYWORD_ISSR_208019317_SALES_CEE</v>
          </cell>
        </row>
        <row r="208">
          <cell r="A208" t="str">
            <v>Vector|||208019317|||ISSR|||SALES_ME|||False|||</v>
          </cell>
          <cell r="C208" t="str">
            <v>V_KEYWORD_ISSR_208019317_SALES_ME</v>
          </cell>
        </row>
        <row r="209">
          <cell r="A209" t="str">
            <v>Vector|||208019317|||ISSR|||SALES_TOT_AFRICA|||False|||</v>
          </cell>
          <cell r="C209" t="str">
            <v>V_KEYWORD_ISSR_208019317_SALES_TOT_AFRICA</v>
          </cell>
        </row>
        <row r="210">
          <cell r="A210" t="str">
            <v>Vector|||208019317|||ISSR|||SALES_OTH_EMEA|||False|||</v>
          </cell>
          <cell r="C210" t="str">
            <v>V_KEYWORD_ISSR_208019317_SALES_OTH_EMEA</v>
          </cell>
        </row>
        <row r="211">
          <cell r="A211" t="str">
            <v>Vector|||208019317|||ISSR|||SALES_TOT_ASIA|||False|||</v>
          </cell>
          <cell r="C211" t="str">
            <v>V_KEYWORD_ISSR_208019317_SALES_TOT_ASIA</v>
          </cell>
        </row>
        <row r="212">
          <cell r="A212" t="str">
            <v>Vector|||208019317|||ISSR|||SALES_OTH_AEJ|||False|||</v>
          </cell>
          <cell r="C212" t="str">
            <v>V_KEYWORD_ISSR_208019317_SALES_OTH_AEJ</v>
          </cell>
        </row>
        <row r="218">
          <cell r="A218" t="str">
            <v>Scalar|||200020288|||EQTY|||PUB_CURRENCY_ISO|||False|||</v>
          </cell>
          <cell r="C218" t="str">
            <v>V_KEYWORD_EQTY_200020288_PUB_CURRENCY_ISO</v>
          </cell>
        </row>
        <row r="219">
          <cell r="A219" t="str">
            <v>Scalar|||200020288|||EQTY|||PRICE_CURRENCY_ISO|||False|||</v>
          </cell>
          <cell r="C219" t="str">
            <v>V_KEYWORD_EQTY_200020288_PRICE_CURRENCY_ISO</v>
          </cell>
        </row>
        <row r="220">
          <cell r="A220" t="str">
            <v>Scalar|||200020288|||EQTY|||CURRENCY_ISO|||False|||</v>
          </cell>
          <cell r="C220" t="str">
            <v>V_KEYWORD_EQTY_200020288_CURRENCY_ISO</v>
          </cell>
        </row>
        <row r="222">
          <cell r="A222" t="str">
            <v>Scalar|||200020288|||EQTY|||AEJ_LIST|||False|||</v>
          </cell>
          <cell r="C222" t="str">
            <v>V_KEYWORD_EQTY_200020288_AEJ_LIST</v>
          </cell>
          <cell r="E222" t="str">
            <v>ERROR</v>
          </cell>
        </row>
        <row r="223">
          <cell r="A223" t="str">
            <v>Scalar|||200020288|||EQTY|||AEJ_CONVICTION|||False|||</v>
          </cell>
          <cell r="C223" t="str">
            <v>V_KEYWORD_EQTY_200020288_AEJ_CONVICTION</v>
          </cell>
        </row>
        <row r="224">
          <cell r="A224" t="str">
            <v>Scalar|||200020288|||EQTY|||LEGAL_RATING|||False|||</v>
          </cell>
          <cell r="C224" t="str">
            <v>V_KEYWORD_EQTY_200020288_LEGAL_RATING</v>
          </cell>
        </row>
        <row r="225">
          <cell r="A225" t="str">
            <v>Scalar|||200020288|||EQTY|||TARGET_PRICE|||False|||</v>
          </cell>
          <cell r="C225" t="str">
            <v>V_KEYWORD_EQTY_200020288_TARGET_PRICE</v>
          </cell>
          <cell r="E225" t="str">
            <v>ERROR</v>
          </cell>
        </row>
        <row r="226">
          <cell r="A226" t="str">
            <v>Scalar|||200020288|||EQTY|||TP_PERIOD|||False|||</v>
          </cell>
          <cell r="C226" t="str">
            <v>V_KEYWORD_EQTY_200020288_TP_PERIOD</v>
          </cell>
        </row>
        <row r="227">
          <cell r="A227" t="str">
            <v>Scalar|||200020288|||EQTY|||TARGET_PRICE_FUNDAMENTAL|||False|||</v>
          </cell>
          <cell r="C227" t="str">
            <v>V_KEYWORD_EQTY_200020288_TARGET_PRICE_FUNDAMENTAL</v>
          </cell>
        </row>
        <row r="228">
          <cell r="A228" t="str">
            <v>Scalar|||200020288|||EQTY|||TARGET_PRICE_MA|||False|||</v>
          </cell>
          <cell r="C228" t="str">
            <v>V_KEYWORD_EQTY_200020288_TARGET_PRICE_MA</v>
          </cell>
        </row>
        <row r="229">
          <cell r="A229" t="str">
            <v>Scalar|||200020288|||EQTY|||NUM_SH|||False|||</v>
          </cell>
          <cell r="C229" t="str">
            <v>V_KEYWORD_EQTY_200020288_NUM_SH</v>
          </cell>
        </row>
        <row r="230">
          <cell r="A230" t="str">
            <v>Scalar|||200020288|||EQTY|||FREE_FLOAT|||False|||</v>
          </cell>
          <cell r="C230" t="str">
            <v>V_KEYWORD_EQTY_200020288_FREE_FLOAT</v>
          </cell>
        </row>
        <row r="231">
          <cell r="A231" t="str">
            <v>Scalar|||200020288|||EQTY|||FOREIGN_HOLDNG|||False|||</v>
          </cell>
          <cell r="C231" t="str">
            <v>V_KEYWORD_EQTY_200020288_FOREIGN_HOLDNG</v>
          </cell>
        </row>
        <row r="232">
          <cell r="A232" t="str">
            <v>Scalar|||200020288|||EQTY|||CATALYST1_DATE|||True|||</v>
          </cell>
          <cell r="C232" t="str">
            <v>V_KEYWORD_EQTY_200020288_CATALYST1_DATE</v>
          </cell>
        </row>
        <row r="233">
          <cell r="A233" t="str">
            <v>Scalar|||200020288|||EQTY|||CATALYST1_EVENT|||False|||</v>
          </cell>
          <cell r="C233" t="str">
            <v>V_KEYWORD_EQTY_200020288_CATALYST1_EVENT</v>
          </cell>
        </row>
        <row r="234">
          <cell r="A234" t="str">
            <v>Scalar|||200020288|||EQTY|||CATALYST2_DATE|||True|||</v>
          </cell>
          <cell r="C234" t="str">
            <v>V_KEYWORD_EQTY_200020288_CATALYST2_DATE</v>
          </cell>
        </row>
        <row r="235">
          <cell r="A235" t="str">
            <v>Scalar|||200020288|||EQTY|||CATALYST2_EVENT|||False|||</v>
          </cell>
          <cell r="C235" t="str">
            <v>V_KEYWORD_EQTY_200020288_CATALYST2_EVENT</v>
          </cell>
        </row>
        <row r="236">
          <cell r="A236" t="str">
            <v>Scalar|||200020288|||EQTY|||CATALYST3_DATE|||True|||</v>
          </cell>
          <cell r="C236" t="str">
            <v>V_KEYWORD_EQTY_200020288_CATALYST3_DATE</v>
          </cell>
        </row>
        <row r="237">
          <cell r="A237" t="str">
            <v>Scalar|||200020288|||EQTY|||CATALYST3_EVENT|||False|||</v>
          </cell>
          <cell r="C237" t="str">
            <v>V_KEYWORD_EQTY_200020288_CATALYST3_EVENT</v>
          </cell>
        </row>
        <row r="238">
          <cell r="A238" t="str">
            <v>Scalar|||200020288|||EQTY|||CATALYST4_DATE|||True|||</v>
          </cell>
          <cell r="C238" t="str">
            <v>V_KEYWORD_EQTY_200020288_CATALYST4_DATE</v>
          </cell>
        </row>
        <row r="239">
          <cell r="A239" t="str">
            <v>Scalar|||200020288|||EQTY|||CATALYST4_EVENT|||False|||</v>
          </cell>
          <cell r="C239" t="str">
            <v>V_KEYWORD_EQTY_200020288_CATALYST4_EVENT</v>
          </cell>
        </row>
        <row r="240">
          <cell r="A240" t="str">
            <v>Scalar|||200020288|||EQTY|||CATALYST5_DATE|||True|||</v>
          </cell>
          <cell r="C240" t="str">
            <v>V_KEYWORD_EQTY_200020288_CATALYST5_DATE</v>
          </cell>
        </row>
        <row r="241">
          <cell r="A241" t="str">
            <v>Scalar|||200020288|||EQTY|||CATALYST5_EVENT|||False|||</v>
          </cell>
          <cell r="C241" t="str">
            <v>V_KEYWORD_EQTY_200020288_CATALYST5_EVENT</v>
          </cell>
        </row>
        <row r="242">
          <cell r="A242" t="str">
            <v>Scalar|||200020288|||EQTY|||PRI_TARG_MULT|||False|||</v>
          </cell>
          <cell r="C242" t="str">
            <v>V_KEYWORD_EQTY_200020288_PRI_TARG_MULT</v>
          </cell>
        </row>
        <row r="243">
          <cell r="A243" t="str">
            <v>Scalar|||200020288|||EQTY|||PRI_TARG_METH|||False|||</v>
          </cell>
          <cell r="C243" t="str">
            <v>V_KEYWORD_EQTY_200020288_PRI_TARG_METH</v>
          </cell>
        </row>
        <row r="244">
          <cell r="A244" t="str">
            <v>Scalar|||200020288|||EQTY|||PRI_TARG_METH|||False|||</v>
          </cell>
          <cell r="C244" t="str">
            <v>V_KEYWORD_EQTY_200020288_PRI_TARG_METH</v>
          </cell>
        </row>
        <row r="245">
          <cell r="A245" t="str">
            <v>Vector|||200020288|||EQTY|||BVPS_PUB|||False|||</v>
          </cell>
          <cell r="C245" t="str">
            <v>V_KEYWORD_EQTY_200020288_BVPS_PUB</v>
          </cell>
        </row>
        <row r="246">
          <cell r="A246" t="str">
            <v>Vector|||200020288|||EQTY|||DPS_PUB|||False|||</v>
          </cell>
          <cell r="C246" t="str">
            <v>V_KEYWORD_EQTY_200020288_DPS_PUB</v>
          </cell>
        </row>
        <row r="247">
          <cell r="A247" t="str">
            <v>Vector|||200020288|||EQTY|||DPS_SPECIAL_PUB|||False|||</v>
          </cell>
          <cell r="C247" t="str">
            <v>V_KEYWORD_EQTY_200020288_DPS_SPECIAL_PUB</v>
          </cell>
        </row>
        <row r="248">
          <cell r="A248" t="str">
            <v>Vector|||200020288|||EQTY|||EBITDA_PUB|||False|||</v>
          </cell>
          <cell r="C248" t="str">
            <v>V_KEYWORD_EQTY_200020288_EBITDA_PUB</v>
          </cell>
        </row>
        <row r="249">
          <cell r="A249" t="str">
            <v>Vector|||200020288|||EQTY|||EPS_PUB|||False|||</v>
          </cell>
          <cell r="C249" t="str">
            <v>V_KEYWORD_EQTY_200020288_EPS_PUB</v>
          </cell>
          <cell r="L249" t="str">
            <v>ERROR</v>
          </cell>
          <cell r="M249" t="str">
            <v>ERROR</v>
          </cell>
          <cell r="N249" t="str">
            <v>ERROR</v>
          </cell>
          <cell r="O249" t="str">
            <v>ERROR</v>
          </cell>
          <cell r="P249" t="str">
            <v>ERROR</v>
          </cell>
          <cell r="Q249" t="str">
            <v>ERROR</v>
          </cell>
          <cell r="Y249" t="str">
            <v>ERROR</v>
          </cell>
          <cell r="Z249" t="str">
            <v>ERROR</v>
          </cell>
          <cell r="AA249" t="str">
            <v>ERROR</v>
          </cell>
          <cell r="AC249" t="str">
            <v>ERROR</v>
          </cell>
          <cell r="AD249" t="str">
            <v>ERROR</v>
          </cell>
          <cell r="AE249" t="str">
            <v>ERROR</v>
          </cell>
          <cell r="AF249" t="str">
            <v>ERROR</v>
          </cell>
        </row>
        <row r="250">
          <cell r="A250" t="str">
            <v>Vector|||200020288|||EQTY|||EV_ADJ_PUB|||False|||</v>
          </cell>
          <cell r="C250" t="str">
            <v>V_KEYWORD_EQTY_200020288_EV_ADJ_PUB</v>
          </cell>
        </row>
        <row r="251">
          <cell r="A251" t="str">
            <v>Vector|||200020288|||EQTY|||NET_DEBT_PUB|||False|||</v>
          </cell>
          <cell r="C251" t="str">
            <v>V_KEYWORD_EQTY_200020288_NET_DEBT_PUB</v>
          </cell>
        </row>
        <row r="252">
          <cell r="A252" t="str">
            <v>Vector|||200020288|||EQTY|||NET_DEBT_EX_LEASES_PUB|||False|||</v>
          </cell>
          <cell r="C252" t="str">
            <v>V_KEYWORD_EQTY_200020288_NET_DEBT_EX_LEASES_PUB</v>
          </cell>
        </row>
        <row r="253">
          <cell r="A253" t="str">
            <v>Vector|||200020288|||EQTY|||CEEE_NDEBT|||False|||</v>
          </cell>
          <cell r="C253" t="str">
            <v>V_KEYWORD_EQTY_200020288_CEEE_NDEBT</v>
          </cell>
        </row>
        <row r="254">
          <cell r="A254" t="str">
            <v>Vector|||200020288|||EQTY|||NI_PUB|||False|||</v>
          </cell>
          <cell r="C254" t="str">
            <v>V_KEYWORD_EQTY_200020288_NI_PUB</v>
          </cell>
        </row>
        <row r="255">
          <cell r="A255" t="str">
            <v>Vector|||200020288|||EQTY|||EBIT_PUB|||False|||</v>
          </cell>
          <cell r="C255" t="str">
            <v>V_KEYWORD_EQTY_200020288_EBIT_PUB</v>
          </cell>
        </row>
        <row r="256">
          <cell r="A256" t="str">
            <v>Vector|||200020288|||EQTY|||PTP_PUB|||False|||</v>
          </cell>
          <cell r="C256" t="str">
            <v>V_KEYWORD_EQTY_200020288_PTP_PUB</v>
          </cell>
        </row>
        <row r="257">
          <cell r="A257" t="str">
            <v>Vector|||200020288|||EQTY|||REVS_PUB|||False|||</v>
          </cell>
          <cell r="C257" t="str">
            <v>V_KEYWORD_EQTY_200020288_REVS_PUB</v>
          </cell>
        </row>
        <row r="258">
          <cell r="A258" t="str">
            <v>Vector|||200020288|||EQTY|||EQ_PUB|||False|||</v>
          </cell>
          <cell r="C258" t="str">
            <v>V_KEYWORD_EQTY_200020288_EQ_PUB</v>
          </cell>
        </row>
        <row r="259">
          <cell r="A259" t="str">
            <v>Vector|||200020288|||EQTY|||EPS_CONS_PUB|||False|||</v>
          </cell>
          <cell r="C259" t="str">
            <v>V_KEYWORD_EQTY_200020288_EPS_CONS_PUB</v>
          </cell>
        </row>
        <row r="260">
          <cell r="A260" t="str">
            <v>Vector|||200020288|||EQTY|||EPS_CONS_PUB|||False|||</v>
          </cell>
          <cell r="C260" t="str">
            <v>V_KEYWORD_EQTY_200020288_EPS_CONS_PUB</v>
          </cell>
        </row>
        <row r="261">
          <cell r="A261" t="str">
            <v>Vector|||200020288|||EQTY|||PROV_INC_TAX|||False|||</v>
          </cell>
          <cell r="C261" t="str">
            <v>V_KEYWORD_EQTY_200020288_PROV_INC_TAX</v>
          </cell>
        </row>
        <row r="262">
          <cell r="A262" t="str">
            <v>Vector|||200020288|||EQTY|||INC_MINORITY|||False|||</v>
          </cell>
          <cell r="C262" t="str">
            <v>V_KEYWORD_EQTY_200020288_INC_MINORITY</v>
          </cell>
        </row>
        <row r="263">
          <cell r="A263" t="str">
            <v>Vector|||200020288|||EQTY|||NI_PRE_PREF|||False|||</v>
          </cell>
          <cell r="C263" t="str">
            <v>V_KEYWORD_EQTY_200020288_NI_PRE_PREF</v>
          </cell>
        </row>
        <row r="264">
          <cell r="A264" t="str">
            <v>Vector|||200020288|||EQTY|||PREF_DIV|||False|||</v>
          </cell>
          <cell r="C264" t="str">
            <v>V_KEYWORD_EQTY_200020288_PREF_DIV</v>
          </cell>
        </row>
        <row r="265">
          <cell r="A265" t="str">
            <v>Vector|||200020288|||EQTY|||NET_EARNING|||False|||</v>
          </cell>
          <cell r="C265" t="str">
            <v>V_KEYWORD_EQTY_200020288_NET_EARNING</v>
          </cell>
        </row>
        <row r="266">
          <cell r="A266" t="str">
            <v>Vector|||200020288|||EQTY|||TAX_EXC|||False|||</v>
          </cell>
          <cell r="C266" t="str">
            <v>V_KEYWORD_EQTY_200020288_TAX_EXC</v>
          </cell>
        </row>
        <row r="267">
          <cell r="A267" t="str">
            <v>Vector|||200020288|||EQTY|||NET_INC|||False|||</v>
          </cell>
          <cell r="C267" t="str">
            <v>V_KEYWORD_EQTY_200020288_NET_INC</v>
          </cell>
        </row>
        <row r="268">
          <cell r="A268" t="str">
            <v>Vector|||200020288|||EQTY|||EPS|||False|||</v>
          </cell>
          <cell r="C268" t="str">
            <v>V_KEYWORD_EQTY_200020288_EPS</v>
          </cell>
        </row>
        <row r="269">
          <cell r="A269" t="str">
            <v>Vector|||200020288|||EQTY|||EPS_FUL_DIL|||False|||</v>
          </cell>
          <cell r="C269" t="str">
            <v>V_KEYWORD_EQTY_200020288_EPS_FUL_DIL</v>
          </cell>
        </row>
        <row r="270">
          <cell r="A270" t="str">
            <v>Vector|||200020288|||EQTY|||EPS_POST_BASIC|||False|||</v>
          </cell>
          <cell r="C270" t="str">
            <v>V_KEYWORD_EQTY_200020288_EPS_POST_BASIC</v>
          </cell>
        </row>
        <row r="271">
          <cell r="A271" t="str">
            <v>Vector|||200020288|||EQTY|||FULLY_DIL_EPS|||False|||</v>
          </cell>
          <cell r="C271" t="str">
            <v>V_KEYWORD_EQTY_200020288_FULLY_DIL_EPS</v>
          </cell>
        </row>
        <row r="272">
          <cell r="A272" t="str">
            <v>Vector|||200020288|||EQTY|||COMMON_DIV_PAID|||False|||</v>
          </cell>
          <cell r="C272" t="str">
            <v>V_KEYWORD_EQTY_200020288_COMMON_DIV_PAID</v>
          </cell>
        </row>
        <row r="273">
          <cell r="A273" t="str">
            <v>Vector|||200020288|||EQTY|||DPS|||False|||</v>
          </cell>
          <cell r="C273" t="str">
            <v>V_KEYWORD_EQTY_200020288_DPS</v>
          </cell>
        </row>
        <row r="274">
          <cell r="A274" t="str">
            <v>Vector|||200020288|||EQTY|||SH|||False|||</v>
          </cell>
          <cell r="C274" t="str">
            <v>V_KEYWORD_EQTY_200020288_SH</v>
          </cell>
        </row>
        <row r="275">
          <cell r="A275" t="str">
            <v>Vector|||200020288|||EQTY|||DILUTE_SHARES|||False|||</v>
          </cell>
          <cell r="C275" t="str">
            <v>V_KEYWORD_EQTY_200020288_DILUTE_SHARES</v>
          </cell>
        </row>
        <row r="276">
          <cell r="A276" t="str">
            <v>Vector|||200020288|||EQTY|||NON_OP_ADD|||False|||</v>
          </cell>
          <cell r="C276" t="str">
            <v>V_KEYWORD_EQTY_200020288_NON_OP_ADD</v>
          </cell>
        </row>
        <row r="277">
          <cell r="A277" t="str">
            <v>Vector|||200020288|||EQTY|||NON_OP_ADD|||False|||</v>
          </cell>
          <cell r="C277" t="str">
            <v>V_KEYWORD_EQTY_200020288_NON_OP_ADD</v>
          </cell>
        </row>
        <row r="278">
          <cell r="A278" t="str">
            <v>Vector|||200020288|||EQTY|||MARGIN_TAX_RATE|||False|||</v>
          </cell>
          <cell r="C278" t="str">
            <v>V_KEYWORD_EQTY_200020288_MARGIN_TAX_RATE</v>
          </cell>
        </row>
        <row r="279">
          <cell r="A279" t="str">
            <v>Vector|||200020288|||EQTY|||NI_CONS|||False|||</v>
          </cell>
          <cell r="C279" t="str">
            <v>V_KEYWORD_EQTY_200020288_NI_CONS</v>
          </cell>
        </row>
        <row r="280">
          <cell r="A280" t="str">
            <v>Vector|||200020288|||EQTY|||NI_CONS|||False|||</v>
          </cell>
          <cell r="C280" t="str">
            <v>V_KEYWORD_EQTY_200020288_NI_CONS</v>
          </cell>
        </row>
        <row r="281">
          <cell r="A281" t="str">
            <v>Vector|||200020288|||EQTY|||BVPS|||False|||</v>
          </cell>
          <cell r="C281" t="str">
            <v>V_KEYWORD_EQTY_200020288_BVPS</v>
          </cell>
        </row>
        <row r="282">
          <cell r="A282" t="str">
            <v>Vector|||200020288|||EQTY|||BVPS|||False|||</v>
          </cell>
          <cell r="C282" t="str">
            <v>V_KEYWORD_EQTY_200020288_BVPS</v>
          </cell>
        </row>
        <row r="283">
          <cell r="A283" t="str">
            <v>Vector|||200020288|||EQTY|||CF_NI_PRE_PREF|||False|||</v>
          </cell>
          <cell r="C283" t="str">
            <v>V_KEYWORD_EQTY_200020288_CF_NI_PRE_PREF</v>
          </cell>
        </row>
        <row r="284">
          <cell r="A284" t="str">
            <v>Vector|||200020288|||EQTY|||CF_NI_PRE_PREF|||False|||</v>
          </cell>
          <cell r="C284" t="str">
            <v>V_KEYWORD_EQTY_200020288_CF_NI_PRE_PREF</v>
          </cell>
        </row>
        <row r="285">
          <cell r="A285" t="str">
            <v>Scalar|||200020288|||EQTY|||BETA_ANALYST|||False|||</v>
          </cell>
          <cell r="C285" t="str">
            <v>V_KEYWORD_EQTY_200020288_BETA_ANALYST</v>
          </cell>
        </row>
        <row r="286">
          <cell r="A286" t="str">
            <v>Scalar|||200020288|||EQTY|||MKT_EQ_RISK_PREM|||False|||</v>
          </cell>
          <cell r="C286" t="str">
            <v>V_KEYWORD_EQTY_200020288_MKT_EQ_RISK_PREM</v>
          </cell>
        </row>
        <row r="287">
          <cell r="A287" t="str">
            <v>Scalar|||200020288|||EQTY|||RISK_FR_RATE|||False|||</v>
          </cell>
          <cell r="C287" t="str">
            <v>V_KEYWORD_EQTY_200020288_RISK_FR_RATE</v>
          </cell>
        </row>
      </sheetData>
      <sheetData sheetId="16">
        <row r="1">
          <cell r="A1" t="str">
            <v>Issuer: FIT Hon Teng</v>
          </cell>
          <cell r="F1">
            <v>2014</v>
          </cell>
          <cell r="G1">
            <v>2015</v>
          </cell>
          <cell r="H1">
            <v>2016</v>
          </cell>
          <cell r="I1">
            <v>2017</v>
          </cell>
          <cell r="J1">
            <v>2018</v>
          </cell>
          <cell r="K1">
            <v>2019</v>
          </cell>
          <cell r="L1">
            <v>2020</v>
          </cell>
          <cell r="M1">
            <v>2021</v>
          </cell>
          <cell r="N1">
            <v>2022</v>
          </cell>
          <cell r="O1">
            <v>2023</v>
          </cell>
          <cell r="P1">
            <v>2024</v>
          </cell>
          <cell r="Q1" t="str">
            <v>2016 H1</v>
          </cell>
          <cell r="R1" t="str">
            <v>2016 H1</v>
          </cell>
          <cell r="S1" t="str">
            <v>2016 H2</v>
          </cell>
          <cell r="T1" t="str">
            <v>2017 H1</v>
          </cell>
          <cell r="U1" t="str">
            <v>2017 H2</v>
          </cell>
          <cell r="V1" t="str">
            <v>2018 H1</v>
          </cell>
          <cell r="W1" t="str">
            <v>2018 H2</v>
          </cell>
          <cell r="X1" t="str">
            <v>2019 H1</v>
          </cell>
          <cell r="Y1" t="str">
            <v>2019 H2</v>
          </cell>
          <cell r="Z1" t="str">
            <v>2020 H1</v>
          </cell>
          <cell r="AA1" t="str">
            <v>2020 H2</v>
          </cell>
          <cell r="AB1" t="str">
            <v>2021 H1</v>
          </cell>
          <cell r="AC1" t="str">
            <v>2021 H2</v>
          </cell>
          <cell r="AD1" t="str">
            <v>2022 H1</v>
          </cell>
          <cell r="AE1" t="str">
            <v>2022 H2</v>
          </cell>
          <cell r="AF1" t="str">
            <v>2023 H1</v>
          </cell>
        </row>
        <row r="4">
          <cell r="A4" t="str">
            <v>Issuer: FIT Hon Teng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FIT Hon Teng</v>
          </cell>
        </row>
        <row r="7">
          <cell r="B7" t="str">
            <v>Reporting Currency</v>
          </cell>
          <cell r="C7" t="str">
            <v>CURRENCY_ISO</v>
          </cell>
          <cell r="E7" t="str">
            <v>USD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e">
            <v>#NAME?</v>
          </cell>
        </row>
        <row r="12">
          <cell r="B12" t="str">
            <v>Compensation &amp; benfits expense</v>
          </cell>
          <cell r="C12" t="str">
            <v>PERSONNEL</v>
          </cell>
          <cell r="D12" t="e">
            <v>#NAME?</v>
          </cell>
        </row>
        <row r="13">
          <cell r="B13" t="str">
            <v>Cost of goods sold, COGS</v>
          </cell>
          <cell r="C13" t="str">
            <v>COST_GD_SD</v>
          </cell>
          <cell r="D13" t="e">
            <v>#NAME?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e">
            <v>#NAME?</v>
          </cell>
        </row>
        <row r="15">
          <cell r="B15" t="str">
            <v>Total operating expense</v>
          </cell>
          <cell r="C15" t="str">
            <v>OP_COST</v>
          </cell>
          <cell r="D15" t="e">
            <v>#NAME?</v>
          </cell>
        </row>
        <row r="16">
          <cell r="B16" t="str">
            <v>R&amp;D expense</v>
          </cell>
          <cell r="C16" t="str">
            <v>RD_EXP</v>
          </cell>
          <cell r="D16" t="e">
            <v>#NAME?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e">
            <v>#NAME?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e">
            <v>#NAME?</v>
          </cell>
        </row>
        <row r="19">
          <cell r="B19" t="str">
            <v>Total operating expense (excl. D&amp;A)</v>
          </cell>
          <cell r="C19" t="str">
            <v>TOT_OPS_EXP</v>
          </cell>
          <cell r="D19" t="e">
            <v>#NAME?</v>
          </cell>
        </row>
        <row r="20">
          <cell r="B20" t="str">
            <v>EBITDA</v>
          </cell>
          <cell r="C20" t="str">
            <v>EBITDA_CALC</v>
          </cell>
          <cell r="D20" t="e">
            <v>#NAME?</v>
          </cell>
        </row>
        <row r="21">
          <cell r="B21" t="str">
            <v>Depreciation</v>
          </cell>
          <cell r="C21" t="str">
            <v>DEPREC</v>
          </cell>
          <cell r="D21" t="e">
            <v>#NAME?</v>
          </cell>
        </row>
        <row r="22">
          <cell r="B22" t="str">
            <v>Amortization</v>
          </cell>
          <cell r="C22" t="str">
            <v>GOODWILL_AMORT</v>
          </cell>
          <cell r="D22" t="e">
            <v>#NAME?</v>
          </cell>
        </row>
        <row r="23">
          <cell r="B23" t="str">
            <v>EBIT, operating profit</v>
          </cell>
          <cell r="C23" t="str">
            <v>EBIT</v>
          </cell>
          <cell r="D23" t="e">
            <v>#NAME?</v>
          </cell>
        </row>
        <row r="24">
          <cell r="B24" t="str">
            <v>Interest income</v>
          </cell>
          <cell r="C24" t="str">
            <v>INT_INC_IND</v>
          </cell>
          <cell r="D24" t="e">
            <v>#NAME?</v>
          </cell>
        </row>
        <row r="25">
          <cell r="B25" t="str">
            <v>Interest expense</v>
          </cell>
          <cell r="C25" t="str">
            <v>INT_EXP_IND</v>
          </cell>
          <cell r="D25" t="e">
            <v>#NAME?</v>
          </cell>
        </row>
        <row r="26">
          <cell r="B26" t="str">
            <v>Net interest income/(expense)</v>
          </cell>
          <cell r="C26" t="str">
            <v>NET_INT_EXP</v>
          </cell>
          <cell r="D26" t="e">
            <v>#NAME?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e">
            <v>#NAME?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e">
            <v>#NAME?</v>
          </cell>
        </row>
        <row r="29">
          <cell r="B29" t="str">
            <v>Other non-ops income/(expense)</v>
          </cell>
          <cell r="C29" t="str">
            <v>OTH_COST_INC</v>
          </cell>
          <cell r="D29" t="e">
            <v>#NAME?</v>
          </cell>
        </row>
        <row r="30">
          <cell r="B30" t="str">
            <v>Pre-tax profit</v>
          </cell>
          <cell r="C30" t="str">
            <v>PT_PROF</v>
          </cell>
          <cell r="D30" t="e">
            <v>#NAME?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e">
            <v>#NAME?</v>
          </cell>
        </row>
        <row r="33">
          <cell r="B33" t="str">
            <v>Operating lease cost</v>
          </cell>
          <cell r="C33" t="str">
            <v>LEASE_PAY</v>
          </cell>
          <cell r="D33" t="e">
            <v>#NAME?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e">
            <v>#NAME?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e">
            <v>#NAME?</v>
          </cell>
        </row>
        <row r="36">
          <cell r="B36" t="str">
            <v>Gross interest charge</v>
          </cell>
          <cell r="C36" t="str">
            <v>NET_INT_CH</v>
          </cell>
          <cell r="D36" t="e">
            <v>#NAME?</v>
          </cell>
        </row>
        <row r="37">
          <cell r="B37" t="str">
            <v>Income from associates (operating)</v>
          </cell>
          <cell r="C37" t="str">
            <v>ASSOCIATE_OP</v>
          </cell>
          <cell r="D37" t="e">
            <v>#NAME?</v>
          </cell>
        </row>
        <row r="38">
          <cell r="B38" t="str">
            <v>Depreciation ROU assets   (applicable to IFRS cos.)</v>
          </cell>
          <cell r="C38" t="str">
            <v>DEPR_ROU_ASSETS</v>
          </cell>
          <cell r="D38" t="e">
            <v>#NAME?</v>
          </cell>
        </row>
        <row r="39">
          <cell r="B39" t="str">
            <v>Lease interest charge  (applicable to IFRS cos.)</v>
          </cell>
          <cell r="C39" t="str">
            <v>LEASE_INT_CHG</v>
          </cell>
          <cell r="D39" t="e">
            <v>#NAME?</v>
          </cell>
        </row>
        <row r="40">
          <cell r="B40" t="str">
            <v>Lease standard adopted (US GAAP ASC 842/ IFRS 16)</v>
          </cell>
          <cell r="C40" t="str">
            <v>LEASE_ADOPT</v>
          </cell>
        </row>
        <row r="41">
          <cell r="A41" t="str">
            <v>Balance Sheet</v>
          </cell>
        </row>
        <row r="42">
          <cell r="B42" t="str">
            <v>Cash &amp; cash equivalents</v>
          </cell>
          <cell r="C42" t="str">
            <v>CASH_EQ</v>
          </cell>
          <cell r="D42" t="e">
            <v>#NAME?</v>
          </cell>
        </row>
        <row r="43">
          <cell r="B43" t="str">
            <v>Accounts receivable</v>
          </cell>
          <cell r="C43" t="str">
            <v>DEBTORS</v>
          </cell>
          <cell r="D43" t="e">
            <v>#NAME?</v>
          </cell>
        </row>
        <row r="44">
          <cell r="B44" t="str">
            <v>Inventory</v>
          </cell>
          <cell r="C44" t="str">
            <v>STOCKS</v>
          </cell>
          <cell r="D44" t="e">
            <v>#NAME?</v>
          </cell>
        </row>
        <row r="45">
          <cell r="B45" t="str">
            <v>Other current assets</v>
          </cell>
          <cell r="C45" t="str">
            <v>OTH_CUR_ASS</v>
          </cell>
          <cell r="D45" t="e">
            <v>#NAME?</v>
          </cell>
        </row>
        <row r="46">
          <cell r="B46" t="str">
            <v>Total current assets</v>
          </cell>
          <cell r="C46" t="str">
            <v>CUR_ASS</v>
          </cell>
          <cell r="D46" t="e">
            <v>#NAME?</v>
          </cell>
        </row>
        <row r="47">
          <cell r="B47" t="str">
            <v>Gross fixed assets, PP&amp;E</v>
          </cell>
          <cell r="C47" t="str">
            <v>GR_FIX_ASS</v>
          </cell>
          <cell r="D47" t="e">
            <v>#NAME?</v>
          </cell>
        </row>
        <row r="48">
          <cell r="B48" t="str">
            <v>Accumulated depreciation</v>
          </cell>
          <cell r="C48" t="str">
            <v>ACC_DDA</v>
          </cell>
          <cell r="D48" t="e">
            <v>#NAME?</v>
          </cell>
        </row>
        <row r="49">
          <cell r="B49" t="str">
            <v>Net PP&amp;E</v>
          </cell>
          <cell r="C49" t="str">
            <v>NET_FIX_ASS</v>
          </cell>
          <cell r="D49" t="e">
            <v>#NAME?</v>
          </cell>
        </row>
        <row r="50">
          <cell r="B50" t="str">
            <v>Gross intangibles</v>
          </cell>
          <cell r="C50" t="str">
            <v>GR_INTANG</v>
          </cell>
          <cell r="D50" t="e">
            <v>#NAME?</v>
          </cell>
        </row>
        <row r="51">
          <cell r="B51" t="str">
            <v>Accumulated amortization</v>
          </cell>
          <cell r="C51" t="str">
            <v>ACC_AMORT</v>
          </cell>
          <cell r="D51" t="e">
            <v>#NAME?</v>
          </cell>
        </row>
        <row r="52">
          <cell r="B52" t="str">
            <v>Net intangible assets</v>
          </cell>
          <cell r="C52" t="str">
            <v>NET_INTANG</v>
          </cell>
          <cell r="D52" t="e">
            <v>#NAME?</v>
          </cell>
        </row>
        <row r="53">
          <cell r="B53" t="str">
            <v>Equity method investments</v>
          </cell>
          <cell r="C53" t="str">
            <v>FIX_ASS_INV</v>
          </cell>
          <cell r="D53" t="e">
            <v>#NAME?</v>
          </cell>
        </row>
        <row r="54">
          <cell r="B54" t="str">
            <v>Investments in securities</v>
          </cell>
          <cell r="C54" t="str">
            <v>INV_SECUR</v>
          </cell>
          <cell r="D54" t="e">
            <v>#NAME?</v>
          </cell>
        </row>
        <row r="55">
          <cell r="B55" t="str">
            <v>Other long-term assets</v>
          </cell>
          <cell r="C55" t="str">
            <v>OTH_LT_ASS</v>
          </cell>
          <cell r="D55" t="e">
            <v>#NAME?</v>
          </cell>
        </row>
        <row r="56">
          <cell r="B56" t="str">
            <v>Total assets</v>
          </cell>
          <cell r="C56" t="str">
            <v>TOT_ASSET</v>
          </cell>
          <cell r="D56" t="e">
            <v>#NAME?</v>
          </cell>
        </row>
        <row r="57">
          <cell r="B57" t="str">
            <v>Accounts payable</v>
          </cell>
          <cell r="C57" t="str">
            <v>ACC_PAY_GQ</v>
          </cell>
          <cell r="D57" t="e">
            <v>#NAME?</v>
          </cell>
        </row>
        <row r="58">
          <cell r="B58" t="str">
            <v>Short-term debt</v>
          </cell>
          <cell r="C58" t="str">
            <v>SHORT_T_DEBT</v>
          </cell>
          <cell r="D58" t="e">
            <v>#NAME?</v>
          </cell>
        </row>
        <row r="59">
          <cell r="B59" t="str">
            <v>Current lease liabilities (op lease: US GAAP)</v>
          </cell>
          <cell r="C59" t="str">
            <v>ST_LEASE_LIAB</v>
          </cell>
          <cell r="D59" t="e">
            <v>#NAME?</v>
          </cell>
        </row>
        <row r="60">
          <cell r="B60" t="str">
            <v>Other current liabilities</v>
          </cell>
          <cell r="C60" t="str">
            <v>OTH_CUR_LIABS</v>
          </cell>
          <cell r="D60" t="e">
            <v>#NAME?</v>
          </cell>
        </row>
        <row r="61">
          <cell r="B61" t="str">
            <v>Total current liabilities</v>
          </cell>
          <cell r="C61" t="str">
            <v>SHORT_TERM_LIABS</v>
          </cell>
          <cell r="D61" t="e">
            <v>#NAME?</v>
          </cell>
        </row>
        <row r="62">
          <cell r="B62" t="str">
            <v>Long-term  debt</v>
          </cell>
          <cell r="C62" t="str">
            <v>LT_DEBT</v>
          </cell>
          <cell r="D62" t="e">
            <v>#NAME?</v>
          </cell>
        </row>
        <row r="63">
          <cell r="B63" t="str">
            <v>Non-current lease liabilities (op lease: US GAAP)</v>
          </cell>
          <cell r="C63" t="str">
            <v>LT_LEASE_LIAB</v>
          </cell>
          <cell r="D63" t="e">
            <v>#NAME?</v>
          </cell>
        </row>
        <row r="64">
          <cell r="B64" t="str">
            <v>Other long-term liabilities</v>
          </cell>
          <cell r="C64" t="str">
            <v>OTH_LT_CRED_GQ</v>
          </cell>
          <cell r="D64" t="e">
            <v>#NAME?</v>
          </cell>
        </row>
        <row r="65">
          <cell r="B65" t="str">
            <v>Total long-term liabilities</v>
          </cell>
          <cell r="C65" t="str">
            <v>TOT_LT_LIAB</v>
          </cell>
          <cell r="D65" t="e">
            <v>#NAME?</v>
          </cell>
        </row>
        <row r="66">
          <cell r="B66" t="str">
            <v>Total liabilities</v>
          </cell>
          <cell r="C66" t="str">
            <v>TOT_LIAB</v>
          </cell>
          <cell r="D66" t="e">
            <v>#NAME?</v>
          </cell>
        </row>
        <row r="67">
          <cell r="B67" t="str">
            <v>Preferred shares</v>
          </cell>
          <cell r="C67" t="str">
            <v>PREF_SH</v>
          </cell>
          <cell r="D67" t="e">
            <v>#NAME?</v>
          </cell>
        </row>
        <row r="68">
          <cell r="B68" t="str">
            <v>Total common equity</v>
          </cell>
          <cell r="C68" t="str">
            <v>ORD_SH_FUND</v>
          </cell>
          <cell r="D68" t="e">
            <v>#NAME?</v>
          </cell>
        </row>
        <row r="69">
          <cell r="B69" t="str">
            <v>Minority interest</v>
          </cell>
          <cell r="C69" t="str">
            <v>MINORITIES</v>
          </cell>
          <cell r="D69" t="e">
            <v>#NAME?</v>
          </cell>
        </row>
        <row r="70">
          <cell r="B70" t="str">
            <v>Total shareholders' equity</v>
          </cell>
          <cell r="C70" t="str">
            <v>EQ</v>
          </cell>
          <cell r="D70" t="e">
            <v>#NAME?</v>
          </cell>
        </row>
        <row r="71">
          <cell r="B71" t="str">
            <v>Total liabilities and equity</v>
          </cell>
          <cell r="C71" t="str">
            <v>TOT_LIAB_EQ</v>
          </cell>
          <cell r="D71" t="e">
            <v>#NAME?</v>
          </cell>
        </row>
        <row r="72">
          <cell r="A72" t="str">
            <v>Additional Balance Sheet Items</v>
          </cell>
        </row>
        <row r="73">
          <cell r="B73" t="str">
            <v>Total US$ debt (in US$)</v>
          </cell>
          <cell r="C73" t="str">
            <v>TOT_USD_DEBT</v>
          </cell>
        </row>
        <row r="74">
          <cell r="B74" t="str">
            <v>% US$ debt hedged (principal)</v>
          </cell>
          <cell r="C74" t="str">
            <v>TOT_PCT_USD_DEBT_HEDGED</v>
          </cell>
        </row>
        <row r="75">
          <cell r="B75" t="str">
            <v>% Floating debt (local currency debt)</v>
          </cell>
          <cell r="C75" t="str">
            <v>FLOATING_PCT_LOCAL_DEBT</v>
          </cell>
        </row>
        <row r="76">
          <cell r="B76" t="str">
            <v>% floating debt hedged (rates)</v>
          </cell>
          <cell r="C76" t="str">
            <v>FLOATING_PCT_LOCAL_DEBT_HEDGED</v>
          </cell>
        </row>
        <row r="77">
          <cell r="B77" t="str">
            <v>Net debt</v>
          </cell>
          <cell r="C77" t="str">
            <v>NET_DEBT</v>
          </cell>
          <cell r="D77" t="e">
            <v>#NAME?</v>
          </cell>
        </row>
        <row r="78">
          <cell r="B78" t="str">
            <v>Capitalized operating leases (off-balance sheet)</v>
          </cell>
          <cell r="C78" t="str">
            <v>CAP_LEASES</v>
          </cell>
          <cell r="D78" t="e">
            <v>#NAME?</v>
          </cell>
        </row>
        <row r="79">
          <cell r="B79" t="str">
            <v>Deferred income taxes</v>
          </cell>
          <cell r="C79" t="str">
            <v>DEF_INC_TAX</v>
          </cell>
          <cell r="D79" t="e">
            <v>#NAME?</v>
          </cell>
        </row>
        <row r="80">
          <cell r="B80" t="str">
            <v>Associates (mkt value) used in EV calculation</v>
          </cell>
          <cell r="C80" t="str">
            <v>MV_ASSOCIATES</v>
          </cell>
          <cell r="D80" t="e">
            <v>#NAME?</v>
          </cell>
        </row>
        <row r="81">
          <cell r="B81" t="str">
            <v>Net debt adjustment</v>
          </cell>
          <cell r="C81" t="str">
            <v>NET_DEBT_ADJ</v>
          </cell>
          <cell r="D81" t="e">
            <v>#NAME?</v>
          </cell>
        </row>
        <row r="82">
          <cell r="B82" t="str">
            <v>Company borrowing margin</v>
          </cell>
          <cell r="C82" t="str">
            <v>CO_BOR_MARGIN</v>
          </cell>
        </row>
        <row r="83">
          <cell r="B83" t="str">
            <v>Unfunded pensions &amp; other provisions</v>
          </cell>
          <cell r="C83" t="str">
            <v>UNF_PENS</v>
          </cell>
          <cell r="D83" t="e">
            <v>#NAME?</v>
          </cell>
        </row>
        <row r="84">
          <cell r="B84" t="str">
            <v>Unfunded pension liabilities (off balance sheet)</v>
          </cell>
          <cell r="C84" t="str">
            <v>UNF_PENS_OFF</v>
          </cell>
          <cell r="D84" t="e">
            <v>#NAME?</v>
          </cell>
        </row>
        <row r="85">
          <cell r="B85" t="str">
            <v>Unfunded pension liabilities &amp; other, used in EV</v>
          </cell>
          <cell r="C85" t="str">
            <v>UNF_PENS_LIAB_OTH</v>
          </cell>
          <cell r="D85" t="e">
            <v>#NAME?</v>
          </cell>
        </row>
        <row r="86">
          <cell r="B86" t="str">
            <v>Adjustment for unfunded pensions &amp; goodwill</v>
          </cell>
          <cell r="C86" t="str">
            <v>ADJ_UNF_PENS_GOOD</v>
          </cell>
          <cell r="D86" t="e">
            <v>#NAME?</v>
          </cell>
        </row>
        <row r="87">
          <cell r="B87" t="str">
            <v>Other GCI adjustments</v>
          </cell>
          <cell r="C87" t="str">
            <v>OTH_GCI_ADJ</v>
          </cell>
          <cell r="D87" t="e">
            <v>#NAME?</v>
          </cell>
        </row>
        <row r="88">
          <cell r="B88" t="str">
            <v>GCI inflator</v>
          </cell>
          <cell r="C88" t="str">
            <v>GCI_INFL</v>
          </cell>
        </row>
        <row r="89">
          <cell r="B89" t="str">
            <v>Minority interest</v>
          </cell>
          <cell r="C89" t="str">
            <v>BAL_MINO_INT</v>
          </cell>
          <cell r="D89" t="e">
            <v>#NAME?</v>
          </cell>
        </row>
        <row r="90">
          <cell r="B90" t="str">
            <v>Right-of-use assets (op lease assets under US GAAP)</v>
          </cell>
          <cell r="C90" t="str">
            <v>ROU_ASSET</v>
          </cell>
          <cell r="D90" t="e">
            <v>#NAME?</v>
          </cell>
        </row>
        <row r="91">
          <cell r="A91" t="str">
            <v>Cash Flow Statement</v>
          </cell>
        </row>
        <row r="92">
          <cell r="B92" t="str">
            <v>Minority interest add-back</v>
          </cell>
          <cell r="C92" t="str">
            <v>CF_INC_MINORITY</v>
          </cell>
          <cell r="D92" t="e">
            <v>#NAME?</v>
          </cell>
        </row>
        <row r="93">
          <cell r="B93" t="str">
            <v>Depreciation &amp; amortization add-back</v>
          </cell>
          <cell r="C93" t="str">
            <v>DEPR_AMORT</v>
          </cell>
          <cell r="D93" t="e">
            <v>#NAME?</v>
          </cell>
        </row>
        <row r="94">
          <cell r="B94" t="str">
            <v>(Increase)/decrease in working capital</v>
          </cell>
          <cell r="C94" t="str">
            <v>WORK_CAP</v>
          </cell>
          <cell r="D94" t="e">
            <v>#NAME?</v>
          </cell>
        </row>
        <row r="95">
          <cell r="B95" t="str">
            <v>Other operating cash flow items</v>
          </cell>
          <cell r="C95" t="str">
            <v>OTH_OP_CF</v>
          </cell>
          <cell r="D95" t="e">
            <v>#NAME?</v>
          </cell>
        </row>
        <row r="96">
          <cell r="B96" t="str">
            <v>Cash flow from operating activities</v>
          </cell>
          <cell r="C96" t="str">
            <v>CF_OPS</v>
          </cell>
          <cell r="D96" t="e">
            <v>#NAME?</v>
          </cell>
        </row>
        <row r="97">
          <cell r="B97" t="str">
            <v>Capital expenditures, Capex</v>
          </cell>
          <cell r="C97" t="str">
            <v>CAPEX</v>
          </cell>
          <cell r="D97" t="e">
            <v>#NAME?</v>
          </cell>
        </row>
        <row r="98">
          <cell r="B98" t="str">
            <v>Acquisitions</v>
          </cell>
          <cell r="C98" t="str">
            <v>ACQ</v>
          </cell>
          <cell r="D98" t="e">
            <v>#NAME?</v>
          </cell>
        </row>
        <row r="99">
          <cell r="B99" t="str">
            <v>Divestitures</v>
          </cell>
          <cell r="C99" t="str">
            <v>DIVEST</v>
          </cell>
          <cell r="D99" t="e">
            <v>#NAME?</v>
          </cell>
        </row>
        <row r="100">
          <cell r="B100" t="str">
            <v>Other investing cash flow items</v>
          </cell>
          <cell r="C100" t="str">
            <v>OTH_INV_CF</v>
          </cell>
          <cell r="D100" t="e">
            <v>#NAME?</v>
          </cell>
        </row>
        <row r="101">
          <cell r="B101" t="str">
            <v>Cash flow from investing</v>
          </cell>
          <cell r="C101" t="str">
            <v>CF_INV</v>
          </cell>
          <cell r="D101" t="e">
            <v>#NAME?</v>
          </cell>
        </row>
        <row r="102">
          <cell r="B102" t="str">
            <v>Dividends paid</v>
          </cell>
          <cell r="C102" t="str">
            <v>DIV_PAID</v>
          </cell>
          <cell r="D102" t="e">
            <v>#NAME?</v>
          </cell>
        </row>
        <row r="103">
          <cell r="B103" t="str">
            <v>Common stock issuance/(repurchase)</v>
          </cell>
          <cell r="C103" t="str">
            <v>SH_REPUR</v>
          </cell>
          <cell r="D103" t="e">
            <v>#NAME?</v>
          </cell>
        </row>
        <row r="104">
          <cell r="B104" t="str">
            <v>Increase/(decrease) in total debt</v>
          </cell>
          <cell r="C104" t="str">
            <v>CHG_LT_DEBT</v>
          </cell>
          <cell r="D104" t="e">
            <v>#NAME?</v>
          </cell>
        </row>
        <row r="105">
          <cell r="B105" t="str">
            <v>Lease principal payments  (applicable to IFRS cos.)</v>
          </cell>
          <cell r="C105" t="str">
            <v>LEASE_PRINCIPAL_CASH</v>
          </cell>
          <cell r="D105" t="e">
            <v>#NAME?</v>
          </cell>
        </row>
        <row r="106">
          <cell r="B106" t="str">
            <v>Other financing cash flow items</v>
          </cell>
          <cell r="C106" t="str">
            <v>OTH_FIN_CF</v>
          </cell>
          <cell r="D106" t="e">
            <v>#NAME?</v>
          </cell>
        </row>
        <row r="107">
          <cell r="B107" t="str">
            <v>Cash flow from financing</v>
          </cell>
          <cell r="C107" t="str">
            <v>CF_FIN</v>
          </cell>
          <cell r="D107" t="e">
            <v>#NAME?</v>
          </cell>
        </row>
        <row r="108">
          <cell r="B108" t="str">
            <v>Total cash flow</v>
          </cell>
          <cell r="C108" t="str">
            <v>TOT_CF</v>
          </cell>
          <cell r="D108" t="e">
            <v>#NAME?</v>
          </cell>
        </row>
        <row r="109">
          <cell r="A109" t="str">
            <v>Additional Cash Flow Items</v>
          </cell>
        </row>
        <row r="110">
          <cell r="B110" t="str">
            <v>Associate and JV add-back</v>
          </cell>
          <cell r="C110" t="str">
            <v>ASSOC_JV_ADDBK</v>
          </cell>
          <cell r="D110" t="e">
            <v>#NAME?</v>
          </cell>
        </row>
        <row r="111">
          <cell r="B111" t="str">
            <v>Profit/(loss) on sale of assets</v>
          </cell>
          <cell r="C111" t="str">
            <v>PL_SALE_ASSETS</v>
          </cell>
          <cell r="D111" t="e">
            <v>#NAME?</v>
          </cell>
        </row>
        <row r="112">
          <cell r="B112" t="str">
            <v>Other non-cash adjustments</v>
          </cell>
          <cell r="C112" t="str">
            <v>OTH_NONCASH_ADJ</v>
          </cell>
          <cell r="D112" t="e">
            <v>#NAME?</v>
          </cell>
        </row>
        <row r="113">
          <cell r="B113" t="str">
            <v>Other DACF adjustments</v>
          </cell>
          <cell r="C113" t="str">
            <v>OTH_DACF_ADJ</v>
          </cell>
          <cell r="D113" t="e">
            <v>#NAME?</v>
          </cell>
        </row>
        <row r="114">
          <cell r="B114" t="str">
            <v>Cash interest expense</v>
          </cell>
          <cell r="C114" t="str">
            <v>CASH_INT_EXP</v>
          </cell>
          <cell r="D114" t="e">
            <v>#NAME?</v>
          </cell>
        </row>
        <row r="115">
          <cell r="B115" t="str">
            <v>Cash tax expense</v>
          </cell>
          <cell r="C115" t="str">
            <v>CASH_TAX_EXP</v>
          </cell>
          <cell r="D115" t="e">
            <v>#NAME?</v>
          </cell>
        </row>
        <row r="116">
          <cell r="B116" t="str">
            <v>Dividends received from associates/JVs</v>
          </cell>
          <cell r="C116" t="str">
            <v>DIVDS_ASSOC_JV</v>
          </cell>
          <cell r="D116" t="e">
            <v>#NAME?</v>
          </cell>
        </row>
        <row r="117">
          <cell r="B117" t="str">
            <v>Capex maintenance</v>
          </cell>
          <cell r="C117" t="str">
            <v>CAPEX_MAINTENANCE</v>
          </cell>
          <cell r="D117" t="e">
            <v>#NAME?</v>
          </cell>
        </row>
        <row r="118">
          <cell r="B118" t="str">
            <v>Capex expansion</v>
          </cell>
          <cell r="C118" t="str">
            <v>CAPEX_EXPANSION</v>
          </cell>
          <cell r="D118" t="e">
            <v>#NAME?</v>
          </cell>
        </row>
        <row r="119">
          <cell r="B119" t="str">
            <v>Non-PP&amp;E capex</v>
          </cell>
          <cell r="C119" t="str">
            <v>NONPPE_CAPEX</v>
          </cell>
          <cell r="D119" t="e">
            <v>#NAME?</v>
          </cell>
        </row>
        <row r="120">
          <cell r="B120" t="str">
            <v>Dividends paid to minorities</v>
          </cell>
          <cell r="C120" t="str">
            <v>DIVDS_PD_MINORITIES</v>
          </cell>
          <cell r="D120" t="e">
            <v>#NAME?</v>
          </cell>
        </row>
        <row r="121">
          <cell r="A121" t="str">
            <v>Other Items</v>
          </cell>
        </row>
        <row r="122">
          <cell r="B122" t="str">
            <v>Number of employees</v>
          </cell>
          <cell r="C122" t="str">
            <v>EMPLOYEES</v>
          </cell>
        </row>
        <row r="123">
          <cell r="A123" t="str">
            <v>Geographical Breakdown</v>
          </cell>
        </row>
        <row r="124">
          <cell r="B124" t="str">
            <v>Sales - % Canada</v>
          </cell>
          <cell r="C124" t="str">
            <v>SALES_CANADA</v>
          </cell>
        </row>
        <row r="125">
          <cell r="B125" t="str">
            <v>Sales - % United States</v>
          </cell>
          <cell r="C125" t="str">
            <v>SALES_US</v>
          </cell>
        </row>
        <row r="126">
          <cell r="B126" t="str">
            <v>Sales - % Other North Americas</v>
          </cell>
          <cell r="C126" t="str">
            <v>SALES_OTH_NO_AMER</v>
          </cell>
        </row>
        <row r="127">
          <cell r="B127" t="str">
            <v>Sales - % Argentina</v>
          </cell>
          <cell r="C127" t="str">
            <v>SALES_ARGENTINA</v>
          </cell>
        </row>
        <row r="128">
          <cell r="B128" t="str">
            <v>Sales - % Brazil</v>
          </cell>
          <cell r="C128" t="str">
            <v>SALES_BRAZIL</v>
          </cell>
        </row>
        <row r="129">
          <cell r="B129" t="str">
            <v>Sales - % Chile</v>
          </cell>
          <cell r="C129" t="str">
            <v>SALES_CHILE</v>
          </cell>
        </row>
        <row r="130">
          <cell r="B130" t="str">
            <v>Sales - % Colombia</v>
          </cell>
          <cell r="C130" t="str">
            <v>SALES_COLOMBIA</v>
          </cell>
        </row>
        <row r="131">
          <cell r="B131" t="str">
            <v>Sales - % Mexico</v>
          </cell>
          <cell r="C131" t="str">
            <v>SALES_MEXICO</v>
          </cell>
        </row>
        <row r="132">
          <cell r="B132" t="str">
            <v>Sales - % Venezuela</v>
          </cell>
          <cell r="C132" t="str">
            <v>SALES_VENEZUELA</v>
          </cell>
        </row>
        <row r="133">
          <cell r="B133" t="str">
            <v>Sales - % Other Latin Americas</v>
          </cell>
          <cell r="C133" t="str">
            <v>SALES_OTH_LATAM</v>
          </cell>
        </row>
        <row r="134">
          <cell r="B134" t="str">
            <v>Sales - % Austria</v>
          </cell>
          <cell r="C134" t="str">
            <v>SALES_AUSTRIA</v>
          </cell>
        </row>
        <row r="135">
          <cell r="B135" t="str">
            <v>Sales - % Belgium</v>
          </cell>
          <cell r="C135" t="str">
            <v>SALES_BEL</v>
          </cell>
        </row>
        <row r="136">
          <cell r="B136" t="str">
            <v>Sales - % France</v>
          </cell>
          <cell r="C136" t="str">
            <v>SALES_FRA</v>
          </cell>
        </row>
        <row r="137">
          <cell r="B137" t="str">
            <v>Sales - % Germany</v>
          </cell>
          <cell r="C137" t="str">
            <v>SALES_GER</v>
          </cell>
        </row>
        <row r="138">
          <cell r="B138" t="str">
            <v>Sales - % Greece</v>
          </cell>
          <cell r="C138" t="str">
            <v>SALES_GRE</v>
          </cell>
        </row>
        <row r="139">
          <cell r="B139" t="str">
            <v>Sales - % Ireland</v>
          </cell>
          <cell r="C139" t="str">
            <v>SALES_IRE</v>
          </cell>
        </row>
        <row r="140">
          <cell r="B140" t="str">
            <v>Sales - % Italy</v>
          </cell>
          <cell r="C140" t="str">
            <v>SALES_ITA</v>
          </cell>
        </row>
        <row r="141">
          <cell r="B141" t="str">
            <v>Sales - % Netherlands</v>
          </cell>
          <cell r="C141" t="str">
            <v>SALES_NETH</v>
          </cell>
        </row>
        <row r="142">
          <cell r="B142" t="str">
            <v>Sales - % Norway</v>
          </cell>
          <cell r="C142" t="str">
            <v>SALES_NOR</v>
          </cell>
        </row>
        <row r="143">
          <cell r="B143" t="str">
            <v>Sales - % Portugal</v>
          </cell>
          <cell r="C143" t="str">
            <v>SALES_POR</v>
          </cell>
        </row>
        <row r="144">
          <cell r="B144" t="str">
            <v>Sales - % Spain</v>
          </cell>
          <cell r="C144" t="str">
            <v>SALES_SPA</v>
          </cell>
        </row>
        <row r="145">
          <cell r="B145" t="str">
            <v>Sales - % Sweden</v>
          </cell>
          <cell r="C145" t="str">
            <v>SALES_SWE</v>
          </cell>
        </row>
        <row r="146">
          <cell r="B146" t="str">
            <v>Sales - % Switzerland</v>
          </cell>
          <cell r="C146" t="str">
            <v>SALES_SWIT</v>
          </cell>
        </row>
        <row r="147">
          <cell r="B147" t="str">
            <v>Sales - % UK</v>
          </cell>
          <cell r="C147" t="str">
            <v>SALES_UK</v>
          </cell>
        </row>
        <row r="148">
          <cell r="B148" t="str">
            <v>Sales - % Other Western Europe</v>
          </cell>
          <cell r="C148" t="str">
            <v>SALES_OTH_WEST_EURO</v>
          </cell>
        </row>
        <row r="149">
          <cell r="B149" t="str">
            <v>Sales - % Poland</v>
          </cell>
          <cell r="C149" t="str">
            <v>SALES_POLAND</v>
          </cell>
        </row>
        <row r="150">
          <cell r="B150" t="str">
            <v>Sales - % Russia</v>
          </cell>
          <cell r="C150" t="str">
            <v>SALES_RUSSIA</v>
          </cell>
        </row>
        <row r="151">
          <cell r="B151" t="str">
            <v>Sales - % Turkey</v>
          </cell>
          <cell r="C151" t="str">
            <v>SALES_TURKEY</v>
          </cell>
        </row>
        <row r="152">
          <cell r="B152" t="str">
            <v>Sales - % Other CEE</v>
          </cell>
          <cell r="C152" t="str">
            <v>SALES_OTH_CEE</v>
          </cell>
        </row>
        <row r="153">
          <cell r="B153" t="str">
            <v>Sales - % Saudi Arabia</v>
          </cell>
          <cell r="C153" t="str">
            <v>SALES_SAUDI_ARABIA</v>
          </cell>
        </row>
        <row r="154">
          <cell r="B154" t="str">
            <v>Sales - % United Arab Emirates</v>
          </cell>
          <cell r="C154" t="str">
            <v>SALES_UAE</v>
          </cell>
        </row>
        <row r="155">
          <cell r="B155" t="str">
            <v>Sales - % Other Middle East</v>
          </cell>
          <cell r="C155" t="str">
            <v>SALES_OTH_ME</v>
          </cell>
        </row>
        <row r="156">
          <cell r="B156" t="str">
            <v>Sales - % Nigeria</v>
          </cell>
          <cell r="C156" t="str">
            <v>SALES_NIGERIA</v>
          </cell>
        </row>
        <row r="157">
          <cell r="B157" t="str">
            <v>Sales - % South Africa</v>
          </cell>
          <cell r="C157" t="str">
            <v>SALES_SO_AFRICA</v>
          </cell>
        </row>
        <row r="158">
          <cell r="B158" t="str">
            <v>Sales - % Other Africa</v>
          </cell>
          <cell r="C158" t="str">
            <v>SALES_OTH_AFRICA</v>
          </cell>
        </row>
        <row r="159">
          <cell r="B159" t="str">
            <v>Sales - % Hong Kong</v>
          </cell>
          <cell r="C159" t="str">
            <v>SALES_HONG_KONG</v>
          </cell>
        </row>
        <row r="160">
          <cell r="B160" t="str">
            <v>Sales - % Japan</v>
          </cell>
          <cell r="C160" t="str">
            <v>SALES_JAPAN</v>
          </cell>
        </row>
        <row r="161">
          <cell r="B161" t="str">
            <v>Sales - % Singapore</v>
          </cell>
          <cell r="C161" t="str">
            <v>SALES_SINGAPORE</v>
          </cell>
        </row>
        <row r="162">
          <cell r="B162" t="str">
            <v>Sales - % South Korea</v>
          </cell>
          <cell r="C162" t="str">
            <v>SALES_SK</v>
          </cell>
        </row>
        <row r="163">
          <cell r="B163" t="str">
            <v>Sales - % Taiwan</v>
          </cell>
          <cell r="C163" t="str">
            <v>SALES_TAIWAN</v>
          </cell>
        </row>
        <row r="164">
          <cell r="B164" t="str">
            <v>Sales - % Other Developed Asia</v>
          </cell>
          <cell r="C164" t="str">
            <v>SALES_OTH_DEV_ASIA</v>
          </cell>
        </row>
        <row r="165">
          <cell r="B165" t="str">
            <v>Sales - % China</v>
          </cell>
          <cell r="C165" t="str">
            <v>SALES_CHINA</v>
          </cell>
        </row>
        <row r="166">
          <cell r="B166" t="str">
            <v>Sales - % India</v>
          </cell>
          <cell r="C166" t="str">
            <v>SALES_INDIA</v>
          </cell>
        </row>
        <row r="167">
          <cell r="B167" t="str">
            <v>Sales - % Indonesia</v>
          </cell>
          <cell r="C167" t="str">
            <v>SALES_INDONESIA</v>
          </cell>
        </row>
        <row r="168">
          <cell r="B168" t="str">
            <v>Sales - % Thailand</v>
          </cell>
          <cell r="C168" t="str">
            <v>SALES_THAILAND</v>
          </cell>
        </row>
        <row r="169">
          <cell r="B169" t="str">
            <v>Sales - % Other Emerging Asia</v>
          </cell>
          <cell r="C169" t="str">
            <v>SALES_OTH_EMERG_ASIA</v>
          </cell>
        </row>
        <row r="170">
          <cell r="B170" t="str">
            <v>Sales - % Australia</v>
          </cell>
          <cell r="C170" t="str">
            <v>SALES_AUSTRA</v>
          </cell>
        </row>
        <row r="171">
          <cell r="B171" t="str">
            <v>Sales - % New Zealand</v>
          </cell>
          <cell r="C171" t="str">
            <v>SALES_NZ</v>
          </cell>
        </row>
        <row r="172">
          <cell r="B172" t="str">
            <v>Sales - % Others</v>
          </cell>
          <cell r="C172" t="str">
            <v>SALES_OTHER</v>
          </cell>
        </row>
        <row r="173">
          <cell r="B173" t="str">
            <v>% of CoGS from U.S. (GS estimate)</v>
          </cell>
          <cell r="C173" t="str">
            <v>COGS_PCT_US</v>
          </cell>
        </row>
        <row r="174">
          <cell r="B174" t="str">
            <v>% of CoGS from non-U.S. (GS estimate)</v>
          </cell>
          <cell r="C174" t="str">
            <v>COGS_PCT_ROW</v>
          </cell>
        </row>
        <row r="175">
          <cell r="B175" t="str">
            <v>% of SG&amp;A from U.S. (GS estimate)</v>
          </cell>
          <cell r="C175" t="str">
            <v>SGA_PCT_US</v>
          </cell>
        </row>
        <row r="176">
          <cell r="B176" t="str">
            <v>% of SG&amp;A from non-U.S. (GS estimate)</v>
          </cell>
          <cell r="C176" t="str">
            <v>SGA_PCT_ROW</v>
          </cell>
        </row>
        <row r="177">
          <cell r="B177" t="str">
            <v>Sales -% Consumer (C)</v>
          </cell>
          <cell r="C177" t="str">
            <v>SALES_CONS</v>
          </cell>
        </row>
        <row r="178">
          <cell r="B178" t="str">
            <v>Sales -% Industry (I)</v>
          </cell>
          <cell r="C178" t="str">
            <v>SALES_IND</v>
          </cell>
        </row>
        <row r="179">
          <cell r="B179" t="str">
            <v>Sales -% Government (G)</v>
          </cell>
          <cell r="C179" t="str">
            <v>SALES_GOV</v>
          </cell>
        </row>
        <row r="180">
          <cell r="B180" t="str">
            <v>Sales - % Industry Sub-Segment: Financial Services</v>
          </cell>
          <cell r="C180" t="str">
            <v>SALES_FINAN</v>
          </cell>
        </row>
        <row r="181">
          <cell r="B181" t="str">
            <v>Sales - % Industry Sub-Segment: Oil &amp; Gas</v>
          </cell>
          <cell r="C181" t="str">
            <v>SALES_OIL_GAS</v>
          </cell>
        </row>
        <row r="182">
          <cell r="A182" t="str">
            <v>Commodities Exposure - Expense</v>
          </cell>
        </row>
        <row r="183">
          <cell r="B183" t="str">
            <v>Expense - % Oil/Petrol/Fuel</v>
          </cell>
          <cell r="C183" t="str">
            <v>EXP_OIL_PETRO_FUEL</v>
          </cell>
        </row>
        <row r="184">
          <cell r="B184" t="str">
            <v>Expense - % Oil derivatives/NGLs/plastics</v>
          </cell>
          <cell r="C184" t="str">
            <v>EXP_OIL_DERIV_NGLS_PLASTICS</v>
          </cell>
        </row>
        <row r="185">
          <cell r="B185" t="str">
            <v>Expense - % Paper/pulp</v>
          </cell>
          <cell r="C185" t="str">
            <v>EXP_PAPER_PULP</v>
          </cell>
        </row>
        <row r="186">
          <cell r="B186" t="str">
            <v>Expense - % Glass</v>
          </cell>
          <cell r="C186" t="str">
            <v>EXP_GLASS</v>
          </cell>
        </row>
        <row r="187">
          <cell r="B187" t="str">
            <v>Expense - % Water</v>
          </cell>
          <cell r="C187" t="str">
            <v>EXP_WATER</v>
          </cell>
        </row>
        <row r="188">
          <cell r="B188" t="str">
            <v>Expense - % Other commodity</v>
          </cell>
          <cell r="C188" t="str">
            <v>EXP_OTH_COMMODITY</v>
          </cell>
        </row>
        <row r="189">
          <cell r="B189" t="str">
            <v>Expense - % Other (Non-Commodity) cost</v>
          </cell>
          <cell r="C189" t="str">
            <v>EXP_OTH_COST</v>
          </cell>
        </row>
        <row r="190">
          <cell r="A190" t="str">
            <v>FX Exposure - Sales</v>
          </cell>
        </row>
        <row r="191">
          <cell r="B191" t="str">
            <v>Sales - % FX: British Pounds/Pence</v>
          </cell>
          <cell r="C191" t="str">
            <v>SALES_FX_GPB</v>
          </cell>
        </row>
        <row r="192">
          <cell r="B192" t="str">
            <v>Sales - % FX: Euro</v>
          </cell>
          <cell r="C192" t="str">
            <v>SALES_FX_EUR</v>
          </cell>
        </row>
        <row r="193">
          <cell r="B193" t="str">
            <v>Sales - % FX: New Russian Ruble</v>
          </cell>
          <cell r="C193" t="str">
            <v>SALES_FX_RUB</v>
          </cell>
        </row>
        <row r="194">
          <cell r="B194" t="str">
            <v>Sales - % FX: U.S. Dollar</v>
          </cell>
          <cell r="C194" t="str">
            <v>SALES_FX_USD</v>
          </cell>
        </row>
        <row r="195">
          <cell r="B195" t="str">
            <v>Sales - % FX: Brazilian Real</v>
          </cell>
          <cell r="C195" t="str">
            <v>SALES_FX_BRL</v>
          </cell>
        </row>
        <row r="196">
          <cell r="B196" t="str">
            <v>Sales - % FX: Japanese Yen</v>
          </cell>
          <cell r="C196" t="str">
            <v>SALES_FX_YEN</v>
          </cell>
        </row>
        <row r="197">
          <cell r="B197" t="str">
            <v>Sales - % FX: Chinese Renminbi</v>
          </cell>
          <cell r="C197" t="str">
            <v>SALES_FX_CNY</v>
          </cell>
        </row>
        <row r="198">
          <cell r="B198" t="str">
            <v>Sales - % FX: Indian Rupee</v>
          </cell>
          <cell r="C198" t="str">
            <v>SALES_FX_INR</v>
          </cell>
        </row>
        <row r="199">
          <cell r="B199" t="str">
            <v>Sales - % FX: South Korean Won</v>
          </cell>
          <cell r="C199" t="str">
            <v>SALES_FX_KRW</v>
          </cell>
        </row>
        <row r="200">
          <cell r="B200" t="str">
            <v>Sales - % FX: Taiwan Dollar</v>
          </cell>
          <cell r="C200" t="str">
            <v>SALES_FX_TWD</v>
          </cell>
        </row>
        <row r="201">
          <cell r="B201" t="str">
            <v>Sales - % FX: Other Currency</v>
          </cell>
          <cell r="C201" t="str">
            <v>SALES_FX_OTH</v>
          </cell>
        </row>
        <row r="202">
          <cell r="A202" t="str">
            <v>Items to be removed</v>
          </cell>
        </row>
        <row r="203">
          <cell r="B203" t="str">
            <v>Sales - Total % Americas</v>
          </cell>
          <cell r="C203" t="str">
            <v>SALES_TOT_AM</v>
          </cell>
        </row>
        <row r="204">
          <cell r="B204" t="str">
            <v>Sales - % Other Americas</v>
          </cell>
          <cell r="C204" t="str">
            <v>SALES_OTH_AM</v>
          </cell>
        </row>
        <row r="205">
          <cell r="B205" t="str">
            <v>Sales - Total % EMEA</v>
          </cell>
          <cell r="C205" t="str">
            <v>SALES_TOT_EMEA</v>
          </cell>
        </row>
        <row r="206">
          <cell r="B206" t="str">
            <v>Sales - % Western Europe-Ex UK</v>
          </cell>
          <cell r="C206" t="str">
            <v>SALES_EU_EX_UK</v>
          </cell>
        </row>
        <row r="207">
          <cell r="B207" t="str">
            <v>Sales - % Central &amp; Eastern Europe</v>
          </cell>
          <cell r="C207" t="str">
            <v>SALES_CEE</v>
          </cell>
        </row>
        <row r="208">
          <cell r="B208" t="str">
            <v>Sales - % Middle East</v>
          </cell>
          <cell r="C208" t="str">
            <v>SALES_ME</v>
          </cell>
        </row>
        <row r="209">
          <cell r="B209" t="str">
            <v>Sales - % Total Africa</v>
          </cell>
          <cell r="C209" t="str">
            <v>SALES_TOT_AFRICA</v>
          </cell>
        </row>
        <row r="210">
          <cell r="B210" t="str">
            <v>Sales - % Other EMEA</v>
          </cell>
          <cell r="C210" t="str">
            <v>SALES_OTH_EMEA</v>
          </cell>
        </row>
        <row r="211">
          <cell r="B211" t="str">
            <v>Sales - Total % Asia (incl Australia &amp; New Zealand)</v>
          </cell>
          <cell r="C211" t="str">
            <v>SALES_TOT_ASIA</v>
          </cell>
        </row>
        <row r="212">
          <cell r="B212" t="str">
            <v>Sales - % Other Asia</v>
          </cell>
          <cell r="C212" t="str">
            <v>SALES_OTH_AEJ</v>
          </cell>
        </row>
        <row r="213">
          <cell r="A213" t="str">
            <v>Security: FIT Hon Teng</v>
          </cell>
        </row>
        <row r="214">
          <cell r="A214" t="str">
            <v>Reference Data</v>
          </cell>
        </row>
        <row r="215">
          <cell r="B215" t="str">
            <v>Ticker</v>
          </cell>
          <cell r="C215" t="str">
            <v>Ticker</v>
          </cell>
          <cell r="E215" t="str">
            <v>6088.HK</v>
          </cell>
        </row>
        <row r="216">
          <cell r="B216" t="str">
            <v>Security Name</v>
          </cell>
          <cell r="C216" t="str">
            <v>Security Name</v>
          </cell>
          <cell r="E216" t="str">
            <v>FIT Hon Teng</v>
          </cell>
        </row>
        <row r="217">
          <cell r="B217" t="str">
            <v>Interim Type</v>
          </cell>
          <cell r="C217" t="str">
            <v>Interim Type</v>
          </cell>
          <cell r="E217" t="str">
            <v>H</v>
          </cell>
        </row>
        <row r="218">
          <cell r="B218" t="str">
            <v>Publishing Currency</v>
          </cell>
          <cell r="C218" t="str">
            <v>PUB_CURRENCY_ISO</v>
          </cell>
          <cell r="E218" t="str">
            <v>USD</v>
          </cell>
        </row>
        <row r="219">
          <cell r="B219" t="str">
            <v>Pricing Currency</v>
          </cell>
          <cell r="C219" t="str">
            <v>PRICE_CURRENCY_ISO</v>
          </cell>
          <cell r="E219" t="str">
            <v>HKD</v>
          </cell>
        </row>
        <row r="220">
          <cell r="B220" t="str">
            <v>Reporting Currency</v>
          </cell>
          <cell r="C220" t="str">
            <v>CURRENCY_ISO</v>
          </cell>
          <cell r="E220" t="str">
            <v>USD</v>
          </cell>
        </row>
        <row r="221">
          <cell r="A221" t="str">
            <v>General Information</v>
          </cell>
        </row>
        <row r="222">
          <cell r="B222" t="str">
            <v>Asia ex. Japan Investment List</v>
          </cell>
          <cell r="C222" t="str">
            <v>AEJ_LIST</v>
          </cell>
        </row>
        <row r="223">
          <cell r="B223" t="str">
            <v>Asia ex. Japan Conviction List</v>
          </cell>
          <cell r="C223" t="str">
            <v>AEJ_CONVICTION</v>
          </cell>
        </row>
        <row r="224">
          <cell r="B224" t="str">
            <v>Legal rating</v>
          </cell>
          <cell r="C224" t="str">
            <v>LEGAL_RATING</v>
          </cell>
          <cell r="F224"/>
          <cell r="G224"/>
          <cell r="H224"/>
          <cell r="I224"/>
          <cell r="J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</row>
        <row r="225">
          <cell r="B225" t="str">
            <v>Target price</v>
          </cell>
          <cell r="C225" t="str">
            <v>TARGET_PRICE</v>
          </cell>
          <cell r="D225" t="e">
            <v>#NAME?</v>
          </cell>
        </row>
        <row r="226">
          <cell r="B226" t="str">
            <v>Target price period</v>
          </cell>
          <cell r="C226" t="str">
            <v>TP_PERIOD</v>
          </cell>
          <cell r="D226" t="e">
            <v>#NAME?</v>
          </cell>
        </row>
        <row r="227">
          <cell r="B227" t="str">
            <v>Fundamental value</v>
          </cell>
          <cell r="C227" t="str">
            <v>TARGET_PRICE_FUNDAMENTAL</v>
          </cell>
          <cell r="D227" t="e">
            <v>#NAME?</v>
          </cell>
        </row>
        <row r="228">
          <cell r="B228" t="str">
            <v>M&amp;A value</v>
          </cell>
          <cell r="C228" t="str">
            <v>TARGET_PRICE_MA</v>
          </cell>
          <cell r="D228" t="e">
            <v>#NAME?</v>
          </cell>
        </row>
        <row r="229">
          <cell r="B229" t="str">
            <v>Current shares outstanding (mn)</v>
          </cell>
          <cell r="C229" t="str">
            <v>NUM_SH</v>
          </cell>
          <cell r="D229" t="e">
            <v>#NAME?</v>
          </cell>
        </row>
        <row r="230">
          <cell r="B230" t="str">
            <v>Free float</v>
          </cell>
          <cell r="C230" t="str">
            <v>FREE_FLOAT</v>
          </cell>
        </row>
        <row r="231">
          <cell r="B231" t="str">
            <v>Foreign ownership</v>
          </cell>
          <cell r="C231" t="str">
            <v>FOREIGN_HOLDNG</v>
          </cell>
        </row>
        <row r="232">
          <cell r="B232" t="str">
            <v>Catalyst 1 date</v>
          </cell>
          <cell r="C232" t="str">
            <v>CATALYST1_DATE</v>
          </cell>
        </row>
        <row r="233">
          <cell r="B233" t="str">
            <v>Catalyst 1 description</v>
          </cell>
          <cell r="C233" t="str">
            <v>CATALYST1_EVENT</v>
          </cell>
        </row>
        <row r="234">
          <cell r="B234" t="str">
            <v>Catalyst 2 date</v>
          </cell>
          <cell r="C234" t="str">
            <v>CATALYST2_DATE</v>
          </cell>
        </row>
        <row r="235">
          <cell r="B235" t="str">
            <v>Catalyst 2 description</v>
          </cell>
          <cell r="C235" t="str">
            <v>CATALYST2_EVENT</v>
          </cell>
        </row>
        <row r="236">
          <cell r="B236" t="str">
            <v>Catalyst 3 date</v>
          </cell>
          <cell r="C236" t="str">
            <v>CATALYST3_DATE</v>
          </cell>
        </row>
        <row r="237">
          <cell r="B237" t="str">
            <v>Catalyst 3 description</v>
          </cell>
          <cell r="C237" t="str">
            <v>CATALYST3_EVENT</v>
          </cell>
        </row>
        <row r="238">
          <cell r="B238" t="str">
            <v>Catalyst 4 date</v>
          </cell>
          <cell r="C238" t="str">
            <v>CATALYST4_DATE</v>
          </cell>
        </row>
        <row r="239">
          <cell r="B239" t="str">
            <v>Catalyst 4 description</v>
          </cell>
          <cell r="C239" t="str">
            <v>CATALYST4_EVENT</v>
          </cell>
        </row>
        <row r="240">
          <cell r="B240" t="str">
            <v>Catalyst 5 date</v>
          </cell>
          <cell r="C240" t="str">
            <v>CATALYST5_DATE</v>
          </cell>
        </row>
        <row r="241">
          <cell r="B241" t="str">
            <v>Catalyst 5 description</v>
          </cell>
          <cell r="C241" t="str">
            <v>CATALYST5_EVENT</v>
          </cell>
        </row>
        <row r="242">
          <cell r="B242" t="str">
            <v>Target price multiple</v>
          </cell>
          <cell r="C242" t="str">
            <v>PRI_TARG_MULT</v>
          </cell>
        </row>
        <row r="243">
          <cell r="B243" t="str">
            <v>Target price methodology</v>
          </cell>
          <cell r="C243" t="str">
            <v>PRI_TARG_METH</v>
          </cell>
        </row>
        <row r="244">
          <cell r="A244" t="str">
            <v>Publishing Items</v>
          </cell>
          <cell r="B244" t="str">
            <v>Target price methodology</v>
          </cell>
          <cell r="C244" t="str">
            <v>PRI_TARG_METH</v>
          </cell>
        </row>
        <row r="245">
          <cell r="A245" t="str">
            <v>Publishing Items</v>
          </cell>
          <cell r="B245" t="str">
            <v>Book value per share, BVPS (Pub)</v>
          </cell>
          <cell r="C245" t="str">
            <v>BVPS_PUB</v>
          </cell>
          <cell r="D245" t="e">
            <v>#NAME?</v>
          </cell>
        </row>
        <row r="246">
          <cell r="B246" t="str">
            <v>DPS, dividend per share (Pub)</v>
          </cell>
          <cell r="C246" t="str">
            <v>DPS_PUB</v>
          </cell>
          <cell r="D246" t="e">
            <v>#NAME?</v>
          </cell>
        </row>
        <row r="247">
          <cell r="B247" t="str">
            <v>Special dividend per share</v>
          </cell>
          <cell r="C247" t="str">
            <v>DPS_SPECIAL_PUB</v>
          </cell>
          <cell r="D247" t="e">
            <v>#NAME?</v>
          </cell>
        </row>
        <row r="248">
          <cell r="B248" t="str">
            <v>EBITDA (Pub)</v>
          </cell>
          <cell r="C248" t="str">
            <v>EBITDA_PUB</v>
          </cell>
          <cell r="D248" t="e">
            <v>#NAME?</v>
          </cell>
        </row>
        <row r="249">
          <cell r="B249" t="str">
            <v>EPS (Pub)</v>
          </cell>
          <cell r="C249" t="str">
            <v>EPS_PUB</v>
          </cell>
          <cell r="D249" t="e">
            <v>#NAME?</v>
          </cell>
        </row>
        <row r="250">
          <cell r="B250" t="str">
            <v>EV adjustment (Pub)</v>
          </cell>
          <cell r="C250" t="str">
            <v>EV_ADJ_PUB</v>
          </cell>
          <cell r="D250" t="e">
            <v>#NAME?</v>
          </cell>
        </row>
        <row r="251">
          <cell r="B251" t="str">
            <v>Net debt (Pub)</v>
          </cell>
          <cell r="C251" t="str">
            <v>NET_DEBT_PUB</v>
          </cell>
          <cell r="D251" t="e">
            <v>#NAME?</v>
          </cell>
        </row>
        <row r="252">
          <cell r="B252" t="str">
            <v>Net Debt (ex leases) (Pub)</v>
          </cell>
          <cell r="C252" t="str">
            <v>NET_DEBT_EX_LEASES_PUB</v>
          </cell>
          <cell r="D252" t="e">
            <v>#NAME?</v>
          </cell>
        </row>
        <row r="253">
          <cell r="B253" t="str">
            <v>Consensus equivalent net debt</v>
          </cell>
          <cell r="C253" t="str">
            <v>CEEE_NDEBT</v>
          </cell>
          <cell r="D253" t="e">
            <v>#NAME?</v>
          </cell>
        </row>
        <row r="254">
          <cell r="B254" t="str">
            <v>Net income (Pub)</v>
          </cell>
          <cell r="C254" t="str">
            <v>NI_PUB</v>
          </cell>
          <cell r="D254" t="e">
            <v>#NAME?</v>
          </cell>
        </row>
        <row r="255">
          <cell r="B255" t="str">
            <v>EBIT, operating profit (Pub)</v>
          </cell>
          <cell r="C255" t="str">
            <v>EBIT_PUB</v>
          </cell>
          <cell r="D255" t="e">
            <v>#NAME?</v>
          </cell>
        </row>
        <row r="256">
          <cell r="B256" t="str">
            <v>Pre-tax profit (Pub)</v>
          </cell>
          <cell r="C256" t="str">
            <v>PTP_PUB</v>
          </cell>
          <cell r="D256" t="e">
            <v>#NAME?</v>
          </cell>
        </row>
        <row r="257">
          <cell r="B257" t="str">
            <v>Sales, revenue (Pub)</v>
          </cell>
          <cell r="C257" t="str">
            <v>REVS_PUB</v>
          </cell>
          <cell r="D257" t="e">
            <v>#NAME?</v>
          </cell>
        </row>
        <row r="258">
          <cell r="B258" t="str">
            <v>Total shareholders' equity (Pub)</v>
          </cell>
          <cell r="C258" t="str">
            <v>EQ_PUB</v>
          </cell>
          <cell r="D258" t="e">
            <v>#NAME?</v>
          </cell>
        </row>
        <row r="259">
          <cell r="B259" t="str">
            <v>EPS (consensus)</v>
          </cell>
          <cell r="C259" t="str">
            <v>EPS_CONS_PUB</v>
          </cell>
          <cell r="D259" t="e">
            <v>#NAME?</v>
          </cell>
        </row>
        <row r="260">
          <cell r="A260" t="str">
            <v>Income Statement</v>
          </cell>
          <cell r="B260" t="str">
            <v>EPS (consensus)</v>
          </cell>
          <cell r="C260" t="str">
            <v>EPS_CONS_PUB</v>
          </cell>
          <cell r="D260" t="e">
            <v>#NAME?</v>
          </cell>
        </row>
        <row r="261">
          <cell r="A261" t="str">
            <v>Income Statement</v>
          </cell>
          <cell r="B261" t="str">
            <v>Provision for income tax</v>
          </cell>
          <cell r="C261" t="str">
            <v>PROV_INC_TAX</v>
          </cell>
          <cell r="D261" t="e">
            <v>#NAME?</v>
          </cell>
        </row>
        <row r="262">
          <cell r="B262" t="str">
            <v>Minority interest</v>
          </cell>
          <cell r="C262" t="str">
            <v>INC_MINORITY</v>
          </cell>
          <cell r="D262" t="e">
            <v>#NAME?</v>
          </cell>
        </row>
        <row r="263">
          <cell r="B263" t="str">
            <v>Net income (pre-preferred dividends)</v>
          </cell>
          <cell r="C263" t="str">
            <v>NI_PRE_PREF</v>
          </cell>
          <cell r="D263" t="e">
            <v>#NAME?</v>
          </cell>
        </row>
        <row r="264">
          <cell r="B264" t="str">
            <v>Preferred dividends</v>
          </cell>
          <cell r="C264" t="str">
            <v>PREF_DIV</v>
          </cell>
          <cell r="D264" t="e">
            <v>#NAME?</v>
          </cell>
        </row>
        <row r="265">
          <cell r="B265" t="str">
            <v>Net income (pre-exceptionals)</v>
          </cell>
          <cell r="C265" t="str">
            <v>NET_EARNING</v>
          </cell>
          <cell r="D265" t="e">
            <v>#NAME?</v>
          </cell>
        </row>
        <row r="266">
          <cell r="B266" t="str">
            <v>Post-tax exceptionals</v>
          </cell>
          <cell r="C266" t="str">
            <v>TAX_EXC</v>
          </cell>
          <cell r="D266" t="e">
            <v>#NAME?</v>
          </cell>
        </row>
        <row r="267">
          <cell r="B267" t="str">
            <v>Net income (post-exceptionals)</v>
          </cell>
          <cell r="C267" t="str">
            <v>NET_INC</v>
          </cell>
          <cell r="D267" t="e">
            <v>#NAME?</v>
          </cell>
        </row>
        <row r="268">
          <cell r="B268" t="str">
            <v>EPS (pre-exceptionals, basic)</v>
          </cell>
          <cell r="C268" t="str">
            <v>EPS</v>
          </cell>
          <cell r="D268" t="e">
            <v>#NAME?</v>
          </cell>
        </row>
        <row r="269">
          <cell r="B269" t="str">
            <v>EPS (pre-exceptionals, diluted)</v>
          </cell>
          <cell r="C269" t="str">
            <v>EPS_FUL_DIL</v>
          </cell>
          <cell r="D269" t="e">
            <v>#NAME?</v>
          </cell>
        </row>
        <row r="270">
          <cell r="B270" t="str">
            <v>EPS (post-exceptionals, basic)</v>
          </cell>
          <cell r="C270" t="str">
            <v>EPS_POST_BASIC</v>
          </cell>
          <cell r="D270" t="e">
            <v>#NAME?</v>
          </cell>
        </row>
        <row r="271">
          <cell r="B271" t="str">
            <v>EPS (post-exceptionals, diluted)</v>
          </cell>
          <cell r="C271" t="str">
            <v>FULLY_DIL_EPS</v>
          </cell>
          <cell r="D271" t="e">
            <v>#NAME?</v>
          </cell>
        </row>
        <row r="272">
          <cell r="B272" t="str">
            <v>Common dividends paid</v>
          </cell>
          <cell r="C272" t="str">
            <v>COMMON_DIV_PAID</v>
          </cell>
          <cell r="D272" t="e">
            <v>#NAME?</v>
          </cell>
        </row>
        <row r="273">
          <cell r="B273" t="str">
            <v>DPS, dividend per share</v>
          </cell>
          <cell r="C273" t="str">
            <v>DPS</v>
          </cell>
          <cell r="D273" t="e">
            <v>#NAME?</v>
          </cell>
        </row>
        <row r="274">
          <cell r="B274" t="str">
            <v>Weighted average shares outstanding, basic</v>
          </cell>
          <cell r="C274" t="str">
            <v>SH</v>
          </cell>
          <cell r="D274" t="e">
            <v>#NAME?</v>
          </cell>
        </row>
        <row r="275">
          <cell r="B275" t="str">
            <v>Diluted average shares outstanding (mn)</v>
          </cell>
          <cell r="C275" t="str">
            <v>DILUTE_SHARES</v>
          </cell>
        </row>
        <row r="276">
          <cell r="B276" t="str">
            <v>Period-end shares outstanding</v>
          </cell>
          <cell r="C276" t="str">
            <v>NON_OP_ADD</v>
          </cell>
        </row>
        <row r="277">
          <cell r="A277" t="str">
            <v>Additional Income Statement Items</v>
          </cell>
          <cell r="B277" t="str">
            <v>Period-end shares outstanding</v>
          </cell>
          <cell r="C277" t="str">
            <v>NON_OP_ADD</v>
          </cell>
        </row>
        <row r="278">
          <cell r="A278" t="str">
            <v>Additional Income Statement Items</v>
          </cell>
          <cell r="B278" t="str">
            <v>Marginal tax rate</v>
          </cell>
          <cell r="C278" t="str">
            <v>MARGIN_TAX_RATE</v>
          </cell>
        </row>
        <row r="279">
          <cell r="B279" t="str">
            <v>Net income (consensus) (Pub)</v>
          </cell>
          <cell r="C279" t="str">
            <v>NI_CONS</v>
          </cell>
          <cell r="D279" t="e">
            <v>#NAME?</v>
          </cell>
        </row>
        <row r="280">
          <cell r="A280" t="str">
            <v>Balance Sheet</v>
          </cell>
          <cell r="B280" t="str">
            <v>Net income (consensus) (Pub)</v>
          </cell>
          <cell r="C280" t="str">
            <v>NI_CONS</v>
          </cell>
          <cell r="D280" t="e">
            <v>#NAME?</v>
          </cell>
        </row>
        <row r="281">
          <cell r="A281" t="str">
            <v>Balance Sheet</v>
          </cell>
          <cell r="B281" t="str">
            <v>BVPS, book value per share</v>
          </cell>
          <cell r="C281" t="str">
            <v>BVPS</v>
          </cell>
          <cell r="D281" t="e">
            <v>#NAME?</v>
          </cell>
        </row>
        <row r="282">
          <cell r="A282" t="str">
            <v>Cash Flow Statement</v>
          </cell>
          <cell r="B282" t="str">
            <v>BVPS, book value per share</v>
          </cell>
          <cell r="C282" t="str">
            <v>BVPS</v>
          </cell>
          <cell r="D282" t="e">
            <v>#NAME?</v>
          </cell>
        </row>
        <row r="283">
          <cell r="A283" t="str">
            <v>Cash Flow Statement</v>
          </cell>
          <cell r="B283" t="str">
            <v>Net income (pre-preferred dividends)</v>
          </cell>
          <cell r="C283" t="str">
            <v>CF_NI_PRE_PREF</v>
          </cell>
          <cell r="D283" t="e">
            <v>#NAME?</v>
          </cell>
        </row>
        <row r="284">
          <cell r="A284" t="str">
            <v>Other Items</v>
          </cell>
          <cell r="B284" t="str">
            <v>Net income (pre-preferred dividends)</v>
          </cell>
          <cell r="C284" t="str">
            <v>CF_NI_PRE_PREF</v>
          </cell>
          <cell r="D284" t="e">
            <v>#NAME?</v>
          </cell>
        </row>
        <row r="285">
          <cell r="A285" t="str">
            <v>Other Items</v>
          </cell>
          <cell r="B285" t="str">
            <v>Beta</v>
          </cell>
          <cell r="C285" t="str">
            <v>BETA_ANALYST</v>
          </cell>
        </row>
        <row r="286">
          <cell r="B286" t="str">
            <v>Market equity risk premium</v>
          </cell>
          <cell r="C286" t="str">
            <v>MKT_EQ_RISK_PREM</v>
          </cell>
        </row>
        <row r="287">
          <cell r="B287" t="str">
            <v>Risk-free rate</v>
          </cell>
          <cell r="C287" t="str">
            <v>RISK_FR_RATE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Model"/>
      <sheetName val="Assumption"/>
      <sheetName val="SUM"/>
      <sheetName val="PE PB"/>
      <sheetName val="Monthly"/>
      <sheetName val="Raw Data"/>
      <sheetName val="Basic Data TEJ"/>
      <sheetName val="6415.TW_Live_Sheet"/>
      <sheetName val="6415.TW_Validation_Sheet"/>
      <sheetName val="6415.TW_Annotation_Sheet"/>
      <sheetName val="6415.TW_Exchange_Sheet"/>
    </sheetNames>
    <sheetDataSet>
      <sheetData sheetId="0"/>
      <sheetData sheetId="1">
        <row r="8">
          <cell r="U8">
            <v>27433.293000000001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Issuer: Silergy Corp.</v>
          </cell>
          <cell r="C1">
            <v>1738832313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>
            <v>2011</v>
          </cell>
          <cell r="X1">
            <v>2012</v>
          </cell>
          <cell r="Y1">
            <v>2013</v>
          </cell>
          <cell r="Z1">
            <v>2014</v>
          </cell>
          <cell r="AA1">
            <v>2015</v>
          </cell>
          <cell r="AB1">
            <v>2016</v>
          </cell>
          <cell r="AC1">
            <v>2017</v>
          </cell>
          <cell r="AD1">
            <v>2018</v>
          </cell>
          <cell r="AE1">
            <v>2019</v>
          </cell>
          <cell r="AF1">
            <v>2020</v>
          </cell>
          <cell r="AG1">
            <v>2021</v>
          </cell>
          <cell r="AI1" t="str">
            <v>2010 Q1</v>
          </cell>
          <cell r="AJ1" t="str">
            <v>2010 Q2</v>
          </cell>
          <cell r="AK1" t="str">
            <v>2010 Q3</v>
          </cell>
          <cell r="AL1" t="str">
            <v>2010 Q4</v>
          </cell>
          <cell r="AM1" t="str">
            <v>2011 Q1</v>
          </cell>
          <cell r="AN1" t="str">
            <v>2011 Q2</v>
          </cell>
          <cell r="AO1" t="str">
            <v>2011 Q3</v>
          </cell>
          <cell r="AP1" t="str">
            <v>2011 Q4</v>
          </cell>
          <cell r="AQ1" t="str">
            <v>2012 Q1</v>
          </cell>
          <cell r="AR1" t="str">
            <v>2012 Q2</v>
          </cell>
          <cell r="AS1" t="str">
            <v>2012 Q3</v>
          </cell>
          <cell r="AT1" t="str">
            <v>2012 Q4</v>
          </cell>
          <cell r="AU1" t="str">
            <v>2013 Q1</v>
          </cell>
          <cell r="AV1" t="str">
            <v>2013 Q2</v>
          </cell>
          <cell r="AW1" t="str">
            <v>2013 Q3</v>
          </cell>
          <cell r="AX1" t="str">
            <v>2013 Q4</v>
          </cell>
          <cell r="AY1" t="str">
            <v>2014 Q1</v>
          </cell>
          <cell r="AZ1" t="str">
            <v>2014 Q2</v>
          </cell>
          <cell r="BA1" t="str">
            <v>2014 Q3</v>
          </cell>
          <cell r="BB1" t="str">
            <v>2014 Q4</v>
          </cell>
          <cell r="BC1" t="str">
            <v>2015 Q1</v>
          </cell>
          <cell r="BD1" t="str">
            <v>2015 Q2</v>
          </cell>
          <cell r="BE1" t="str">
            <v>2015 Q3</v>
          </cell>
          <cell r="BF1" t="str">
            <v>2015 Q4</v>
          </cell>
          <cell r="BG1" t="str">
            <v>2016 Q1</v>
          </cell>
          <cell r="BH1" t="str">
            <v>2016 Q2</v>
          </cell>
          <cell r="BI1" t="str">
            <v>2016 Q3</v>
          </cell>
          <cell r="BJ1" t="str">
            <v>2016 Q4</v>
          </cell>
          <cell r="BK1" t="str">
            <v>2017 Q1</v>
          </cell>
          <cell r="BL1" t="str">
            <v>2017 Q2</v>
          </cell>
          <cell r="BM1" t="str">
            <v>2017 Q3</v>
          </cell>
          <cell r="BN1" t="str">
            <v>2017 Q4</v>
          </cell>
          <cell r="BO1" t="str">
            <v>2018 Q1</v>
          </cell>
          <cell r="BP1" t="str">
            <v>2018 Q2</v>
          </cell>
          <cell r="BQ1" t="str">
            <v>2018 Q3</v>
          </cell>
          <cell r="BR1" t="str">
            <v>2018 Q4</v>
          </cell>
          <cell r="BS1" t="str">
            <v>2019 Q1</v>
          </cell>
          <cell r="BT1" t="str">
            <v>2019 Q2</v>
          </cell>
          <cell r="BU1" t="str">
            <v>2019 Q3</v>
          </cell>
          <cell r="BV1" t="str">
            <v>2019 Q4</v>
          </cell>
          <cell r="BW1" t="str">
            <v>2020 Q1</v>
          </cell>
          <cell r="BX1" t="str">
            <v>2020 Q2</v>
          </cell>
          <cell r="BY1" t="str">
            <v>2020 Q3</v>
          </cell>
          <cell r="BZ1" t="str">
            <v>2020 Q4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Preliminary</v>
          </cell>
          <cell r="AC2" t="str">
            <v>Preliminary</v>
          </cell>
          <cell r="AD2" t="str">
            <v>Estimate</v>
          </cell>
          <cell r="AE2" t="str">
            <v>Estimate</v>
          </cell>
          <cell r="AF2" t="str">
            <v>Estimate</v>
          </cell>
          <cell r="AG2" t="str">
            <v>Estimate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Actual</v>
          </cell>
          <cell r="AY2" t="str">
            <v>Actual</v>
          </cell>
          <cell r="AZ2" t="str">
            <v>Actual</v>
          </cell>
          <cell r="BA2" t="str">
            <v>Actual</v>
          </cell>
          <cell r="BB2" t="str">
            <v>Actual</v>
          </cell>
          <cell r="BC2" t="str">
            <v>Actual</v>
          </cell>
          <cell r="BD2" t="str">
            <v>Actual</v>
          </cell>
          <cell r="BE2" t="str">
            <v>Actual</v>
          </cell>
          <cell r="BF2" t="str">
            <v>Actual</v>
          </cell>
          <cell r="BG2" t="str">
            <v>Actual</v>
          </cell>
          <cell r="BH2" t="str">
            <v>Actual</v>
          </cell>
          <cell r="BI2" t="str">
            <v>Actual</v>
          </cell>
          <cell r="BJ2" t="str">
            <v>Preliminary</v>
          </cell>
          <cell r="BK2" t="str">
            <v>Preliminary</v>
          </cell>
          <cell r="BL2" t="str">
            <v>Preliminary</v>
          </cell>
          <cell r="BM2" t="str">
            <v>Preliminary</v>
          </cell>
          <cell r="BN2" t="str">
            <v>Preliminary</v>
          </cell>
          <cell r="BO2" t="str">
            <v>Estimate</v>
          </cell>
          <cell r="BP2" t="str">
            <v>Estimate</v>
          </cell>
          <cell r="BQ2" t="str">
            <v>Estimate</v>
          </cell>
          <cell r="BR2" t="str">
            <v>Estimate</v>
          </cell>
          <cell r="BS2" t="str">
            <v>Estimate</v>
          </cell>
          <cell r="BT2" t="str">
            <v>Estimate</v>
          </cell>
          <cell r="BU2" t="str">
            <v>Estimate</v>
          </cell>
          <cell r="BV2" t="str">
            <v>Estimate</v>
          </cell>
          <cell r="BW2" t="str">
            <v>Estimate</v>
          </cell>
          <cell r="BX2" t="str">
            <v>Estimate</v>
          </cell>
          <cell r="BY2" t="str">
            <v>Estimate</v>
          </cell>
          <cell r="BZ2" t="str">
            <v>Estimate</v>
          </cell>
        </row>
        <row r="3"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40543</v>
          </cell>
          <cell r="W3">
            <v>40908</v>
          </cell>
          <cell r="X3">
            <v>41274</v>
          </cell>
          <cell r="Y3">
            <v>41639</v>
          </cell>
          <cell r="Z3">
            <v>42004</v>
          </cell>
          <cell r="AA3">
            <v>42369</v>
          </cell>
          <cell r="AB3">
            <v>42735</v>
          </cell>
          <cell r="AC3">
            <v>43100</v>
          </cell>
          <cell r="AD3">
            <v>43465</v>
          </cell>
          <cell r="AE3">
            <v>43830</v>
          </cell>
          <cell r="AF3">
            <v>44196</v>
          </cell>
          <cell r="AG3">
            <v>44561</v>
          </cell>
          <cell r="AI3">
            <v>40268</v>
          </cell>
          <cell r="AJ3">
            <v>40359</v>
          </cell>
          <cell r="AK3">
            <v>40451</v>
          </cell>
          <cell r="AL3">
            <v>40543</v>
          </cell>
          <cell r="AM3">
            <v>40633</v>
          </cell>
          <cell r="AN3">
            <v>40724</v>
          </cell>
          <cell r="AO3">
            <v>40816</v>
          </cell>
          <cell r="AP3">
            <v>40908</v>
          </cell>
          <cell r="AQ3">
            <v>40999</v>
          </cell>
          <cell r="AR3">
            <v>41090</v>
          </cell>
          <cell r="AS3">
            <v>41182</v>
          </cell>
          <cell r="AT3">
            <v>41274</v>
          </cell>
          <cell r="AU3">
            <v>41364</v>
          </cell>
          <cell r="AV3">
            <v>41455</v>
          </cell>
          <cell r="AW3">
            <v>41547</v>
          </cell>
          <cell r="AX3">
            <v>41639</v>
          </cell>
          <cell r="AY3">
            <v>41729</v>
          </cell>
          <cell r="AZ3">
            <v>41820</v>
          </cell>
          <cell r="BA3">
            <v>41912</v>
          </cell>
          <cell r="BB3">
            <v>42004</v>
          </cell>
          <cell r="BC3">
            <v>42094</v>
          </cell>
          <cell r="BD3">
            <v>42185</v>
          </cell>
          <cell r="BE3">
            <v>42277</v>
          </cell>
          <cell r="BF3">
            <v>42369</v>
          </cell>
          <cell r="BG3">
            <v>42460</v>
          </cell>
          <cell r="BH3">
            <v>42551</v>
          </cell>
          <cell r="BI3">
            <v>42643</v>
          </cell>
          <cell r="BJ3">
            <v>42735</v>
          </cell>
          <cell r="BK3">
            <v>42825</v>
          </cell>
          <cell r="BL3">
            <v>42916</v>
          </cell>
          <cell r="BM3">
            <v>43008</v>
          </cell>
          <cell r="BN3">
            <v>43100</v>
          </cell>
          <cell r="BO3">
            <v>43190</v>
          </cell>
          <cell r="BP3">
            <v>43281</v>
          </cell>
          <cell r="BQ3">
            <v>43373</v>
          </cell>
          <cell r="BR3">
            <v>43465</v>
          </cell>
          <cell r="BS3">
            <v>43555</v>
          </cell>
          <cell r="BT3">
            <v>43646</v>
          </cell>
          <cell r="BU3">
            <v>43738</v>
          </cell>
          <cell r="BV3">
            <v>43830</v>
          </cell>
          <cell r="BW3">
            <v>43921</v>
          </cell>
          <cell r="BX3">
            <v>44012</v>
          </cell>
          <cell r="BY3">
            <v>44104</v>
          </cell>
          <cell r="BZ3">
            <v>44196</v>
          </cell>
        </row>
        <row r="4">
          <cell r="A4" t="str">
            <v>Issuer: Silergy Corp.</v>
          </cell>
          <cell r="B4" t="str">
            <v>44LZY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Silergy Corp.</v>
          </cell>
        </row>
        <row r="7">
          <cell r="B7" t="str">
            <v>Reporting Currency</v>
          </cell>
          <cell r="C7" t="str">
            <v>CURRENCY_ISO</v>
          </cell>
          <cell r="E7" t="str">
            <v>TWD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TWD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2087.181</v>
          </cell>
          <cell r="Z11">
            <v>3272.732</v>
          </cell>
          <cell r="AA11">
            <v>4700.9809999999998</v>
          </cell>
          <cell r="AB11">
            <v>7138.9030000000002</v>
          </cell>
          <cell r="AC11">
            <v>8599.2369999999992</v>
          </cell>
          <cell r="AY11">
            <v>564.11400000000003</v>
          </cell>
          <cell r="AZ11">
            <v>847.77499999999998</v>
          </cell>
          <cell r="BA11">
            <v>914.72</v>
          </cell>
          <cell r="BB11">
            <v>946.12300000000005</v>
          </cell>
          <cell r="BC11">
            <v>903.95100000000002</v>
          </cell>
          <cell r="BD11">
            <v>1250.6949999999999</v>
          </cell>
          <cell r="BE11">
            <v>1192.0050000000001</v>
          </cell>
          <cell r="BF11">
            <v>1354.33</v>
          </cell>
          <cell r="BG11">
            <v>1317.347</v>
          </cell>
          <cell r="BH11">
            <v>1798.6969999999999</v>
          </cell>
          <cell r="BI11">
            <v>1892.903</v>
          </cell>
          <cell r="BJ11">
            <v>2129.9560000000001</v>
          </cell>
          <cell r="BK11">
            <v>1830.566</v>
          </cell>
          <cell r="BL11">
            <v>2184.607</v>
          </cell>
          <cell r="BM11">
            <v>2282.3649999999998</v>
          </cell>
          <cell r="BN11">
            <v>2301.6990000000001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TWD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TWD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-1080.328</v>
          </cell>
          <cell r="Z13">
            <v>-1784.837</v>
          </cell>
          <cell r="AA13">
            <v>-2520.2779999999998</v>
          </cell>
          <cell r="AB13">
            <v>-3738.2930000000001</v>
          </cell>
          <cell r="AC13">
            <v>-4494.6319999999996</v>
          </cell>
          <cell r="AU13">
            <v>-188.34100000000001</v>
          </cell>
          <cell r="AV13">
            <v>-270.827</v>
          </cell>
          <cell r="AW13">
            <v>-274.45499999999998</v>
          </cell>
          <cell r="AX13">
            <v>-346.70499999999998</v>
          </cell>
          <cell r="AY13">
            <v>-297.82400000000001</v>
          </cell>
          <cell r="AZ13">
            <v>-450.935</v>
          </cell>
          <cell r="BA13">
            <v>-514.13199999999995</v>
          </cell>
          <cell r="BB13">
            <v>-521.94600000000003</v>
          </cell>
          <cell r="BC13">
            <v>-474.202</v>
          </cell>
          <cell r="BD13">
            <v>-660.36300000000006</v>
          </cell>
          <cell r="BE13">
            <v>-638.80100000000004</v>
          </cell>
          <cell r="BF13">
            <v>-746.91200000000003</v>
          </cell>
          <cell r="BG13">
            <v>-719.77300000000002</v>
          </cell>
          <cell r="BH13">
            <v>-953.53099999999995</v>
          </cell>
          <cell r="BI13">
            <v>-995.94100000000003</v>
          </cell>
          <cell r="BJ13">
            <v>-1069.048</v>
          </cell>
          <cell r="BK13">
            <v>-949.37599999999998</v>
          </cell>
          <cell r="BL13">
            <v>-1124.5830000000001</v>
          </cell>
          <cell r="BM13">
            <v>-1197.4010000000001</v>
          </cell>
          <cell r="BN13">
            <v>-1223.2719999999999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TWD</v>
          </cell>
          <cell r="Y14">
            <v>-237.68799999999999</v>
          </cell>
          <cell r="Z14">
            <v>-334.34500000000003</v>
          </cell>
          <cell r="AA14">
            <v>-390.84199999999998</v>
          </cell>
          <cell r="AB14">
            <v>-952.697</v>
          </cell>
          <cell r="AC14">
            <v>-1082.7159999999999</v>
          </cell>
        </row>
        <row r="15">
          <cell r="B15" t="str">
            <v>Total operating expense</v>
          </cell>
          <cell r="C15" t="str">
            <v>OP_COST</v>
          </cell>
          <cell r="D15" t="str">
            <v>TWD</v>
          </cell>
          <cell r="Y15">
            <v>-1318.0160000000001</v>
          </cell>
          <cell r="Z15">
            <v>-2119.1819999999998</v>
          </cell>
          <cell r="AA15">
            <v>-2911.12</v>
          </cell>
          <cell r="AB15">
            <v>-4690.99</v>
          </cell>
          <cell r="AC15">
            <v>-5577.348</v>
          </cell>
        </row>
        <row r="16">
          <cell r="B16" t="str">
            <v>R&amp;D expense</v>
          </cell>
          <cell r="C16" t="str">
            <v>RD_EXP</v>
          </cell>
          <cell r="D16" t="str">
            <v>TWD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-234.36799999999999</v>
          </cell>
          <cell r="Z16">
            <v>-390.46899999999999</v>
          </cell>
          <cell r="AA16">
            <v>-614.68399999999997</v>
          </cell>
          <cell r="AB16">
            <v>-1009.598</v>
          </cell>
          <cell r="AC16">
            <v>-1167.951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TWD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TWD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-1552.384</v>
          </cell>
          <cell r="Z18">
            <v>-2509.6509999999998</v>
          </cell>
          <cell r="AA18">
            <v>-3525.8040000000001</v>
          </cell>
          <cell r="AB18">
            <v>-5700.5879999999997</v>
          </cell>
          <cell r="AC18">
            <v>-6745.299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TWD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-1540.5060000000001</v>
          </cell>
          <cell r="Z19">
            <v>-2486.3209999999999</v>
          </cell>
          <cell r="AA19">
            <v>-3486.9830000000002</v>
          </cell>
          <cell r="AB19">
            <v>-5474.1530000000002</v>
          </cell>
          <cell r="AC19">
            <v>-6508.2049999999999</v>
          </cell>
        </row>
        <row r="20">
          <cell r="B20" t="str">
            <v>EBITDA</v>
          </cell>
          <cell r="C20" t="str">
            <v>EBITDA_CALC</v>
          </cell>
          <cell r="D20" t="str">
            <v>TWD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546.67499999999995</v>
          </cell>
          <cell r="Z20">
            <v>786.41099999999994</v>
          </cell>
          <cell r="AA20">
            <v>1213.998</v>
          </cell>
          <cell r="AB20">
            <v>1664.75</v>
          </cell>
          <cell r="AC20">
            <v>2091.0320000000002</v>
          </cell>
        </row>
        <row r="21">
          <cell r="B21" t="str">
            <v>Depreciation</v>
          </cell>
          <cell r="C21" t="str">
            <v>DEPREC</v>
          </cell>
          <cell r="D21" t="str">
            <v>TWD</v>
          </cell>
          <cell r="Y21">
            <v>-8.9700000000000006</v>
          </cell>
          <cell r="Z21">
            <v>-13.863</v>
          </cell>
          <cell r="AA21">
            <v>-18.986999999999998</v>
          </cell>
          <cell r="AB21">
            <v>-26.818000000000001</v>
          </cell>
          <cell r="AC21">
            <v>-34.018000000000001</v>
          </cell>
        </row>
        <row r="22">
          <cell r="B22" t="str">
            <v>Amortization</v>
          </cell>
          <cell r="C22" t="str">
            <v>GOODWILL_AMORT</v>
          </cell>
          <cell r="D22" t="str">
            <v>TWD</v>
          </cell>
          <cell r="Y22">
            <v>-2.9079999999999999</v>
          </cell>
          <cell r="Z22">
            <v>-9.4670000000000005</v>
          </cell>
          <cell r="AA22">
            <v>-19.834</v>
          </cell>
          <cell r="AB22">
            <v>-199.61699999999999</v>
          </cell>
          <cell r="AC22">
            <v>-203.07599999999999</v>
          </cell>
        </row>
        <row r="23">
          <cell r="B23" t="str">
            <v>EBIT, operating profit</v>
          </cell>
          <cell r="C23" t="str">
            <v>EBIT</v>
          </cell>
          <cell r="D23" t="str">
            <v>TWD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534.79700000000003</v>
          </cell>
          <cell r="Z23">
            <v>763.08100000000002</v>
          </cell>
          <cell r="AA23">
            <v>1175.1769999999999</v>
          </cell>
          <cell r="AB23">
            <v>1438.3150000000001</v>
          </cell>
          <cell r="AC23">
            <v>1853.9380000000001</v>
          </cell>
        </row>
        <row r="24">
          <cell r="B24" t="str">
            <v>Interest income</v>
          </cell>
          <cell r="C24" t="str">
            <v>INT_INC_IND</v>
          </cell>
          <cell r="D24" t="str">
            <v>TWD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2.7330000000000001</v>
          </cell>
          <cell r="Z24">
            <v>13.384</v>
          </cell>
          <cell r="AA24">
            <v>16.094999999999999</v>
          </cell>
          <cell r="AB24">
            <v>16.824999999999999</v>
          </cell>
          <cell r="AC24">
            <v>30.835000000000001</v>
          </cell>
        </row>
        <row r="25">
          <cell r="B25" t="str">
            <v>Interest expense</v>
          </cell>
          <cell r="C25" t="str">
            <v>INT_EXP_IND</v>
          </cell>
          <cell r="D25" t="str">
            <v>TWD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-61.765000000000001</v>
          </cell>
          <cell r="AC25">
            <v>-20.556000000000001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TWD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2.7330000000000001</v>
          </cell>
          <cell r="Z26">
            <v>13.384</v>
          </cell>
          <cell r="AA26">
            <v>16.094999999999999</v>
          </cell>
          <cell r="AB26">
            <v>-44.94</v>
          </cell>
          <cell r="AC26">
            <v>10.279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TWD</v>
          </cell>
          <cell r="Z27">
            <v>-10.494</v>
          </cell>
          <cell r="AA27">
            <v>-1.2E-2</v>
          </cell>
          <cell r="AB27">
            <v>-17.513000000000002</v>
          </cell>
          <cell r="AC27">
            <v>-9.6980000000000004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TWD</v>
          </cell>
          <cell r="AA28">
            <v>2.2389999999999999</v>
          </cell>
          <cell r="AB28">
            <v>2.5110000000000001</v>
          </cell>
          <cell r="AC28">
            <v>17.303000000000001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TWD</v>
          </cell>
          <cell r="Y29">
            <v>-7.2050000000000001</v>
          </cell>
          <cell r="Z29">
            <v>21.378</v>
          </cell>
          <cell r="AA29">
            <v>68.138000000000005</v>
          </cell>
          <cell r="AB29">
            <v>119.869</v>
          </cell>
          <cell r="AC29">
            <v>0.92600000000000005</v>
          </cell>
        </row>
        <row r="30">
          <cell r="B30" t="str">
            <v>Pre-tax profit</v>
          </cell>
          <cell r="C30" t="str">
            <v>PT_PROF</v>
          </cell>
          <cell r="D30" t="str">
            <v>TWD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530.32500000000005</v>
          </cell>
          <cell r="Z30">
            <v>787.34900000000005</v>
          </cell>
          <cell r="AA30">
            <v>1261.6369999999999</v>
          </cell>
          <cell r="AB30">
            <v>1498.242</v>
          </cell>
          <cell r="AC30">
            <v>1872.748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TWD</v>
          </cell>
        </row>
        <row r="33">
          <cell r="B33" t="str">
            <v>Lease payments</v>
          </cell>
          <cell r="C33" t="str">
            <v>LEASE_PAY</v>
          </cell>
          <cell r="D33" t="str">
            <v>TWD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TWD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TWD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TWD</v>
          </cell>
          <cell r="AB36">
            <v>-61.765000000000001</v>
          </cell>
          <cell r="AC36">
            <v>-20.556000000000001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TWD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TWD</v>
          </cell>
          <cell r="Y39">
            <v>2334.4749999999999</v>
          </cell>
          <cell r="Z39">
            <v>2458.7370000000001</v>
          </cell>
          <cell r="AA39">
            <v>2353.8969999999999</v>
          </cell>
          <cell r="AB39">
            <v>3347.375</v>
          </cell>
          <cell r="AC39">
            <v>4149.4530000000004</v>
          </cell>
        </row>
        <row r="40">
          <cell r="B40" t="str">
            <v>Accounts receivable</v>
          </cell>
          <cell r="C40" t="str">
            <v>DEBTORS</v>
          </cell>
          <cell r="D40" t="str">
            <v>TWD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163.29</v>
          </cell>
          <cell r="Z40">
            <v>244.96100000000001</v>
          </cell>
          <cell r="AA40">
            <v>328.22500000000002</v>
          </cell>
          <cell r="AB40">
            <v>582.47199999999998</v>
          </cell>
          <cell r="AC40">
            <v>583.44000000000005</v>
          </cell>
        </row>
        <row r="41">
          <cell r="B41" t="str">
            <v>Inventory</v>
          </cell>
          <cell r="C41" t="str">
            <v>STOCKS</v>
          </cell>
          <cell r="D41" t="str">
            <v>TWD</v>
          </cell>
          <cell r="Y41">
            <v>303.76</v>
          </cell>
          <cell r="Z41">
            <v>513.12800000000004</v>
          </cell>
          <cell r="AA41">
            <v>1026.6790000000001</v>
          </cell>
          <cell r="AB41">
            <v>1312.193</v>
          </cell>
          <cell r="AC41">
            <v>1643.8510000000001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TWD</v>
          </cell>
          <cell r="Y42">
            <v>28.209000000001001</v>
          </cell>
          <cell r="Z42">
            <v>81.367000000000004</v>
          </cell>
          <cell r="AA42">
            <v>105.637</v>
          </cell>
          <cell r="AB42">
            <v>89.37</v>
          </cell>
          <cell r="AC42">
            <v>128.31700000000001</v>
          </cell>
        </row>
        <row r="43">
          <cell r="B43" t="str">
            <v>Total current assets</v>
          </cell>
          <cell r="C43" t="str">
            <v>CUR_ASS</v>
          </cell>
          <cell r="D43" t="str">
            <v>TWD</v>
          </cell>
          <cell r="Y43">
            <v>2829.7339999999999</v>
          </cell>
          <cell r="Z43">
            <v>3298.1930000000002</v>
          </cell>
          <cell r="AA43">
            <v>3814.4380000000001</v>
          </cell>
          <cell r="AB43">
            <v>5331.41</v>
          </cell>
          <cell r="AC43">
            <v>6505.0609999999997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TWD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90.378</v>
          </cell>
          <cell r="Z44">
            <v>135.291</v>
          </cell>
          <cell r="AA44">
            <v>180.90299999999999</v>
          </cell>
          <cell r="AB44">
            <v>473.53</v>
          </cell>
          <cell r="AC44">
            <v>809.875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TWD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-22.332000000000001</v>
          </cell>
          <cell r="Z45">
            <v>-37.646999999999998</v>
          </cell>
          <cell r="AA45">
            <v>-71.415000000000006</v>
          </cell>
          <cell r="AB45">
            <v>-86.174000000000007</v>
          </cell>
          <cell r="AC45">
            <v>-111.78100000000001</v>
          </cell>
        </row>
        <row r="46">
          <cell r="B46" t="str">
            <v>Net PP&amp;E</v>
          </cell>
          <cell r="C46" t="str">
            <v>NET_FIX_ASS</v>
          </cell>
          <cell r="D46" t="str">
            <v>TWD</v>
          </cell>
          <cell r="Y46">
            <v>68.046000000000006</v>
          </cell>
          <cell r="Z46">
            <v>97.644000000000005</v>
          </cell>
          <cell r="AA46">
            <v>109.488</v>
          </cell>
          <cell r="AB46">
            <v>387.35599999999999</v>
          </cell>
          <cell r="AC46">
            <v>698.09400000000005</v>
          </cell>
        </row>
        <row r="47">
          <cell r="B47" t="str">
            <v>Gross intangibles</v>
          </cell>
          <cell r="C47" t="str">
            <v>GR_INTANG</v>
          </cell>
          <cell r="D47" t="str">
            <v>TWD</v>
          </cell>
          <cell r="Y47">
            <v>-0.85599999999999998</v>
          </cell>
          <cell r="Z47">
            <v>301.70499999999998</v>
          </cell>
          <cell r="AA47">
            <v>382.50700000000001</v>
          </cell>
          <cell r="AB47">
            <v>182.89</v>
          </cell>
          <cell r="AC47">
            <v>-20.186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TWD</v>
          </cell>
          <cell r="Y48">
            <v>-2.9079999999999999</v>
          </cell>
          <cell r="Z48">
            <v>-12.375</v>
          </cell>
          <cell r="AA48">
            <v>-32.209000000000003</v>
          </cell>
          <cell r="AB48">
            <v>-231.82599999999999</v>
          </cell>
          <cell r="AC48">
            <v>-434.90199999999999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TWD</v>
          </cell>
          <cell r="Y49">
            <v>2.052</v>
          </cell>
          <cell r="Z49">
            <v>314.08</v>
          </cell>
          <cell r="AA49">
            <v>414.71600000000001</v>
          </cell>
          <cell r="AB49">
            <v>414.71600000000001</v>
          </cell>
          <cell r="AC49">
            <v>414.71600000000001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TWD</v>
          </cell>
          <cell r="Z50">
            <v>168.761</v>
          </cell>
          <cell r="AA50">
            <v>821.86</v>
          </cell>
          <cell r="AB50">
            <v>793.43</v>
          </cell>
          <cell r="AC50">
            <v>902.56700000000001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TWD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TWD</v>
          </cell>
          <cell r="Y52">
            <v>30.538</v>
          </cell>
          <cell r="Z52">
            <v>34.760000000001</v>
          </cell>
          <cell r="AA52">
            <v>174.745000000001</v>
          </cell>
          <cell r="AB52">
            <v>3901.163</v>
          </cell>
          <cell r="AC52">
            <v>3571.02</v>
          </cell>
        </row>
        <row r="53">
          <cell r="B53" t="str">
            <v>Total assets</v>
          </cell>
          <cell r="C53" t="str">
            <v>TOT_ASSET</v>
          </cell>
          <cell r="D53" t="str">
            <v>TWD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2930.37</v>
          </cell>
          <cell r="Z53">
            <v>3913.4380000000001</v>
          </cell>
          <cell r="AA53">
            <v>5335.2470000000003</v>
          </cell>
          <cell r="AB53">
            <v>10828.075000000001</v>
          </cell>
          <cell r="AC53">
            <v>12091.458000000001</v>
          </cell>
        </row>
        <row r="54">
          <cell r="B54" t="str">
            <v>Accounts payable</v>
          </cell>
          <cell r="C54" t="str">
            <v>ACC_PAY_GQ</v>
          </cell>
          <cell r="D54" t="str">
            <v>TWD</v>
          </cell>
          <cell r="Y54">
            <v>99.242999999999995</v>
          </cell>
          <cell r="Z54">
            <v>223.38499999999999</v>
          </cell>
          <cell r="AA54">
            <v>356.09199999999998</v>
          </cell>
          <cell r="AB54">
            <v>460.31799999999998</v>
          </cell>
          <cell r="AC54">
            <v>416.73500000000001</v>
          </cell>
        </row>
        <row r="55">
          <cell r="B55" t="str">
            <v>Short-term debt</v>
          </cell>
          <cell r="C55" t="str">
            <v>SHORT_T_DEBT</v>
          </cell>
          <cell r="D55" t="str">
            <v>TWD</v>
          </cell>
          <cell r="AB55">
            <v>10.17</v>
          </cell>
          <cell r="AC55">
            <v>0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TWD</v>
          </cell>
          <cell r="Y56">
            <v>138.78100000000001</v>
          </cell>
          <cell r="Z56">
            <v>178.53700000000001</v>
          </cell>
          <cell r="AA56">
            <v>371.24</v>
          </cell>
          <cell r="AB56">
            <v>322.44600000000003</v>
          </cell>
          <cell r="AC56">
            <v>383.91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TWD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238.024</v>
          </cell>
          <cell r="Z57">
            <v>401.92200000000003</v>
          </cell>
          <cell r="AA57">
            <v>727.33199999999999</v>
          </cell>
          <cell r="AB57">
            <v>792.93399999999997</v>
          </cell>
          <cell r="AC57">
            <v>800.64499999999998</v>
          </cell>
        </row>
        <row r="58">
          <cell r="B58" t="str">
            <v>Long-term  debt</v>
          </cell>
          <cell r="C58" t="str">
            <v>LT_DEBT</v>
          </cell>
          <cell r="D58" t="str">
            <v>TWD</v>
          </cell>
          <cell r="AB58">
            <v>0</v>
          </cell>
          <cell r="AC58">
            <v>0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TWD</v>
          </cell>
          <cell r="AA59">
            <v>6.3E-2</v>
          </cell>
          <cell r="AB59">
            <v>1840.3810000000001</v>
          </cell>
          <cell r="AC59">
            <v>720.40700000000004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TWD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6.3E-2</v>
          </cell>
          <cell r="AB60">
            <v>1840.3810000000001</v>
          </cell>
          <cell r="AC60">
            <v>720.40700000000004</v>
          </cell>
        </row>
        <row r="61">
          <cell r="B61" t="str">
            <v>Total liabilities</v>
          </cell>
          <cell r="C61" t="str">
            <v>TOT_LIAB</v>
          </cell>
          <cell r="D61" t="str">
            <v>TWD</v>
          </cell>
          <cell r="Y61">
            <v>238.024</v>
          </cell>
          <cell r="Z61">
            <v>401.92200000000003</v>
          </cell>
          <cell r="AA61">
            <v>727.39499999999998</v>
          </cell>
          <cell r="AB61">
            <v>2633.3150000000001</v>
          </cell>
          <cell r="AC61">
            <v>1521.0519999999999</v>
          </cell>
        </row>
        <row r="62">
          <cell r="B62" t="str">
            <v>Preferred shares</v>
          </cell>
          <cell r="C62" t="str">
            <v>PREF_SH</v>
          </cell>
          <cell r="D62" t="str">
            <v>TWD</v>
          </cell>
        </row>
        <row r="63">
          <cell r="B63" t="str">
            <v>Total common equity</v>
          </cell>
          <cell r="C63" t="str">
            <v>ORD_SH_FUND</v>
          </cell>
          <cell r="D63" t="str">
            <v>TWD</v>
          </cell>
          <cell r="Y63">
            <v>2692.346</v>
          </cell>
          <cell r="Z63">
            <v>3511.5160000000001</v>
          </cell>
          <cell r="AA63">
            <v>4607.8519999999999</v>
          </cell>
          <cell r="AB63">
            <v>8194.76</v>
          </cell>
          <cell r="AC63">
            <v>10570.406000000001</v>
          </cell>
        </row>
        <row r="64">
          <cell r="B64" t="str">
            <v>Minority interest</v>
          </cell>
          <cell r="C64" t="str">
            <v>MINORITIES</v>
          </cell>
          <cell r="D64" t="str">
            <v>TWD</v>
          </cell>
          <cell r="AB64">
            <v>0</v>
          </cell>
          <cell r="AC64">
            <v>0</v>
          </cell>
        </row>
        <row r="65">
          <cell r="B65" t="str">
            <v>Total shareholders' equity</v>
          </cell>
          <cell r="C65" t="str">
            <v>EQ</v>
          </cell>
          <cell r="D65" t="str">
            <v>TWD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2692.346</v>
          </cell>
          <cell r="Z65">
            <v>3511.5160000000001</v>
          </cell>
          <cell r="AA65">
            <v>4607.8519999999999</v>
          </cell>
          <cell r="AB65">
            <v>8194.76</v>
          </cell>
          <cell r="AC65">
            <v>10570.406000000001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TWD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2930.37</v>
          </cell>
          <cell r="Z66">
            <v>3913.4380000000001</v>
          </cell>
          <cell r="AA66">
            <v>5335.2470000000003</v>
          </cell>
          <cell r="AB66">
            <v>10828.075000000001</v>
          </cell>
          <cell r="AC66">
            <v>12091.458000000001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</row>
        <row r="69">
          <cell r="B69" t="str">
            <v>% US$ debt hedged (principal)</v>
          </cell>
          <cell r="C69" t="str">
            <v>TOT_PCT_USD_DEBT_HEDGED</v>
          </cell>
        </row>
        <row r="70">
          <cell r="B70" t="str">
            <v>% Floating debt (local currency debt)</v>
          </cell>
          <cell r="C70" t="str">
            <v>FLOATING_PCT_LOCAL_DEBT</v>
          </cell>
        </row>
        <row r="71">
          <cell r="B71" t="str">
            <v>% floating debt hedged (rates)</v>
          </cell>
          <cell r="C71" t="str">
            <v>FLOATING_PCT_LOCAL_DEBT_HEDGED</v>
          </cell>
        </row>
        <row r="72">
          <cell r="B72" t="str">
            <v>Net debt</v>
          </cell>
          <cell r="C72" t="str">
            <v>NET_DEBT</v>
          </cell>
          <cell r="D72" t="str">
            <v>TWD</v>
          </cell>
          <cell r="Y72">
            <v>-2334.4749999999999</v>
          </cell>
          <cell r="Z72">
            <v>-2458.7370000000001</v>
          </cell>
          <cell r="AA72">
            <v>-2353.8969999999999</v>
          </cell>
          <cell r="AB72">
            <v>-3337.2049999999999</v>
          </cell>
          <cell r="AC72">
            <v>-4149.4530000000004</v>
          </cell>
        </row>
        <row r="73">
          <cell r="B73" t="str">
            <v>Capitalized leases</v>
          </cell>
          <cell r="C73" t="str">
            <v>CAP_LEASES</v>
          </cell>
          <cell r="D73" t="str">
            <v>TWD</v>
          </cell>
        </row>
        <row r="74">
          <cell r="B74" t="str">
            <v>Deferred income taxes</v>
          </cell>
          <cell r="C74" t="str">
            <v>DEF_INC_TAX</v>
          </cell>
          <cell r="D74" t="str">
            <v>TWD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str">
            <v>TWD</v>
          </cell>
        </row>
        <row r="76">
          <cell r="B76" t="str">
            <v>Net debt adjustment</v>
          </cell>
          <cell r="C76" t="str">
            <v>NET_DEBT_ADJ</v>
          </cell>
          <cell r="D76" t="str">
            <v>TWD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 t="str">
            <v>TWD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str">
            <v>TWD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str">
            <v>TWD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str">
            <v>TWD</v>
          </cell>
          <cell r="Y81">
            <v>-2.052</v>
          </cell>
          <cell r="Z81">
            <v>-314.08</v>
          </cell>
          <cell r="AA81">
            <v>-414.71600000000001</v>
          </cell>
          <cell r="AB81">
            <v>-414.71600000000001</v>
          </cell>
          <cell r="AC81">
            <v>-414.71600000000001</v>
          </cell>
        </row>
        <row r="82">
          <cell r="B82" t="str">
            <v>Other GCI adjustments</v>
          </cell>
          <cell r="C82" t="str">
            <v>OTH_GCI_ADJ</v>
          </cell>
          <cell r="D82" t="str">
            <v>TWD</v>
          </cell>
          <cell r="Y82">
            <v>2334.4749999999999</v>
          </cell>
          <cell r="Z82">
            <v>2458.7370000000001</v>
          </cell>
          <cell r="AA82">
            <v>2353.8969999999999</v>
          </cell>
          <cell r="AB82">
            <v>3337.2049999999999</v>
          </cell>
          <cell r="AC82">
            <v>4149.4530000000004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 t="str">
            <v>TWD</v>
          </cell>
          <cell r="AB84">
            <v>0</v>
          </cell>
          <cell r="AC84">
            <v>0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TWD</v>
          </cell>
          <cell r="AA86">
            <v>-6.0000000000000001E-3</v>
          </cell>
          <cell r="AB86">
            <v>0</v>
          </cell>
          <cell r="AC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TWD</v>
          </cell>
          <cell r="Y87">
            <v>11.878</v>
          </cell>
          <cell r="Z87">
            <v>23.33</v>
          </cell>
          <cell r="AA87">
            <v>38.820999999999998</v>
          </cell>
          <cell r="AB87">
            <v>226.435</v>
          </cell>
          <cell r="AC87">
            <v>237.09399999999999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TWD</v>
          </cell>
          <cell r="Y88">
            <v>-367.80700000000002</v>
          </cell>
          <cell r="Z88">
            <v>-166.89699999999999</v>
          </cell>
          <cell r="AA88">
            <v>-464.108</v>
          </cell>
          <cell r="AB88">
            <v>-435.53500000000003</v>
          </cell>
          <cell r="AC88">
            <v>-376.209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TWD</v>
          </cell>
          <cell r="Y89">
            <v>413.50299999999999</v>
          </cell>
          <cell r="Z89">
            <v>129.452</v>
          </cell>
          <cell r="AA89">
            <v>142.82700000000099</v>
          </cell>
          <cell r="AB89">
            <v>335.38099999999901</v>
          </cell>
          <cell r="AC89">
            <v>179.655000000001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TWD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587.875</v>
          </cell>
          <cell r="Z90">
            <v>786.61500000000001</v>
          </cell>
          <cell r="AA90">
            <v>918.78099999999995</v>
          </cell>
          <cell r="AB90">
            <v>1595.9369999999999</v>
          </cell>
          <cell r="AC90">
            <v>1858.9179999999999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TWD</v>
          </cell>
          <cell r="Y91">
            <v>-31.338999999999999</v>
          </cell>
          <cell r="Z91">
            <v>-38.034999999999997</v>
          </cell>
          <cell r="AA91">
            <v>-29.111999999999998</v>
          </cell>
          <cell r="AB91">
            <v>-308.82400000000001</v>
          </cell>
          <cell r="AC91">
            <v>-397.36099999999999</v>
          </cell>
        </row>
        <row r="92">
          <cell r="B92" t="str">
            <v>Acquisitions</v>
          </cell>
          <cell r="C92" t="str">
            <v>ACQ</v>
          </cell>
          <cell r="D92" t="str">
            <v>TWD</v>
          </cell>
          <cell r="Y92">
            <v>-35.536000000000001</v>
          </cell>
          <cell r="Z92">
            <v>-504.97199999999998</v>
          </cell>
          <cell r="AA92">
            <v>-913.56600000000003</v>
          </cell>
          <cell r="AB92">
            <v>-4051.5569999999998</v>
          </cell>
          <cell r="AC92">
            <v>-137.69900000000001</v>
          </cell>
        </row>
        <row r="93">
          <cell r="B93" t="str">
            <v>Divestitures</v>
          </cell>
          <cell r="C93" t="str">
            <v>DIVEST</v>
          </cell>
          <cell r="D93" t="str">
            <v>TWD</v>
          </cell>
          <cell r="Y93">
            <v>3.7999999999999999E-2</v>
          </cell>
          <cell r="AB93">
            <v>136.43899999999999</v>
          </cell>
          <cell r="AC93">
            <v>145.93100000000001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TWD</v>
          </cell>
          <cell r="Y94">
            <v>245.78700000000001</v>
          </cell>
          <cell r="Z94">
            <v>31.771000000000001</v>
          </cell>
          <cell r="AA94">
            <v>245.66200000000001</v>
          </cell>
          <cell r="AB94">
            <v>-171.80600000000001</v>
          </cell>
          <cell r="AC94">
            <v>-341.86099999999999</v>
          </cell>
        </row>
        <row r="95">
          <cell r="B95" t="str">
            <v>Cash flow from investing</v>
          </cell>
          <cell r="C95" t="str">
            <v>CF_INV</v>
          </cell>
          <cell r="D95" t="str">
            <v>TWD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178.95</v>
          </cell>
          <cell r="Z95">
            <v>-511.23599999999999</v>
          </cell>
          <cell r="AA95">
            <v>-697.01599999999996</v>
          </cell>
          <cell r="AB95">
            <v>-4395.7479999999996</v>
          </cell>
          <cell r="AC95">
            <v>-730.99</v>
          </cell>
        </row>
        <row r="96">
          <cell r="B96" t="str">
            <v>Dividends paid</v>
          </cell>
          <cell r="C96" t="str">
            <v>DIV_PAID</v>
          </cell>
          <cell r="D96" t="str">
            <v>TWD</v>
          </cell>
          <cell r="Z96">
            <v>-162.59700000000001</v>
          </cell>
          <cell r="AA96">
            <v>-321.62799999999999</v>
          </cell>
          <cell r="AB96">
            <v>-820.30067237097398</v>
          </cell>
          <cell r="AC96">
            <v>0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TWD</v>
          </cell>
          <cell r="Y97">
            <v>1068.711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TWD</v>
          </cell>
          <cell r="AB98">
            <v>10.17</v>
          </cell>
          <cell r="AC98">
            <v>-10.17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TWD</v>
          </cell>
          <cell r="Y99">
            <v>2.3029999999999999</v>
          </cell>
          <cell r="Z99">
            <v>11.48</v>
          </cell>
          <cell r="AA99">
            <v>-4.9770000000000003</v>
          </cell>
          <cell r="AB99">
            <v>4603.4196723709701</v>
          </cell>
          <cell r="AC99">
            <v>-315.68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TWD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1071.0139999999999</v>
          </cell>
          <cell r="Z100">
            <v>-151.11699999999999</v>
          </cell>
          <cell r="AA100">
            <v>-326.60500000000002</v>
          </cell>
          <cell r="AB100">
            <v>3793.2890000000002</v>
          </cell>
          <cell r="AC100">
            <v>-325.85000000000002</v>
          </cell>
        </row>
        <row r="101">
          <cell r="B101" t="str">
            <v>Total cash flow</v>
          </cell>
          <cell r="C101" t="str">
            <v>TOT_CF</v>
          </cell>
          <cell r="D101" t="str">
            <v>TWD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1837.8389999999999</v>
          </cell>
          <cell r="Z101">
            <v>124.262</v>
          </cell>
          <cell r="AA101">
            <v>-104.84</v>
          </cell>
          <cell r="AB101">
            <v>993.47799999999995</v>
          </cell>
          <cell r="AC101">
            <v>802.07799999999997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TWD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TWD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TWD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TWD</v>
          </cell>
        </row>
        <row r="107">
          <cell r="B107" t="str">
            <v>Cash interest expense</v>
          </cell>
          <cell r="C107" t="str">
            <v>CASH_INT_EXP</v>
          </cell>
          <cell r="D107" t="str">
            <v>TWD</v>
          </cell>
        </row>
        <row r="108">
          <cell r="B108" t="str">
            <v>Cash tax expense</v>
          </cell>
          <cell r="C108" t="str">
            <v>CASH_TAX_EXP</v>
          </cell>
          <cell r="D108" t="str">
            <v>TWD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str">
            <v>TWD</v>
          </cell>
        </row>
        <row r="110">
          <cell r="B110" t="str">
            <v>Capex maintenance</v>
          </cell>
          <cell r="C110" t="str">
            <v>CAPEX_MAINTENANCE</v>
          </cell>
          <cell r="D110" t="str">
            <v>TWD</v>
          </cell>
        </row>
        <row r="111">
          <cell r="B111" t="str">
            <v>Capex expansion</v>
          </cell>
          <cell r="C111" t="str">
            <v>CAPEX_EXPANSION</v>
          </cell>
          <cell r="D111" t="str">
            <v>TWD</v>
          </cell>
        </row>
        <row r="112">
          <cell r="B112" t="str">
            <v>Non-PP&amp;E capex</v>
          </cell>
          <cell r="C112" t="str">
            <v>NONPPE_CAPEX</v>
          </cell>
          <cell r="D112" t="str">
            <v>TWD</v>
          </cell>
        </row>
        <row r="113">
          <cell r="B113" t="str">
            <v>Dividends paid to minorities</v>
          </cell>
          <cell r="C113" t="str">
            <v>DIVDS_PD_MINORITIES</v>
          </cell>
          <cell r="D113" t="str">
            <v>TWD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283</v>
          </cell>
          <cell r="Z115">
            <v>355</v>
          </cell>
          <cell r="AA115">
            <v>428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  <cell r="L118">
            <v>0.20073188199299999</v>
          </cell>
          <cell r="M118">
            <v>0.20073188199299999</v>
          </cell>
          <cell r="N118">
            <v>0.20073188199299999</v>
          </cell>
          <cell r="O118">
            <v>0.20073188199299999</v>
          </cell>
          <cell r="P118">
            <v>0.20073188199299999</v>
          </cell>
          <cell r="Q118">
            <v>0.20073188199299999</v>
          </cell>
          <cell r="R118">
            <v>0.20073188199299999</v>
          </cell>
          <cell r="S118">
            <v>0.20073188199299999</v>
          </cell>
          <cell r="T118">
            <v>0.20073188199299999</v>
          </cell>
          <cell r="U118">
            <v>0.20073188199299999</v>
          </cell>
          <cell r="V118">
            <v>0.20073188199299999</v>
          </cell>
          <cell r="W118">
            <v>0.20073188199299999</v>
          </cell>
          <cell r="X118">
            <v>0.20073188199299999</v>
          </cell>
          <cell r="Y118">
            <v>0.20073188199299999</v>
          </cell>
          <cell r="Z118">
            <v>0.20073188199299999</v>
          </cell>
          <cell r="AA118">
            <v>0.20073188199299999</v>
          </cell>
          <cell r="AB118">
            <v>0.20073188199299999</v>
          </cell>
          <cell r="AC118">
            <v>0.20073188199299999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  <cell r="L153">
            <v>0.1</v>
          </cell>
          <cell r="M153">
            <v>0.1</v>
          </cell>
          <cell r="N153">
            <v>0.1</v>
          </cell>
          <cell r="O153">
            <v>0.1</v>
          </cell>
          <cell r="P153">
            <v>0.1</v>
          </cell>
          <cell r="Q153">
            <v>0.1</v>
          </cell>
          <cell r="R153">
            <v>0.1</v>
          </cell>
          <cell r="S153">
            <v>0.1</v>
          </cell>
          <cell r="T153">
            <v>0.1</v>
          </cell>
          <cell r="U153">
            <v>0.1</v>
          </cell>
          <cell r="V153">
            <v>0.1</v>
          </cell>
          <cell r="W153">
            <v>0.1</v>
          </cell>
          <cell r="X153">
            <v>0.1</v>
          </cell>
          <cell r="Y153">
            <v>0.1</v>
          </cell>
          <cell r="Z153">
            <v>0.1</v>
          </cell>
          <cell r="AA153">
            <v>0.1</v>
          </cell>
          <cell r="AB153">
            <v>0.1</v>
          </cell>
          <cell r="AC153">
            <v>0.1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  <cell r="L155">
            <v>0.1</v>
          </cell>
          <cell r="M155">
            <v>0.1</v>
          </cell>
          <cell r="N155">
            <v>0.1</v>
          </cell>
          <cell r="O155">
            <v>0.1</v>
          </cell>
          <cell r="P155">
            <v>0.1</v>
          </cell>
          <cell r="Q155">
            <v>0.1</v>
          </cell>
          <cell r="R155">
            <v>0.1</v>
          </cell>
          <cell r="S155">
            <v>0.1</v>
          </cell>
          <cell r="T155">
            <v>0.1</v>
          </cell>
          <cell r="U155">
            <v>0.1</v>
          </cell>
          <cell r="V155">
            <v>0.1</v>
          </cell>
          <cell r="W155">
            <v>0.1</v>
          </cell>
          <cell r="X155">
            <v>0.1</v>
          </cell>
          <cell r="Y155">
            <v>0.1</v>
          </cell>
          <cell r="Z155">
            <v>0.1</v>
          </cell>
          <cell r="AA155">
            <v>0.1</v>
          </cell>
          <cell r="AB155">
            <v>0.1</v>
          </cell>
          <cell r="AC155">
            <v>0.1</v>
          </cell>
        </row>
        <row r="156">
          <cell r="B156" t="str">
            <v>Sales - % Taiwan</v>
          </cell>
          <cell r="C156" t="str">
            <v>SALES_TAIWAN</v>
          </cell>
          <cell r="L156">
            <v>0.2</v>
          </cell>
          <cell r="M156">
            <v>0.2</v>
          </cell>
          <cell r="N156">
            <v>0.2</v>
          </cell>
          <cell r="O156">
            <v>0.2</v>
          </cell>
          <cell r="P156">
            <v>0.2</v>
          </cell>
          <cell r="Q156">
            <v>0.2</v>
          </cell>
          <cell r="R156">
            <v>0.2</v>
          </cell>
          <cell r="S156">
            <v>0.2</v>
          </cell>
          <cell r="T156">
            <v>0.2</v>
          </cell>
          <cell r="U156">
            <v>0.2</v>
          </cell>
          <cell r="V156">
            <v>0.2</v>
          </cell>
          <cell r="W156">
            <v>0.2</v>
          </cell>
          <cell r="X156">
            <v>0.2</v>
          </cell>
          <cell r="Y156">
            <v>0.2</v>
          </cell>
          <cell r="Z156">
            <v>0.2</v>
          </cell>
          <cell r="AA156">
            <v>0.2</v>
          </cell>
          <cell r="AB156">
            <v>0.2</v>
          </cell>
          <cell r="AC156">
            <v>0.2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  <cell r="L158">
            <v>0.2</v>
          </cell>
          <cell r="M158">
            <v>0.2</v>
          </cell>
          <cell r="N158">
            <v>0.2</v>
          </cell>
          <cell r="O158">
            <v>0.2</v>
          </cell>
          <cell r="P158">
            <v>0.2</v>
          </cell>
          <cell r="Q158">
            <v>0.2</v>
          </cell>
          <cell r="R158">
            <v>0.2</v>
          </cell>
          <cell r="S158">
            <v>0.2</v>
          </cell>
          <cell r="T158">
            <v>0.2</v>
          </cell>
          <cell r="U158">
            <v>0.2</v>
          </cell>
          <cell r="V158">
            <v>0.2</v>
          </cell>
          <cell r="W158">
            <v>0.2</v>
          </cell>
          <cell r="X158">
            <v>0.2</v>
          </cell>
          <cell r="Y158">
            <v>0.2</v>
          </cell>
          <cell r="Z158">
            <v>0.2</v>
          </cell>
          <cell r="AA158">
            <v>0.2</v>
          </cell>
          <cell r="AB158">
            <v>0.2</v>
          </cell>
          <cell r="AC158">
            <v>0.2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  <cell r="L165">
            <v>0.19926811800700001</v>
          </cell>
          <cell r="M165">
            <v>0.19926811800700001</v>
          </cell>
          <cell r="N165">
            <v>0.19926811800700001</v>
          </cell>
          <cell r="O165">
            <v>0.19926811800700001</v>
          </cell>
          <cell r="P165">
            <v>0.19926811800700001</v>
          </cell>
          <cell r="Q165">
            <v>0.19926811800700001</v>
          </cell>
          <cell r="R165">
            <v>0.19926811800700001</v>
          </cell>
          <cell r="S165">
            <v>0.19926811800700001</v>
          </cell>
          <cell r="T165">
            <v>0.19926811800700001</v>
          </cell>
          <cell r="U165">
            <v>0.19926811800700001</v>
          </cell>
          <cell r="V165">
            <v>0.19926811800700001</v>
          </cell>
          <cell r="W165">
            <v>0.19926811800700001</v>
          </cell>
          <cell r="X165">
            <v>0.19926811800700001</v>
          </cell>
          <cell r="Y165">
            <v>0.19926811800700001</v>
          </cell>
          <cell r="Z165">
            <v>0.19926811800700001</v>
          </cell>
          <cell r="AA165">
            <v>0.19926811800700001</v>
          </cell>
          <cell r="AB165">
            <v>0.19926811800700001</v>
          </cell>
          <cell r="AC165">
            <v>0.19926811800700001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</row>
        <row r="171">
          <cell r="B171" t="str">
            <v>Sales -% Industry (I)</v>
          </cell>
          <cell r="C171" t="str">
            <v>SALES_IND</v>
          </cell>
          <cell r="AA171">
            <v>0</v>
          </cell>
        </row>
        <row r="172">
          <cell r="B172" t="str">
            <v>Sales -% Government (G)</v>
          </cell>
          <cell r="C172" t="str">
            <v>SALES_GOV</v>
          </cell>
          <cell r="AA172">
            <v>0</v>
          </cell>
        </row>
        <row r="173">
          <cell r="B173" t="str">
            <v>Sales - % Industry Sub-Segment: Financial Services</v>
          </cell>
          <cell r="C173" t="str">
            <v>SALES_FINAN</v>
          </cell>
          <cell r="AA173">
            <v>0</v>
          </cell>
        </row>
        <row r="174">
          <cell r="B174" t="str">
            <v>Sales - % Industry Sub-Segment: Oil &amp; Gas</v>
          </cell>
          <cell r="C174" t="str">
            <v>SALES_OIL_GAS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</row>
        <row r="178">
          <cell r="B178" t="str">
            <v>Expense - % Gold</v>
          </cell>
          <cell r="C178" t="str">
            <v>EXP_GOLD</v>
          </cell>
        </row>
        <row r="179">
          <cell r="B179" t="str">
            <v>Expense - % Copper</v>
          </cell>
          <cell r="C179" t="str">
            <v>EXP_COPPER</v>
          </cell>
        </row>
        <row r="180">
          <cell r="B180" t="str">
            <v>Expense - % Silver</v>
          </cell>
          <cell r="C180" t="str">
            <v>EXP_SILVER</v>
          </cell>
        </row>
        <row r="181">
          <cell r="B181" t="str">
            <v>Expense - % Platinum</v>
          </cell>
          <cell r="C181" t="str">
            <v>EXP_PLATINUM</v>
          </cell>
        </row>
        <row r="182">
          <cell r="B182" t="str">
            <v>Expense - % Palladium</v>
          </cell>
          <cell r="C182" t="str">
            <v>EXP_PALLADIUM</v>
          </cell>
        </row>
        <row r="183">
          <cell r="B183" t="str">
            <v>Expense - % Aluminium</v>
          </cell>
          <cell r="C183" t="str">
            <v>EXP_ALUMINIUM</v>
          </cell>
        </row>
        <row r="184">
          <cell r="B184" t="str">
            <v>Expense - % Nickel</v>
          </cell>
          <cell r="C184" t="str">
            <v>EXP_NICKEL</v>
          </cell>
        </row>
        <row r="185">
          <cell r="B185" t="str">
            <v>Expense - % Zinc</v>
          </cell>
          <cell r="C185" t="str">
            <v>EXP_ZINC</v>
          </cell>
        </row>
        <row r="186">
          <cell r="B186" t="str">
            <v>Expense - % Paper/pulp</v>
          </cell>
          <cell r="C186" t="str">
            <v>EXP_PAPER_PULP</v>
          </cell>
        </row>
        <row r="187">
          <cell r="B187" t="str">
            <v>Expense - % Glass</v>
          </cell>
          <cell r="C187" t="str">
            <v>EXP_GLASS</v>
          </cell>
        </row>
        <row r="188">
          <cell r="B188" t="str">
            <v>Expense - % Water</v>
          </cell>
          <cell r="C188" t="str">
            <v>EXP_WATER</v>
          </cell>
        </row>
        <row r="189">
          <cell r="B189" t="str">
            <v>Expense - % Other commodity</v>
          </cell>
          <cell r="C189" t="str">
            <v>EXP_OTH_COMMODITY</v>
          </cell>
        </row>
        <row r="190">
          <cell r="B190" t="str">
            <v>Expense - % Other (Non-Commodity) cost</v>
          </cell>
          <cell r="C190" t="str">
            <v>EXP_OTH_COST</v>
          </cell>
        </row>
        <row r="191">
          <cell r="A191" t="str">
            <v>FX Exposure - Sales</v>
          </cell>
        </row>
        <row r="192">
          <cell r="B192" t="str">
            <v>Sales - % FX: British Pounds/Pence</v>
          </cell>
          <cell r="C192" t="str">
            <v>SALES_FX_GPB</v>
          </cell>
        </row>
        <row r="193">
          <cell r="B193" t="str">
            <v>Sales - % FX: Euro</v>
          </cell>
          <cell r="C193" t="str">
            <v>SALES_FX_EUR</v>
          </cell>
        </row>
        <row r="194">
          <cell r="B194" t="str">
            <v>Sales - % FX: New Russian Ruble</v>
          </cell>
          <cell r="C194" t="str">
            <v>SALES_FX_RUB</v>
          </cell>
        </row>
        <row r="195">
          <cell r="B195" t="str">
            <v>Sales - % FX: U.S. Dollar</v>
          </cell>
          <cell r="C195" t="str">
            <v>SALES_FX_USD</v>
          </cell>
          <cell r="L195">
            <v>1</v>
          </cell>
          <cell r="M195">
            <v>1</v>
          </cell>
          <cell r="N195">
            <v>1</v>
          </cell>
          <cell r="O195">
            <v>1</v>
          </cell>
          <cell r="P195">
            <v>1</v>
          </cell>
          <cell r="Q195">
            <v>1</v>
          </cell>
          <cell r="R195">
            <v>1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1</v>
          </cell>
        </row>
        <row r="196">
          <cell r="B196" t="str">
            <v>Sales - % FX: Brazilian Real</v>
          </cell>
          <cell r="C196" t="str">
            <v>SALES_FX_BRL</v>
          </cell>
        </row>
        <row r="197">
          <cell r="B197" t="str">
            <v>Sales - % FX: Japanese Yen</v>
          </cell>
          <cell r="C197" t="str">
            <v>SALES_FX_YEN</v>
          </cell>
        </row>
        <row r="198">
          <cell r="B198" t="str">
            <v>Sales - % FX: Chinese Renminbi</v>
          </cell>
          <cell r="C198" t="str">
            <v>SALES_FX_CNY</v>
          </cell>
        </row>
        <row r="199">
          <cell r="B199" t="str">
            <v>Sales - % FX: Indian Rupee</v>
          </cell>
          <cell r="C199" t="str">
            <v>SALES_FX_INR</v>
          </cell>
        </row>
        <row r="200">
          <cell r="B200" t="str">
            <v>Sales - % FX: South Korean Won</v>
          </cell>
          <cell r="C200" t="str">
            <v>SALES_FX_KRW</v>
          </cell>
        </row>
        <row r="201">
          <cell r="B201" t="str">
            <v>Sales - % FX: Taiwan Dollar</v>
          </cell>
          <cell r="C201" t="str">
            <v>SALES_FX_TWD</v>
          </cell>
        </row>
        <row r="202">
          <cell r="B202" t="str">
            <v>Sales - % FX: Other Currency</v>
          </cell>
          <cell r="C202" t="str">
            <v>SALES_FX_OTH</v>
          </cell>
        </row>
        <row r="203">
          <cell r="A203" t="str">
            <v>Items to be removed</v>
          </cell>
        </row>
        <row r="204">
          <cell r="B204" t="str">
            <v>Sales - Total % Americas</v>
          </cell>
          <cell r="C204" t="str">
            <v>SALES_TOT_AM</v>
          </cell>
          <cell r="L204">
            <v>0.20073188199299999</v>
          </cell>
          <cell r="M204">
            <v>0.20073188199299999</v>
          </cell>
          <cell r="N204">
            <v>0.20073188199299999</v>
          </cell>
          <cell r="O204">
            <v>0.20073188199299999</v>
          </cell>
          <cell r="P204">
            <v>0.20073188199299999</v>
          </cell>
          <cell r="Q204">
            <v>0.20073188199299999</v>
          </cell>
          <cell r="R204">
            <v>0.20073188199299999</v>
          </cell>
          <cell r="S204">
            <v>0.20073188199299999</v>
          </cell>
          <cell r="T204">
            <v>0.20073188199299999</v>
          </cell>
          <cell r="U204">
            <v>0.20073188199299999</v>
          </cell>
          <cell r="V204">
            <v>0.20073188199299999</v>
          </cell>
          <cell r="W204">
            <v>0.20073188199299999</v>
          </cell>
          <cell r="X204">
            <v>0.20073188199299999</v>
          </cell>
          <cell r="Y204">
            <v>0.20073188199299999</v>
          </cell>
          <cell r="Z204">
            <v>0.20073188199299999</v>
          </cell>
          <cell r="AA204">
            <v>0.20073188199299999</v>
          </cell>
          <cell r="AB204">
            <v>0.20073188199299999</v>
          </cell>
          <cell r="AC204">
            <v>0.20073188199299999</v>
          </cell>
        </row>
        <row r="205">
          <cell r="B205" t="str">
            <v>Sales - % Other Americas</v>
          </cell>
          <cell r="C205" t="str">
            <v>SALES_OTH_AM</v>
          </cell>
        </row>
        <row r="206">
          <cell r="B206" t="str">
            <v>Sales - Total % EMEA</v>
          </cell>
          <cell r="C206" t="str">
            <v>SALES_TOT_EMEA</v>
          </cell>
          <cell r="L206">
            <v>0.16042355793599999</v>
          </cell>
          <cell r="M206">
            <v>0.16042355793599999</v>
          </cell>
          <cell r="N206">
            <v>0.16042355793599999</v>
          </cell>
          <cell r="O206">
            <v>0.16042355793599999</v>
          </cell>
          <cell r="P206">
            <v>0.16042355793599999</v>
          </cell>
          <cell r="Q206">
            <v>0.16042355793599999</v>
          </cell>
          <cell r="R206">
            <v>0.16042355793599999</v>
          </cell>
          <cell r="S206">
            <v>0.16042355793599999</v>
          </cell>
          <cell r="T206">
            <v>0.16042355793599999</v>
          </cell>
          <cell r="U206">
            <v>0.16042355793599999</v>
          </cell>
          <cell r="V206">
            <v>0.16042355793599999</v>
          </cell>
          <cell r="W206">
            <v>0.16042355793599999</v>
          </cell>
          <cell r="X206">
            <v>0.16042355793599999</v>
          </cell>
          <cell r="Y206">
            <v>0.16042355793599999</v>
          </cell>
          <cell r="Z206">
            <v>0.16042355793599999</v>
          </cell>
          <cell r="AA206">
            <v>0.16042355793599999</v>
          </cell>
          <cell r="AB206">
            <v>0.16042355793599999</v>
          </cell>
          <cell r="AC206">
            <v>0.16042355793599999</v>
          </cell>
        </row>
        <row r="207">
          <cell r="B207" t="str">
            <v>Sales - % Western Europe-Ex UK</v>
          </cell>
          <cell r="C207" t="str">
            <v>SALES_EU_EX_UK</v>
          </cell>
          <cell r="L207">
            <v>0.16042355793599999</v>
          </cell>
          <cell r="M207">
            <v>0.16042355793599999</v>
          </cell>
          <cell r="N207">
            <v>0.16042355793599999</v>
          </cell>
          <cell r="O207">
            <v>0.16042355793599999</v>
          </cell>
          <cell r="P207">
            <v>0.16042355793599999</v>
          </cell>
          <cell r="Q207">
            <v>0.16042355793599999</v>
          </cell>
          <cell r="R207">
            <v>0.16042355793599999</v>
          </cell>
          <cell r="S207">
            <v>0.16042355793599999</v>
          </cell>
          <cell r="T207">
            <v>0.16042355793599999</v>
          </cell>
          <cell r="U207">
            <v>0.16042355793599999</v>
          </cell>
          <cell r="V207">
            <v>0.16042355793599999</v>
          </cell>
          <cell r="W207">
            <v>0.16042355793599999</v>
          </cell>
          <cell r="X207">
            <v>0.16042355793599999</v>
          </cell>
          <cell r="Y207">
            <v>0.16042355793599999</v>
          </cell>
          <cell r="Z207">
            <v>0.16042355793599999</v>
          </cell>
          <cell r="AA207">
            <v>0.16042355793599999</v>
          </cell>
          <cell r="AB207">
            <v>0.16042355793599999</v>
          </cell>
          <cell r="AC207">
            <v>0.16042355793599999</v>
          </cell>
        </row>
        <row r="208">
          <cell r="B208" t="str">
            <v>Sales - % Central &amp; Eastern Europe</v>
          </cell>
          <cell r="C208" t="str">
            <v>SALES_CEE</v>
          </cell>
        </row>
        <row r="209">
          <cell r="B209" t="str">
            <v>Sales - % Middle East</v>
          </cell>
          <cell r="C209" t="str">
            <v>SALES_ME</v>
          </cell>
        </row>
        <row r="210">
          <cell r="B210" t="str">
            <v>Sales - % Total Africa</v>
          </cell>
          <cell r="C210" t="str">
            <v>SALES_TOT_AFRICA</v>
          </cell>
        </row>
        <row r="211">
          <cell r="B211" t="str">
            <v>Sales - % Other EMEA</v>
          </cell>
          <cell r="C211" t="str">
            <v>SALES_OTH_EMEA</v>
          </cell>
        </row>
        <row r="212">
          <cell r="B212" t="str">
            <v>Sales - Total % Asia (incl Australia &amp; New Zealand)</v>
          </cell>
          <cell r="C212" t="str">
            <v>SALES_TOT_ASIA</v>
          </cell>
          <cell r="L212">
            <v>0.61197906234999999</v>
          </cell>
          <cell r="M212">
            <v>0.61197906234999999</v>
          </cell>
          <cell r="N212">
            <v>0.61197906234999999</v>
          </cell>
          <cell r="O212">
            <v>0.61197906234999999</v>
          </cell>
          <cell r="P212">
            <v>0.61197906234999999</v>
          </cell>
          <cell r="Q212">
            <v>0.61197906234999999</v>
          </cell>
          <cell r="R212">
            <v>0.61197906234999999</v>
          </cell>
          <cell r="S212">
            <v>0.61197906234999999</v>
          </cell>
          <cell r="T212">
            <v>0.61197906234999999</v>
          </cell>
          <cell r="U212">
            <v>0.61197906234999999</v>
          </cell>
          <cell r="V212">
            <v>0.61197906234999999</v>
          </cell>
          <cell r="W212">
            <v>0.61197906234999999</v>
          </cell>
          <cell r="X212">
            <v>0.61197906234999999</v>
          </cell>
          <cell r="Y212">
            <v>0.61197906234999999</v>
          </cell>
          <cell r="Z212">
            <v>0.61197906234999999</v>
          </cell>
          <cell r="AA212">
            <v>0.61197906234999999</v>
          </cell>
          <cell r="AB212">
            <v>0.61197906234999999</v>
          </cell>
          <cell r="AC212">
            <v>0.61197906234999999</v>
          </cell>
        </row>
        <row r="213">
          <cell r="B213" t="str">
            <v>Sales - % Other Asia</v>
          </cell>
          <cell r="C213" t="str">
            <v>SALES_OTH_AEJ</v>
          </cell>
          <cell r="L213">
            <v>0.61197906234999999</v>
          </cell>
          <cell r="M213">
            <v>0.61197906234999999</v>
          </cell>
          <cell r="N213">
            <v>0.61197906234999999</v>
          </cell>
          <cell r="O213">
            <v>0.61197906234999999</v>
          </cell>
          <cell r="P213">
            <v>0.61197906234999999</v>
          </cell>
          <cell r="Q213">
            <v>0.61197906234999999</v>
          </cell>
          <cell r="R213">
            <v>0.61197906234999999</v>
          </cell>
          <cell r="S213">
            <v>0.61197906234999999</v>
          </cell>
          <cell r="T213">
            <v>0.61197906234999999</v>
          </cell>
          <cell r="U213">
            <v>0.61197906234999999</v>
          </cell>
          <cell r="V213">
            <v>0.61197906234999999</v>
          </cell>
          <cell r="W213">
            <v>0.61197906234999999</v>
          </cell>
          <cell r="X213">
            <v>0.61197906234999999</v>
          </cell>
          <cell r="Y213">
            <v>0.61197906234999999</v>
          </cell>
          <cell r="Z213">
            <v>0.61197906234999999</v>
          </cell>
          <cell r="AA213">
            <v>0.61197906234999999</v>
          </cell>
          <cell r="AB213">
            <v>0.61197906234999999</v>
          </cell>
          <cell r="AC213">
            <v>0.61197906234999999</v>
          </cell>
        </row>
        <row r="214">
          <cell r="A214" t="str">
            <v>Security: Silergy Corp.</v>
          </cell>
          <cell r="B214" t="str">
            <v>44LZY</v>
          </cell>
        </row>
        <row r="215">
          <cell r="A215" t="str">
            <v>Reference Data</v>
          </cell>
        </row>
        <row r="216">
          <cell r="B216" t="str">
            <v>Ticker</v>
          </cell>
          <cell r="C216" t="str">
            <v>Ticker</v>
          </cell>
          <cell r="E216" t="str">
            <v>6415.TW</v>
          </cell>
        </row>
        <row r="217">
          <cell r="B217" t="str">
            <v>Security Name</v>
          </cell>
          <cell r="C217" t="str">
            <v>Security Name</v>
          </cell>
          <cell r="E217" t="str">
            <v>Silergy Corp.</v>
          </cell>
        </row>
        <row r="218">
          <cell r="B218" t="str">
            <v>Interim Type</v>
          </cell>
          <cell r="C218" t="str">
            <v>Interim Type</v>
          </cell>
          <cell r="E218" t="str">
            <v>Q</v>
          </cell>
        </row>
        <row r="219">
          <cell r="B219" t="str">
            <v>Publishing Currency</v>
          </cell>
          <cell r="C219" t="str">
            <v>PUB_CURRENCY_ISO</v>
          </cell>
          <cell r="E219" t="str">
            <v>TWD</v>
          </cell>
        </row>
        <row r="220">
          <cell r="B220" t="str">
            <v>Pricing Currency</v>
          </cell>
          <cell r="C220" t="str">
            <v>PRICE_CURRENCY_ISO</v>
          </cell>
          <cell r="E220" t="str">
            <v>TWD</v>
          </cell>
        </row>
        <row r="221">
          <cell r="B221" t="str">
            <v>Reporting Currency</v>
          </cell>
          <cell r="C221" t="str">
            <v>CURRENCY_ISO</v>
          </cell>
          <cell r="E221" t="str">
            <v>TWD</v>
          </cell>
        </row>
        <row r="222">
          <cell r="A222" t="str">
            <v>General Information</v>
          </cell>
        </row>
        <row r="223">
          <cell r="B223" t="str">
            <v>Asia ex. Japan Investment List</v>
          </cell>
          <cell r="C223" t="str">
            <v>AEJ_LIST</v>
          </cell>
        </row>
        <row r="224">
          <cell r="B224" t="str">
            <v>Asia ex. Japan Conviction List</v>
          </cell>
          <cell r="C224" t="str">
            <v>AEJ_CONVICTION</v>
          </cell>
        </row>
        <row r="225">
          <cell r="B225" t="str">
            <v>Legal rating</v>
          </cell>
          <cell r="C225" t="str">
            <v>LEGAL_RATING</v>
          </cell>
          <cell r="E225" t="str">
            <v>Coverage Suspended</v>
          </cell>
        </row>
        <row r="226">
          <cell r="B226" t="str">
            <v>Target price</v>
          </cell>
          <cell r="C226" t="str">
            <v>TARGET_PRICE</v>
          </cell>
          <cell r="D226" t="str">
            <v>TWD</v>
          </cell>
        </row>
        <row r="227">
          <cell r="B227" t="str">
            <v>Target price period</v>
          </cell>
          <cell r="C227" t="str">
            <v>TP_PERIOD</v>
          </cell>
        </row>
        <row r="228">
          <cell r="B228" t="str">
            <v>Fundamental value</v>
          </cell>
          <cell r="C228" t="str">
            <v>TARGET_PRICE_FUNDAMENTAL</v>
          </cell>
          <cell r="D228" t="str">
            <v>TWD</v>
          </cell>
          <cell r="E228">
            <v>662</v>
          </cell>
        </row>
        <row r="229">
          <cell r="B229" t="str">
            <v>M&amp;A value</v>
          </cell>
          <cell r="C229" t="str">
            <v>TARGET_PRICE_MA</v>
          </cell>
          <cell r="D229" t="str">
            <v>TWD</v>
          </cell>
          <cell r="E229">
            <v>913</v>
          </cell>
        </row>
        <row r="230">
          <cell r="B230" t="str">
            <v>Current shares outstanding (mn)</v>
          </cell>
          <cell r="C230" t="str">
            <v>NUM_SH</v>
          </cell>
          <cell r="E230">
            <v>76.72</v>
          </cell>
        </row>
        <row r="231">
          <cell r="B231" t="str">
            <v>Free float</v>
          </cell>
          <cell r="C231" t="str">
            <v>FREE_FLOAT</v>
          </cell>
          <cell r="E231">
            <v>0</v>
          </cell>
        </row>
        <row r="232">
          <cell r="B232" t="str">
            <v>Foreign ownership</v>
          </cell>
          <cell r="C232" t="str">
            <v>FOREIGN_HOLDNG</v>
          </cell>
          <cell r="E232">
            <v>0.38030000000000003</v>
          </cell>
        </row>
        <row r="233">
          <cell r="B233" t="str">
            <v>Catalyst 1 date</v>
          </cell>
          <cell r="C233" t="str">
            <v>CATALYST1_DATE</v>
          </cell>
        </row>
        <row r="234">
          <cell r="B234" t="str">
            <v>Catalyst 1 description</v>
          </cell>
          <cell r="C234" t="str">
            <v>CATALYST1_EVENT</v>
          </cell>
        </row>
        <row r="235">
          <cell r="B235" t="str">
            <v>Catalyst 2 date</v>
          </cell>
          <cell r="C235" t="str">
            <v>CATALYST2_DATE</v>
          </cell>
        </row>
        <row r="236">
          <cell r="B236" t="str">
            <v>Catalyst 2 description</v>
          </cell>
          <cell r="C236" t="str">
            <v>CATALYST2_EVENT</v>
          </cell>
        </row>
        <row r="237">
          <cell r="B237" t="str">
            <v>Catalyst 3 date</v>
          </cell>
          <cell r="C237" t="str">
            <v>CATALYST3_DATE</v>
          </cell>
        </row>
        <row r="238">
          <cell r="B238" t="str">
            <v>Catalyst 3 description</v>
          </cell>
          <cell r="C238" t="str">
            <v>CATALYST3_EVENT</v>
          </cell>
        </row>
        <row r="239">
          <cell r="B239" t="str">
            <v>Catalyst 4 date</v>
          </cell>
          <cell r="C239" t="str">
            <v>CATALYST4_DATE</v>
          </cell>
        </row>
        <row r="240">
          <cell r="B240" t="str">
            <v>Catalyst 4 description</v>
          </cell>
          <cell r="C240" t="str">
            <v>CATALYST4_EVENT</v>
          </cell>
        </row>
        <row r="241">
          <cell r="B241" t="str">
            <v>Catalyst 5 date</v>
          </cell>
          <cell r="C241" t="str">
            <v>CATALYST5_DATE</v>
          </cell>
        </row>
        <row r="242">
          <cell r="B242" t="str">
            <v>Catalyst 5 description</v>
          </cell>
          <cell r="C242" t="str">
            <v>CATALYST5_EVENT</v>
          </cell>
        </row>
        <row r="243">
          <cell r="B243" t="str">
            <v>Target price multiple</v>
          </cell>
          <cell r="C243" t="str">
            <v>PRI_TARG_MULT</v>
          </cell>
        </row>
        <row r="244">
          <cell r="B244" t="str">
            <v>Target price methodology</v>
          </cell>
          <cell r="C244" t="str">
            <v>PRI_TARG_METH</v>
          </cell>
          <cell r="E244" t="str">
            <v>NTM P/E and M&amp;A multiple</v>
          </cell>
        </row>
        <row r="245">
          <cell r="A245" t="str">
            <v>Publishing Items</v>
          </cell>
        </row>
        <row r="246">
          <cell r="B246" t="str">
            <v>Book value per share, BVPS (Pub)</v>
          </cell>
          <cell r="C246" t="str">
            <v>BVPS_PUB</v>
          </cell>
          <cell r="D246" t="str">
            <v>TWD</v>
          </cell>
          <cell r="Y246">
            <v>40.618952069157999</v>
          </cell>
          <cell r="Z246">
            <v>46.282106706031001</v>
          </cell>
          <cell r="AA246">
            <v>60.060636079249001</v>
          </cell>
          <cell r="AB246">
            <v>104.373232799246</v>
          </cell>
          <cell r="AC246">
            <v>120.154906595173</v>
          </cell>
        </row>
        <row r="247">
          <cell r="B247" t="str">
            <v>DPS, dividend per share (Pub)</v>
          </cell>
          <cell r="C247" t="str">
            <v>DPS_PUB</v>
          </cell>
          <cell r="D247" t="str">
            <v>TWD</v>
          </cell>
          <cell r="Y247">
            <v>0</v>
          </cell>
          <cell r="Z247">
            <v>2.1430435470270002</v>
          </cell>
          <cell r="AA247">
            <v>3.2001297565660001</v>
          </cell>
          <cell r="AB247">
            <v>4.6911065225290001</v>
          </cell>
          <cell r="AC247">
            <v>5.3743829072829996</v>
          </cell>
        </row>
        <row r="248">
          <cell r="B248" t="str">
            <v>Special dividend per share</v>
          </cell>
          <cell r="C248" t="str">
            <v>DPS_SPECIAL_PUB</v>
          </cell>
          <cell r="D248" t="str">
            <v>TWD</v>
          </cell>
        </row>
        <row r="249">
          <cell r="B249" t="str">
            <v>EBITDA (Pub)</v>
          </cell>
          <cell r="C249" t="str">
            <v>EBITDA_PUB</v>
          </cell>
          <cell r="D249" t="str">
            <v>TWD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546.67499999999995</v>
          </cell>
          <cell r="Z249">
            <v>786.41099999999994</v>
          </cell>
          <cell r="AA249">
            <v>1213.998</v>
          </cell>
          <cell r="AB249">
            <v>1664.75</v>
          </cell>
          <cell r="AC249">
            <v>2091.0320000000002</v>
          </cell>
        </row>
        <row r="250">
          <cell r="B250" t="str">
            <v>EPS (Pub)</v>
          </cell>
          <cell r="C250" t="str">
            <v>EPS_PUB</v>
          </cell>
          <cell r="D250" t="str">
            <v>TWD</v>
          </cell>
          <cell r="Y250">
            <v>8.0005582125130008</v>
          </cell>
          <cell r="Z250">
            <v>10.553695698018</v>
          </cell>
          <cell r="AA250">
            <v>15.657546923879</v>
          </cell>
          <cell r="AB250">
            <v>18.718394171740002</v>
          </cell>
          <cell r="AC250">
            <v>20.669692227973002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1.755367984599</v>
          </cell>
          <cell r="AV250">
            <v>1.8394947112090001</v>
          </cell>
          <cell r="AW250">
            <v>2.0030917991539998</v>
          </cell>
          <cell r="AX250">
            <v>2.4005131578949999</v>
          </cell>
          <cell r="AY250">
            <v>1.517883617494</v>
          </cell>
          <cell r="AZ250">
            <v>3.1243616542749999</v>
          </cell>
          <cell r="BA250">
            <v>2.845374223786</v>
          </cell>
          <cell r="BB250">
            <v>3.057967213115</v>
          </cell>
          <cell r="BC250">
            <v>2.6640939289509999</v>
          </cell>
          <cell r="BD250">
            <v>4.01</v>
          </cell>
          <cell r="BE250">
            <v>3.68</v>
          </cell>
          <cell r="BF250">
            <v>5.3061118335500002</v>
          </cell>
          <cell r="BG250">
            <v>3.0911611874929998</v>
          </cell>
          <cell r="BH250">
            <v>4.4282906900069996</v>
          </cell>
          <cell r="BI250">
            <v>4.9625408209000001</v>
          </cell>
          <cell r="BJ250">
            <v>6.240261519303</v>
          </cell>
          <cell r="BK250">
            <v>4.3399844951990003</v>
          </cell>
          <cell r="BL250">
            <v>6.4394057757569998</v>
          </cell>
          <cell r="BM250">
            <v>5.771108343711</v>
          </cell>
          <cell r="BN250">
            <v>5.8232572007870003</v>
          </cell>
        </row>
        <row r="251">
          <cell r="B251" t="str">
            <v>EV adjustment (Pub)</v>
          </cell>
          <cell r="C251" t="str">
            <v>EV_ADJ_PUB</v>
          </cell>
          <cell r="D251" t="str">
            <v>TWD</v>
          </cell>
        </row>
        <row r="252">
          <cell r="B252" t="str">
            <v>Net debt (Pub)</v>
          </cell>
          <cell r="C252" t="str">
            <v>NET_DEBT_PUB</v>
          </cell>
          <cell r="D252" t="str">
            <v>TWD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-2334.4749999999999</v>
          </cell>
          <cell r="Z252">
            <v>-2458.7370000000001</v>
          </cell>
          <cell r="AA252">
            <v>-2353.8969999999999</v>
          </cell>
          <cell r="AB252">
            <v>-3337.2049999999999</v>
          </cell>
          <cell r="AC252">
            <v>-4149.4530000000004</v>
          </cell>
        </row>
        <row r="253">
          <cell r="B253" t="str">
            <v>Net income (Pub)</v>
          </cell>
          <cell r="C253" t="str">
            <v>NI_PUB</v>
          </cell>
          <cell r="D253" t="str">
            <v>TWD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530.30100000000004</v>
          </cell>
          <cell r="Z253">
            <v>800.73</v>
          </cell>
          <cell r="AA253">
            <v>1201.2470000000001</v>
          </cell>
          <cell r="AB253">
            <v>1469.6559999999999</v>
          </cell>
          <cell r="AC253">
            <v>1818.3779999999999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94.831999999999994</v>
          </cell>
          <cell r="AV253">
            <v>120.864</v>
          </cell>
          <cell r="AW253">
            <v>132.166</v>
          </cell>
          <cell r="AX253">
            <v>182.43899999999999</v>
          </cell>
          <cell r="AY253">
            <v>114.667</v>
          </cell>
          <cell r="AZ253">
            <v>236.15799999999999</v>
          </cell>
          <cell r="BA253">
            <v>216.73500000000001</v>
          </cell>
          <cell r="BB253">
            <v>233.17</v>
          </cell>
          <cell r="BC253">
            <v>203.30500000000001</v>
          </cell>
          <cell r="BD253">
            <v>307.327</v>
          </cell>
          <cell r="BE253">
            <v>282.57499999999999</v>
          </cell>
          <cell r="BF253">
            <v>408.04</v>
          </cell>
          <cell r="BG253">
            <v>238.548</v>
          </cell>
          <cell r="BH253">
            <v>342.51499999999999</v>
          </cell>
          <cell r="BI253">
            <v>387.5</v>
          </cell>
          <cell r="BJ253">
            <v>501.09300000000002</v>
          </cell>
          <cell r="BK253">
            <v>363.88600000000002</v>
          </cell>
          <cell r="BL253">
            <v>502.82100000000003</v>
          </cell>
          <cell r="BM253">
            <v>463.42</v>
          </cell>
          <cell r="BN253">
            <v>488.25099999999998</v>
          </cell>
        </row>
        <row r="254">
          <cell r="B254" t="str">
            <v>EBIT, operating profit (Pub)</v>
          </cell>
          <cell r="C254" t="str">
            <v>EBIT_PUB</v>
          </cell>
          <cell r="D254" t="str">
            <v>TWD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534.79700000000003</v>
          </cell>
          <cell r="Z254">
            <v>763.08100000000002</v>
          </cell>
          <cell r="AA254">
            <v>1175.1769999999999</v>
          </cell>
          <cell r="AB254">
            <v>1438.3150000000001</v>
          </cell>
          <cell r="AC254">
            <v>1853.9380000000001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94.891000000000005</v>
          </cell>
          <cell r="AV254">
            <v>122.182</v>
          </cell>
          <cell r="AW254">
            <v>132.15299999999999</v>
          </cell>
          <cell r="AX254">
            <v>185.571</v>
          </cell>
          <cell r="AY254">
            <v>109.286</v>
          </cell>
          <cell r="AZ254">
            <v>221.39099999999999</v>
          </cell>
          <cell r="BA254">
            <v>206.72399999999999</v>
          </cell>
          <cell r="BB254">
            <v>225.68</v>
          </cell>
          <cell r="BC254">
            <v>188.209</v>
          </cell>
          <cell r="BD254">
            <v>297.71899999999999</v>
          </cell>
          <cell r="BE254">
            <v>246.62799999999999</v>
          </cell>
          <cell r="BF254">
            <v>442.62099999999998</v>
          </cell>
          <cell r="BG254">
            <v>229.59700000000001</v>
          </cell>
          <cell r="BH254">
            <v>355.57100000000003</v>
          </cell>
          <cell r="BI254">
            <v>336.61900000000003</v>
          </cell>
          <cell r="BJ254">
            <v>516.52800000000002</v>
          </cell>
          <cell r="BK254">
            <v>356.524</v>
          </cell>
          <cell r="BL254">
            <v>512.57299999999998</v>
          </cell>
          <cell r="BM254">
            <v>505.41800000000001</v>
          </cell>
          <cell r="BN254">
            <v>479.423</v>
          </cell>
        </row>
        <row r="255">
          <cell r="B255" t="str">
            <v>Pre-tax profit (Pub)</v>
          </cell>
          <cell r="C255" t="str">
            <v>PTP_PUB</v>
          </cell>
          <cell r="D255" t="str">
            <v>TWD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530.32500000000005</v>
          </cell>
          <cell r="Z255">
            <v>787.34900000000005</v>
          </cell>
          <cell r="AA255">
            <v>1261.6369999999999</v>
          </cell>
          <cell r="AB255">
            <v>1498.242</v>
          </cell>
          <cell r="AC255">
            <v>1872.748</v>
          </cell>
        </row>
        <row r="256">
          <cell r="B256" t="str">
            <v>Sales, revenue (Pub)</v>
          </cell>
          <cell r="C256" t="str">
            <v>REVS_PUB</v>
          </cell>
          <cell r="D256" t="str">
            <v>TWD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2087.181</v>
          </cell>
          <cell r="Z256">
            <v>3272.732</v>
          </cell>
          <cell r="AA256">
            <v>4700.9809999999998</v>
          </cell>
          <cell r="AB256">
            <v>7138.9030000000002</v>
          </cell>
          <cell r="AC256">
            <v>8599.2369999999992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374.73399999999998</v>
          </cell>
          <cell r="AV256">
            <v>502.726</v>
          </cell>
          <cell r="AW256">
            <v>538.47699999999998</v>
          </cell>
          <cell r="AX256">
            <v>671.24400000000003</v>
          </cell>
          <cell r="AY256">
            <v>564.11400000000003</v>
          </cell>
          <cell r="AZ256">
            <v>847.77499999999998</v>
          </cell>
          <cell r="BA256">
            <v>914.72</v>
          </cell>
          <cell r="BB256">
            <v>946.12300000000005</v>
          </cell>
          <cell r="BC256">
            <v>903.95100000000002</v>
          </cell>
          <cell r="BD256">
            <v>1250.6949999999999</v>
          </cell>
          <cell r="BE256">
            <v>1192.0050000000001</v>
          </cell>
          <cell r="BF256">
            <v>1354.33</v>
          </cell>
          <cell r="BG256">
            <v>1317.347</v>
          </cell>
          <cell r="BH256">
            <v>1798.6969999999999</v>
          </cell>
          <cell r="BI256">
            <v>1892.903</v>
          </cell>
          <cell r="BJ256">
            <v>2129.9560000000001</v>
          </cell>
          <cell r="BK256">
            <v>1830.566</v>
          </cell>
          <cell r="BL256">
            <v>2184.607</v>
          </cell>
          <cell r="BM256">
            <v>2282.3649999999998</v>
          </cell>
          <cell r="BN256">
            <v>2301.6990000000001</v>
          </cell>
        </row>
        <row r="257">
          <cell r="B257" t="str">
            <v>Total shareholders' equity (Pub)</v>
          </cell>
          <cell r="C257" t="str">
            <v>EQ_PUB</v>
          </cell>
          <cell r="D257" t="str">
            <v>TWD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2692.346</v>
          </cell>
          <cell r="Z257">
            <v>3511.5160000000001</v>
          </cell>
          <cell r="AA257">
            <v>4607.8519999999999</v>
          </cell>
          <cell r="AB257">
            <v>8194.76</v>
          </cell>
          <cell r="AC257">
            <v>10570.406000000001</v>
          </cell>
        </row>
        <row r="258">
          <cell r="B258" t="str">
            <v>EPS (consensus)</v>
          </cell>
          <cell r="C258" t="str">
            <v>EPS_CONS_PUB</v>
          </cell>
          <cell r="D258" t="str">
            <v>TWD</v>
          </cell>
        </row>
        <row r="259">
          <cell r="A259" t="str">
            <v>Income Statement</v>
          </cell>
        </row>
        <row r="260">
          <cell r="B260" t="str">
            <v>Provision for income tax</v>
          </cell>
          <cell r="C260" t="str">
            <v>PROV_INC_TAX</v>
          </cell>
          <cell r="D260" t="str">
            <v>TWD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-2.4E-2</v>
          </cell>
          <cell r="Z260">
            <v>13.381</v>
          </cell>
          <cell r="AA260">
            <v>-60.396000000000001</v>
          </cell>
          <cell r="AB260">
            <v>-28.585999999999999</v>
          </cell>
          <cell r="AC260">
            <v>-54.37</v>
          </cell>
        </row>
        <row r="261">
          <cell r="B261" t="str">
            <v>Minority interest</v>
          </cell>
          <cell r="C261" t="str">
            <v>INC_MINORITY</v>
          </cell>
          <cell r="D261" t="str">
            <v>TWD</v>
          </cell>
          <cell r="AA261">
            <v>6.0000000000000001E-3</v>
          </cell>
          <cell r="AB261">
            <v>0</v>
          </cell>
          <cell r="AC261">
            <v>0</v>
          </cell>
        </row>
        <row r="262">
          <cell r="B262" t="str">
            <v>Net income (pre-preferred dividends)</v>
          </cell>
          <cell r="C262" t="str">
            <v>NI_PRE_PREF</v>
          </cell>
          <cell r="D262" t="str">
            <v>TWD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530.30100000000004</v>
          </cell>
          <cell r="Z262">
            <v>800.73</v>
          </cell>
          <cell r="AA262">
            <v>1201.2470000000001</v>
          </cell>
          <cell r="AB262">
            <v>1469.6559999999999</v>
          </cell>
          <cell r="AC262">
            <v>1818.3779999999999</v>
          </cell>
        </row>
        <row r="263">
          <cell r="B263" t="str">
            <v>Preferred dividends</v>
          </cell>
          <cell r="C263" t="str">
            <v>PREF_DIV</v>
          </cell>
          <cell r="D263" t="str">
            <v>TWD</v>
          </cell>
        </row>
        <row r="264">
          <cell r="B264" t="str">
            <v>Net income (pre-exceptionals)</v>
          </cell>
          <cell r="C264" t="str">
            <v>NET_EARNING</v>
          </cell>
          <cell r="D264" t="str">
            <v>TWD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530.30100000000004</v>
          </cell>
          <cell r="Z264">
            <v>800.73</v>
          </cell>
          <cell r="AA264">
            <v>1201.2470000000001</v>
          </cell>
          <cell r="AB264">
            <v>1469.6559999999999</v>
          </cell>
          <cell r="AC264">
            <v>1818.3779999999999</v>
          </cell>
        </row>
        <row r="265">
          <cell r="B265" t="str">
            <v>Post-tax exceptionals</v>
          </cell>
          <cell r="C265" t="str">
            <v>TAX_EXC</v>
          </cell>
          <cell r="D265" t="str">
            <v>TWD</v>
          </cell>
        </row>
        <row r="266">
          <cell r="B266" t="str">
            <v>Net income (post-exceptionals)</v>
          </cell>
          <cell r="C266" t="str">
            <v>NET_INC</v>
          </cell>
          <cell r="D266" t="str">
            <v>TWD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530.30100000000004</v>
          </cell>
          <cell r="Z266">
            <v>800.73</v>
          </cell>
          <cell r="AA266">
            <v>1201.2470000000001</v>
          </cell>
          <cell r="AB266">
            <v>1469.6559999999999</v>
          </cell>
          <cell r="AC266">
            <v>1818.3779999999999</v>
          </cell>
        </row>
        <row r="267">
          <cell r="B267" t="str">
            <v>EPS (pre-exceptionals, basic)</v>
          </cell>
          <cell r="C267" t="str">
            <v>EPS</v>
          </cell>
          <cell r="D267" t="str">
            <v>TWD</v>
          </cell>
          <cell r="Y267">
            <v>8.0005582125130008</v>
          </cell>
          <cell r="Z267">
            <v>10.553695698018</v>
          </cell>
          <cell r="AA267">
            <v>15.657546923879</v>
          </cell>
          <cell r="AB267">
            <v>18.718394171740002</v>
          </cell>
          <cell r="AC267">
            <v>20.669692227973002</v>
          </cell>
        </row>
        <row r="268">
          <cell r="B268" t="str">
            <v>EPS (pre-exceptionals, diluted)</v>
          </cell>
          <cell r="C268" t="str">
            <v>EPS_FUL_DIL</v>
          </cell>
          <cell r="D268" t="str">
            <v>TWD</v>
          </cell>
          <cell r="Y268">
            <v>7.5905844295260003</v>
          </cell>
          <cell r="Z268">
            <v>10.162708938838</v>
          </cell>
          <cell r="AA268">
            <v>15.031558530939</v>
          </cell>
          <cell r="AB268">
            <v>17.472192500654</v>
          </cell>
          <cell r="AC268">
            <v>19.477926189603</v>
          </cell>
        </row>
        <row r="269">
          <cell r="B269" t="str">
            <v>EPS (post-exceptionals, basic)</v>
          </cell>
          <cell r="C269" t="str">
            <v>EPS_POST_BASIC</v>
          </cell>
          <cell r="D269" t="str">
            <v>TWD</v>
          </cell>
          <cell r="Y269">
            <v>8.0005582125130008</v>
          </cell>
          <cell r="Z269">
            <v>10.553695698018</v>
          </cell>
          <cell r="AA269">
            <v>15.657546923879</v>
          </cell>
          <cell r="AB269">
            <v>18.718394171740002</v>
          </cell>
          <cell r="AC269">
            <v>20.669692227973002</v>
          </cell>
        </row>
        <row r="270">
          <cell r="B270" t="str">
            <v>EPS (post-exceptionals, diluted)</v>
          </cell>
          <cell r="C270" t="str">
            <v>FULLY_DIL_EPS</v>
          </cell>
          <cell r="D270" t="str">
            <v>TWD</v>
          </cell>
          <cell r="Y270">
            <v>7.5905844295260003</v>
          </cell>
          <cell r="Z270">
            <v>10.162708938838</v>
          </cell>
          <cell r="AA270">
            <v>15.031558530939</v>
          </cell>
          <cell r="AB270">
            <v>17.472192500654</v>
          </cell>
          <cell r="AC270">
            <v>19.477926189603</v>
          </cell>
        </row>
        <row r="271">
          <cell r="B271" t="str">
            <v>Common dividends paid</v>
          </cell>
          <cell r="C271" t="str">
            <v>COMMON_DIV_PAID</v>
          </cell>
          <cell r="D271" t="str">
            <v>TWD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-162.59700000000001</v>
          </cell>
          <cell r="AA271">
            <v>-245.51395492371299</v>
          </cell>
          <cell r="AB271">
            <v>-368.31753750982898</v>
          </cell>
          <cell r="AC271">
            <v>-450.61513486114501</v>
          </cell>
        </row>
        <row r="272">
          <cell r="B272" t="str">
            <v>DPS, dividend per share</v>
          </cell>
          <cell r="C272" t="str">
            <v>DPS</v>
          </cell>
          <cell r="D272" t="str">
            <v>TWD</v>
          </cell>
          <cell r="Z272">
            <v>2.1430435470270002</v>
          </cell>
          <cell r="AA272">
            <v>3.2001297565660001</v>
          </cell>
          <cell r="AB272">
            <v>4.6911065225290001</v>
          </cell>
          <cell r="AC272">
            <v>5.3743829072829996</v>
          </cell>
        </row>
        <row r="273">
          <cell r="B273" t="str">
            <v>Weighted average shares outstanding, basic</v>
          </cell>
          <cell r="C273" t="str">
            <v>SH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66.283000000000001</v>
          </cell>
          <cell r="Z273">
            <v>75.872</v>
          </cell>
          <cell r="AA273">
            <v>76.72</v>
          </cell>
          <cell r="AB273">
            <v>78.513999999999996</v>
          </cell>
          <cell r="AC273">
            <v>87.973153153153007</v>
          </cell>
        </row>
        <row r="274">
          <cell r="B274" t="str">
            <v>Diluted average shares outstanding (mn)</v>
          </cell>
          <cell r="C274" t="str">
            <v>DILUTE_SHARES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69.863</v>
          </cell>
          <cell r="Z274">
            <v>78.790999999999997</v>
          </cell>
          <cell r="AA274">
            <v>79.915000000000006</v>
          </cell>
          <cell r="AB274">
            <v>84.114000000000004</v>
          </cell>
          <cell r="AC274">
            <v>93.355831739961999</v>
          </cell>
        </row>
        <row r="275">
          <cell r="B275" t="str">
            <v>Period-end shares outstanding</v>
          </cell>
          <cell r="C275" t="str">
            <v>NON_OP_ADD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66.283000000000001</v>
          </cell>
          <cell r="Z275">
            <v>75.872</v>
          </cell>
          <cell r="AA275">
            <v>76.72</v>
          </cell>
          <cell r="AB275">
            <v>78.513999999999996</v>
          </cell>
          <cell r="AC275">
            <v>87.973153153153007</v>
          </cell>
        </row>
        <row r="276">
          <cell r="A276" t="str">
            <v>Additional Income Statement Items</v>
          </cell>
        </row>
        <row r="277">
          <cell r="B277" t="str">
            <v>Marginal tax rate</v>
          </cell>
          <cell r="C277" t="str">
            <v>MARGIN_TAX_RATE</v>
          </cell>
          <cell r="M277">
            <v>0</v>
          </cell>
          <cell r="O277">
            <v>0</v>
          </cell>
          <cell r="P277">
            <v>0</v>
          </cell>
          <cell r="Y277">
            <v>4.5255267999999999E-5</v>
          </cell>
          <cell r="AA277">
            <v>4.7871138846E-2</v>
          </cell>
          <cell r="AB277">
            <v>1.9079694735999998E-2</v>
          </cell>
          <cell r="AC277">
            <v>2.9032202944999998E-2</v>
          </cell>
        </row>
        <row r="278">
          <cell r="B278" t="str">
            <v>Net income (consensus) (Pub)</v>
          </cell>
          <cell r="C278" t="str">
            <v>NI_CONS</v>
          </cell>
          <cell r="D278" t="str">
            <v>TWD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</row>
        <row r="279">
          <cell r="A279" t="str">
            <v>Balance Sheet</v>
          </cell>
        </row>
        <row r="280">
          <cell r="B280" t="str">
            <v>BVPS, book value per share</v>
          </cell>
          <cell r="C280" t="str">
            <v>BVPS</v>
          </cell>
          <cell r="D280" t="str">
            <v>TWD</v>
          </cell>
          <cell r="Y280">
            <v>40.618952069157999</v>
          </cell>
          <cell r="Z280">
            <v>46.282106706031001</v>
          </cell>
          <cell r="AA280">
            <v>60.060636079249001</v>
          </cell>
          <cell r="AB280">
            <v>104.373232799246</v>
          </cell>
          <cell r="AC280">
            <v>120.154906595173</v>
          </cell>
        </row>
        <row r="281">
          <cell r="A281" t="str">
            <v>Cash Flow Statement</v>
          </cell>
        </row>
        <row r="282">
          <cell r="B282" t="str">
            <v>Net income (pre-preferred dividends)</v>
          </cell>
          <cell r="C282" t="str">
            <v>CF_NI_PRE_PREF</v>
          </cell>
          <cell r="D282" t="str">
            <v>TWD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530.30100000000004</v>
          </cell>
          <cell r="Z282">
            <v>800.73</v>
          </cell>
          <cell r="AA282">
            <v>1201.2470000000001</v>
          </cell>
          <cell r="AB282">
            <v>1469.6559999999999</v>
          </cell>
          <cell r="AC282">
            <v>1818.3779999999999</v>
          </cell>
        </row>
        <row r="283">
          <cell r="A283" t="str">
            <v>Other Items</v>
          </cell>
        </row>
        <row r="284">
          <cell r="B284" t="str">
            <v>Beta</v>
          </cell>
          <cell r="C284" t="str">
            <v>BETA_ANALYST</v>
          </cell>
        </row>
        <row r="285">
          <cell r="B285" t="str">
            <v>Market equity risk premium</v>
          </cell>
          <cell r="C285" t="str">
            <v>MKT_EQ_RISK_PREM</v>
          </cell>
        </row>
        <row r="286">
          <cell r="B286" t="str">
            <v>Risk-free rate</v>
          </cell>
          <cell r="C286" t="str">
            <v>RISK_FR_RATE</v>
          </cell>
        </row>
      </sheetData>
      <sheetData sheetId="9">
        <row r="1">
          <cell r="A1" t="str">
            <v>f6a683e6-c458-40f3-bf16-2d8679446a94</v>
          </cell>
        </row>
        <row r="2">
          <cell r="A2" t="str">
            <v>\\firmwide.corp.gs.com\root\Projects\Research\hk\gc_tech_telco\Tech 1Q\Models\Largan\[GS_Largan (3008.TW) operating model_sy_v1_clearing with QV team, pls dont change.xlsx]6415.TW_Validation_Sheet</v>
          </cell>
        </row>
        <row r="7">
          <cell r="A7" t="str">
            <v>Scalar|||208016481|||ISSR|||CURRENCY_ISO|||False|||</v>
          </cell>
          <cell r="C7" t="str">
            <v>V_KEYWORD_ISSR_208016481_CURRENCY_ISO</v>
          </cell>
        </row>
        <row r="9">
          <cell r="A9" t="str">
            <v>Scalar|||208016481|||ISSR|||MA_PROB|||False|||</v>
          </cell>
          <cell r="C9" t="str">
            <v>V_KEYWORD_ISSR_208016481_MA_PROB</v>
          </cell>
          <cell r="E9" t="str">
            <v>ERROR</v>
          </cell>
        </row>
        <row r="11">
          <cell r="A11" t="str">
            <v>Vector|||208016481|||ISSR|||SALES|||False|||</v>
          </cell>
          <cell r="C11" t="str">
            <v>V_KEYWORD_ISSR_208016481_SALES</v>
          </cell>
        </row>
        <row r="12">
          <cell r="A12" t="str">
            <v>Vector|||208016481|||ISSR|||PERSONNEL|||False|||</v>
          </cell>
          <cell r="C12" t="str">
            <v>V_KEYWORD_ISSR_208016481_PERSONNEL</v>
          </cell>
        </row>
        <row r="13">
          <cell r="A13" t="str">
            <v>Vector|||208016481|||ISSR|||COST_GD_SD|||False|||</v>
          </cell>
          <cell r="C13" t="str">
            <v>V_KEYWORD_ISSR_208016481_COST_GD_SD</v>
          </cell>
        </row>
        <row r="14">
          <cell r="A14" t="str">
            <v>Vector|||208016481|||ISSR|||SEL_GL_AD|||False|||</v>
          </cell>
          <cell r="C14" t="str">
            <v>V_KEYWORD_ISSR_208016481_SEL_GL_AD</v>
          </cell>
        </row>
        <row r="15">
          <cell r="A15" t="str">
            <v>Vector|||208016481|||ISSR|||OP_COST|||False|||</v>
          </cell>
          <cell r="C15" t="str">
            <v>V_KEYWORD_ISSR_208016481_OP_COST</v>
          </cell>
        </row>
        <row r="16">
          <cell r="A16" t="str">
            <v>Vector|||208016481|||ISSR|||RD_EXP|||False|||</v>
          </cell>
          <cell r="C16" t="str">
            <v>V_KEYWORD_ISSR_208016481_RD_EXP</v>
          </cell>
        </row>
        <row r="17">
          <cell r="A17" t="str">
            <v>Vector|||208016481|||ISSR|||OTH_OP_INC_EXP|||False|||</v>
          </cell>
          <cell r="C17" t="str">
            <v>V_KEYWORD_ISSR_208016481_OTH_OP_INC_EXP</v>
          </cell>
        </row>
        <row r="18">
          <cell r="A18" t="str">
            <v>Vector|||208016481|||ISSR|||TOT_OPS_EXP_DDA|||False|||</v>
          </cell>
          <cell r="C18" t="str">
            <v>V_KEYWORD_ISSR_208016481_TOT_OPS_EXP_DDA</v>
          </cell>
        </row>
        <row r="19">
          <cell r="A19" t="str">
            <v>Vector|||208016481|||ISSR|||TOT_OPS_EXP|||False|||</v>
          </cell>
          <cell r="C19" t="str">
            <v>V_KEYWORD_ISSR_208016481_TOT_OPS_EXP</v>
          </cell>
        </row>
        <row r="20">
          <cell r="A20" t="str">
            <v>Vector|||208016481|||ISSR|||EBITDA_CALC|||False|||</v>
          </cell>
          <cell r="C20" t="str">
            <v>V_KEYWORD_ISSR_208016481_EBITDA_CALC</v>
          </cell>
        </row>
        <row r="21">
          <cell r="A21" t="str">
            <v>Vector|||208016481|||ISSR|||DEPREC|||False|||</v>
          </cell>
          <cell r="C21" t="str">
            <v>V_KEYWORD_ISSR_208016481_DEPREC</v>
          </cell>
        </row>
        <row r="22">
          <cell r="A22" t="str">
            <v>Vector|||208016481|||ISSR|||GOODWILL_AMORT|||False|||</v>
          </cell>
          <cell r="C22" t="str">
            <v>V_KEYWORD_ISSR_208016481_GOODWILL_AMORT</v>
          </cell>
        </row>
        <row r="23">
          <cell r="A23" t="str">
            <v>Vector|||208016481|||ISSR|||EBIT|||False|||</v>
          </cell>
          <cell r="C23" t="str">
            <v>V_KEYWORD_ISSR_208016481_EBIT</v>
          </cell>
        </row>
        <row r="24">
          <cell r="A24" t="str">
            <v>Vector|||208016481|||ISSR|||INT_INC_IND|||False|||</v>
          </cell>
          <cell r="C24" t="str">
            <v>V_KEYWORD_ISSR_208016481_INT_INC_IND</v>
          </cell>
        </row>
        <row r="25">
          <cell r="A25" t="str">
            <v>Vector|||208016481|||ISSR|||INT_EXP_IND|||False|||</v>
          </cell>
          <cell r="C25" t="str">
            <v>V_KEYWORD_ISSR_208016481_INT_EXP_IND</v>
          </cell>
          <cell r="AZ25" t="str">
            <v>ERROR</v>
          </cell>
          <cell r="BA25" t="str">
            <v>ERROR</v>
          </cell>
        </row>
        <row r="26">
          <cell r="A26" t="str">
            <v>Vector|||208016481|||ISSR|||NET_INT_EXP|||False|||</v>
          </cell>
          <cell r="C26" t="str">
            <v>V_KEYWORD_ISSR_208016481_NET_INT_EXP</v>
          </cell>
        </row>
        <row r="27">
          <cell r="A27" t="str">
            <v>Vector|||208016481|||ISSR|||ASSOCIATE|||False|||</v>
          </cell>
          <cell r="C27" t="str">
            <v>V_KEYWORD_ISSR_208016481_ASSOCIATE</v>
          </cell>
        </row>
        <row r="28">
          <cell r="A28" t="str">
            <v>Vector|||208016481|||ISSR|||PROFIT_ON_DISP|||False|||</v>
          </cell>
          <cell r="C28" t="str">
            <v>V_KEYWORD_ISSR_208016481_PROFIT_ON_DISP</v>
          </cell>
        </row>
        <row r="29">
          <cell r="A29" t="str">
            <v>Vector|||208016481|||ISSR|||OTH_COST_INC|||False|||</v>
          </cell>
          <cell r="C29" t="str">
            <v>V_KEYWORD_ISSR_208016481_OTH_COST_INC</v>
          </cell>
        </row>
        <row r="30">
          <cell r="A30" t="str">
            <v>Vector|||208016481|||ISSR|||PT_PROF|||False|||</v>
          </cell>
          <cell r="C30" t="str">
            <v>V_KEYWORD_ISSR_208016481_PT_PROF</v>
          </cell>
        </row>
        <row r="32">
          <cell r="A32" t="str">
            <v>Vector|||208016481|||ISSR|||CONTRIB_MARGIN_RATIO|||False|||</v>
          </cell>
          <cell r="C32" t="str">
            <v>V_KEYWORD_ISSR_208016481_CONTRIB_MARGIN_RATIO</v>
          </cell>
        </row>
        <row r="33">
          <cell r="A33" t="str">
            <v>Vector|||208016481|||ISSR|||LEASE_PAY|||False|||</v>
          </cell>
          <cell r="C33" t="str">
            <v>V_KEYWORD_ISSR_208016481_LEASE_PAY</v>
          </cell>
        </row>
        <row r="34">
          <cell r="A34" t="str">
            <v>Vector|||208016481|||ISSR|||LEASE_DEEM_INT|||False|||</v>
          </cell>
          <cell r="C34" t="str">
            <v>V_KEYWORD_ISSR_208016481_LEASE_DEEM_INT</v>
          </cell>
        </row>
        <row r="35">
          <cell r="A35" t="str">
            <v>Vector|||208016481|||ISSR|||LEASE_DEEM_DEPR|||False|||</v>
          </cell>
          <cell r="C35" t="str">
            <v>V_KEYWORD_ISSR_208016481_LEASE_DEEM_DEPR</v>
          </cell>
        </row>
        <row r="36">
          <cell r="A36" t="str">
            <v>Vector|||208016481|||ISSR|||NET_INT_CH|||False|||</v>
          </cell>
          <cell r="C36" t="str">
            <v>V_KEYWORD_ISSR_208016481_NET_INT_CH</v>
          </cell>
        </row>
        <row r="37">
          <cell r="A37" t="str">
            <v>Vector|||208016481|||ISSR|||ASSOCIATE_OP|||False|||</v>
          </cell>
          <cell r="C37" t="str">
            <v>V_KEYWORD_ISSR_208016481_ASSOCIATE_OP</v>
          </cell>
        </row>
        <row r="39">
          <cell r="A39" t="str">
            <v>Vector|||208016481|||ISSR|||CASH_EQ|||False|||</v>
          </cell>
          <cell r="C39" t="str">
            <v>V_KEYWORD_ISSR_208016481_CASH_EQ</v>
          </cell>
        </row>
        <row r="40">
          <cell r="A40" t="str">
            <v>Vector|||208016481|||ISSR|||DEBTORS|||False|||</v>
          </cell>
          <cell r="C40" t="str">
            <v>V_KEYWORD_ISSR_208016481_DEBTORS</v>
          </cell>
        </row>
        <row r="41">
          <cell r="A41" t="str">
            <v>Vector|||208016481|||ISSR|||STOCKS|||False|||</v>
          </cell>
          <cell r="C41" t="str">
            <v>V_KEYWORD_ISSR_208016481_STOCKS</v>
          </cell>
        </row>
        <row r="42">
          <cell r="A42" t="str">
            <v>Vector|||208016481|||ISSR|||OTH_CUR_ASS|||False|||</v>
          </cell>
          <cell r="C42" t="str">
            <v>V_KEYWORD_ISSR_208016481_OTH_CUR_ASS</v>
          </cell>
        </row>
        <row r="43">
          <cell r="A43" t="str">
            <v>Vector|||208016481|||ISSR|||CUR_ASS|||False|||</v>
          </cell>
          <cell r="C43" t="str">
            <v>V_KEYWORD_ISSR_208016481_CUR_ASS</v>
          </cell>
        </row>
        <row r="44">
          <cell r="A44" t="str">
            <v>Vector|||208016481|||ISSR|||GR_FIX_ASS|||False|||</v>
          </cell>
          <cell r="C44" t="str">
            <v>V_KEYWORD_ISSR_208016481_GR_FIX_ASS</v>
          </cell>
        </row>
        <row r="45">
          <cell r="A45" t="str">
            <v>Vector|||208016481|||ISSR|||ACC_DDA|||False|||</v>
          </cell>
          <cell r="C45" t="str">
            <v>V_KEYWORD_ISSR_208016481_ACC_DDA</v>
          </cell>
        </row>
        <row r="46">
          <cell r="A46" t="str">
            <v>Vector|||208016481|||ISSR|||NET_FIX_ASS|||False|||</v>
          </cell>
          <cell r="C46" t="str">
            <v>V_KEYWORD_ISSR_208016481_NET_FIX_ASS</v>
          </cell>
        </row>
        <row r="47">
          <cell r="A47" t="str">
            <v>Vector|||208016481|||ISSR|||GR_INTANG|||False|||</v>
          </cell>
          <cell r="C47" t="str">
            <v>V_KEYWORD_ISSR_208016481_GR_INTANG</v>
          </cell>
        </row>
        <row r="48">
          <cell r="A48" t="str">
            <v>Vector|||208016481|||ISSR|||ACC_AMORT|||False|||</v>
          </cell>
          <cell r="C48" t="str">
            <v>V_KEYWORD_ISSR_208016481_ACC_AMORT</v>
          </cell>
        </row>
        <row r="49">
          <cell r="A49" t="str">
            <v>Vector|||208016481|||ISSR|||NET_INTANG|||False|||</v>
          </cell>
          <cell r="C49" t="str">
            <v>V_KEYWORD_ISSR_208016481_NET_INTANG</v>
          </cell>
        </row>
        <row r="50">
          <cell r="A50" t="str">
            <v>Vector|||208016481|||ISSR|||FIX_ASS_INV|||False|||</v>
          </cell>
          <cell r="C50" t="str">
            <v>V_KEYWORD_ISSR_208016481_FIX_ASS_INV</v>
          </cell>
        </row>
        <row r="51">
          <cell r="A51" t="str">
            <v>Vector|||208016481|||ISSR|||INV_SECUR|||False|||</v>
          </cell>
          <cell r="C51" t="str">
            <v>V_KEYWORD_ISSR_208016481_INV_SECUR</v>
          </cell>
        </row>
        <row r="52">
          <cell r="A52" t="str">
            <v>Vector|||208016481|||ISSR|||OTH_LT_ASS|||False|||</v>
          </cell>
          <cell r="C52" t="str">
            <v>V_KEYWORD_ISSR_208016481_OTH_LT_ASS</v>
          </cell>
        </row>
        <row r="53">
          <cell r="A53" t="str">
            <v>Vector|||208016481|||ISSR|||TOT_ASSET|||False|||</v>
          </cell>
          <cell r="C53" t="str">
            <v>V_KEYWORD_ISSR_208016481_TOT_ASSET</v>
          </cell>
        </row>
        <row r="54">
          <cell r="A54" t="str">
            <v>Vector|||208016481|||ISSR|||ACC_PAY_GQ|||False|||</v>
          </cell>
          <cell r="C54" t="str">
            <v>V_KEYWORD_ISSR_208016481_ACC_PAY_GQ</v>
          </cell>
        </row>
        <row r="55">
          <cell r="A55" t="str">
            <v>Vector|||208016481|||ISSR|||SHORT_T_DEBT|||False|||</v>
          </cell>
          <cell r="C55" t="str">
            <v>V_KEYWORD_ISSR_208016481_SHORT_T_DEBT</v>
          </cell>
        </row>
        <row r="56">
          <cell r="A56" t="str">
            <v>Vector|||208016481|||ISSR|||OTH_CUR_LIABS|||False|||</v>
          </cell>
          <cell r="C56" t="str">
            <v>V_KEYWORD_ISSR_208016481_OTH_CUR_LIABS</v>
          </cell>
        </row>
        <row r="57">
          <cell r="A57" t="str">
            <v>Vector|||208016481|||ISSR|||SHORT_TERM_LIABS|||False|||</v>
          </cell>
          <cell r="C57" t="str">
            <v>V_KEYWORD_ISSR_208016481_SHORT_TERM_LIABS</v>
          </cell>
        </row>
        <row r="58">
          <cell r="A58" t="str">
            <v>Vector|||208016481|||ISSR|||LT_DEBT|||False|||</v>
          </cell>
          <cell r="C58" t="str">
            <v>V_KEYWORD_ISSR_208016481_LT_DEBT</v>
          </cell>
        </row>
        <row r="59">
          <cell r="A59" t="str">
            <v>Vector|||208016481|||ISSR|||OTH_LT_CRED_GQ|||False|||</v>
          </cell>
          <cell r="C59" t="str">
            <v>V_KEYWORD_ISSR_208016481_OTH_LT_CRED_GQ</v>
          </cell>
        </row>
        <row r="60">
          <cell r="A60" t="str">
            <v>Vector|||208016481|||ISSR|||TOT_LT_LIAB|||False|||</v>
          </cell>
          <cell r="C60" t="str">
            <v>V_KEYWORD_ISSR_208016481_TOT_LT_LIAB</v>
          </cell>
        </row>
        <row r="61">
          <cell r="A61" t="str">
            <v>Vector|||208016481|||ISSR|||TOT_LIAB|||False|||</v>
          </cell>
          <cell r="C61" t="str">
            <v>V_KEYWORD_ISSR_208016481_TOT_LIAB</v>
          </cell>
        </row>
        <row r="62">
          <cell r="A62" t="str">
            <v>Vector|||208016481|||ISSR|||PREF_SH|||False|||</v>
          </cell>
          <cell r="C62" t="str">
            <v>V_KEYWORD_ISSR_208016481_PREF_SH</v>
          </cell>
        </row>
        <row r="63">
          <cell r="A63" t="str">
            <v>Vector|||208016481|||ISSR|||ORD_SH_FUND|||False|||</v>
          </cell>
          <cell r="C63" t="str">
            <v>V_KEYWORD_ISSR_208016481_ORD_SH_FUND</v>
          </cell>
        </row>
        <row r="64">
          <cell r="A64" t="str">
            <v>Vector|||208016481|||ISSR|||MINORITIES|||False|||</v>
          </cell>
          <cell r="C64" t="str">
            <v>V_KEYWORD_ISSR_208016481_MINORITIES</v>
          </cell>
        </row>
        <row r="65">
          <cell r="A65" t="str">
            <v>Vector|||208016481|||ISSR|||EQ|||False|||</v>
          </cell>
          <cell r="C65" t="str">
            <v>V_KEYWORD_ISSR_208016481_EQ</v>
          </cell>
        </row>
        <row r="66">
          <cell r="A66" t="str">
            <v>Vector|||208016481|||ISSR|||TOT_LIAB_EQ|||False|||</v>
          </cell>
          <cell r="C66" t="str">
            <v>V_KEYWORD_ISSR_208016481_TOT_LIAB_EQ</v>
          </cell>
        </row>
        <row r="68">
          <cell r="A68" t="str">
            <v>Vector|||208016481|||ISSR|||TOT_USD_DEBT|||False|||</v>
          </cell>
          <cell r="C68" t="str">
            <v>V_KEYWORD_ISSR_208016481_TOT_USD_DEBT</v>
          </cell>
        </row>
        <row r="69">
          <cell r="A69" t="str">
            <v>Vector|||208016481|||ISSR|||TOT_PCT_USD_DEBT_HEDGED|||False|||</v>
          </cell>
          <cell r="C69" t="str">
            <v>V_KEYWORD_ISSR_208016481_TOT_PCT_USD_DEBT_HEDGED</v>
          </cell>
        </row>
        <row r="70">
          <cell r="A70" t="str">
            <v>Vector|||208016481|||ISSR|||FLOATING_PCT_LOCAL_DEBT|||False|||</v>
          </cell>
          <cell r="C70" t="str">
            <v>V_KEYWORD_ISSR_208016481_FLOATING_PCT_LOCAL_DEBT</v>
          </cell>
        </row>
        <row r="71">
          <cell r="A71" t="str">
            <v>Vector|||208016481|||ISSR|||FLOATING_PCT_LOCAL_DEBT_HEDGED|||False|||</v>
          </cell>
          <cell r="C71" t="str">
            <v>V_KEYWORD_ISSR_208016481_FLOATING_PCT_LOCAL_DEBT_HEDGED</v>
          </cell>
        </row>
        <row r="72">
          <cell r="A72" t="str">
            <v>Vector|||208016481|||ISSR|||NET_DEBT|||False|||</v>
          </cell>
          <cell r="C72" t="str">
            <v>V_KEYWORD_ISSR_208016481_NET_DEBT</v>
          </cell>
        </row>
        <row r="73">
          <cell r="A73" t="str">
            <v>Vector|||208016481|||ISSR|||CAP_LEASES|||False|||</v>
          </cell>
          <cell r="C73" t="str">
            <v>V_KEYWORD_ISSR_208016481_CAP_LEASES</v>
          </cell>
        </row>
        <row r="74">
          <cell r="A74" t="str">
            <v>Vector|||208016481|||ISSR|||DEF_INC_TAX|||False|||</v>
          </cell>
          <cell r="C74" t="str">
            <v>V_KEYWORD_ISSR_208016481_DEF_INC_TAX</v>
          </cell>
        </row>
        <row r="75">
          <cell r="A75" t="str">
            <v>Vector|||208016481|||ISSR|||MV_ASSOCIATES|||False|||</v>
          </cell>
          <cell r="C75" t="str">
            <v>V_KEYWORD_ISSR_208016481_MV_ASSOCIATES</v>
          </cell>
        </row>
        <row r="76">
          <cell r="A76" t="str">
            <v>Vector|||208016481|||ISSR|||NET_DEBT_ADJ|||False|||</v>
          </cell>
          <cell r="C76" t="str">
            <v>V_KEYWORD_ISSR_208016481_NET_DEBT_ADJ</v>
          </cell>
        </row>
        <row r="77">
          <cell r="A77" t="str">
            <v>Vector|||208016481|||ISSR|||CO_BOR_MARGIN|||False|||</v>
          </cell>
          <cell r="C77" t="str">
            <v>V_KEYWORD_ISSR_208016481_CO_BOR_MARGIN</v>
          </cell>
        </row>
        <row r="78">
          <cell r="A78" t="str">
            <v>Vector|||208016481|||ISSR|||UNF_PENS|||False|||</v>
          </cell>
          <cell r="C78" t="str">
            <v>V_KEYWORD_ISSR_208016481_UNF_PENS</v>
          </cell>
        </row>
        <row r="79">
          <cell r="A79" t="str">
            <v>Vector|||208016481|||ISSR|||UNF_PENS_OFF|||False|||</v>
          </cell>
          <cell r="C79" t="str">
            <v>V_KEYWORD_ISSR_208016481_UNF_PENS_OFF</v>
          </cell>
        </row>
        <row r="80">
          <cell r="A80" t="str">
            <v>Vector|||208016481|||ISSR|||UNF_PENS_LIAB_OTH|||False|||</v>
          </cell>
          <cell r="C80" t="str">
            <v>V_KEYWORD_ISSR_208016481_UNF_PENS_LIAB_OTH</v>
          </cell>
        </row>
        <row r="81">
          <cell r="A81" t="str">
            <v>Vector|||208016481|||ISSR|||ADJ_UNF_PENS_GOOD|||False|||</v>
          </cell>
          <cell r="C81" t="str">
            <v>V_KEYWORD_ISSR_208016481_ADJ_UNF_PENS_GOOD</v>
          </cell>
        </row>
        <row r="82">
          <cell r="A82" t="str">
            <v>Vector|||208016481|||ISSR|||OTH_GCI_ADJ|||False|||</v>
          </cell>
          <cell r="C82" t="str">
            <v>V_KEYWORD_ISSR_208016481_OTH_GCI_ADJ</v>
          </cell>
        </row>
        <row r="83">
          <cell r="A83" t="str">
            <v>Vector|||208016481|||ISSR|||GCI_INFL|||False|||</v>
          </cell>
          <cell r="C83" t="str">
            <v>V_KEYWORD_ISSR_208016481_GCI_INFL</v>
          </cell>
        </row>
        <row r="84">
          <cell r="A84" t="str">
            <v>Vector|||208016481|||ISSR|||BAL_MINO_INT|||False|||</v>
          </cell>
          <cell r="C84" t="str">
            <v>V_KEYWORD_ISSR_208016481_BAL_MINO_INT</v>
          </cell>
        </row>
        <row r="86">
          <cell r="A86" t="str">
            <v>Vector|||208016481|||ISSR|||CF_INC_MINORITY|||False|||</v>
          </cell>
          <cell r="C86" t="str">
            <v>V_KEYWORD_ISSR_208016481_CF_INC_MINORITY</v>
          </cell>
        </row>
        <row r="87">
          <cell r="A87" t="str">
            <v>Vector|||208016481|||ISSR|||DEPR_AMORT|||False|||</v>
          </cell>
          <cell r="C87" t="str">
            <v>V_KEYWORD_ISSR_208016481_DEPR_AMORT</v>
          </cell>
        </row>
        <row r="88">
          <cell r="A88" t="str">
            <v>Vector|||208016481|||ISSR|||WORK_CAP|||False|||</v>
          </cell>
          <cell r="C88" t="str">
            <v>V_KEYWORD_ISSR_208016481_WORK_CAP</v>
          </cell>
        </row>
        <row r="89">
          <cell r="A89" t="str">
            <v>Vector|||208016481|||ISSR|||OTH_OP_CF|||False|||</v>
          </cell>
          <cell r="C89" t="str">
            <v>V_KEYWORD_ISSR_208016481_OTH_OP_CF</v>
          </cell>
        </row>
        <row r="90">
          <cell r="A90" t="str">
            <v>Vector|||208016481|||ISSR|||CF_OPS|||False|||</v>
          </cell>
          <cell r="C90" t="str">
            <v>V_KEYWORD_ISSR_208016481_CF_OPS</v>
          </cell>
        </row>
        <row r="91">
          <cell r="A91" t="str">
            <v>Vector|||208016481|||ISSR|||CAPEX|||False|||</v>
          </cell>
          <cell r="C91" t="str">
            <v>V_KEYWORD_ISSR_208016481_CAPEX</v>
          </cell>
        </row>
        <row r="92">
          <cell r="A92" t="str">
            <v>Vector|||208016481|||ISSR|||ACQ|||False|||</v>
          </cell>
          <cell r="C92" t="str">
            <v>V_KEYWORD_ISSR_208016481_ACQ</v>
          </cell>
        </row>
        <row r="93">
          <cell r="A93" t="str">
            <v>Vector|||208016481|||ISSR|||DIVEST|||False|||</v>
          </cell>
          <cell r="C93" t="str">
            <v>V_KEYWORD_ISSR_208016481_DIVEST</v>
          </cell>
        </row>
        <row r="94">
          <cell r="A94" t="str">
            <v>Vector|||208016481|||ISSR|||OTH_INV_CF|||False|||</v>
          </cell>
          <cell r="C94" t="str">
            <v>V_KEYWORD_ISSR_208016481_OTH_INV_CF</v>
          </cell>
        </row>
        <row r="95">
          <cell r="A95" t="str">
            <v>Vector|||208016481|||ISSR|||CF_INV|||False|||</v>
          </cell>
          <cell r="C95" t="str">
            <v>V_KEYWORD_ISSR_208016481_CF_INV</v>
          </cell>
        </row>
        <row r="96">
          <cell r="A96" t="str">
            <v>Vector|||208016481|||ISSR|||DIV_PAID|||False|||</v>
          </cell>
          <cell r="C96" t="str">
            <v>V_KEYWORD_ISSR_208016481_DIV_PAID</v>
          </cell>
        </row>
        <row r="97">
          <cell r="A97" t="str">
            <v>Vector|||208016481|||ISSR|||SH_REPUR|||False|||</v>
          </cell>
          <cell r="C97" t="str">
            <v>V_KEYWORD_ISSR_208016481_SH_REPUR</v>
          </cell>
        </row>
        <row r="98">
          <cell r="A98" t="str">
            <v>Vector|||208016481|||ISSR|||CHG_LT_DEBT|||False|||</v>
          </cell>
          <cell r="C98" t="str">
            <v>V_KEYWORD_ISSR_208016481_CHG_LT_DEBT</v>
          </cell>
        </row>
        <row r="99">
          <cell r="A99" t="str">
            <v>Vector|||208016481|||ISSR|||OTH_FIN_CF|||False|||</v>
          </cell>
          <cell r="C99" t="str">
            <v>V_KEYWORD_ISSR_208016481_OTH_FIN_CF</v>
          </cell>
        </row>
        <row r="100">
          <cell r="A100" t="str">
            <v>Vector|||208016481|||ISSR|||CF_FIN|||False|||</v>
          </cell>
          <cell r="C100" t="str">
            <v>V_KEYWORD_ISSR_208016481_CF_FIN</v>
          </cell>
        </row>
        <row r="101">
          <cell r="A101" t="str">
            <v>Vector|||208016481|||ISSR|||TOT_CF|||False|||</v>
          </cell>
          <cell r="C101" t="str">
            <v>V_KEYWORD_ISSR_208016481_TOT_CF</v>
          </cell>
        </row>
        <row r="103">
          <cell r="A103" t="str">
            <v>Vector|||208016481|||ISSR|||ASSOC_JV_ADDBK|||False|||</v>
          </cell>
          <cell r="C103" t="str">
            <v>V_KEYWORD_ISSR_208016481_ASSOC_JV_ADDBK</v>
          </cell>
        </row>
        <row r="104">
          <cell r="A104" t="str">
            <v>Vector|||208016481|||ISSR|||PL_SALE_ASSETS|||False|||</v>
          </cell>
          <cell r="C104" t="str">
            <v>V_KEYWORD_ISSR_208016481_PL_SALE_ASSETS</v>
          </cell>
        </row>
        <row r="105">
          <cell r="A105" t="str">
            <v>Vector|||208016481|||ISSR|||OTH_NONCASH_ADJ|||False|||</v>
          </cell>
          <cell r="C105" t="str">
            <v>V_KEYWORD_ISSR_208016481_OTH_NONCASH_ADJ</v>
          </cell>
        </row>
        <row r="106">
          <cell r="A106" t="str">
            <v>Vector|||208016481|||ISSR|||OTH_DACF_ADJ|||False|||</v>
          </cell>
          <cell r="C106" t="str">
            <v>V_KEYWORD_ISSR_208016481_OTH_DACF_ADJ</v>
          </cell>
        </row>
        <row r="107">
          <cell r="A107" t="str">
            <v>Vector|||208016481|||ISSR|||CASH_INT_EXP|||False|||</v>
          </cell>
          <cell r="C107" t="str">
            <v>V_KEYWORD_ISSR_208016481_CASH_INT_EXP</v>
          </cell>
        </row>
        <row r="108">
          <cell r="A108" t="str">
            <v>Vector|||208016481|||ISSR|||CASH_TAX_EXP|||False|||</v>
          </cell>
          <cell r="C108" t="str">
            <v>V_KEYWORD_ISSR_208016481_CASH_TAX_EXP</v>
          </cell>
        </row>
        <row r="109">
          <cell r="A109" t="str">
            <v>Vector|||208016481|||ISSR|||DIVDS_ASSOC_JV|||False|||</v>
          </cell>
          <cell r="C109" t="str">
            <v>V_KEYWORD_ISSR_208016481_DIVDS_ASSOC_JV</v>
          </cell>
        </row>
        <row r="110">
          <cell r="A110" t="str">
            <v>Vector|||208016481|||ISSR|||CAPEX_MAINTENANCE|||False|||</v>
          </cell>
          <cell r="C110" t="str">
            <v>V_KEYWORD_ISSR_208016481_CAPEX_MAINTENANCE</v>
          </cell>
        </row>
        <row r="111">
          <cell r="A111" t="str">
            <v>Vector|||208016481|||ISSR|||CAPEX_EXPANSION|||False|||</v>
          </cell>
          <cell r="C111" t="str">
            <v>V_KEYWORD_ISSR_208016481_CAPEX_EXPANSION</v>
          </cell>
        </row>
        <row r="112">
          <cell r="A112" t="str">
            <v>Vector|||208016481|||ISSR|||NONPPE_CAPEX|||False|||</v>
          </cell>
          <cell r="C112" t="str">
            <v>V_KEYWORD_ISSR_208016481_NONPPE_CAPEX</v>
          </cell>
        </row>
        <row r="113">
          <cell r="A113" t="str">
            <v>Vector|||208016481|||ISSR|||DIVDS_PD_MINORITIES|||False|||</v>
          </cell>
          <cell r="C113" t="str">
            <v>V_KEYWORD_ISSR_208016481_DIVDS_PD_MINORITIES</v>
          </cell>
        </row>
        <row r="115">
          <cell r="A115" t="str">
            <v>Vector|||208016481|||ISSR|||EMPLOYEES|||False|||</v>
          </cell>
          <cell r="C115" t="str">
            <v>V_KEYWORD_ISSR_208016481_EMPLOYEES</v>
          </cell>
        </row>
        <row r="117">
          <cell r="A117" t="str">
            <v>Vector|||208016481|||ISSR|||SALES_CANADA|||False|||</v>
          </cell>
          <cell r="C117" t="str">
            <v>V_KEYWORD_ISSR_208016481_SALES_CANADA</v>
          </cell>
        </row>
        <row r="118">
          <cell r="A118" t="str">
            <v>Vector|||208016481|||ISSR|||SALES_US|||False|||</v>
          </cell>
          <cell r="C118" t="str">
            <v>V_KEYWORD_ISSR_208016481_SALES_US</v>
          </cell>
        </row>
        <row r="119">
          <cell r="A119" t="str">
            <v>Vector|||208016481|||ISSR|||SALES_OTH_NO_AMER|||False|||</v>
          </cell>
          <cell r="C119" t="str">
            <v>V_KEYWORD_ISSR_208016481_SALES_OTH_NO_AMER</v>
          </cell>
        </row>
        <row r="120">
          <cell r="A120" t="str">
            <v>Vector|||208016481|||ISSR|||SALES_ARGENTINA|||False|||</v>
          </cell>
          <cell r="C120" t="str">
            <v>V_KEYWORD_ISSR_208016481_SALES_ARGENTINA</v>
          </cell>
        </row>
        <row r="121">
          <cell r="A121" t="str">
            <v>Vector|||208016481|||ISSR|||SALES_BRAZIL|||False|||</v>
          </cell>
          <cell r="C121" t="str">
            <v>V_KEYWORD_ISSR_208016481_SALES_BRAZIL</v>
          </cell>
        </row>
        <row r="122">
          <cell r="A122" t="str">
            <v>Vector|||208016481|||ISSR|||SALES_CHILE|||False|||</v>
          </cell>
          <cell r="C122" t="str">
            <v>V_KEYWORD_ISSR_208016481_SALES_CHILE</v>
          </cell>
        </row>
        <row r="123">
          <cell r="A123" t="str">
            <v>Vector|||208016481|||ISSR|||SALES_COLOMBIA|||False|||</v>
          </cell>
          <cell r="C123" t="str">
            <v>V_KEYWORD_ISSR_208016481_SALES_COLOMBIA</v>
          </cell>
        </row>
        <row r="124">
          <cell r="A124" t="str">
            <v>Vector|||208016481|||ISSR|||SALES_MEXICO|||False|||</v>
          </cell>
          <cell r="C124" t="str">
            <v>V_KEYWORD_ISSR_208016481_SALES_MEXICO</v>
          </cell>
        </row>
        <row r="125">
          <cell r="A125" t="str">
            <v>Vector|||208016481|||ISSR|||SALES_VENEZUELA|||False|||</v>
          </cell>
          <cell r="C125" t="str">
            <v>V_KEYWORD_ISSR_208016481_SALES_VENEZUELA</v>
          </cell>
        </row>
        <row r="126">
          <cell r="A126" t="str">
            <v>Vector|||208016481|||ISSR|||SALES_OTH_LATAM|||False|||</v>
          </cell>
          <cell r="C126" t="str">
            <v>V_KEYWORD_ISSR_208016481_SALES_OTH_LATAM</v>
          </cell>
        </row>
        <row r="127">
          <cell r="A127" t="str">
            <v>Vector|||208016481|||ISSR|||SALES_AUSTRIA|||False|||</v>
          </cell>
          <cell r="C127" t="str">
            <v>V_KEYWORD_ISSR_208016481_SALES_AUSTRIA</v>
          </cell>
        </row>
        <row r="128">
          <cell r="A128" t="str">
            <v>Vector|||208016481|||ISSR|||SALES_BEL|||False|||</v>
          </cell>
          <cell r="C128" t="str">
            <v>V_KEYWORD_ISSR_208016481_SALES_BEL</v>
          </cell>
        </row>
        <row r="129">
          <cell r="A129" t="str">
            <v>Vector|||208016481|||ISSR|||SALES_FRA|||False|||</v>
          </cell>
          <cell r="C129" t="str">
            <v>V_KEYWORD_ISSR_208016481_SALES_FRA</v>
          </cell>
        </row>
        <row r="130">
          <cell r="A130" t="str">
            <v>Vector|||208016481|||ISSR|||SALES_GER|||False|||</v>
          </cell>
          <cell r="C130" t="str">
            <v>V_KEYWORD_ISSR_208016481_SALES_GER</v>
          </cell>
        </row>
        <row r="131">
          <cell r="A131" t="str">
            <v>Vector|||208016481|||ISSR|||SALES_GRE|||False|||</v>
          </cell>
          <cell r="C131" t="str">
            <v>V_KEYWORD_ISSR_208016481_SALES_GRE</v>
          </cell>
        </row>
        <row r="132">
          <cell r="A132" t="str">
            <v>Vector|||208016481|||ISSR|||SALES_IRE|||False|||</v>
          </cell>
          <cell r="C132" t="str">
            <v>V_KEYWORD_ISSR_208016481_SALES_IRE</v>
          </cell>
        </row>
        <row r="133">
          <cell r="A133" t="str">
            <v>Vector|||208016481|||ISSR|||SALES_ITA|||False|||</v>
          </cell>
          <cell r="C133" t="str">
            <v>V_KEYWORD_ISSR_208016481_SALES_ITA</v>
          </cell>
        </row>
        <row r="134">
          <cell r="A134" t="str">
            <v>Vector|||208016481|||ISSR|||SALES_NETH|||False|||</v>
          </cell>
          <cell r="C134" t="str">
            <v>V_KEYWORD_ISSR_208016481_SALES_NETH</v>
          </cell>
        </row>
        <row r="135">
          <cell r="A135" t="str">
            <v>Vector|||208016481|||ISSR|||SALES_NOR|||False|||</v>
          </cell>
          <cell r="C135" t="str">
            <v>V_KEYWORD_ISSR_208016481_SALES_NOR</v>
          </cell>
        </row>
        <row r="136">
          <cell r="A136" t="str">
            <v>Vector|||208016481|||ISSR|||SALES_POR|||False|||</v>
          </cell>
          <cell r="C136" t="str">
            <v>V_KEYWORD_ISSR_208016481_SALES_POR</v>
          </cell>
        </row>
        <row r="137">
          <cell r="A137" t="str">
            <v>Vector|||208016481|||ISSR|||SALES_SPA|||False|||</v>
          </cell>
          <cell r="C137" t="str">
            <v>V_KEYWORD_ISSR_208016481_SALES_SPA</v>
          </cell>
        </row>
        <row r="138">
          <cell r="A138" t="str">
            <v>Vector|||208016481|||ISSR|||SALES_SWE|||False|||</v>
          </cell>
          <cell r="C138" t="str">
            <v>V_KEYWORD_ISSR_208016481_SALES_SWE</v>
          </cell>
        </row>
        <row r="139">
          <cell r="A139" t="str">
            <v>Vector|||208016481|||ISSR|||SALES_SWIT|||False|||</v>
          </cell>
          <cell r="C139" t="str">
            <v>V_KEYWORD_ISSR_208016481_SALES_SWIT</v>
          </cell>
        </row>
        <row r="140">
          <cell r="A140" t="str">
            <v>Vector|||208016481|||ISSR|||SALES_UK|||False|||</v>
          </cell>
          <cell r="C140" t="str">
            <v>V_KEYWORD_ISSR_208016481_SALES_UK</v>
          </cell>
        </row>
        <row r="141">
          <cell r="A141" t="str">
            <v>Vector|||208016481|||ISSR|||SALES_OTH_WEST_EURO|||False|||</v>
          </cell>
          <cell r="C141" t="str">
            <v>V_KEYWORD_ISSR_208016481_SALES_OTH_WEST_EURO</v>
          </cell>
        </row>
        <row r="142">
          <cell r="A142" t="str">
            <v>Vector|||208016481|||ISSR|||SALES_POLAND|||False|||</v>
          </cell>
          <cell r="C142" t="str">
            <v>V_KEYWORD_ISSR_208016481_SALES_POLAND</v>
          </cell>
        </row>
        <row r="143">
          <cell r="A143" t="str">
            <v>Vector|||208016481|||ISSR|||SALES_RUSSIA|||False|||</v>
          </cell>
          <cell r="C143" t="str">
            <v>V_KEYWORD_ISSR_208016481_SALES_RUSSIA</v>
          </cell>
        </row>
        <row r="144">
          <cell r="A144" t="str">
            <v>Vector|||208016481|||ISSR|||SALES_TURKEY|||False|||</v>
          </cell>
          <cell r="C144" t="str">
            <v>V_KEYWORD_ISSR_208016481_SALES_TURKEY</v>
          </cell>
        </row>
        <row r="145">
          <cell r="A145" t="str">
            <v>Vector|||208016481|||ISSR|||SALES_OTH_CEE|||False|||</v>
          </cell>
          <cell r="C145" t="str">
            <v>V_KEYWORD_ISSR_208016481_SALES_OTH_CEE</v>
          </cell>
        </row>
        <row r="146">
          <cell r="A146" t="str">
            <v>Vector|||208016481|||ISSR|||SALES_SAUDI_ARABIA|||False|||</v>
          </cell>
          <cell r="C146" t="str">
            <v>V_KEYWORD_ISSR_208016481_SALES_SAUDI_ARABIA</v>
          </cell>
        </row>
        <row r="147">
          <cell r="A147" t="str">
            <v>Vector|||208016481|||ISSR|||SALES_UAE|||False|||</v>
          </cell>
          <cell r="C147" t="str">
            <v>V_KEYWORD_ISSR_208016481_SALES_UAE</v>
          </cell>
        </row>
        <row r="148">
          <cell r="A148" t="str">
            <v>Vector|||208016481|||ISSR|||SALES_OTH_ME|||False|||</v>
          </cell>
          <cell r="C148" t="str">
            <v>V_KEYWORD_ISSR_208016481_SALES_OTH_ME</v>
          </cell>
        </row>
        <row r="149">
          <cell r="A149" t="str">
            <v>Vector|||208016481|||ISSR|||SALES_NIGERIA|||False|||</v>
          </cell>
          <cell r="C149" t="str">
            <v>V_KEYWORD_ISSR_208016481_SALES_NIGERIA</v>
          </cell>
        </row>
        <row r="150">
          <cell r="A150" t="str">
            <v>Vector|||208016481|||ISSR|||SALES_SO_AFRICA|||False|||</v>
          </cell>
          <cell r="C150" t="str">
            <v>V_KEYWORD_ISSR_208016481_SALES_SO_AFRICA</v>
          </cell>
        </row>
        <row r="151">
          <cell r="A151" t="str">
            <v>Vector|||208016481|||ISSR|||SALES_OTH_AFRICA|||False|||</v>
          </cell>
          <cell r="C151" t="str">
            <v>V_KEYWORD_ISSR_208016481_SALES_OTH_AFRICA</v>
          </cell>
        </row>
        <row r="152">
          <cell r="A152" t="str">
            <v>Vector|||208016481|||ISSR|||SALES_HONG_KONG|||False|||</v>
          </cell>
          <cell r="C152" t="str">
            <v>V_KEYWORD_ISSR_208016481_SALES_HONG_KONG</v>
          </cell>
        </row>
        <row r="153">
          <cell r="A153" t="str">
            <v>Vector|||208016481|||ISSR|||SALES_JAPAN|||False|||</v>
          </cell>
          <cell r="C153" t="str">
            <v>V_KEYWORD_ISSR_208016481_SALES_JAPAN</v>
          </cell>
        </row>
        <row r="154">
          <cell r="A154" t="str">
            <v>Vector|||208016481|||ISSR|||SALES_SINGAPORE|||False|||</v>
          </cell>
          <cell r="C154" t="str">
            <v>V_KEYWORD_ISSR_208016481_SALES_SINGAPORE</v>
          </cell>
        </row>
        <row r="155">
          <cell r="A155" t="str">
            <v>Vector|||208016481|||ISSR|||SALES_SK|||False|||</v>
          </cell>
          <cell r="C155" t="str">
            <v>V_KEYWORD_ISSR_208016481_SALES_SK</v>
          </cell>
        </row>
        <row r="156">
          <cell r="A156" t="str">
            <v>Vector|||208016481|||ISSR|||SALES_TAIWAN|||False|||</v>
          </cell>
          <cell r="C156" t="str">
            <v>V_KEYWORD_ISSR_208016481_SALES_TAIWAN</v>
          </cell>
        </row>
        <row r="157">
          <cell r="A157" t="str">
            <v>Vector|||208016481|||ISSR|||SALES_OTH_DEV_ASIA|||False|||</v>
          </cell>
          <cell r="C157" t="str">
            <v>V_KEYWORD_ISSR_208016481_SALES_OTH_DEV_ASIA</v>
          </cell>
        </row>
        <row r="158">
          <cell r="A158" t="str">
            <v>Vector|||208016481|||ISSR|||SALES_CHINA|||False|||</v>
          </cell>
          <cell r="C158" t="str">
            <v>V_KEYWORD_ISSR_208016481_SALES_CHINA</v>
          </cell>
        </row>
        <row r="159">
          <cell r="A159" t="str">
            <v>Vector|||208016481|||ISSR|||SALES_INDIA|||False|||</v>
          </cell>
          <cell r="C159" t="str">
            <v>V_KEYWORD_ISSR_208016481_SALES_INDIA</v>
          </cell>
        </row>
        <row r="160">
          <cell r="A160" t="str">
            <v>Vector|||208016481|||ISSR|||SALES_INDONESIA|||False|||</v>
          </cell>
          <cell r="C160" t="str">
            <v>V_KEYWORD_ISSR_208016481_SALES_INDONESIA</v>
          </cell>
        </row>
        <row r="161">
          <cell r="A161" t="str">
            <v>Vector|||208016481|||ISSR|||SALES_THAILAND|||False|||</v>
          </cell>
          <cell r="C161" t="str">
            <v>V_KEYWORD_ISSR_208016481_SALES_THAILAND</v>
          </cell>
        </row>
        <row r="162">
          <cell r="A162" t="str">
            <v>Vector|||208016481|||ISSR|||SALES_OTH_EMERG_ASIA|||False|||</v>
          </cell>
          <cell r="C162" t="str">
            <v>V_KEYWORD_ISSR_208016481_SALES_OTH_EMERG_ASIA</v>
          </cell>
        </row>
        <row r="163">
          <cell r="A163" t="str">
            <v>Vector|||208016481|||ISSR|||SALES_AUSTRA|||False|||</v>
          </cell>
          <cell r="C163" t="str">
            <v>V_KEYWORD_ISSR_208016481_SALES_AUSTRA</v>
          </cell>
        </row>
        <row r="164">
          <cell r="A164" t="str">
            <v>Vector|||208016481|||ISSR|||SALES_NZ|||False|||</v>
          </cell>
          <cell r="C164" t="str">
            <v>V_KEYWORD_ISSR_208016481_SALES_NZ</v>
          </cell>
        </row>
        <row r="165">
          <cell r="A165" t="str">
            <v>Vector|||208016481|||ISSR|||SALES_OTHER|||False|||</v>
          </cell>
          <cell r="C165" t="str">
            <v>V_KEYWORD_ISSR_208016481_SALES_OTHER</v>
          </cell>
        </row>
        <row r="166">
          <cell r="A166" t="str">
            <v>Vector|||208016481|||ISSR|||COGS_PCT_US|||False|||</v>
          </cell>
          <cell r="C166" t="str">
            <v>V_KEYWORD_ISSR_208016481_COGS_PCT_US</v>
          </cell>
        </row>
        <row r="167">
          <cell r="A167" t="str">
            <v>Vector|||208016481|||ISSR|||COGS_PCT_ROW|||False|||</v>
          </cell>
          <cell r="C167" t="str">
            <v>V_KEYWORD_ISSR_208016481_COGS_PCT_ROW</v>
          </cell>
        </row>
        <row r="168">
          <cell r="A168" t="str">
            <v>Vector|||208016481|||ISSR|||SGA_PCT_US|||False|||</v>
          </cell>
          <cell r="C168" t="str">
            <v>V_KEYWORD_ISSR_208016481_SGA_PCT_US</v>
          </cell>
        </row>
        <row r="169">
          <cell r="A169" t="str">
            <v>Vector|||208016481|||ISSR|||SGA_PCT_ROW|||False|||</v>
          </cell>
          <cell r="C169" t="str">
            <v>V_KEYWORD_ISSR_208016481_SGA_PCT_ROW</v>
          </cell>
        </row>
        <row r="170">
          <cell r="A170" t="str">
            <v>Vector|||208016481|||ISSR|||SALES_CONS|||False|||</v>
          </cell>
          <cell r="C170" t="str">
            <v>V_KEYWORD_ISSR_208016481_SALES_CONS</v>
          </cell>
        </row>
        <row r="171">
          <cell r="A171" t="str">
            <v>Vector|||208016481|||ISSR|||SALES_IND|||False|||</v>
          </cell>
          <cell r="C171" t="str">
            <v>V_KEYWORD_ISSR_208016481_SALES_IND</v>
          </cell>
        </row>
        <row r="172">
          <cell r="A172" t="str">
            <v>Vector|||208016481|||ISSR|||SALES_GOV|||False|||</v>
          </cell>
          <cell r="C172" t="str">
            <v>V_KEYWORD_ISSR_208016481_SALES_GOV</v>
          </cell>
        </row>
        <row r="173">
          <cell r="A173" t="str">
            <v>Vector|||208016481|||ISSR|||SALES_FINAN|||False|||</v>
          </cell>
          <cell r="C173" t="str">
            <v>V_KEYWORD_ISSR_208016481_SALES_FINAN</v>
          </cell>
        </row>
        <row r="174">
          <cell r="A174" t="str">
            <v>Vector|||208016481|||ISSR|||SALES_OIL_GAS|||False|||</v>
          </cell>
          <cell r="C174" t="str">
            <v>V_KEYWORD_ISSR_208016481_SALES_OIL_GAS</v>
          </cell>
        </row>
        <row r="176">
          <cell r="A176" t="str">
            <v>Vector|||208016481|||ISSR|||EXP_OIL_PETRO_FUEL|||False|||</v>
          </cell>
          <cell r="C176" t="str">
            <v>V_KEYWORD_ISSR_208016481_EXP_OIL_PETRO_FUEL</v>
          </cell>
        </row>
        <row r="177">
          <cell r="A177" t="str">
            <v>Vector|||208016481|||ISSR|||EXP_OIL_DERIV_NGLS_PLASTICS|||False|||</v>
          </cell>
          <cell r="C177" t="str">
            <v>V_KEYWORD_ISSR_208016481_EXP_OIL_DERIV_NGLS_PLASTICS</v>
          </cell>
        </row>
        <row r="178">
          <cell r="A178" t="str">
            <v>Vector|||208016481|||ISSR|||EXP_GOLD|||False|||</v>
          </cell>
          <cell r="C178" t="str">
            <v>V_KEYWORD_ISSR_208016481_EXP_GOLD</v>
          </cell>
        </row>
        <row r="179">
          <cell r="A179" t="str">
            <v>Vector|||208016481|||ISSR|||EXP_COPPER|||False|||</v>
          </cell>
          <cell r="C179" t="str">
            <v>V_KEYWORD_ISSR_208016481_EXP_COPPER</v>
          </cell>
        </row>
        <row r="180">
          <cell r="A180" t="str">
            <v>Vector|||208016481|||ISSR|||EXP_SILVER|||False|||</v>
          </cell>
          <cell r="C180" t="str">
            <v>V_KEYWORD_ISSR_208016481_EXP_SILVER</v>
          </cell>
        </row>
        <row r="181">
          <cell r="A181" t="str">
            <v>Vector|||208016481|||ISSR|||EXP_PLATINUM|||False|||</v>
          </cell>
          <cell r="C181" t="str">
            <v>V_KEYWORD_ISSR_208016481_EXP_PLATINUM</v>
          </cell>
        </row>
        <row r="182">
          <cell r="A182" t="str">
            <v>Vector|||208016481|||ISSR|||EXP_PALLADIUM|||False|||</v>
          </cell>
          <cell r="C182" t="str">
            <v>V_KEYWORD_ISSR_208016481_EXP_PALLADIUM</v>
          </cell>
        </row>
        <row r="183">
          <cell r="A183" t="str">
            <v>Vector|||208016481|||ISSR|||EXP_ALUMINIUM|||False|||</v>
          </cell>
          <cell r="C183" t="str">
            <v>V_KEYWORD_ISSR_208016481_EXP_ALUMINIUM</v>
          </cell>
        </row>
        <row r="184">
          <cell r="A184" t="str">
            <v>Vector|||208016481|||ISSR|||EXP_NICKEL|||False|||</v>
          </cell>
          <cell r="C184" t="str">
            <v>V_KEYWORD_ISSR_208016481_EXP_NICKEL</v>
          </cell>
        </row>
        <row r="185">
          <cell r="A185" t="str">
            <v>Vector|||208016481|||ISSR|||EXP_ZINC|||False|||</v>
          </cell>
          <cell r="C185" t="str">
            <v>V_KEYWORD_ISSR_208016481_EXP_ZINC</v>
          </cell>
        </row>
        <row r="186">
          <cell r="A186" t="str">
            <v>Vector|||208016481|||ISSR|||EXP_PAPER_PULP|||False|||</v>
          </cell>
          <cell r="C186" t="str">
            <v>V_KEYWORD_ISSR_208016481_EXP_PAPER_PULP</v>
          </cell>
        </row>
        <row r="187">
          <cell r="A187" t="str">
            <v>Vector|||208016481|||ISSR|||EXP_GLASS|||False|||</v>
          </cell>
          <cell r="C187" t="str">
            <v>V_KEYWORD_ISSR_208016481_EXP_GLASS</v>
          </cell>
        </row>
        <row r="188">
          <cell r="A188" t="str">
            <v>Vector|||208016481|||ISSR|||EXP_WATER|||False|||</v>
          </cell>
          <cell r="C188" t="str">
            <v>V_KEYWORD_ISSR_208016481_EXP_WATER</v>
          </cell>
        </row>
        <row r="189">
          <cell r="A189" t="str">
            <v>Vector|||208016481|||ISSR|||EXP_OTH_COMMODITY|||False|||</v>
          </cell>
          <cell r="C189" t="str">
            <v>V_KEYWORD_ISSR_208016481_EXP_OTH_COMMODITY</v>
          </cell>
        </row>
        <row r="190">
          <cell r="A190" t="str">
            <v>Vector|||208016481|||ISSR|||EXP_OTH_COST|||False|||</v>
          </cell>
          <cell r="C190" t="str">
            <v>V_KEYWORD_ISSR_208016481_EXP_OTH_COST</v>
          </cell>
        </row>
        <row r="192">
          <cell r="A192" t="str">
            <v>Vector|||208016481|||ISSR|||SALES_FX_GPB|||False|||</v>
          </cell>
          <cell r="C192" t="str">
            <v>V_KEYWORD_ISSR_208016481_SALES_FX_GPB</v>
          </cell>
        </row>
        <row r="193">
          <cell r="A193" t="str">
            <v>Vector|||208016481|||ISSR|||SALES_FX_EUR|||False|||</v>
          </cell>
          <cell r="C193" t="str">
            <v>V_KEYWORD_ISSR_208016481_SALES_FX_EUR</v>
          </cell>
        </row>
        <row r="194">
          <cell r="A194" t="str">
            <v>Vector|||208016481|||ISSR|||SALES_FX_RUB|||False|||</v>
          </cell>
          <cell r="C194" t="str">
            <v>V_KEYWORD_ISSR_208016481_SALES_FX_RUB</v>
          </cell>
        </row>
        <row r="195">
          <cell r="A195" t="str">
            <v>Vector|||208016481|||ISSR|||SALES_FX_USD|||False|||</v>
          </cell>
          <cell r="C195" t="str">
            <v>V_KEYWORD_ISSR_208016481_SALES_FX_USD</v>
          </cell>
        </row>
        <row r="196">
          <cell r="A196" t="str">
            <v>Vector|||208016481|||ISSR|||SALES_FX_BRL|||False|||</v>
          </cell>
          <cell r="C196" t="str">
            <v>V_KEYWORD_ISSR_208016481_SALES_FX_BRL</v>
          </cell>
        </row>
        <row r="197">
          <cell r="A197" t="str">
            <v>Vector|||208016481|||ISSR|||SALES_FX_YEN|||False|||</v>
          </cell>
          <cell r="C197" t="str">
            <v>V_KEYWORD_ISSR_208016481_SALES_FX_YEN</v>
          </cell>
        </row>
        <row r="198">
          <cell r="A198" t="str">
            <v>Vector|||208016481|||ISSR|||SALES_FX_CNY|||False|||</v>
          </cell>
          <cell r="C198" t="str">
            <v>V_KEYWORD_ISSR_208016481_SALES_FX_CNY</v>
          </cell>
        </row>
        <row r="199">
          <cell r="A199" t="str">
            <v>Vector|||208016481|||ISSR|||SALES_FX_INR|||False|||</v>
          </cell>
          <cell r="C199" t="str">
            <v>V_KEYWORD_ISSR_208016481_SALES_FX_INR</v>
          </cell>
        </row>
        <row r="200">
          <cell r="A200" t="str">
            <v>Vector|||208016481|||ISSR|||SALES_FX_KRW|||False|||</v>
          </cell>
          <cell r="C200" t="str">
            <v>V_KEYWORD_ISSR_208016481_SALES_FX_KRW</v>
          </cell>
        </row>
        <row r="201">
          <cell r="A201" t="str">
            <v>Vector|||208016481|||ISSR|||SALES_FX_TWD|||False|||</v>
          </cell>
          <cell r="C201" t="str">
            <v>V_KEYWORD_ISSR_208016481_SALES_FX_TWD</v>
          </cell>
        </row>
        <row r="202">
          <cell r="A202" t="str">
            <v>Vector|||208016481|||ISSR|||SALES_FX_OTH|||False|||</v>
          </cell>
          <cell r="C202" t="str">
            <v>V_KEYWORD_ISSR_208016481_SALES_FX_OTH</v>
          </cell>
        </row>
        <row r="204">
          <cell r="A204" t="str">
            <v>Vector|||208016481|||ISSR|||SALES_TOT_AM|||False|||</v>
          </cell>
          <cell r="C204" t="str">
            <v>V_KEYWORD_ISSR_208016481_SALES_TOT_AM</v>
          </cell>
        </row>
        <row r="205">
          <cell r="A205" t="str">
            <v>Vector|||208016481|||ISSR|||SALES_OTH_AM|||False|||</v>
          </cell>
          <cell r="C205" t="str">
            <v>V_KEYWORD_ISSR_208016481_SALES_OTH_AM</v>
          </cell>
        </row>
        <row r="206">
          <cell r="A206" t="str">
            <v>Vector|||208016481|||ISSR|||SALES_TOT_EMEA|||False|||</v>
          </cell>
          <cell r="C206" t="str">
            <v>V_KEYWORD_ISSR_208016481_SALES_TOT_EMEA</v>
          </cell>
        </row>
        <row r="207">
          <cell r="A207" t="str">
            <v>Vector|||208016481|||ISSR|||SALES_EU_EX_UK|||False|||</v>
          </cell>
          <cell r="C207" t="str">
            <v>V_KEYWORD_ISSR_208016481_SALES_EU_EX_UK</v>
          </cell>
        </row>
        <row r="208">
          <cell r="A208" t="str">
            <v>Vector|||208016481|||ISSR|||SALES_CEE|||False|||</v>
          </cell>
          <cell r="C208" t="str">
            <v>V_KEYWORD_ISSR_208016481_SALES_CEE</v>
          </cell>
        </row>
        <row r="209">
          <cell r="A209" t="str">
            <v>Vector|||208016481|||ISSR|||SALES_ME|||False|||</v>
          </cell>
          <cell r="C209" t="str">
            <v>V_KEYWORD_ISSR_208016481_SALES_ME</v>
          </cell>
        </row>
        <row r="210">
          <cell r="A210" t="str">
            <v>Vector|||208016481|||ISSR|||SALES_TOT_AFRICA|||False|||</v>
          </cell>
          <cell r="C210" t="str">
            <v>V_KEYWORD_ISSR_208016481_SALES_TOT_AFRICA</v>
          </cell>
        </row>
        <row r="211">
          <cell r="A211" t="str">
            <v>Vector|||208016481|||ISSR|||SALES_OTH_EMEA|||False|||</v>
          </cell>
          <cell r="C211" t="str">
            <v>V_KEYWORD_ISSR_208016481_SALES_OTH_EMEA</v>
          </cell>
        </row>
        <row r="212">
          <cell r="A212" t="str">
            <v>Vector|||208016481|||ISSR|||SALES_TOT_ASIA|||False|||</v>
          </cell>
          <cell r="C212" t="str">
            <v>V_KEYWORD_ISSR_208016481_SALES_TOT_ASIA</v>
          </cell>
        </row>
        <row r="213">
          <cell r="A213" t="str">
            <v>Vector|||208016481|||ISSR|||SALES_OTH_AEJ|||False|||</v>
          </cell>
          <cell r="C213" t="str">
            <v>V_KEYWORD_ISSR_208016481_SALES_OTH_AEJ</v>
          </cell>
        </row>
        <row r="219">
          <cell r="A219" t="str">
            <v>Scalar|||200018673|||EQTY|||PUB_CURRENCY_ISO|||False|||</v>
          </cell>
          <cell r="C219" t="str">
            <v>V_KEYWORD_EQTY_200018673_PUB_CURRENCY_ISO</v>
          </cell>
        </row>
        <row r="220">
          <cell r="A220" t="str">
            <v>Scalar|||200018673|||EQTY|||PRICE_CURRENCY_ISO|||False|||</v>
          </cell>
          <cell r="C220" t="str">
            <v>V_KEYWORD_EQTY_200018673_PRICE_CURRENCY_ISO</v>
          </cell>
        </row>
        <row r="221">
          <cell r="A221" t="str">
            <v>Scalar|||200018673|||EQTY|||CURRENCY_ISO|||False|||</v>
          </cell>
          <cell r="C221" t="str">
            <v>V_KEYWORD_EQTY_200018673_CURRENCY_ISO</v>
          </cell>
        </row>
        <row r="223">
          <cell r="A223" t="str">
            <v>Scalar|||200018673|||EQTY|||AEJ_LIST|||False|||</v>
          </cell>
          <cell r="C223" t="str">
            <v>V_KEYWORD_EQTY_200018673_AEJ_LIST</v>
          </cell>
        </row>
        <row r="224">
          <cell r="A224" t="str">
            <v>Scalar|||200018673|||EQTY|||AEJ_CONVICTION|||False|||</v>
          </cell>
          <cell r="C224" t="str">
            <v>V_KEYWORD_EQTY_200018673_AEJ_CONVICTION</v>
          </cell>
        </row>
        <row r="225">
          <cell r="A225" t="str">
            <v>Scalar|||200018673|||EQTY|||LEGAL_RATING|||False|||</v>
          </cell>
          <cell r="C225" t="str">
            <v>V_KEYWORD_EQTY_200018673_LEGAL_RATING</v>
          </cell>
          <cell r="E225" t="str">
            <v>ERROR</v>
          </cell>
        </row>
        <row r="226">
          <cell r="A226" t="str">
            <v>Scalar|||200018673|||EQTY|||TARGET_PRICE|||False|||</v>
          </cell>
          <cell r="C226" t="str">
            <v>V_KEYWORD_EQTY_200018673_TARGET_PRICE</v>
          </cell>
          <cell r="E226" t="str">
            <v>ERROR</v>
          </cell>
        </row>
        <row r="227">
          <cell r="A227" t="str">
            <v>Scalar|||200018673|||EQTY|||TP_PERIOD|||False|||</v>
          </cell>
          <cell r="C227" t="str">
            <v>V_KEYWORD_EQTY_200018673_TP_PERIOD</v>
          </cell>
          <cell r="E227" t="str">
            <v>ERROR</v>
          </cell>
        </row>
        <row r="228">
          <cell r="A228" t="str">
            <v>Scalar|||200018673|||EQTY|||TARGET_PRICE_FUNDAMENTAL|||False|||</v>
          </cell>
          <cell r="C228" t="str">
            <v>V_KEYWORD_EQTY_200018673_TARGET_PRICE_FUNDAMENTAL</v>
          </cell>
        </row>
        <row r="229">
          <cell r="A229" t="str">
            <v>Scalar|||200018673|||EQTY|||TARGET_PRICE_MA|||False|||</v>
          </cell>
          <cell r="C229" t="str">
            <v>V_KEYWORD_EQTY_200018673_TARGET_PRICE_MA</v>
          </cell>
        </row>
        <row r="230">
          <cell r="A230" t="str">
            <v>Scalar|||200018673|||EQTY|||NUM_SH|||False|||</v>
          </cell>
          <cell r="C230" t="str">
            <v>V_KEYWORD_EQTY_200018673_NUM_SH</v>
          </cell>
        </row>
        <row r="231">
          <cell r="A231" t="str">
            <v>Scalar|||200018673|||EQTY|||FREE_FLOAT|||False|||</v>
          </cell>
          <cell r="C231" t="str">
            <v>V_KEYWORD_EQTY_200018673_FREE_FLOAT</v>
          </cell>
        </row>
        <row r="232">
          <cell r="A232" t="str">
            <v>Scalar|||200018673|||EQTY|||FOREIGN_HOLDNG|||False|||</v>
          </cell>
          <cell r="C232" t="str">
            <v>V_KEYWORD_EQTY_200018673_FOREIGN_HOLDNG</v>
          </cell>
        </row>
        <row r="233">
          <cell r="A233" t="str">
            <v>Scalar|||200018673|||EQTY|||CATALYST1_DATE|||True|||</v>
          </cell>
          <cell r="C233" t="str">
            <v>V_KEYWORD_EQTY_200018673_CATALYST1_DATE</v>
          </cell>
        </row>
        <row r="234">
          <cell r="A234" t="str">
            <v>Scalar|||200018673|||EQTY|||CATALYST1_EVENT|||False|||</v>
          </cell>
          <cell r="C234" t="str">
            <v>V_KEYWORD_EQTY_200018673_CATALYST1_EVENT</v>
          </cell>
        </row>
        <row r="235">
          <cell r="A235" t="str">
            <v>Scalar|||200018673|||EQTY|||CATALYST2_DATE|||True|||</v>
          </cell>
          <cell r="C235" t="str">
            <v>V_KEYWORD_EQTY_200018673_CATALYST2_DATE</v>
          </cell>
        </row>
        <row r="236">
          <cell r="A236" t="str">
            <v>Scalar|||200018673|||EQTY|||CATALYST2_EVENT|||False|||</v>
          </cell>
          <cell r="C236" t="str">
            <v>V_KEYWORD_EQTY_200018673_CATALYST2_EVENT</v>
          </cell>
        </row>
        <row r="237">
          <cell r="A237" t="str">
            <v>Scalar|||200018673|||EQTY|||CATALYST3_DATE|||True|||</v>
          </cell>
          <cell r="C237" t="str">
            <v>V_KEYWORD_EQTY_200018673_CATALYST3_DATE</v>
          </cell>
        </row>
        <row r="238">
          <cell r="A238" t="str">
            <v>Scalar|||200018673|||EQTY|||CATALYST3_EVENT|||False|||</v>
          </cell>
          <cell r="C238" t="str">
            <v>V_KEYWORD_EQTY_200018673_CATALYST3_EVENT</v>
          </cell>
        </row>
        <row r="239">
          <cell r="A239" t="str">
            <v>Scalar|||200018673|||EQTY|||CATALYST4_DATE|||True|||</v>
          </cell>
          <cell r="C239" t="str">
            <v>V_KEYWORD_EQTY_200018673_CATALYST4_DATE</v>
          </cell>
        </row>
        <row r="240">
          <cell r="A240" t="str">
            <v>Scalar|||200018673|||EQTY|||CATALYST4_EVENT|||False|||</v>
          </cell>
          <cell r="C240" t="str">
            <v>V_KEYWORD_EQTY_200018673_CATALYST4_EVENT</v>
          </cell>
        </row>
        <row r="241">
          <cell r="A241" t="str">
            <v>Scalar|||200018673|||EQTY|||CATALYST5_DATE|||True|||</v>
          </cell>
          <cell r="C241" t="str">
            <v>V_KEYWORD_EQTY_200018673_CATALYST5_DATE</v>
          </cell>
        </row>
        <row r="242">
          <cell r="A242" t="str">
            <v>Scalar|||200018673|||EQTY|||CATALYST5_EVENT|||False|||</v>
          </cell>
          <cell r="C242" t="str">
            <v>V_KEYWORD_EQTY_200018673_CATALYST5_EVENT</v>
          </cell>
        </row>
        <row r="243">
          <cell r="A243" t="str">
            <v>Scalar|||200018673|||EQTY|||PRI_TARG_MULT|||False|||</v>
          </cell>
          <cell r="C243" t="str">
            <v>V_KEYWORD_EQTY_200018673_PRI_TARG_MULT</v>
          </cell>
        </row>
        <row r="244">
          <cell r="A244" t="str">
            <v>Scalar|||200018673|||EQTY|||PRI_TARG_METH|||False|||</v>
          </cell>
          <cell r="C244" t="str">
            <v>V_KEYWORD_EQTY_200018673_PRI_TARG_METH</v>
          </cell>
        </row>
        <row r="246">
          <cell r="A246" t="str">
            <v>Vector|||200018673|||EQTY|||BVPS_PUB|||False|||</v>
          </cell>
          <cell r="C246" t="str">
            <v>V_KEYWORD_EQTY_200018673_BVPS_PUB</v>
          </cell>
        </row>
        <row r="247">
          <cell r="A247" t="str">
            <v>Vector|||200018673|||EQTY|||DPS_PUB|||False|||</v>
          </cell>
          <cell r="C247" t="str">
            <v>V_KEYWORD_EQTY_200018673_DPS_PUB</v>
          </cell>
        </row>
        <row r="248">
          <cell r="A248" t="str">
            <v>Vector|||200018673|||EQTY|||DPS_SPECIAL_PUB|||False|||</v>
          </cell>
          <cell r="C248" t="str">
            <v>V_KEYWORD_EQTY_200018673_DPS_SPECIAL_PUB</v>
          </cell>
        </row>
        <row r="249">
          <cell r="A249" t="str">
            <v>Vector|||200018673|||EQTY|||EBITDA_PUB|||False|||</v>
          </cell>
          <cell r="C249" t="str">
            <v>V_KEYWORD_EQTY_200018673_EBITDA_PUB</v>
          </cell>
        </row>
        <row r="250">
          <cell r="A250" t="str">
            <v>Vector|||200018673|||EQTY|||EPS_PUB|||False|||</v>
          </cell>
          <cell r="C250" t="str">
            <v>V_KEYWORD_EQTY_200018673_EPS_PUB</v>
          </cell>
          <cell r="AD250" t="str">
            <v>ERROR</v>
          </cell>
          <cell r="AE250" t="str">
            <v>ERROR</v>
          </cell>
          <cell r="AF250" t="str">
            <v>ERROR</v>
          </cell>
          <cell r="AG250" t="str">
            <v>ERROR</v>
          </cell>
          <cell r="BO250" t="str">
            <v>ERROR</v>
          </cell>
          <cell r="BP250" t="str">
            <v>ERROR</v>
          </cell>
          <cell r="BQ250" t="str">
            <v>ERROR</v>
          </cell>
          <cell r="BR250" t="str">
            <v>ERROR</v>
          </cell>
          <cell r="BS250" t="str">
            <v>ERROR</v>
          </cell>
          <cell r="BT250" t="str">
            <v>ERROR</v>
          </cell>
          <cell r="BU250" t="str">
            <v>ERROR</v>
          </cell>
          <cell r="BV250" t="str">
            <v>ERROR</v>
          </cell>
          <cell r="BW250" t="str">
            <v>ERROR</v>
          </cell>
          <cell r="BX250" t="str">
            <v>ERROR</v>
          </cell>
          <cell r="BY250" t="str">
            <v>ERROR</v>
          </cell>
          <cell r="BZ250" t="str">
            <v>ERROR</v>
          </cell>
        </row>
        <row r="251">
          <cell r="A251" t="str">
            <v>Vector|||200018673|||EQTY|||EV_ADJ_PUB|||False|||</v>
          </cell>
          <cell r="C251" t="str">
            <v>V_KEYWORD_EQTY_200018673_EV_ADJ_PUB</v>
          </cell>
        </row>
        <row r="252">
          <cell r="A252" t="str">
            <v>Vector|||200018673|||EQTY|||NET_DEBT_PUB|||False|||</v>
          </cell>
          <cell r="C252" t="str">
            <v>V_KEYWORD_EQTY_200018673_NET_DEBT_PUB</v>
          </cell>
        </row>
        <row r="253">
          <cell r="A253" t="str">
            <v>Vector|||200018673|||EQTY|||NI_PUB|||False|||</v>
          </cell>
          <cell r="C253" t="str">
            <v>V_KEYWORD_EQTY_200018673_NI_PUB</v>
          </cell>
        </row>
        <row r="254">
          <cell r="A254" t="str">
            <v>Vector|||200018673|||EQTY|||EBIT_PUB|||False|||</v>
          </cell>
          <cell r="C254" t="str">
            <v>V_KEYWORD_EQTY_200018673_EBIT_PUB</v>
          </cell>
        </row>
        <row r="255">
          <cell r="A255" t="str">
            <v>Vector|||200018673|||EQTY|||PTP_PUB|||False|||</v>
          </cell>
          <cell r="C255" t="str">
            <v>V_KEYWORD_EQTY_200018673_PTP_PUB</v>
          </cell>
        </row>
        <row r="256">
          <cell r="A256" t="str">
            <v>Vector|||200018673|||EQTY|||REVS_PUB|||False|||</v>
          </cell>
          <cell r="C256" t="str">
            <v>V_KEYWORD_EQTY_200018673_REVS_PUB</v>
          </cell>
        </row>
        <row r="257">
          <cell r="A257" t="str">
            <v>Vector|||200018673|||EQTY|||EQ_PUB|||False|||</v>
          </cell>
          <cell r="C257" t="str">
            <v>V_KEYWORD_EQTY_200018673_EQ_PUB</v>
          </cell>
        </row>
        <row r="258">
          <cell r="A258" t="str">
            <v>Vector|||200018673|||EQTY|||EPS_CONS_PUB|||False|||</v>
          </cell>
          <cell r="C258" t="str">
            <v>V_KEYWORD_EQTY_200018673_EPS_CONS_PUB</v>
          </cell>
        </row>
        <row r="260">
          <cell r="A260" t="str">
            <v>Vector|||200018673|||EQTY|||PROV_INC_TAX|||False|||</v>
          </cell>
          <cell r="C260" t="str">
            <v>V_KEYWORD_EQTY_200018673_PROV_INC_TAX</v>
          </cell>
        </row>
        <row r="261">
          <cell r="A261" t="str">
            <v>Vector|||200018673|||EQTY|||INC_MINORITY|||False|||</v>
          </cell>
          <cell r="C261" t="str">
            <v>V_KEYWORD_EQTY_200018673_INC_MINORITY</v>
          </cell>
        </row>
        <row r="262">
          <cell r="A262" t="str">
            <v>Vector|||200018673|||EQTY|||NI_PRE_PREF|||False|||</v>
          </cell>
          <cell r="C262" t="str">
            <v>V_KEYWORD_EQTY_200018673_NI_PRE_PREF</v>
          </cell>
        </row>
        <row r="263">
          <cell r="A263" t="str">
            <v>Vector|||200018673|||EQTY|||PREF_DIV|||False|||</v>
          </cell>
          <cell r="C263" t="str">
            <v>V_KEYWORD_EQTY_200018673_PREF_DIV</v>
          </cell>
        </row>
        <row r="264">
          <cell r="A264" t="str">
            <v>Vector|||200018673|||EQTY|||NET_EARNING|||False|||</v>
          </cell>
          <cell r="C264" t="str">
            <v>V_KEYWORD_EQTY_200018673_NET_EARNING</v>
          </cell>
        </row>
        <row r="265">
          <cell r="A265" t="str">
            <v>Vector|||200018673|||EQTY|||TAX_EXC|||False|||</v>
          </cell>
          <cell r="C265" t="str">
            <v>V_KEYWORD_EQTY_200018673_TAX_EXC</v>
          </cell>
        </row>
        <row r="266">
          <cell r="A266" t="str">
            <v>Vector|||200018673|||EQTY|||NET_INC|||False|||</v>
          </cell>
          <cell r="C266" t="str">
            <v>V_KEYWORD_EQTY_200018673_NET_INC</v>
          </cell>
        </row>
        <row r="267">
          <cell r="A267" t="str">
            <v>Vector|||200018673|||EQTY|||EPS|||False|||</v>
          </cell>
          <cell r="C267" t="str">
            <v>V_KEYWORD_EQTY_200018673_EPS</v>
          </cell>
        </row>
        <row r="268">
          <cell r="A268" t="str">
            <v>Vector|||200018673|||EQTY|||EPS_FUL_DIL|||False|||</v>
          </cell>
          <cell r="C268" t="str">
            <v>V_KEYWORD_EQTY_200018673_EPS_FUL_DIL</v>
          </cell>
        </row>
        <row r="269">
          <cell r="A269" t="str">
            <v>Vector|||200018673|||EQTY|||EPS_POST_BASIC|||False|||</v>
          </cell>
          <cell r="C269" t="str">
            <v>V_KEYWORD_EQTY_200018673_EPS_POST_BASIC</v>
          </cell>
        </row>
        <row r="270">
          <cell r="A270" t="str">
            <v>Vector|||200018673|||EQTY|||FULLY_DIL_EPS|||False|||</v>
          </cell>
          <cell r="C270" t="str">
            <v>V_KEYWORD_EQTY_200018673_FULLY_DIL_EPS</v>
          </cell>
        </row>
        <row r="271">
          <cell r="A271" t="str">
            <v>Vector|||200018673|||EQTY|||COMMON_DIV_PAID|||False|||</v>
          </cell>
          <cell r="C271" t="str">
            <v>V_KEYWORD_EQTY_200018673_COMMON_DIV_PAID</v>
          </cell>
        </row>
        <row r="272">
          <cell r="A272" t="str">
            <v>Vector|||200018673|||EQTY|||DPS|||False|||</v>
          </cell>
          <cell r="C272" t="str">
            <v>V_KEYWORD_EQTY_200018673_DPS</v>
          </cell>
        </row>
        <row r="273">
          <cell r="A273" t="str">
            <v>Vector|||200018673|||EQTY|||SH|||False|||</v>
          </cell>
          <cell r="C273" t="str">
            <v>V_KEYWORD_EQTY_200018673_SH</v>
          </cell>
        </row>
        <row r="274">
          <cell r="A274" t="str">
            <v>Vector|||200018673|||EQTY|||DILUTE_SHARES|||False|||</v>
          </cell>
          <cell r="C274" t="str">
            <v>V_KEYWORD_EQTY_200018673_DILUTE_SHARES</v>
          </cell>
        </row>
        <row r="275">
          <cell r="A275" t="str">
            <v>Vector|||200018673|||EQTY|||NON_OP_ADD|||False|||</v>
          </cell>
          <cell r="C275" t="str">
            <v>V_KEYWORD_EQTY_200018673_NON_OP_ADD</v>
          </cell>
        </row>
        <row r="277">
          <cell r="A277" t="str">
            <v>Vector|||200018673|||EQTY|||MARGIN_TAX_RATE|||False|||</v>
          </cell>
          <cell r="C277" t="str">
            <v>V_KEYWORD_EQTY_200018673_MARGIN_TAX_RATE</v>
          </cell>
        </row>
        <row r="278">
          <cell r="A278" t="str">
            <v>Vector|||200018673|||EQTY|||NI_CONS|||False|||</v>
          </cell>
          <cell r="C278" t="str">
            <v>V_KEYWORD_EQTY_200018673_NI_CONS</v>
          </cell>
        </row>
        <row r="280">
          <cell r="A280" t="str">
            <v>Vector|||200018673|||EQTY|||BVPS|||False|||</v>
          </cell>
          <cell r="C280" t="str">
            <v>V_KEYWORD_EQTY_200018673_BVPS</v>
          </cell>
        </row>
        <row r="282">
          <cell r="A282" t="str">
            <v>Vector|||200018673|||EQTY|||CF_NI_PRE_PREF|||False|||</v>
          </cell>
          <cell r="C282" t="str">
            <v>V_KEYWORD_EQTY_200018673_CF_NI_PRE_PREF</v>
          </cell>
        </row>
        <row r="284">
          <cell r="A284" t="str">
            <v>Scalar|||200018673|||EQTY|||BETA_ANALYST|||False|||</v>
          </cell>
          <cell r="C284" t="str">
            <v>V_KEYWORD_EQTY_200018673_BETA_ANALYST</v>
          </cell>
        </row>
        <row r="285">
          <cell r="A285" t="str">
            <v>Scalar|||200018673|||EQTY|||MKT_EQ_RISK_PREM|||False|||</v>
          </cell>
          <cell r="C285" t="str">
            <v>V_KEYWORD_EQTY_200018673_MKT_EQ_RISK_PREM</v>
          </cell>
        </row>
        <row r="286">
          <cell r="A286" t="str">
            <v>Scalar|||200018673|||EQTY|||RISK_FR_RATE|||False|||</v>
          </cell>
          <cell r="C286" t="str">
            <v>V_KEYWORD_EQTY_200018673_RISK_FR_RATE</v>
          </cell>
        </row>
      </sheetData>
      <sheetData sheetId="10">
        <row r="1">
          <cell r="A1" t="str">
            <v>Issuer: Silergy Corp.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>
            <v>2011</v>
          </cell>
          <cell r="X1">
            <v>2012</v>
          </cell>
          <cell r="Y1">
            <v>2013</v>
          </cell>
          <cell r="Z1">
            <v>2014</v>
          </cell>
          <cell r="AA1">
            <v>2015</v>
          </cell>
          <cell r="AB1">
            <v>2016</v>
          </cell>
          <cell r="AC1">
            <v>2017</v>
          </cell>
          <cell r="AD1">
            <v>2018</v>
          </cell>
          <cell r="AE1">
            <v>2019</v>
          </cell>
          <cell r="AF1">
            <v>2020</v>
          </cell>
          <cell r="AG1">
            <v>2021</v>
          </cell>
          <cell r="AI1" t="str">
            <v>2010 Q1</v>
          </cell>
          <cell r="AJ1" t="str">
            <v>2010 Q2</v>
          </cell>
          <cell r="AK1" t="str">
            <v>2010 Q3</v>
          </cell>
          <cell r="AL1" t="str">
            <v>2010 Q4</v>
          </cell>
          <cell r="AM1" t="str">
            <v>2011 Q1</v>
          </cell>
          <cell r="AN1" t="str">
            <v>2011 Q2</v>
          </cell>
          <cell r="AO1" t="str">
            <v>2011 Q3</v>
          </cell>
          <cell r="AP1" t="str">
            <v>2011 Q4</v>
          </cell>
          <cell r="AQ1" t="str">
            <v>2012 Q1</v>
          </cell>
          <cell r="AR1" t="str">
            <v>2012 Q2</v>
          </cell>
          <cell r="AS1" t="str">
            <v>2012 Q3</v>
          </cell>
          <cell r="AT1" t="str">
            <v>2012 Q4</v>
          </cell>
          <cell r="AU1" t="str">
            <v>2013 Q1</v>
          </cell>
          <cell r="AV1" t="str">
            <v>2013 Q2</v>
          </cell>
          <cell r="AW1" t="str">
            <v>2013 Q3</v>
          </cell>
          <cell r="AX1" t="str">
            <v>2013 Q4</v>
          </cell>
          <cell r="AY1" t="str">
            <v>2014 Q1</v>
          </cell>
          <cell r="AZ1" t="str">
            <v>2014 Q2</v>
          </cell>
          <cell r="BA1" t="str">
            <v>2014 Q3</v>
          </cell>
          <cell r="BB1" t="str">
            <v>2014 Q4</v>
          </cell>
          <cell r="BC1" t="str">
            <v>2015 Q1</v>
          </cell>
          <cell r="BD1" t="str">
            <v>2015 Q2</v>
          </cell>
          <cell r="BE1" t="str">
            <v>2015 Q3</v>
          </cell>
          <cell r="BF1" t="str">
            <v>2015 Q4</v>
          </cell>
          <cell r="BG1" t="str">
            <v>2016 Q1</v>
          </cell>
          <cell r="BH1" t="str">
            <v>2016 Q2</v>
          </cell>
          <cell r="BI1" t="str">
            <v>2016 Q3</v>
          </cell>
          <cell r="BJ1" t="str">
            <v>2016 Q4</v>
          </cell>
          <cell r="BK1" t="str">
            <v>2017 Q1</v>
          </cell>
          <cell r="BL1" t="str">
            <v>2017 Q2</v>
          </cell>
          <cell r="BM1" t="str">
            <v>2017 Q3</v>
          </cell>
          <cell r="BN1" t="str">
            <v>2017 Q4</v>
          </cell>
          <cell r="BO1" t="str">
            <v>2018 Q1</v>
          </cell>
          <cell r="BP1" t="str">
            <v>2018 Q2</v>
          </cell>
          <cell r="BQ1" t="str">
            <v>2018 Q3</v>
          </cell>
          <cell r="BR1" t="str">
            <v>2018 Q4</v>
          </cell>
          <cell r="BS1" t="str">
            <v>2019 Q1</v>
          </cell>
          <cell r="BT1" t="str">
            <v>2019 Q2</v>
          </cell>
          <cell r="BU1" t="str">
            <v>2019 Q3</v>
          </cell>
          <cell r="BV1" t="str">
            <v>2019 Q4</v>
          </cell>
          <cell r="BW1" t="str">
            <v>2020 Q1</v>
          </cell>
          <cell r="BX1" t="str">
            <v>2020 Q2</v>
          </cell>
          <cell r="BY1" t="str">
            <v>2020 Q3</v>
          </cell>
          <cell r="BZ1" t="str">
            <v>2020 Q4</v>
          </cell>
        </row>
        <row r="4">
          <cell r="A4" t="str">
            <v>Issuer: Silergy Corp.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Silergy Corp.</v>
          </cell>
        </row>
        <row r="7">
          <cell r="B7" t="str">
            <v>Reporting Currency</v>
          </cell>
          <cell r="C7" t="str">
            <v>CURRENCY_ISO</v>
          </cell>
          <cell r="E7" t="str">
            <v>TWD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e">
            <v>#NAME?</v>
          </cell>
        </row>
        <row r="12">
          <cell r="B12" t="str">
            <v>Compensation &amp; benfits expense</v>
          </cell>
          <cell r="C12" t="str">
            <v>PERSONNEL</v>
          </cell>
          <cell r="D12" t="e">
            <v>#NAME?</v>
          </cell>
        </row>
        <row r="13">
          <cell r="B13" t="str">
            <v>Cost of goods sold, COGS</v>
          </cell>
          <cell r="C13" t="str">
            <v>COST_GD_SD</v>
          </cell>
          <cell r="D13" t="e">
            <v>#NAME?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e">
            <v>#NAME?</v>
          </cell>
        </row>
        <row r="15">
          <cell r="B15" t="str">
            <v>Total operating expense</v>
          </cell>
          <cell r="C15" t="str">
            <v>OP_COST</v>
          </cell>
          <cell r="D15" t="e">
            <v>#NAME?</v>
          </cell>
        </row>
        <row r="16">
          <cell r="B16" t="str">
            <v>R&amp;D expense</v>
          </cell>
          <cell r="C16" t="str">
            <v>RD_EXP</v>
          </cell>
          <cell r="D16" t="e">
            <v>#NAME?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e">
            <v>#NAME?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e">
            <v>#NAME?</v>
          </cell>
        </row>
        <row r="19">
          <cell r="B19" t="str">
            <v>Total operating expense (excl. D&amp;A)</v>
          </cell>
          <cell r="C19" t="str">
            <v>TOT_OPS_EXP</v>
          </cell>
          <cell r="D19" t="e">
            <v>#NAME?</v>
          </cell>
        </row>
        <row r="20">
          <cell r="B20" t="str">
            <v>EBITDA</v>
          </cell>
          <cell r="C20" t="str">
            <v>EBITDA_CALC</v>
          </cell>
          <cell r="D20" t="e">
            <v>#NAME?</v>
          </cell>
        </row>
        <row r="21">
          <cell r="B21" t="str">
            <v>Depreciation</v>
          </cell>
          <cell r="C21" t="str">
            <v>DEPREC</v>
          </cell>
          <cell r="D21" t="e">
            <v>#NAME?</v>
          </cell>
        </row>
        <row r="22">
          <cell r="B22" t="str">
            <v>Amortization</v>
          </cell>
          <cell r="C22" t="str">
            <v>GOODWILL_AMORT</v>
          </cell>
          <cell r="D22" t="e">
            <v>#NAME?</v>
          </cell>
        </row>
        <row r="23">
          <cell r="B23" t="str">
            <v>EBIT, operating profit</v>
          </cell>
          <cell r="C23" t="str">
            <v>EBIT</v>
          </cell>
          <cell r="D23" t="e">
            <v>#NAME?</v>
          </cell>
        </row>
        <row r="24">
          <cell r="B24" t="str">
            <v>Interest income</v>
          </cell>
          <cell r="C24" t="str">
            <v>INT_INC_IND</v>
          </cell>
          <cell r="D24" t="e">
            <v>#NAME?</v>
          </cell>
        </row>
        <row r="25">
          <cell r="B25" t="str">
            <v>Interest expense</v>
          </cell>
          <cell r="C25" t="str">
            <v>INT_EXP_IND</v>
          </cell>
          <cell r="D25" t="e">
            <v>#NAME?</v>
          </cell>
        </row>
        <row r="26">
          <cell r="B26" t="str">
            <v>Net interest income/(expense)</v>
          </cell>
          <cell r="C26" t="str">
            <v>NET_INT_EXP</v>
          </cell>
          <cell r="D26" t="e">
            <v>#NAME?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e">
            <v>#NAME?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e">
            <v>#NAME?</v>
          </cell>
        </row>
        <row r="29">
          <cell r="B29" t="str">
            <v>Other non-ops income/(expense)</v>
          </cell>
          <cell r="C29" t="str">
            <v>OTH_COST_INC</v>
          </cell>
          <cell r="D29" t="e">
            <v>#NAME?</v>
          </cell>
        </row>
        <row r="30">
          <cell r="B30" t="str">
            <v>Pre-tax profit</v>
          </cell>
          <cell r="C30" t="str">
            <v>PT_PROF</v>
          </cell>
          <cell r="D30" t="e">
            <v>#NAME?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e">
            <v>#NAME?</v>
          </cell>
        </row>
        <row r="33">
          <cell r="B33" t="str">
            <v>Lease payments</v>
          </cell>
          <cell r="C33" t="str">
            <v>LEASE_PAY</v>
          </cell>
          <cell r="D33" t="e">
            <v>#NAME?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e">
            <v>#NAME?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e">
            <v>#NAME?</v>
          </cell>
        </row>
        <row r="36">
          <cell r="B36" t="str">
            <v>Gross interest charge</v>
          </cell>
          <cell r="C36" t="str">
            <v>NET_INT_CH</v>
          </cell>
          <cell r="D36" t="e">
            <v>#NAME?</v>
          </cell>
        </row>
        <row r="37">
          <cell r="B37" t="str">
            <v>Income from associates (operating)</v>
          </cell>
          <cell r="C37" t="str">
            <v>ASSOCIATE_OP</v>
          </cell>
          <cell r="D37" t="e">
            <v>#NAME?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e">
            <v>#NAME?</v>
          </cell>
        </row>
        <row r="40">
          <cell r="B40" t="str">
            <v>Accounts receivable</v>
          </cell>
          <cell r="C40" t="str">
            <v>DEBTORS</v>
          </cell>
          <cell r="D40" t="e">
            <v>#NAME?</v>
          </cell>
        </row>
        <row r="41">
          <cell r="B41" t="str">
            <v>Inventory</v>
          </cell>
          <cell r="C41" t="str">
            <v>STOCKS</v>
          </cell>
          <cell r="D41" t="e">
            <v>#NAME?</v>
          </cell>
        </row>
        <row r="42">
          <cell r="B42" t="str">
            <v>Other current assets</v>
          </cell>
          <cell r="C42" t="str">
            <v>OTH_CUR_ASS</v>
          </cell>
          <cell r="D42" t="e">
            <v>#NAME?</v>
          </cell>
        </row>
        <row r="43">
          <cell r="B43" t="str">
            <v>Total current assets</v>
          </cell>
          <cell r="C43" t="str">
            <v>CUR_ASS</v>
          </cell>
          <cell r="D43" t="e">
            <v>#NAME?</v>
          </cell>
        </row>
        <row r="44">
          <cell r="B44" t="str">
            <v>Gross fixed assets, PP&amp;E</v>
          </cell>
          <cell r="C44" t="str">
            <v>GR_FIX_ASS</v>
          </cell>
          <cell r="D44" t="e">
            <v>#NAME?</v>
          </cell>
        </row>
        <row r="45">
          <cell r="B45" t="str">
            <v>Accumulated depreciation</v>
          </cell>
          <cell r="C45" t="str">
            <v>ACC_DDA</v>
          </cell>
          <cell r="D45" t="e">
            <v>#NAME?</v>
          </cell>
        </row>
        <row r="46">
          <cell r="B46" t="str">
            <v>Net PP&amp;E</v>
          </cell>
          <cell r="C46" t="str">
            <v>NET_FIX_ASS</v>
          </cell>
          <cell r="D46" t="e">
            <v>#NAME?</v>
          </cell>
        </row>
        <row r="47">
          <cell r="B47" t="str">
            <v>Gross intangibles</v>
          </cell>
          <cell r="C47" t="str">
            <v>GR_INTANG</v>
          </cell>
          <cell r="D47" t="e">
            <v>#NAME?</v>
          </cell>
        </row>
        <row r="48">
          <cell r="B48" t="str">
            <v>Accumulated amortization</v>
          </cell>
          <cell r="C48" t="str">
            <v>ACC_AMORT</v>
          </cell>
          <cell r="D48" t="e">
            <v>#NAME?</v>
          </cell>
        </row>
        <row r="49">
          <cell r="B49" t="str">
            <v>Net intangible assets</v>
          </cell>
          <cell r="C49" t="str">
            <v>NET_INTANG</v>
          </cell>
          <cell r="D49" t="e">
            <v>#NAME?</v>
          </cell>
        </row>
        <row r="50">
          <cell r="B50" t="str">
            <v>Equity method investments</v>
          </cell>
          <cell r="C50" t="str">
            <v>FIX_ASS_INV</v>
          </cell>
          <cell r="D50" t="e">
            <v>#NAME?</v>
          </cell>
        </row>
        <row r="51">
          <cell r="B51" t="str">
            <v>Investments in securities</v>
          </cell>
          <cell r="C51" t="str">
            <v>INV_SECUR</v>
          </cell>
          <cell r="D51" t="e">
            <v>#NAME?</v>
          </cell>
        </row>
        <row r="52">
          <cell r="B52" t="str">
            <v>Other long-term assets</v>
          </cell>
          <cell r="C52" t="str">
            <v>OTH_LT_ASS</v>
          </cell>
          <cell r="D52" t="e">
            <v>#NAME?</v>
          </cell>
        </row>
        <row r="53">
          <cell r="B53" t="str">
            <v>Total assets</v>
          </cell>
          <cell r="C53" t="str">
            <v>TOT_ASSET</v>
          </cell>
          <cell r="D53" t="e">
            <v>#NAME?</v>
          </cell>
        </row>
        <row r="54">
          <cell r="B54" t="str">
            <v>Accounts payable</v>
          </cell>
          <cell r="C54" t="str">
            <v>ACC_PAY_GQ</v>
          </cell>
          <cell r="D54" t="e">
            <v>#NAME?</v>
          </cell>
        </row>
        <row r="55">
          <cell r="B55" t="str">
            <v>Short-term debt</v>
          </cell>
          <cell r="C55" t="str">
            <v>SHORT_T_DEBT</v>
          </cell>
          <cell r="D55" t="e">
            <v>#NAME?</v>
          </cell>
        </row>
        <row r="56">
          <cell r="B56" t="str">
            <v>Other current liabilities</v>
          </cell>
          <cell r="C56" t="str">
            <v>OTH_CUR_LIABS</v>
          </cell>
          <cell r="D56" t="e">
            <v>#NAME?</v>
          </cell>
        </row>
        <row r="57">
          <cell r="B57" t="str">
            <v>Total current liabilities</v>
          </cell>
          <cell r="C57" t="str">
            <v>SHORT_TERM_LIABS</v>
          </cell>
          <cell r="D57" t="e">
            <v>#NAME?</v>
          </cell>
        </row>
        <row r="58">
          <cell r="B58" t="str">
            <v>Long-term  debt</v>
          </cell>
          <cell r="C58" t="str">
            <v>LT_DEBT</v>
          </cell>
          <cell r="D58" t="e">
            <v>#NAME?</v>
          </cell>
        </row>
        <row r="59">
          <cell r="B59" t="str">
            <v>Other long-term liabilities</v>
          </cell>
          <cell r="C59" t="str">
            <v>OTH_LT_CRED_GQ</v>
          </cell>
          <cell r="D59" t="e">
            <v>#NAME?</v>
          </cell>
        </row>
        <row r="60">
          <cell r="B60" t="str">
            <v>Total long-term liabilities</v>
          </cell>
          <cell r="C60" t="str">
            <v>TOT_LT_LIAB</v>
          </cell>
          <cell r="D60" t="e">
            <v>#NAME?</v>
          </cell>
        </row>
        <row r="61">
          <cell r="B61" t="str">
            <v>Total liabilities</v>
          </cell>
          <cell r="C61" t="str">
            <v>TOT_LIAB</v>
          </cell>
          <cell r="D61" t="e">
            <v>#NAME?</v>
          </cell>
        </row>
        <row r="62">
          <cell r="B62" t="str">
            <v>Preferred shares</v>
          </cell>
          <cell r="C62" t="str">
            <v>PREF_SH</v>
          </cell>
          <cell r="D62" t="e">
            <v>#NAME?</v>
          </cell>
        </row>
        <row r="63">
          <cell r="B63" t="str">
            <v>Total common equity</v>
          </cell>
          <cell r="C63" t="str">
            <v>ORD_SH_FUND</v>
          </cell>
          <cell r="D63" t="e">
            <v>#NAME?</v>
          </cell>
        </row>
        <row r="64">
          <cell r="B64" t="str">
            <v>Minority interest</v>
          </cell>
          <cell r="C64" t="str">
            <v>MINORITIES</v>
          </cell>
          <cell r="D64" t="e">
            <v>#NAME?</v>
          </cell>
        </row>
        <row r="65">
          <cell r="B65" t="str">
            <v>Total shareholders' equity</v>
          </cell>
          <cell r="C65" t="str">
            <v>EQ</v>
          </cell>
          <cell r="D65" t="e">
            <v>#NAME?</v>
          </cell>
        </row>
        <row r="66">
          <cell r="B66" t="str">
            <v>Total liabilities and equity</v>
          </cell>
          <cell r="C66" t="str">
            <v>TOT_LIAB_EQ</v>
          </cell>
          <cell r="D66" t="e">
            <v>#NAME?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</row>
        <row r="69">
          <cell r="B69" t="str">
            <v>% US$ debt hedged (principal)</v>
          </cell>
          <cell r="C69" t="str">
            <v>TOT_PCT_USD_DEBT_HEDGED</v>
          </cell>
        </row>
        <row r="70">
          <cell r="B70" t="str">
            <v>% Floating debt (local currency debt)</v>
          </cell>
          <cell r="C70" t="str">
            <v>FLOATING_PCT_LOCAL_DEBT</v>
          </cell>
        </row>
        <row r="71">
          <cell r="B71" t="str">
            <v>% floating debt hedged (rates)</v>
          </cell>
          <cell r="C71" t="str">
            <v>FLOATING_PCT_LOCAL_DEBT_HEDGED</v>
          </cell>
        </row>
        <row r="72">
          <cell r="B72" t="str">
            <v>Net debt</v>
          </cell>
          <cell r="C72" t="str">
            <v>NET_DEBT</v>
          </cell>
          <cell r="D72" t="e">
            <v>#NAME?</v>
          </cell>
        </row>
        <row r="73">
          <cell r="B73" t="str">
            <v>Capitalized leases</v>
          </cell>
          <cell r="C73" t="str">
            <v>CAP_LEASES</v>
          </cell>
          <cell r="D73" t="e">
            <v>#NAME?</v>
          </cell>
        </row>
        <row r="74">
          <cell r="B74" t="str">
            <v>Deferred income taxes</v>
          </cell>
          <cell r="C74" t="str">
            <v>DEF_INC_TAX</v>
          </cell>
          <cell r="D74" t="e">
            <v>#NAME?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e">
            <v>#NAME?</v>
          </cell>
        </row>
        <row r="76">
          <cell r="B76" t="str">
            <v>Net debt adjustment</v>
          </cell>
          <cell r="C76" t="str">
            <v>NET_DEBT_ADJ</v>
          </cell>
          <cell r="D76" t="e">
            <v>#NAME?</v>
          </cell>
        </row>
        <row r="77">
          <cell r="B77" t="str">
            <v>Company borrowing margin</v>
          </cell>
          <cell r="C77" t="str">
            <v>CO_BOR_MARGIN</v>
          </cell>
        </row>
        <row r="78">
          <cell r="B78" t="str">
            <v>Unfunded pensions &amp; other provisions</v>
          </cell>
          <cell r="C78" t="str">
            <v>UNF_PENS</v>
          </cell>
          <cell r="D78" t="e">
            <v>#NAME?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e">
            <v>#NAME?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e">
            <v>#NAME?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e">
            <v>#NAME?</v>
          </cell>
        </row>
        <row r="82">
          <cell r="B82" t="str">
            <v>Other GCI adjustments</v>
          </cell>
          <cell r="C82" t="str">
            <v>OTH_GCI_ADJ</v>
          </cell>
          <cell r="D82" t="e">
            <v>#NAME?</v>
          </cell>
        </row>
        <row r="83">
          <cell r="B83" t="str">
            <v>GCI inflator</v>
          </cell>
          <cell r="C83" t="str">
            <v>GCI_INFL</v>
          </cell>
        </row>
        <row r="84">
          <cell r="B84" t="str">
            <v>Minority interest</v>
          </cell>
          <cell r="C84" t="str">
            <v>BAL_MINO_INT</v>
          </cell>
          <cell r="D84" t="e">
            <v>#NAME?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e">
            <v>#NAME?</v>
          </cell>
        </row>
        <row r="87">
          <cell r="B87" t="str">
            <v>Depreciation &amp; amortization add-back</v>
          </cell>
          <cell r="C87" t="str">
            <v>DEPR_AMORT</v>
          </cell>
          <cell r="D87" t="e">
            <v>#NAME?</v>
          </cell>
        </row>
        <row r="88">
          <cell r="B88" t="str">
            <v>(Increase)/decrease in working capital</v>
          </cell>
          <cell r="C88" t="str">
            <v>WORK_CAP</v>
          </cell>
          <cell r="D88" t="e">
            <v>#NAME?</v>
          </cell>
        </row>
        <row r="89">
          <cell r="B89" t="str">
            <v>Other operating cash flow items</v>
          </cell>
          <cell r="C89" t="str">
            <v>OTH_OP_CF</v>
          </cell>
          <cell r="D89" t="e">
            <v>#NAME?</v>
          </cell>
        </row>
        <row r="90">
          <cell r="B90" t="str">
            <v>Cash flow from operating activities</v>
          </cell>
          <cell r="C90" t="str">
            <v>CF_OPS</v>
          </cell>
          <cell r="D90" t="e">
            <v>#NAME?</v>
          </cell>
        </row>
        <row r="91">
          <cell r="B91" t="str">
            <v>Capital expenditures, Capex</v>
          </cell>
          <cell r="C91" t="str">
            <v>CAPEX</v>
          </cell>
          <cell r="D91" t="e">
            <v>#NAME?</v>
          </cell>
        </row>
        <row r="92">
          <cell r="B92" t="str">
            <v>Acquisitions</v>
          </cell>
          <cell r="C92" t="str">
            <v>ACQ</v>
          </cell>
          <cell r="D92" t="e">
            <v>#NAME?</v>
          </cell>
        </row>
        <row r="93">
          <cell r="B93" t="str">
            <v>Divestitures</v>
          </cell>
          <cell r="C93" t="str">
            <v>DIVEST</v>
          </cell>
          <cell r="D93" t="e">
            <v>#NAME?</v>
          </cell>
        </row>
        <row r="94">
          <cell r="B94" t="str">
            <v>Other investing cash flow items</v>
          </cell>
          <cell r="C94" t="str">
            <v>OTH_INV_CF</v>
          </cell>
          <cell r="D94" t="e">
            <v>#NAME?</v>
          </cell>
        </row>
        <row r="95">
          <cell r="B95" t="str">
            <v>Cash flow from investing</v>
          </cell>
          <cell r="C95" t="str">
            <v>CF_INV</v>
          </cell>
          <cell r="D95" t="e">
            <v>#NAME?</v>
          </cell>
        </row>
        <row r="96">
          <cell r="B96" t="str">
            <v>Dividends paid</v>
          </cell>
          <cell r="C96" t="str">
            <v>DIV_PAID</v>
          </cell>
          <cell r="D96" t="e">
            <v>#NAME?</v>
          </cell>
        </row>
        <row r="97">
          <cell r="B97" t="str">
            <v>Common stock issuance/(repurchase)</v>
          </cell>
          <cell r="C97" t="str">
            <v>SH_REPUR</v>
          </cell>
          <cell r="D97" t="e">
            <v>#NAME?</v>
          </cell>
        </row>
        <row r="98">
          <cell r="B98" t="str">
            <v>Increase/(decrease) in total debt</v>
          </cell>
          <cell r="C98" t="str">
            <v>CHG_LT_DEBT</v>
          </cell>
          <cell r="D98" t="e">
            <v>#NAME?</v>
          </cell>
        </row>
        <row r="99">
          <cell r="B99" t="str">
            <v>Other financing cash flow items</v>
          </cell>
          <cell r="C99" t="str">
            <v>OTH_FIN_CF</v>
          </cell>
          <cell r="D99" t="e">
            <v>#NAME?</v>
          </cell>
        </row>
        <row r="100">
          <cell r="B100" t="str">
            <v>Cash flow from financing</v>
          </cell>
          <cell r="C100" t="str">
            <v>CF_FIN</v>
          </cell>
          <cell r="D100" t="e">
            <v>#NAME?</v>
          </cell>
        </row>
        <row r="101">
          <cell r="B101" t="str">
            <v>Total cash flow</v>
          </cell>
          <cell r="C101" t="str">
            <v>TOT_CF</v>
          </cell>
          <cell r="D101" t="e">
            <v>#NAME?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e">
            <v>#NAME?</v>
          </cell>
        </row>
        <row r="104">
          <cell r="B104" t="str">
            <v>Profit/(loss) on sale of assets</v>
          </cell>
          <cell r="C104" t="str">
            <v>PL_SALE_ASSETS</v>
          </cell>
          <cell r="D104" t="e">
            <v>#NAME?</v>
          </cell>
        </row>
        <row r="105">
          <cell r="B105" t="str">
            <v>Other non-cash adjustments</v>
          </cell>
          <cell r="C105" t="str">
            <v>OTH_NONCASH_ADJ</v>
          </cell>
          <cell r="D105" t="e">
            <v>#NAME?</v>
          </cell>
        </row>
        <row r="106">
          <cell r="B106" t="str">
            <v>Other DACF adjustments</v>
          </cell>
          <cell r="C106" t="str">
            <v>OTH_DACF_ADJ</v>
          </cell>
          <cell r="D106" t="e">
            <v>#NAME?</v>
          </cell>
        </row>
        <row r="107">
          <cell r="B107" t="str">
            <v>Cash interest expense</v>
          </cell>
          <cell r="C107" t="str">
            <v>CASH_INT_EXP</v>
          </cell>
          <cell r="D107" t="e">
            <v>#NAME?</v>
          </cell>
        </row>
        <row r="108">
          <cell r="B108" t="str">
            <v>Cash tax expense</v>
          </cell>
          <cell r="C108" t="str">
            <v>CASH_TAX_EXP</v>
          </cell>
          <cell r="D108" t="e">
            <v>#NAME?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e">
            <v>#NAME?</v>
          </cell>
        </row>
        <row r="110">
          <cell r="B110" t="str">
            <v>Capex maintenance</v>
          </cell>
          <cell r="C110" t="str">
            <v>CAPEX_MAINTENANCE</v>
          </cell>
          <cell r="D110" t="e">
            <v>#NAME?</v>
          </cell>
        </row>
        <row r="111">
          <cell r="B111" t="str">
            <v>Capex expansion</v>
          </cell>
          <cell r="C111" t="str">
            <v>CAPEX_EXPANSION</v>
          </cell>
          <cell r="D111" t="e">
            <v>#NAME?</v>
          </cell>
        </row>
        <row r="112">
          <cell r="B112" t="str">
            <v>Non-PP&amp;E capex</v>
          </cell>
          <cell r="C112" t="str">
            <v>NONPPE_CAPEX</v>
          </cell>
          <cell r="D112" t="e">
            <v>#NAME?</v>
          </cell>
        </row>
        <row r="113">
          <cell r="B113" t="str">
            <v>Dividends paid to minorities</v>
          </cell>
          <cell r="C113" t="str">
            <v>DIVDS_PD_MINORITIES</v>
          </cell>
          <cell r="D113" t="e">
            <v>#NAME?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</row>
        <row r="141">
          <cell r="B141" t="str">
            <v>Sales - % Other Western Europe</v>
          </cell>
          <cell r="C141" t="str">
            <v>SALES_OTH_WEST_EURO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</row>
        <row r="166">
          <cell r="B166" t="str">
            <v>% of CoGS from U.S. (GS estimate)</v>
          </cell>
          <cell r="C166" t="str">
            <v>COGS_PCT_US</v>
          </cell>
        </row>
        <row r="167">
          <cell r="B167" t="str">
            <v>% of CoGS from non-U.S. (GS estimate)</v>
          </cell>
          <cell r="C167" t="str">
            <v>COGS_PCT_ROW</v>
          </cell>
        </row>
        <row r="168">
          <cell r="B168" t="str">
            <v>% of SG&amp;A from U.S. (GS estimate)</v>
          </cell>
          <cell r="C168" t="str">
            <v>SGA_PCT_US</v>
          </cell>
        </row>
        <row r="169">
          <cell r="B169" t="str">
            <v>% of SG&amp;A from non-U.S. (GS estimate)</v>
          </cell>
          <cell r="C169" t="str">
            <v>SGA_PCT_ROW</v>
          </cell>
        </row>
        <row r="170">
          <cell r="B170" t="str">
            <v>Sales -% Consumer (C)</v>
          </cell>
          <cell r="C170" t="str">
            <v>SALES_CONS</v>
          </cell>
        </row>
        <row r="171">
          <cell r="B171" t="str">
            <v>Sales -% Industry (I)</v>
          </cell>
          <cell r="C171" t="str">
            <v>SALES_IND</v>
          </cell>
        </row>
        <row r="172">
          <cell r="B172" t="str">
            <v>Sales -% Government (G)</v>
          </cell>
          <cell r="C172" t="str">
            <v>SALES_GOV</v>
          </cell>
        </row>
        <row r="173">
          <cell r="B173" t="str">
            <v>Sales - % Industry Sub-Segment: Financial Services</v>
          </cell>
          <cell r="C173" t="str">
            <v>SALES_FINAN</v>
          </cell>
        </row>
        <row r="174">
          <cell r="B174" t="str">
            <v>Sales - % Industry Sub-Segment: Oil &amp; Gas</v>
          </cell>
          <cell r="C174" t="str">
            <v>SALES_OIL_GAS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</row>
        <row r="178">
          <cell r="B178" t="str">
            <v>Expense - % Gold</v>
          </cell>
          <cell r="C178" t="str">
            <v>EXP_GOLD</v>
          </cell>
        </row>
        <row r="179">
          <cell r="B179" t="str">
            <v>Expense - % Copper</v>
          </cell>
          <cell r="C179" t="str">
            <v>EXP_COPPER</v>
          </cell>
        </row>
        <row r="180">
          <cell r="B180" t="str">
            <v>Expense - % Silver</v>
          </cell>
          <cell r="C180" t="str">
            <v>EXP_SILVER</v>
          </cell>
        </row>
        <row r="181">
          <cell r="B181" t="str">
            <v>Expense - % Platinum</v>
          </cell>
          <cell r="C181" t="str">
            <v>EXP_PLATINUM</v>
          </cell>
        </row>
        <row r="182">
          <cell r="B182" t="str">
            <v>Expense - % Palladium</v>
          </cell>
          <cell r="C182" t="str">
            <v>EXP_PALLADIUM</v>
          </cell>
        </row>
        <row r="183">
          <cell r="B183" t="str">
            <v>Expense - % Aluminium</v>
          </cell>
          <cell r="C183" t="str">
            <v>EXP_ALUMINIUM</v>
          </cell>
        </row>
        <row r="184">
          <cell r="B184" t="str">
            <v>Expense - % Nickel</v>
          </cell>
          <cell r="C184" t="str">
            <v>EXP_NICKEL</v>
          </cell>
        </row>
        <row r="185">
          <cell r="B185" t="str">
            <v>Expense - % Zinc</v>
          </cell>
          <cell r="C185" t="str">
            <v>EXP_ZINC</v>
          </cell>
        </row>
        <row r="186">
          <cell r="B186" t="str">
            <v>Expense - % Paper/pulp</v>
          </cell>
          <cell r="C186" t="str">
            <v>EXP_PAPER_PULP</v>
          </cell>
        </row>
        <row r="187">
          <cell r="B187" t="str">
            <v>Expense - % Glass</v>
          </cell>
          <cell r="C187" t="str">
            <v>EXP_GLASS</v>
          </cell>
        </row>
        <row r="188">
          <cell r="B188" t="str">
            <v>Expense - % Water</v>
          </cell>
          <cell r="C188" t="str">
            <v>EXP_WATER</v>
          </cell>
        </row>
        <row r="189">
          <cell r="B189" t="str">
            <v>Expense - % Other commodity</v>
          </cell>
          <cell r="C189" t="str">
            <v>EXP_OTH_COMMODITY</v>
          </cell>
        </row>
        <row r="190">
          <cell r="B190" t="str">
            <v>Expense - % Other (Non-Commodity) cost</v>
          </cell>
          <cell r="C190" t="str">
            <v>EXP_OTH_COST</v>
          </cell>
        </row>
        <row r="191">
          <cell r="A191" t="str">
            <v>FX Exposure - Sales</v>
          </cell>
        </row>
        <row r="192">
          <cell r="B192" t="str">
            <v>Sales - % FX: British Pounds/Pence</v>
          </cell>
          <cell r="C192" t="str">
            <v>SALES_FX_GPB</v>
          </cell>
        </row>
        <row r="193">
          <cell r="B193" t="str">
            <v>Sales - % FX: Euro</v>
          </cell>
          <cell r="C193" t="str">
            <v>SALES_FX_EUR</v>
          </cell>
        </row>
        <row r="194">
          <cell r="B194" t="str">
            <v>Sales - % FX: New Russian Ruble</v>
          </cell>
          <cell r="C194" t="str">
            <v>SALES_FX_RUB</v>
          </cell>
        </row>
        <row r="195">
          <cell r="B195" t="str">
            <v>Sales - % FX: U.S. Dollar</v>
          </cell>
          <cell r="C195" t="str">
            <v>SALES_FX_USD</v>
          </cell>
        </row>
        <row r="196">
          <cell r="B196" t="str">
            <v>Sales - % FX: Brazilian Real</v>
          </cell>
          <cell r="C196" t="str">
            <v>SALES_FX_BRL</v>
          </cell>
        </row>
        <row r="197">
          <cell r="B197" t="str">
            <v>Sales - % FX: Japanese Yen</v>
          </cell>
          <cell r="C197" t="str">
            <v>SALES_FX_YEN</v>
          </cell>
        </row>
        <row r="198">
          <cell r="B198" t="str">
            <v>Sales - % FX: Chinese Renminbi</v>
          </cell>
          <cell r="C198" t="str">
            <v>SALES_FX_CNY</v>
          </cell>
        </row>
        <row r="199">
          <cell r="B199" t="str">
            <v>Sales - % FX: Indian Rupee</v>
          </cell>
          <cell r="C199" t="str">
            <v>SALES_FX_INR</v>
          </cell>
        </row>
        <row r="200">
          <cell r="B200" t="str">
            <v>Sales - % FX: South Korean Won</v>
          </cell>
          <cell r="C200" t="str">
            <v>SALES_FX_KRW</v>
          </cell>
        </row>
        <row r="201">
          <cell r="B201" t="str">
            <v>Sales - % FX: Taiwan Dollar</v>
          </cell>
          <cell r="C201" t="str">
            <v>SALES_FX_TWD</v>
          </cell>
        </row>
        <row r="202">
          <cell r="B202" t="str">
            <v>Sales - % FX: Other Currency</v>
          </cell>
          <cell r="C202" t="str">
            <v>SALES_FX_OTH</v>
          </cell>
        </row>
        <row r="203">
          <cell r="A203" t="str">
            <v>Items to be removed</v>
          </cell>
        </row>
        <row r="204">
          <cell r="B204" t="str">
            <v>Sales - Total % Americas</v>
          </cell>
          <cell r="C204" t="str">
            <v>SALES_TOT_AM</v>
          </cell>
        </row>
        <row r="205">
          <cell r="B205" t="str">
            <v>Sales - % Other Americas</v>
          </cell>
          <cell r="C205" t="str">
            <v>SALES_OTH_AM</v>
          </cell>
        </row>
        <row r="206">
          <cell r="B206" t="str">
            <v>Sales - Total % EMEA</v>
          </cell>
          <cell r="C206" t="str">
            <v>SALES_TOT_EMEA</v>
          </cell>
        </row>
        <row r="207">
          <cell r="B207" t="str">
            <v>Sales - % Western Europe-Ex UK</v>
          </cell>
          <cell r="C207" t="str">
            <v>SALES_EU_EX_UK</v>
          </cell>
        </row>
        <row r="208">
          <cell r="B208" t="str">
            <v>Sales - % Central &amp; Eastern Europe</v>
          </cell>
          <cell r="C208" t="str">
            <v>SALES_CEE</v>
          </cell>
        </row>
        <row r="209">
          <cell r="B209" t="str">
            <v>Sales - % Middle East</v>
          </cell>
          <cell r="C209" t="str">
            <v>SALES_ME</v>
          </cell>
        </row>
        <row r="210">
          <cell r="B210" t="str">
            <v>Sales - % Total Africa</v>
          </cell>
          <cell r="C210" t="str">
            <v>SALES_TOT_AFRICA</v>
          </cell>
        </row>
        <row r="211">
          <cell r="B211" t="str">
            <v>Sales - % Other EMEA</v>
          </cell>
          <cell r="C211" t="str">
            <v>SALES_OTH_EMEA</v>
          </cell>
        </row>
        <row r="212">
          <cell r="B212" t="str">
            <v>Sales - Total % Asia (incl Australia &amp; New Zealand)</v>
          </cell>
          <cell r="C212" t="str">
            <v>SALES_TOT_ASIA</v>
          </cell>
        </row>
        <row r="213">
          <cell r="B213" t="str">
            <v>Sales - % Other Asia</v>
          </cell>
          <cell r="C213" t="str">
            <v>SALES_OTH_AEJ</v>
          </cell>
        </row>
        <row r="214">
          <cell r="A214" t="str">
            <v>Security: Silergy Corp.</v>
          </cell>
        </row>
        <row r="215">
          <cell r="A215" t="str">
            <v>Reference Data</v>
          </cell>
        </row>
        <row r="216">
          <cell r="B216" t="str">
            <v>Ticker</v>
          </cell>
          <cell r="C216" t="str">
            <v>Ticker</v>
          </cell>
          <cell r="E216" t="str">
            <v>6415.TW</v>
          </cell>
        </row>
        <row r="217">
          <cell r="B217" t="str">
            <v>Security Name</v>
          </cell>
          <cell r="C217" t="str">
            <v>Security Name</v>
          </cell>
          <cell r="E217" t="str">
            <v>Silergy Corp.</v>
          </cell>
        </row>
        <row r="218">
          <cell r="B218" t="str">
            <v>Interim Type</v>
          </cell>
          <cell r="C218" t="str">
            <v>Interim Type</v>
          </cell>
          <cell r="E218" t="str">
            <v>Q</v>
          </cell>
        </row>
        <row r="219">
          <cell r="B219" t="str">
            <v>Publishing Currency</v>
          </cell>
          <cell r="C219" t="str">
            <v>PUB_CURRENCY_ISO</v>
          </cell>
          <cell r="E219" t="str">
            <v>TWD</v>
          </cell>
        </row>
        <row r="220">
          <cell r="B220" t="str">
            <v>Pricing Currency</v>
          </cell>
          <cell r="C220" t="str">
            <v>PRICE_CURRENCY_ISO</v>
          </cell>
          <cell r="E220" t="str">
            <v>TWD</v>
          </cell>
        </row>
        <row r="221">
          <cell r="B221" t="str">
            <v>Reporting Currency</v>
          </cell>
          <cell r="C221" t="str">
            <v>CURRENCY_ISO</v>
          </cell>
          <cell r="E221" t="str">
            <v>TWD</v>
          </cell>
        </row>
        <row r="222">
          <cell r="A222" t="str">
            <v>General Information</v>
          </cell>
        </row>
        <row r="223">
          <cell r="B223" t="str">
            <v>Asia ex. Japan Investment List</v>
          </cell>
          <cell r="C223" t="str">
            <v>AEJ_LIST</v>
          </cell>
        </row>
        <row r="224">
          <cell r="B224" t="str">
            <v>Asia ex. Japan Conviction List</v>
          </cell>
          <cell r="C224" t="str">
            <v>AEJ_CONVICTION</v>
          </cell>
        </row>
        <row r="225">
          <cell r="B225" t="str">
            <v>Legal rating</v>
          </cell>
          <cell r="C225" t="str">
            <v>LEGAL_RATING</v>
          </cell>
        </row>
        <row r="226">
          <cell r="B226" t="str">
            <v>Target price</v>
          </cell>
          <cell r="C226" t="str">
            <v>TARGET_PRICE</v>
          </cell>
          <cell r="D226" t="e">
            <v>#NAME?</v>
          </cell>
        </row>
        <row r="227">
          <cell r="B227" t="str">
            <v>Target price period</v>
          </cell>
          <cell r="C227" t="str">
            <v>TP_PERIOD</v>
          </cell>
        </row>
        <row r="228">
          <cell r="B228" t="str">
            <v>Fundamental value</v>
          </cell>
          <cell r="C228" t="str">
            <v>TARGET_PRICE_FUNDAMENTAL</v>
          </cell>
          <cell r="D228" t="e">
            <v>#NAME?</v>
          </cell>
        </row>
        <row r="229">
          <cell r="B229" t="str">
            <v>M&amp;A value</v>
          </cell>
          <cell r="C229" t="str">
            <v>TARGET_PRICE_MA</v>
          </cell>
          <cell r="D229" t="e">
            <v>#NAME?</v>
          </cell>
        </row>
        <row r="230">
          <cell r="B230" t="str">
            <v>Current shares outstanding (mn)</v>
          </cell>
          <cell r="C230" t="str">
            <v>NUM_SH</v>
          </cell>
        </row>
        <row r="231">
          <cell r="B231" t="str">
            <v>Free float</v>
          </cell>
          <cell r="C231" t="str">
            <v>FREE_FLOAT</v>
          </cell>
        </row>
        <row r="232">
          <cell r="B232" t="str">
            <v>Foreign ownership</v>
          </cell>
          <cell r="C232" t="str">
            <v>FOREIGN_HOLDNG</v>
          </cell>
        </row>
        <row r="233">
          <cell r="B233" t="str">
            <v>Catalyst 1 date</v>
          </cell>
          <cell r="C233" t="str">
            <v>CATALYST1_DATE</v>
          </cell>
        </row>
        <row r="234">
          <cell r="B234" t="str">
            <v>Catalyst 1 description</v>
          </cell>
          <cell r="C234" t="str">
            <v>CATALYST1_EVENT</v>
          </cell>
        </row>
        <row r="235">
          <cell r="B235" t="str">
            <v>Catalyst 2 date</v>
          </cell>
          <cell r="C235" t="str">
            <v>CATALYST2_DATE</v>
          </cell>
        </row>
        <row r="236">
          <cell r="B236" t="str">
            <v>Catalyst 2 description</v>
          </cell>
          <cell r="C236" t="str">
            <v>CATALYST2_EVENT</v>
          </cell>
        </row>
        <row r="237">
          <cell r="B237" t="str">
            <v>Catalyst 3 date</v>
          </cell>
          <cell r="C237" t="str">
            <v>CATALYST3_DATE</v>
          </cell>
        </row>
        <row r="238">
          <cell r="B238" t="str">
            <v>Catalyst 3 description</v>
          </cell>
          <cell r="C238" t="str">
            <v>CATALYST3_EVENT</v>
          </cell>
        </row>
        <row r="239">
          <cell r="B239" t="str">
            <v>Catalyst 4 date</v>
          </cell>
          <cell r="C239" t="str">
            <v>CATALYST4_DATE</v>
          </cell>
        </row>
        <row r="240">
          <cell r="B240" t="str">
            <v>Catalyst 4 description</v>
          </cell>
          <cell r="C240" t="str">
            <v>CATALYST4_EVENT</v>
          </cell>
        </row>
        <row r="241">
          <cell r="B241" t="str">
            <v>Catalyst 5 date</v>
          </cell>
          <cell r="C241" t="str">
            <v>CATALYST5_DATE</v>
          </cell>
        </row>
        <row r="242">
          <cell r="B242" t="str">
            <v>Catalyst 5 description</v>
          </cell>
          <cell r="C242" t="str">
            <v>CATALYST5_EVENT</v>
          </cell>
        </row>
        <row r="243">
          <cell r="B243" t="str">
            <v>Target price multiple</v>
          </cell>
          <cell r="C243" t="str">
            <v>PRI_TARG_MULT</v>
          </cell>
        </row>
        <row r="244">
          <cell r="B244" t="str">
            <v>Target price methodology</v>
          </cell>
          <cell r="C244" t="str">
            <v>PRI_TARG_METH</v>
          </cell>
        </row>
        <row r="245">
          <cell r="A245" t="str">
            <v>Publishing Items</v>
          </cell>
        </row>
        <row r="246">
          <cell r="B246" t="str">
            <v>Book value per share, BVPS (Pub)</v>
          </cell>
          <cell r="C246" t="str">
            <v>BVPS_PUB</v>
          </cell>
          <cell r="D246" t="e">
            <v>#NAME?</v>
          </cell>
        </row>
        <row r="247">
          <cell r="B247" t="str">
            <v>DPS, dividend per share (Pub)</v>
          </cell>
          <cell r="C247" t="str">
            <v>DPS_PUB</v>
          </cell>
          <cell r="D247" t="e">
            <v>#NAME?</v>
          </cell>
        </row>
        <row r="248">
          <cell r="B248" t="str">
            <v>Special dividend per share</v>
          </cell>
          <cell r="C248" t="str">
            <v>DPS_SPECIAL_PUB</v>
          </cell>
          <cell r="D248" t="e">
            <v>#NAME?</v>
          </cell>
        </row>
        <row r="249">
          <cell r="B249" t="str">
            <v>EBITDA (Pub)</v>
          </cell>
          <cell r="C249" t="str">
            <v>EBITDA_PUB</v>
          </cell>
          <cell r="D249" t="e">
            <v>#NAME?</v>
          </cell>
        </row>
        <row r="250">
          <cell r="B250" t="str">
            <v>EPS (Pub)</v>
          </cell>
          <cell r="C250" t="str">
            <v>EPS_PUB</v>
          </cell>
          <cell r="D250" t="e">
            <v>#NAME?</v>
          </cell>
        </row>
        <row r="251">
          <cell r="B251" t="str">
            <v>EV adjustment (Pub)</v>
          </cell>
          <cell r="C251" t="str">
            <v>EV_ADJ_PUB</v>
          </cell>
          <cell r="D251" t="e">
            <v>#NAME?</v>
          </cell>
        </row>
        <row r="252">
          <cell r="B252" t="str">
            <v>Net debt (Pub)</v>
          </cell>
          <cell r="C252" t="str">
            <v>NET_DEBT_PUB</v>
          </cell>
          <cell r="D252" t="e">
            <v>#NAME?</v>
          </cell>
        </row>
        <row r="253">
          <cell r="B253" t="str">
            <v>Net income (Pub)</v>
          </cell>
          <cell r="C253" t="str">
            <v>NI_PUB</v>
          </cell>
          <cell r="D253" t="e">
            <v>#NAME?</v>
          </cell>
        </row>
        <row r="254">
          <cell r="B254" t="str">
            <v>EBIT, operating profit (Pub)</v>
          </cell>
          <cell r="C254" t="str">
            <v>EBIT_PUB</v>
          </cell>
          <cell r="D254" t="e">
            <v>#NAME?</v>
          </cell>
        </row>
        <row r="255">
          <cell r="B255" t="str">
            <v>Pre-tax profit (Pub)</v>
          </cell>
          <cell r="C255" t="str">
            <v>PTP_PUB</v>
          </cell>
          <cell r="D255" t="e">
            <v>#NAME?</v>
          </cell>
        </row>
        <row r="256">
          <cell r="B256" t="str">
            <v>Sales, revenue (Pub)</v>
          </cell>
          <cell r="C256" t="str">
            <v>REVS_PUB</v>
          </cell>
          <cell r="D256" t="e">
            <v>#NAME?</v>
          </cell>
        </row>
        <row r="257">
          <cell r="B257" t="str">
            <v>Total shareholders' equity (Pub)</v>
          </cell>
          <cell r="C257" t="str">
            <v>EQ_PUB</v>
          </cell>
          <cell r="D257" t="e">
            <v>#NAME?</v>
          </cell>
        </row>
        <row r="258">
          <cell r="B258" t="str">
            <v>EPS (consensus)</v>
          </cell>
          <cell r="C258" t="str">
            <v>EPS_CONS_PUB</v>
          </cell>
          <cell r="D258" t="e">
            <v>#NAME?</v>
          </cell>
        </row>
        <row r="259">
          <cell r="A259" t="str">
            <v>Income Statement</v>
          </cell>
        </row>
        <row r="260">
          <cell r="B260" t="str">
            <v>Provision for income tax</v>
          </cell>
          <cell r="C260" t="str">
            <v>PROV_INC_TAX</v>
          </cell>
          <cell r="D260" t="e">
            <v>#NAME?</v>
          </cell>
        </row>
        <row r="261">
          <cell r="B261" t="str">
            <v>Minority interest</v>
          </cell>
          <cell r="C261" t="str">
            <v>INC_MINORITY</v>
          </cell>
          <cell r="D261" t="e">
            <v>#NAME?</v>
          </cell>
        </row>
        <row r="262">
          <cell r="B262" t="str">
            <v>Net income (pre-preferred dividends)</v>
          </cell>
          <cell r="C262" t="str">
            <v>NI_PRE_PREF</v>
          </cell>
          <cell r="D262" t="e">
            <v>#NAME?</v>
          </cell>
        </row>
        <row r="263">
          <cell r="B263" t="str">
            <v>Preferred dividends</v>
          </cell>
          <cell r="C263" t="str">
            <v>PREF_DIV</v>
          </cell>
          <cell r="D263" t="e">
            <v>#NAME?</v>
          </cell>
        </row>
        <row r="264">
          <cell r="B264" t="str">
            <v>Net income (pre-exceptionals)</v>
          </cell>
          <cell r="C264" t="str">
            <v>NET_EARNING</v>
          </cell>
          <cell r="D264" t="e">
            <v>#NAME?</v>
          </cell>
        </row>
        <row r="265">
          <cell r="B265" t="str">
            <v>Post-tax exceptionals</v>
          </cell>
          <cell r="C265" t="str">
            <v>TAX_EXC</v>
          </cell>
          <cell r="D265" t="e">
            <v>#NAME?</v>
          </cell>
        </row>
        <row r="266">
          <cell r="B266" t="str">
            <v>Net income (post-exceptionals)</v>
          </cell>
          <cell r="C266" t="str">
            <v>NET_INC</v>
          </cell>
          <cell r="D266" t="e">
            <v>#NAME?</v>
          </cell>
        </row>
        <row r="267">
          <cell r="B267" t="str">
            <v>EPS (pre-exceptionals, basic)</v>
          </cell>
          <cell r="C267" t="str">
            <v>EPS</v>
          </cell>
          <cell r="D267" t="e">
            <v>#NAME?</v>
          </cell>
        </row>
        <row r="268">
          <cell r="B268" t="str">
            <v>EPS (pre-exceptionals, diluted)</v>
          </cell>
          <cell r="C268" t="str">
            <v>EPS_FUL_DIL</v>
          </cell>
          <cell r="D268" t="e">
            <v>#NAME?</v>
          </cell>
        </row>
        <row r="269">
          <cell r="B269" t="str">
            <v>EPS (post-exceptionals, basic)</v>
          </cell>
          <cell r="C269" t="str">
            <v>EPS_POST_BASIC</v>
          </cell>
          <cell r="D269" t="e">
            <v>#NAME?</v>
          </cell>
        </row>
        <row r="270">
          <cell r="B270" t="str">
            <v>EPS (post-exceptionals, diluted)</v>
          </cell>
          <cell r="C270" t="str">
            <v>FULLY_DIL_EPS</v>
          </cell>
          <cell r="D270" t="e">
            <v>#NAME?</v>
          </cell>
        </row>
        <row r="271">
          <cell r="B271" t="str">
            <v>Common dividends paid</v>
          </cell>
          <cell r="C271" t="str">
            <v>COMMON_DIV_PAID</v>
          </cell>
          <cell r="D271" t="e">
            <v>#NAME?</v>
          </cell>
        </row>
        <row r="272">
          <cell r="B272" t="str">
            <v>DPS, dividend per share</v>
          </cell>
          <cell r="C272" t="str">
            <v>DPS</v>
          </cell>
          <cell r="D272" t="e">
            <v>#NAME?</v>
          </cell>
        </row>
        <row r="273">
          <cell r="B273" t="str">
            <v>Weighted average shares outstanding, basic</v>
          </cell>
          <cell r="C273" t="str">
            <v>SH</v>
          </cell>
        </row>
        <row r="274">
          <cell r="B274" t="str">
            <v>Diluted average shares outstanding (mn)</v>
          </cell>
          <cell r="C274" t="str">
            <v>DILUTE_SHARES</v>
          </cell>
        </row>
        <row r="275">
          <cell r="B275" t="str">
            <v>Period-end shares outstanding</v>
          </cell>
          <cell r="C275" t="str">
            <v>NON_OP_ADD</v>
          </cell>
        </row>
        <row r="276">
          <cell r="A276" t="str">
            <v>Additional Income Statement Items</v>
          </cell>
        </row>
        <row r="277">
          <cell r="B277" t="str">
            <v>Marginal tax rate</v>
          </cell>
          <cell r="C277" t="str">
            <v>MARGIN_TAX_RATE</v>
          </cell>
        </row>
        <row r="278">
          <cell r="B278" t="str">
            <v>Net income (consensus) (Pub)</v>
          </cell>
          <cell r="C278" t="str">
            <v>NI_CONS</v>
          </cell>
          <cell r="D278" t="e">
            <v>#NAME?</v>
          </cell>
        </row>
        <row r="279">
          <cell r="A279" t="str">
            <v>Balance Sheet</v>
          </cell>
        </row>
        <row r="280">
          <cell r="B280" t="str">
            <v>BVPS, book value per share</v>
          </cell>
          <cell r="C280" t="str">
            <v>BVPS</v>
          </cell>
          <cell r="D280" t="e">
            <v>#NAME?</v>
          </cell>
        </row>
        <row r="281">
          <cell r="A281" t="str">
            <v>Cash Flow Statement</v>
          </cell>
        </row>
        <row r="282">
          <cell r="B282" t="str">
            <v>Net income (pre-preferred dividends)</v>
          </cell>
          <cell r="C282" t="str">
            <v>CF_NI_PRE_PREF</v>
          </cell>
          <cell r="D282" t="e">
            <v>#NAME?</v>
          </cell>
        </row>
        <row r="283">
          <cell r="A283" t="str">
            <v>Other Items</v>
          </cell>
        </row>
        <row r="284">
          <cell r="B284" t="str">
            <v>Beta</v>
          </cell>
          <cell r="C284" t="str">
            <v>BETA_ANALYST</v>
          </cell>
        </row>
        <row r="285">
          <cell r="B285" t="str">
            <v>Market equity risk premium</v>
          </cell>
          <cell r="C285" t="str">
            <v>MKT_EQ_RISK_PREM</v>
          </cell>
        </row>
        <row r="286">
          <cell r="B286" t="str">
            <v>Risk-free rate</v>
          </cell>
          <cell r="C286" t="str">
            <v>RISK_FR_RATE</v>
          </cell>
        </row>
      </sheetData>
      <sheetData sheetId="11">
        <row r="1">
          <cell r="A1" t="str">
            <v>Issuer: Silergy Corp.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>
            <v>2011</v>
          </cell>
          <cell r="X1">
            <v>2012</v>
          </cell>
          <cell r="Y1">
            <v>2013</v>
          </cell>
          <cell r="Z1">
            <v>2014</v>
          </cell>
          <cell r="AA1">
            <v>2015</v>
          </cell>
          <cell r="AB1">
            <v>2016</v>
          </cell>
          <cell r="AC1">
            <v>2017</v>
          </cell>
          <cell r="AD1">
            <v>2018</v>
          </cell>
          <cell r="AE1">
            <v>2019</v>
          </cell>
          <cell r="AF1">
            <v>2020</v>
          </cell>
          <cell r="AG1" t="str">
            <v>2021</v>
          </cell>
          <cell r="AI1" t="str">
            <v>2010 Q1</v>
          </cell>
          <cell r="AJ1" t="str">
            <v>2010 Q2</v>
          </cell>
          <cell r="AK1" t="str">
            <v>2010 Q3</v>
          </cell>
          <cell r="AL1" t="str">
            <v>2010 Q4</v>
          </cell>
          <cell r="AM1" t="str">
            <v>2011 Q1</v>
          </cell>
          <cell r="AN1" t="str">
            <v>2011 Q2</v>
          </cell>
          <cell r="AO1" t="str">
            <v>2011 Q3</v>
          </cell>
          <cell r="AP1" t="str">
            <v>2011 Q4</v>
          </cell>
          <cell r="AQ1" t="str">
            <v>2012 Q1</v>
          </cell>
          <cell r="AR1" t="str">
            <v>2012 Q2</v>
          </cell>
          <cell r="AS1" t="str">
            <v>2012 Q3</v>
          </cell>
          <cell r="AT1" t="str">
            <v>2012 Q4</v>
          </cell>
          <cell r="AU1" t="str">
            <v>2013 Q1</v>
          </cell>
          <cell r="AV1" t="str">
            <v>2013 Q2</v>
          </cell>
          <cell r="AW1" t="str">
            <v>2013 Q3</v>
          </cell>
          <cell r="AX1" t="str">
            <v>2013 Q4</v>
          </cell>
          <cell r="AY1" t="str">
            <v>2014 Q1</v>
          </cell>
          <cell r="AZ1" t="str">
            <v>2014 Q2</v>
          </cell>
          <cell r="BA1" t="str">
            <v>2014 Q3</v>
          </cell>
          <cell r="BB1" t="str">
            <v>2014 Q4</v>
          </cell>
          <cell r="BC1" t="str">
            <v>2015 Q1</v>
          </cell>
          <cell r="BD1" t="str">
            <v>2015 Q2</v>
          </cell>
          <cell r="BE1" t="str">
            <v>2015 Q3</v>
          </cell>
          <cell r="BF1" t="str">
            <v>2015 Q4</v>
          </cell>
          <cell r="BG1" t="str">
            <v>2016 Q1</v>
          </cell>
          <cell r="BH1" t="str">
            <v>2016 Q2</v>
          </cell>
          <cell r="BI1" t="str">
            <v>2016 Q3</v>
          </cell>
          <cell r="BJ1" t="str">
            <v>2016 Q4</v>
          </cell>
          <cell r="BK1" t="str">
            <v>2017 Q1</v>
          </cell>
          <cell r="BL1" t="str">
            <v>2017 Q2</v>
          </cell>
          <cell r="BM1" t="str">
            <v>2017 Q3</v>
          </cell>
          <cell r="BN1" t="str">
            <v>2017 Q4</v>
          </cell>
          <cell r="BO1" t="str">
            <v>2018 Q1</v>
          </cell>
          <cell r="BP1" t="str">
            <v>2018 Q2</v>
          </cell>
          <cell r="BQ1" t="str">
            <v>2018 Q3</v>
          </cell>
          <cell r="BR1" t="str">
            <v>2018 Q4</v>
          </cell>
          <cell r="BS1" t="str">
            <v>2019 Q1</v>
          </cell>
          <cell r="BT1" t="str">
            <v>2019 Q2</v>
          </cell>
          <cell r="BU1" t="str">
            <v>2019 Q3</v>
          </cell>
          <cell r="BV1" t="str">
            <v>2019 Q4</v>
          </cell>
          <cell r="BW1" t="str">
            <v>2020 Q1</v>
          </cell>
          <cell r="BX1" t="str">
            <v>2020 Q2</v>
          </cell>
          <cell r="BY1" t="str">
            <v>2020 Q3</v>
          </cell>
          <cell r="BZ1" t="str">
            <v>2020 Q4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Preliminary</v>
          </cell>
          <cell r="AC2" t="str">
            <v>Preliminary</v>
          </cell>
          <cell r="AD2" t="str">
            <v>Estimate</v>
          </cell>
          <cell r="AE2" t="str">
            <v>Estimate</v>
          </cell>
          <cell r="AF2" t="str">
            <v>Estimate</v>
          </cell>
          <cell r="AG2" t="str">
            <v>Estimate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Actual</v>
          </cell>
          <cell r="AY2" t="str">
            <v>Actual</v>
          </cell>
          <cell r="AZ2" t="str">
            <v>Actual</v>
          </cell>
          <cell r="BA2" t="str">
            <v>Actual</v>
          </cell>
          <cell r="BB2" t="str">
            <v>Actual</v>
          </cell>
          <cell r="BC2" t="str">
            <v>Actual</v>
          </cell>
          <cell r="BD2" t="str">
            <v>Actual</v>
          </cell>
          <cell r="BE2" t="str">
            <v>Actual</v>
          </cell>
          <cell r="BF2" t="str">
            <v>Actual</v>
          </cell>
          <cell r="BG2" t="str">
            <v>Actual</v>
          </cell>
          <cell r="BH2" t="str">
            <v>Actual</v>
          </cell>
          <cell r="BI2" t="str">
            <v>Actual</v>
          </cell>
          <cell r="BJ2" t="str">
            <v>Preliminary</v>
          </cell>
          <cell r="BK2" t="str">
            <v>Preliminary</v>
          </cell>
          <cell r="BL2" t="str">
            <v>Preliminary</v>
          </cell>
          <cell r="BM2" t="str">
            <v>Preliminary</v>
          </cell>
          <cell r="BN2" t="str">
            <v>Preliminary</v>
          </cell>
          <cell r="BO2" t="str">
            <v>Estimate</v>
          </cell>
          <cell r="BP2" t="str">
            <v>Estimate</v>
          </cell>
          <cell r="BQ2" t="str">
            <v>Estimate</v>
          </cell>
          <cell r="BR2" t="str">
            <v>Estimate</v>
          </cell>
          <cell r="BS2" t="str">
            <v>Estimate</v>
          </cell>
          <cell r="BT2" t="str">
            <v>Estimate</v>
          </cell>
          <cell r="BU2" t="str">
            <v>Estimate</v>
          </cell>
          <cell r="BV2" t="str">
            <v>Estimate</v>
          </cell>
          <cell r="BW2" t="str">
            <v>Estimate</v>
          </cell>
          <cell r="BX2" t="str">
            <v>Estimate</v>
          </cell>
          <cell r="BY2" t="str">
            <v>Estimate</v>
          </cell>
          <cell r="BZ2" t="str">
            <v>Estimate</v>
          </cell>
        </row>
        <row r="3"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40543</v>
          </cell>
          <cell r="W3">
            <v>40908</v>
          </cell>
          <cell r="X3">
            <v>41274</v>
          </cell>
          <cell r="Y3">
            <v>41639</v>
          </cell>
          <cell r="Z3">
            <v>42004</v>
          </cell>
          <cell r="AA3">
            <v>42369</v>
          </cell>
          <cell r="AB3">
            <v>42735</v>
          </cell>
          <cell r="AC3">
            <v>43100</v>
          </cell>
          <cell r="AD3">
            <v>43465</v>
          </cell>
          <cell r="AE3">
            <v>43830</v>
          </cell>
          <cell r="AF3">
            <v>44196</v>
          </cell>
          <cell r="AG3">
            <v>44561</v>
          </cell>
          <cell r="AI3">
            <v>40268</v>
          </cell>
          <cell r="AJ3">
            <v>40359</v>
          </cell>
          <cell r="AK3">
            <v>40451</v>
          </cell>
          <cell r="AL3">
            <v>40543</v>
          </cell>
          <cell r="AM3">
            <v>40633</v>
          </cell>
          <cell r="AN3">
            <v>40724</v>
          </cell>
          <cell r="AO3">
            <v>40816</v>
          </cell>
          <cell r="AP3">
            <v>40908</v>
          </cell>
          <cell r="AQ3">
            <v>40999</v>
          </cell>
          <cell r="AR3">
            <v>41090</v>
          </cell>
          <cell r="AS3">
            <v>41182</v>
          </cell>
          <cell r="AT3">
            <v>41274</v>
          </cell>
          <cell r="AU3">
            <v>41364</v>
          </cell>
          <cell r="AV3">
            <v>41455</v>
          </cell>
          <cell r="AW3">
            <v>41547</v>
          </cell>
          <cell r="AX3">
            <v>41639</v>
          </cell>
          <cell r="AY3">
            <v>41729</v>
          </cell>
          <cell r="AZ3">
            <v>41820</v>
          </cell>
          <cell r="BA3">
            <v>41912</v>
          </cell>
          <cell r="BB3">
            <v>42004</v>
          </cell>
          <cell r="BC3">
            <v>42094</v>
          </cell>
          <cell r="BD3">
            <v>42185</v>
          </cell>
          <cell r="BE3">
            <v>42277</v>
          </cell>
          <cell r="BF3">
            <v>42369</v>
          </cell>
          <cell r="BG3">
            <v>42460</v>
          </cell>
          <cell r="BH3">
            <v>42551</v>
          </cell>
          <cell r="BI3">
            <v>42643</v>
          </cell>
          <cell r="BJ3">
            <v>42735</v>
          </cell>
          <cell r="BK3">
            <v>42825</v>
          </cell>
          <cell r="BL3">
            <v>42916</v>
          </cell>
          <cell r="BM3">
            <v>43008</v>
          </cell>
          <cell r="BN3">
            <v>43100</v>
          </cell>
          <cell r="BO3">
            <v>43190</v>
          </cell>
          <cell r="BP3">
            <v>43281</v>
          </cell>
          <cell r="BQ3">
            <v>43373</v>
          </cell>
          <cell r="BR3">
            <v>43465</v>
          </cell>
          <cell r="BS3">
            <v>43555</v>
          </cell>
          <cell r="BT3">
            <v>43646</v>
          </cell>
          <cell r="BU3">
            <v>43738</v>
          </cell>
          <cell r="BV3">
            <v>43830</v>
          </cell>
          <cell r="BW3">
            <v>43921</v>
          </cell>
          <cell r="BX3">
            <v>44012</v>
          </cell>
          <cell r="BY3">
            <v>44104</v>
          </cell>
          <cell r="BZ3">
            <v>44196</v>
          </cell>
        </row>
        <row r="4">
          <cell r="A4" t="str">
            <v>Issuer: Silergy Corp.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Silergy Corp.</v>
          </cell>
        </row>
        <row r="7">
          <cell r="B7" t="str">
            <v>Reporting Currency</v>
          </cell>
          <cell r="C7" t="str">
            <v>CURRENCY_ISO</v>
          </cell>
          <cell r="E7" t="str">
            <v>TWD</v>
          </cell>
        </row>
        <row r="8">
          <cell r="A8" t="str">
            <v>General Information</v>
          </cell>
        </row>
        <row r="9">
          <cell r="B9" t="str">
            <v>M&amp;A probability (1 = high, 3 = low)</v>
          </cell>
          <cell r="C9" t="str">
            <v>MA_PROB</v>
          </cell>
          <cell r="E9">
            <v>3</v>
          </cell>
        </row>
        <row r="10">
          <cell r="A10" t="str">
            <v>Income Statement</v>
          </cell>
        </row>
        <row r="11">
          <cell r="B11" t="str">
            <v>Sales, net revenue</v>
          </cell>
          <cell r="C11" t="str">
            <v>SALES</v>
          </cell>
          <cell r="D11" t="str">
            <v>TWD</v>
          </cell>
          <cell r="Y11">
            <v>27433.293000000001</v>
          </cell>
          <cell r="Z11">
            <v>45810.262999999999</v>
          </cell>
          <cell r="AA11">
            <v>55868.893000000004</v>
          </cell>
          <cell r="AB11">
            <v>48351.790999999997</v>
          </cell>
          <cell r="AC11">
            <v>53127.509999999995</v>
          </cell>
          <cell r="AD11">
            <v>49952.157999999996</v>
          </cell>
          <cell r="AE11">
            <v>51476.692394220503</v>
          </cell>
          <cell r="AF11">
            <v>52133.789951164705</v>
          </cell>
          <cell r="AG11">
            <v>50787.324371530143</v>
          </cell>
          <cell r="AU11">
            <v>5102.7610000000004</v>
          </cell>
          <cell r="AV11">
            <v>5857.5320000000002</v>
          </cell>
          <cell r="AW11">
            <v>7170.8770000000004</v>
          </cell>
          <cell r="AX11">
            <v>9302.1229999999996</v>
          </cell>
          <cell r="AY11">
            <v>6858.2740000000003</v>
          </cell>
          <cell r="AZ11">
            <v>9975.0079999999998</v>
          </cell>
          <cell r="BA11">
            <v>12088.09</v>
          </cell>
          <cell r="BB11">
            <v>16888.891</v>
          </cell>
          <cell r="BC11">
            <v>10567.179</v>
          </cell>
          <cell r="BD11">
            <v>13775.771000000001</v>
          </cell>
          <cell r="BE11">
            <v>16085.503000000001</v>
          </cell>
          <cell r="BF11">
            <v>15440.44</v>
          </cell>
          <cell r="BG11">
            <v>8271.0810000000001</v>
          </cell>
          <cell r="BH11">
            <v>10043.75</v>
          </cell>
          <cell r="BI11">
            <v>14314.6</v>
          </cell>
          <cell r="BJ11">
            <v>15722.36</v>
          </cell>
          <cell r="BK11">
            <v>10807.376</v>
          </cell>
          <cell r="BL11">
            <v>11313.62</v>
          </cell>
          <cell r="BM11">
            <v>14918.098</v>
          </cell>
          <cell r="BN11">
            <v>16088.415999999999</v>
          </cell>
          <cell r="BO11">
            <v>8877.3950000000004</v>
          </cell>
          <cell r="BP11">
            <v>12296.173000000001</v>
          </cell>
          <cell r="BQ11">
            <v>16333.634</v>
          </cell>
          <cell r="BR11">
            <v>12444.956</v>
          </cell>
          <cell r="BS11">
            <v>9096.3522905660011</v>
          </cell>
          <cell r="BT11">
            <v>11914.42615342</v>
          </cell>
          <cell r="BU11">
            <v>16483.458549276496</v>
          </cell>
          <cell r="BV11">
            <v>13982.455400958001</v>
          </cell>
          <cell r="BW11">
            <v>9672.0570192326613</v>
          </cell>
          <cell r="BX11">
            <v>12172.495471328648</v>
          </cell>
          <cell r="BY11">
            <v>16214.715386902491</v>
          </cell>
          <cell r="BZ11">
            <v>14074.522073700902</v>
          </cell>
        </row>
        <row r="12">
          <cell r="B12" t="str">
            <v>Compensation &amp; benfits expense</v>
          </cell>
          <cell r="C12" t="str">
            <v>PERSONNEL</v>
          </cell>
          <cell r="D12" t="str">
            <v>TWD</v>
          </cell>
        </row>
        <row r="13">
          <cell r="B13" t="str">
            <v>Cost of goods sold, COGS</v>
          </cell>
          <cell r="C13" t="str">
            <v>COST_GD_SD</v>
          </cell>
          <cell r="D13" t="str">
            <v>TWD</v>
          </cell>
          <cell r="Y13">
            <v>-14472.392</v>
          </cell>
          <cell r="Z13">
            <v>-21290.567999999999</v>
          </cell>
          <cell r="AA13">
            <v>-23812.108</v>
          </cell>
          <cell r="AB13">
            <v>-15930.540999999999</v>
          </cell>
          <cell r="AC13">
            <v>-16271.58</v>
          </cell>
          <cell r="AD13">
            <v>-15600.683000000001</v>
          </cell>
          <cell r="AE13">
            <v>-16270.131761828634</v>
          </cell>
          <cell r="AF13">
            <v>-16675.399116841596</v>
          </cell>
          <cell r="AG13">
            <v>-16488.818466817742</v>
          </cell>
          <cell r="AU13">
            <v>-2966.6370000000002</v>
          </cell>
          <cell r="AV13">
            <v>-2902.1889999999999</v>
          </cell>
          <cell r="AW13">
            <v>-3792.3679999999999</v>
          </cell>
          <cell r="AX13">
            <v>-4811.1980000000003</v>
          </cell>
          <cell r="AY13">
            <v>-3044.6460000000002</v>
          </cell>
          <cell r="AZ13">
            <v>-4169.9560000000001</v>
          </cell>
          <cell r="BA13">
            <v>-5743.1689999999999</v>
          </cell>
          <cell r="BB13">
            <v>-8332.7970000000005</v>
          </cell>
          <cell r="BC13">
            <v>-4573.5219999999999</v>
          </cell>
          <cell r="BD13">
            <v>-5825.0590000000002</v>
          </cell>
          <cell r="BE13">
            <v>-7222.1940000000004</v>
          </cell>
          <cell r="BF13">
            <v>-6191.3329999999996</v>
          </cell>
          <cell r="BG13">
            <v>-3335.3029999999999</v>
          </cell>
          <cell r="BH13">
            <v>-3377.605</v>
          </cell>
          <cell r="BI13">
            <v>-4604.7150000000001</v>
          </cell>
          <cell r="BJ13">
            <v>-4612.9179999999997</v>
          </cell>
          <cell r="BK13">
            <v>-3140.4769999999999</v>
          </cell>
          <cell r="BL13">
            <v>-3791.1329999999998</v>
          </cell>
          <cell r="BM13">
            <v>-4782.9650000000001</v>
          </cell>
          <cell r="BN13">
            <v>-4557.0050000000001</v>
          </cell>
          <cell r="BO13">
            <v>-3254.9259999999999</v>
          </cell>
          <cell r="BP13">
            <v>-3859.453</v>
          </cell>
          <cell r="BQ13">
            <v>-4681.0689999999995</v>
          </cell>
          <cell r="BR13">
            <v>-3805.2350000000001</v>
          </cell>
          <cell r="BS13">
            <v>-3174.9663506059624</v>
          </cell>
          <cell r="BT13">
            <v>-3927.4624979424807</v>
          </cell>
          <cell r="BU13">
            <v>-4948.7038912282114</v>
          </cell>
          <cell r="BV13">
            <v>-4218.9990220519794</v>
          </cell>
          <cell r="BW13">
            <v>-3397.9162146986819</v>
          </cell>
          <cell r="BX13">
            <v>-4040.7404931185129</v>
          </cell>
          <cell r="BY13">
            <v>-4949.6295822602515</v>
          </cell>
          <cell r="BZ13">
            <v>-4287.1128267641525</v>
          </cell>
        </row>
        <row r="14">
          <cell r="B14" t="str">
            <v>SG&amp;A, selling, general and admin. expense</v>
          </cell>
          <cell r="C14" t="str">
            <v>SEL_GL_AD</v>
          </cell>
          <cell r="D14" t="str">
            <v>TWD</v>
          </cell>
          <cell r="Y14">
            <v>-887.23599999999988</v>
          </cell>
          <cell r="Z14">
            <v>-1349.4179999999999</v>
          </cell>
          <cell r="AA14">
            <v>-1816.7729999999997</v>
          </cell>
          <cell r="AB14">
            <v>-1711.2779999999998</v>
          </cell>
          <cell r="AC14">
            <v>-1484.9160000000002</v>
          </cell>
          <cell r="AD14">
            <v>-1481.0900000000001</v>
          </cell>
          <cell r="AE14">
            <v>-1570.7723922200812</v>
          </cell>
          <cell r="AF14">
            <v>-1585.8532700722781</v>
          </cell>
          <cell r="AG14">
            <v>-1554.950883167832</v>
          </cell>
          <cell r="AU14">
            <v>-196.072</v>
          </cell>
          <cell r="AV14">
            <v>-196.036</v>
          </cell>
          <cell r="AW14">
            <v>-213.30799999999999</v>
          </cell>
          <cell r="AX14">
            <v>-281.82</v>
          </cell>
          <cell r="AY14">
            <v>-202.99099999999999</v>
          </cell>
          <cell r="AZ14">
            <v>-249.79599999999999</v>
          </cell>
          <cell r="BA14">
            <v>-355.34899999999999</v>
          </cell>
          <cell r="BB14">
            <v>-541.28200000000004</v>
          </cell>
          <cell r="BC14">
            <v>-321.24299999999999</v>
          </cell>
          <cell r="BD14">
            <v>-328.98900000000003</v>
          </cell>
          <cell r="BE14">
            <v>-578.45299999999997</v>
          </cell>
          <cell r="BF14">
            <v>-588.08799999999997</v>
          </cell>
          <cell r="BG14">
            <v>-236.41199999999998</v>
          </cell>
          <cell r="BH14">
            <v>-351.34399999999999</v>
          </cell>
          <cell r="BI14">
            <v>-509.29999999999995</v>
          </cell>
          <cell r="BJ14">
            <v>-614.22199999999998</v>
          </cell>
          <cell r="BK14">
            <v>-314.714</v>
          </cell>
          <cell r="BL14">
            <v>-283.88</v>
          </cell>
          <cell r="BM14">
            <v>-415.53300000000002</v>
          </cell>
          <cell r="BN14">
            <v>-470.78899999999999</v>
          </cell>
          <cell r="BO14">
            <v>-286.86599999999999</v>
          </cell>
          <cell r="BP14">
            <v>-360.75600000000003</v>
          </cell>
          <cell r="BQ14">
            <v>-450.51100000000002</v>
          </cell>
          <cell r="BR14">
            <v>-382.95699999999999</v>
          </cell>
          <cell r="BS14">
            <v>-306.10405330478881</v>
          </cell>
          <cell r="BT14">
            <v>-370.78094527469392</v>
          </cell>
          <cell r="BU14">
            <v>-475.64363839606199</v>
          </cell>
          <cell r="BV14">
            <v>-418.24375524453643</v>
          </cell>
          <cell r="BW14">
            <v>-319.31690518682848</v>
          </cell>
          <cell r="BX14">
            <v>-376.70382813987931</v>
          </cell>
          <cell r="BY14">
            <v>-469.47578285841081</v>
          </cell>
          <cell r="BZ14">
            <v>-420.35675388715924</v>
          </cell>
        </row>
        <row r="15">
          <cell r="B15" t="str">
            <v>Total operating expense</v>
          </cell>
          <cell r="C15" t="str">
            <v>OP_COST</v>
          </cell>
          <cell r="D15" t="str">
            <v>TWD</v>
          </cell>
          <cell r="Y15">
            <v>-15359.628000000001</v>
          </cell>
          <cell r="Z15">
            <v>-22639.986000000001</v>
          </cell>
          <cell r="AA15">
            <v>-25628.881000000001</v>
          </cell>
          <cell r="AB15">
            <v>-17641.819</v>
          </cell>
          <cell r="AC15">
            <v>-17756.495999999999</v>
          </cell>
          <cell r="AD15">
            <v>-17081.773000000001</v>
          </cell>
          <cell r="AE15">
            <v>-17840.904154048716</v>
          </cell>
          <cell r="AF15">
            <v>-18261.252386913875</v>
          </cell>
          <cell r="AG15">
            <v>-18043.769349985574</v>
          </cell>
          <cell r="AU15">
            <v>-3162.7090000000003</v>
          </cell>
          <cell r="AV15">
            <v>-3098.2249999999999</v>
          </cell>
          <cell r="AW15">
            <v>-4005.6759999999999</v>
          </cell>
          <cell r="AX15">
            <v>-5093.018</v>
          </cell>
          <cell r="AY15">
            <v>-3247.6370000000002</v>
          </cell>
          <cell r="AZ15">
            <v>-4419.7520000000004</v>
          </cell>
          <cell r="BA15">
            <v>-6098.518</v>
          </cell>
          <cell r="BB15">
            <v>-8874.0789999999997</v>
          </cell>
          <cell r="BC15">
            <v>-4894.7650000000003</v>
          </cell>
          <cell r="BD15">
            <v>-6154.0480000000007</v>
          </cell>
          <cell r="BE15">
            <v>-7800.6470000000008</v>
          </cell>
          <cell r="BF15">
            <v>-6779.4209999999994</v>
          </cell>
          <cell r="BG15">
            <v>-3571.7149999999997</v>
          </cell>
          <cell r="BH15">
            <v>-3728.9490000000001</v>
          </cell>
          <cell r="BI15">
            <v>-5114.0150000000003</v>
          </cell>
          <cell r="BJ15">
            <v>-5227.1399999999994</v>
          </cell>
          <cell r="BK15">
            <v>-3455.1909999999998</v>
          </cell>
          <cell r="BL15">
            <v>-4075.0129999999999</v>
          </cell>
          <cell r="BM15">
            <v>-5198.4980000000005</v>
          </cell>
          <cell r="BN15">
            <v>-5027.7939999999999</v>
          </cell>
          <cell r="BO15">
            <v>-3541.7919999999999</v>
          </cell>
          <cell r="BP15">
            <v>-4220.2089999999998</v>
          </cell>
          <cell r="BQ15">
            <v>-5131.58</v>
          </cell>
          <cell r="BR15">
            <v>-4188.192</v>
          </cell>
          <cell r="BS15">
            <v>-3481.0704039107513</v>
          </cell>
          <cell r="BT15">
            <v>-4298.2434432171749</v>
          </cell>
          <cell r="BU15">
            <v>-5424.3475296242732</v>
          </cell>
          <cell r="BV15">
            <v>-4637.2427772965157</v>
          </cell>
          <cell r="BW15">
            <v>-3717.2331198855104</v>
          </cell>
          <cell r="BX15">
            <v>-4417.4443212583919</v>
          </cell>
          <cell r="BY15">
            <v>-5419.1053651186621</v>
          </cell>
          <cell r="BZ15">
            <v>-4707.4695806513118</v>
          </cell>
        </row>
        <row r="16">
          <cell r="B16" t="str">
            <v>R&amp;D expense</v>
          </cell>
          <cell r="C16" t="str">
            <v>RD_EXP</v>
          </cell>
          <cell r="D16" t="str">
            <v>TWD</v>
          </cell>
          <cell r="Y16">
            <v>-1292.6320000000001</v>
          </cell>
          <cell r="Z16">
            <v>-2103.4429999999998</v>
          </cell>
          <cell r="AA16">
            <v>-2585.38</v>
          </cell>
          <cell r="AB16">
            <v>-2796.0149999999999</v>
          </cell>
          <cell r="AC16">
            <v>-3277.712</v>
          </cell>
          <cell r="AD16">
            <v>-3258.4450000000002</v>
          </cell>
          <cell r="AE16">
            <v>-3364.1980607599189</v>
          </cell>
          <cell r="AF16">
            <v>-3306.8553619781383</v>
          </cell>
          <cell r="AG16">
            <v>-3130.7816079125573</v>
          </cell>
          <cell r="AU16">
            <v>-264.23</v>
          </cell>
          <cell r="AV16">
            <v>-289.642</v>
          </cell>
          <cell r="AW16">
            <v>-342.74400000000003</v>
          </cell>
          <cell r="AX16">
            <v>-396.01600000000002</v>
          </cell>
          <cell r="AY16">
            <v>-397.529</v>
          </cell>
          <cell r="AZ16">
            <v>-431.27600000000001</v>
          </cell>
          <cell r="BA16">
            <v>-582.17899999999997</v>
          </cell>
          <cell r="BB16">
            <v>-692.45899999999995</v>
          </cell>
          <cell r="BC16">
            <v>-491.31299999999999</v>
          </cell>
          <cell r="BD16">
            <v>-516.22299999999996</v>
          </cell>
          <cell r="BE16">
            <v>-868.40099999999995</v>
          </cell>
          <cell r="BF16">
            <v>-709.44299999999998</v>
          </cell>
          <cell r="BG16">
            <v>-514.63099999999997</v>
          </cell>
          <cell r="BH16">
            <v>-524.77499999999998</v>
          </cell>
          <cell r="BI16">
            <v>-836.04899999999998</v>
          </cell>
          <cell r="BJ16">
            <v>-920.56</v>
          </cell>
          <cell r="BK16">
            <v>-665.53700000000003</v>
          </cell>
          <cell r="BL16">
            <v>-672.971</v>
          </cell>
          <cell r="BM16">
            <v>-928.447</v>
          </cell>
          <cell r="BN16">
            <v>-1010.7569999999999</v>
          </cell>
          <cell r="BO16">
            <v>-646.82899999999995</v>
          </cell>
          <cell r="BP16">
            <v>-778.08</v>
          </cell>
          <cell r="BQ16">
            <v>-984.22299999999996</v>
          </cell>
          <cell r="BR16">
            <v>-849.31299999999999</v>
          </cell>
          <cell r="BS16">
            <v>-662.78277081897511</v>
          </cell>
          <cell r="BT16">
            <v>-753.9237372028706</v>
          </cell>
          <cell r="BU16">
            <v>-993.25104405697846</v>
          </cell>
          <cell r="BV16">
            <v>-954.24050868109464</v>
          </cell>
          <cell r="BW16">
            <v>-599.0205374706494</v>
          </cell>
          <cell r="BX16">
            <v>-770.25390553072032</v>
          </cell>
          <cell r="BY16">
            <v>-977.05726859334129</v>
          </cell>
          <cell r="BZ16">
            <v>-960.52365038342714</v>
          </cell>
        </row>
        <row r="17">
          <cell r="B17" t="str">
            <v>Other operating income/(expense) (incl. leases)</v>
          </cell>
          <cell r="C17" t="str">
            <v>OTH_OP_INC_EXP</v>
          </cell>
          <cell r="D17" t="str">
            <v>TWD</v>
          </cell>
        </row>
        <row r="18">
          <cell r="B18" t="str">
            <v>Total operating expense (incl. D&amp;A)</v>
          </cell>
          <cell r="C18" t="str">
            <v>TOT_OPS_EXP_DDA</v>
          </cell>
          <cell r="D18" t="str">
            <v>TWD</v>
          </cell>
          <cell r="Y18">
            <v>-16652.259999999998</v>
          </cell>
          <cell r="Z18">
            <v>-24743.429</v>
          </cell>
          <cell r="AA18">
            <v>-28214.261000000002</v>
          </cell>
          <cell r="AB18">
            <v>-20437.833999999999</v>
          </cell>
          <cell r="AC18">
            <v>-21034.208000000002</v>
          </cell>
          <cell r="AD18">
            <v>-20340.217999999997</v>
          </cell>
          <cell r="AE18">
            <v>-21205.102214808634</v>
          </cell>
          <cell r="AF18">
            <v>-21568.107748892013</v>
          </cell>
          <cell r="AG18">
            <v>-21174.550957898133</v>
          </cell>
          <cell r="AU18">
            <v>-3426.9390000000003</v>
          </cell>
          <cell r="AV18">
            <v>-3387.8669999999997</v>
          </cell>
          <cell r="AW18">
            <v>-4348.42</v>
          </cell>
          <cell r="AX18">
            <v>-5489.0339999999997</v>
          </cell>
          <cell r="AY18">
            <v>-3645.1660000000006</v>
          </cell>
          <cell r="AZ18">
            <v>-4851.0280000000002</v>
          </cell>
          <cell r="BA18">
            <v>-6680.6970000000001</v>
          </cell>
          <cell r="BB18">
            <v>-9566.5380000000005</v>
          </cell>
          <cell r="BC18">
            <v>-5386.0780000000004</v>
          </cell>
          <cell r="BD18">
            <v>-6670.2709999999997</v>
          </cell>
          <cell r="BE18">
            <v>-8669.0480000000025</v>
          </cell>
          <cell r="BF18">
            <v>-7488.8639999999996</v>
          </cell>
          <cell r="BG18">
            <v>-4086.346</v>
          </cell>
          <cell r="BH18">
            <v>-4253.7240000000002</v>
          </cell>
          <cell r="BI18">
            <v>-5950.0640000000003</v>
          </cell>
          <cell r="BJ18">
            <v>-6147.6999999999989</v>
          </cell>
          <cell r="BK18">
            <v>-4120.728000000001</v>
          </cell>
          <cell r="BL18">
            <v>-4747.9840000000004</v>
          </cell>
          <cell r="BM18">
            <v>-6126.9450000000006</v>
          </cell>
          <cell r="BN18">
            <v>-6038.5509999999995</v>
          </cell>
          <cell r="BO18">
            <v>-4188.6210000000001</v>
          </cell>
          <cell r="BP18">
            <v>-4998.2889999999998</v>
          </cell>
          <cell r="BQ18">
            <v>-6115.8030000000008</v>
          </cell>
          <cell r="BR18">
            <v>-5037.5050000000001</v>
          </cell>
          <cell r="BS18">
            <v>-4143.8531747297266</v>
          </cell>
          <cell r="BT18">
            <v>-5052.167180420045</v>
          </cell>
          <cell r="BU18">
            <v>-6417.5985736812527</v>
          </cell>
          <cell r="BV18">
            <v>-5591.4832859776106</v>
          </cell>
          <cell r="BW18">
            <v>-4316.2536573561601</v>
          </cell>
          <cell r="BX18">
            <v>-5187.6982267891126</v>
          </cell>
          <cell r="BY18">
            <v>-6396.1626337120033</v>
          </cell>
          <cell r="BZ18">
            <v>-5667.9932310347394</v>
          </cell>
        </row>
        <row r="19">
          <cell r="B19" t="str">
            <v>Total operating expense (excl. D&amp;A)</v>
          </cell>
          <cell r="C19" t="str">
            <v>TOT_OPS_EXP</v>
          </cell>
          <cell r="D19" t="str">
            <v>TWD</v>
          </cell>
          <cell r="Y19">
            <v>-15204.452000000001</v>
          </cell>
          <cell r="Z19">
            <v>-23082.300999999999</v>
          </cell>
          <cell r="AA19">
            <v>-26373.500000000004</v>
          </cell>
          <cell r="AB19">
            <v>-18339.333999999999</v>
          </cell>
          <cell r="AC19">
            <v>-18733.64</v>
          </cell>
          <cell r="AD19">
            <v>-17444.75</v>
          </cell>
          <cell r="AE19">
            <v>-17999.93410528345</v>
          </cell>
          <cell r="AF19">
            <v>-18674.645791660267</v>
          </cell>
          <cell r="AG19">
            <v>-18554.352129073486</v>
          </cell>
          <cell r="AU19">
            <v>-3083.9630000000002</v>
          </cell>
          <cell r="AV19">
            <v>-3034.7069999999999</v>
          </cell>
          <cell r="AW19">
            <v>-3977.549</v>
          </cell>
          <cell r="AX19">
            <v>-5108.2329999999993</v>
          </cell>
          <cell r="AY19">
            <v>-3250.5130000000004</v>
          </cell>
          <cell r="AZ19">
            <v>-4454.4570000000003</v>
          </cell>
          <cell r="BA19">
            <v>-6266.6639999999998</v>
          </cell>
          <cell r="BB19">
            <v>-9110.6670000000013</v>
          </cell>
          <cell r="BC19">
            <v>-4940.6990000000005</v>
          </cell>
          <cell r="BD19">
            <v>-6212.6350000000002</v>
          </cell>
          <cell r="BE19">
            <v>-8204.2110000000011</v>
          </cell>
          <cell r="BF19">
            <v>-7015.9549999999999</v>
          </cell>
          <cell r="BG19">
            <v>-3588.9919999999997</v>
          </cell>
          <cell r="BH19">
            <v>-3733.9630000000002</v>
          </cell>
          <cell r="BI19">
            <v>-5418.1930000000002</v>
          </cell>
          <cell r="BJ19">
            <v>-5598.1859999999988</v>
          </cell>
          <cell r="BK19">
            <v>-3553.9300000000003</v>
          </cell>
          <cell r="BL19">
            <v>-4173.3590000000004</v>
          </cell>
          <cell r="BM19">
            <v>-5555.4270000000006</v>
          </cell>
          <cell r="BN19">
            <v>-5450.9239999999991</v>
          </cell>
          <cell r="BO19">
            <v>-3562.7290000000003</v>
          </cell>
          <cell r="BP19">
            <v>-4346.5749999999998</v>
          </cell>
          <cell r="BQ19">
            <v>-5354.4740000000002</v>
          </cell>
          <cell r="BR19">
            <v>-4180.9719999999998</v>
          </cell>
          <cell r="BS19">
            <v>-3311.0591217013352</v>
          </cell>
          <cell r="BT19">
            <v>-4240.8282070329533</v>
          </cell>
          <cell r="BU19">
            <v>-5627.0290596990799</v>
          </cell>
          <cell r="BV19">
            <v>-4821.0177168500804</v>
          </cell>
          <cell r="BW19">
            <v>-3565.2460346235871</v>
          </cell>
          <cell r="BX19">
            <v>-4455.5214957766702</v>
          </cell>
          <cell r="BY19">
            <v>-5682.2081280067514</v>
          </cell>
          <cell r="BZ19">
            <v>-4971.6701332532593</v>
          </cell>
        </row>
        <row r="20">
          <cell r="B20" t="str">
            <v>EBITDA</v>
          </cell>
          <cell r="C20" t="str">
            <v>EBITDA_CALC</v>
          </cell>
          <cell r="D20" t="str">
            <v>TWD</v>
          </cell>
          <cell r="Y20">
            <v>12228.841</v>
          </cell>
          <cell r="Z20">
            <v>22727.962</v>
          </cell>
          <cell r="AA20">
            <v>29495.393000000004</v>
          </cell>
          <cell r="AB20">
            <v>30012.457000000002</v>
          </cell>
          <cell r="AC20">
            <v>34393.869999999995</v>
          </cell>
          <cell r="AD20">
            <v>32507.407999999992</v>
          </cell>
          <cell r="AE20">
            <v>33476.758288937053</v>
          </cell>
          <cell r="AF20">
            <v>33459.144159504438</v>
          </cell>
          <cell r="AG20">
            <v>32232.972242456661</v>
          </cell>
          <cell r="AU20">
            <v>2018.7980000000002</v>
          </cell>
          <cell r="AV20">
            <v>2822.8250000000003</v>
          </cell>
          <cell r="AW20">
            <v>3193.3280000000004</v>
          </cell>
          <cell r="AX20">
            <v>4193.8899999999994</v>
          </cell>
          <cell r="AY20">
            <v>3607.761</v>
          </cell>
          <cell r="AZ20">
            <v>5520.5509999999995</v>
          </cell>
          <cell r="BA20">
            <v>5821.4260000000004</v>
          </cell>
          <cell r="BB20">
            <v>7778.2239999999993</v>
          </cell>
          <cell r="BC20">
            <v>5626.4800000000005</v>
          </cell>
          <cell r="BD20">
            <v>7563.1360000000004</v>
          </cell>
          <cell r="BE20">
            <v>7881.2920000000013</v>
          </cell>
          <cell r="BF20">
            <v>8424.4850000000006</v>
          </cell>
          <cell r="BG20">
            <v>4682.0890000000009</v>
          </cell>
          <cell r="BH20">
            <v>6309.7870000000003</v>
          </cell>
          <cell r="BI20">
            <v>8896.4069999999992</v>
          </cell>
          <cell r="BJ20">
            <v>10124.174000000001</v>
          </cell>
          <cell r="BK20">
            <v>7253.4459999999999</v>
          </cell>
          <cell r="BL20">
            <v>7140.2610000000013</v>
          </cell>
          <cell r="BM20">
            <v>9362.6710000000003</v>
          </cell>
          <cell r="BN20">
            <v>10637.492</v>
          </cell>
          <cell r="BO20">
            <v>5314.6660000000011</v>
          </cell>
          <cell r="BP20">
            <v>7949.5980000000009</v>
          </cell>
          <cell r="BQ20">
            <v>10979.16</v>
          </cell>
          <cell r="BR20">
            <v>8263.9839999999986</v>
          </cell>
          <cell r="BS20">
            <v>5785.2931688646659</v>
          </cell>
          <cell r="BT20">
            <v>7673.5979463870462</v>
          </cell>
          <cell r="BU20">
            <v>10856.429489577418</v>
          </cell>
          <cell r="BV20">
            <v>9161.4376841079193</v>
          </cell>
          <cell r="BW20">
            <v>6106.8109846090756</v>
          </cell>
          <cell r="BX20">
            <v>7716.9739755519777</v>
          </cell>
          <cell r="BY20">
            <v>10532.507258895741</v>
          </cell>
          <cell r="BZ20">
            <v>9102.8519404476428</v>
          </cell>
        </row>
        <row r="21">
          <cell r="B21" t="str">
            <v>Depreciation</v>
          </cell>
          <cell r="C21" t="str">
            <v>DEPREC</v>
          </cell>
          <cell r="D21" t="str">
            <v>TWD</v>
          </cell>
          <cell r="Y21">
            <v>-1434.366</v>
          </cell>
          <cell r="Z21">
            <v>-1646.981</v>
          </cell>
          <cell r="AA21">
            <v>-1820.3219999999999</v>
          </cell>
          <cell r="AB21">
            <v>-2072.268</v>
          </cell>
          <cell r="AC21">
            <v>-2269.9189999999999</v>
          </cell>
          <cell r="AD21">
            <v>-2833.7759999999998</v>
          </cell>
          <cell r="AE21">
            <v>-3131.5774104523171</v>
          </cell>
          <cell r="AF21">
            <v>-2789.0692159794971</v>
          </cell>
          <cell r="AG21">
            <v>-2485.0040453930169</v>
          </cell>
          <cell r="AU21">
            <v>-339.93400000000003</v>
          </cell>
          <cell r="AV21">
            <v>-349.94600000000003</v>
          </cell>
          <cell r="AW21">
            <v>-367.31900000000002</v>
          </cell>
          <cell r="AX21">
            <v>-377.16699999999997</v>
          </cell>
          <cell r="AY21">
            <v>-391.18799999999999</v>
          </cell>
          <cell r="AZ21">
            <v>-392.85199999999998</v>
          </cell>
          <cell r="BA21">
            <v>-410.60500000000002</v>
          </cell>
          <cell r="BB21">
            <v>-452.33600000000001</v>
          </cell>
          <cell r="BC21">
            <v>-440.697</v>
          </cell>
          <cell r="BD21">
            <v>-452.721</v>
          </cell>
          <cell r="BE21">
            <v>-459.57400000000001</v>
          </cell>
          <cell r="BF21">
            <v>-467.33</v>
          </cell>
          <cell r="BG21">
            <v>-490.74</v>
          </cell>
          <cell r="BH21">
            <v>-513.22799999999995</v>
          </cell>
          <cell r="BI21">
            <v>-525.30499999999995</v>
          </cell>
          <cell r="BJ21">
            <v>-542.995</v>
          </cell>
          <cell r="BK21">
            <v>-561.00599999999997</v>
          </cell>
          <cell r="BL21">
            <v>-568.30899999999997</v>
          </cell>
          <cell r="BM21">
            <v>-564.56799999999998</v>
          </cell>
          <cell r="BN21">
            <v>-576.03599999999994</v>
          </cell>
          <cell r="BO21">
            <v>-613.822</v>
          </cell>
          <cell r="BP21">
            <v>-636.37199999999996</v>
          </cell>
          <cell r="BQ21">
            <v>-744.05499999999995</v>
          </cell>
          <cell r="BR21">
            <v>-839.52700000000004</v>
          </cell>
          <cell r="BS21">
            <v>-817.28406971449101</v>
          </cell>
          <cell r="BT21">
            <v>-793.90386243698049</v>
          </cell>
          <cell r="BU21">
            <v>-771.20927539584943</v>
          </cell>
          <cell r="BV21">
            <v>-749.18020290499567</v>
          </cell>
          <cell r="BW21">
            <v>-727.79712887382755</v>
          </cell>
          <cell r="BX21">
            <v>-707.04110951748567</v>
          </cell>
          <cell r="BY21">
            <v>-686.8937565740838</v>
          </cell>
          <cell r="BZ21">
            <v>-667.33722101410035</v>
          </cell>
        </row>
        <row r="22">
          <cell r="B22" t="str">
            <v>Amortization</v>
          </cell>
          <cell r="C22" t="str">
            <v>GOODWILL_AMORT</v>
          </cell>
          <cell r="D22" t="str">
            <v>TWD</v>
          </cell>
          <cell r="Y22">
            <v>-13.442</v>
          </cell>
          <cell r="Z22">
            <v>-14.146999999999998</v>
          </cell>
          <cell r="AA22">
            <v>-20.439</v>
          </cell>
          <cell r="AB22">
            <v>-26.231999999999999</v>
          </cell>
          <cell r="AC22">
            <v>-30.649000000000001</v>
          </cell>
          <cell r="AD22">
            <v>-61.692</v>
          </cell>
          <cell r="AE22">
            <v>-73.590699072868688</v>
          </cell>
          <cell r="AF22">
            <v>-104.39274125224991</v>
          </cell>
          <cell r="AG22">
            <v>-135.19478343163115</v>
          </cell>
          <cell r="AU22">
            <v>-3.0419999999999998</v>
          </cell>
          <cell r="AV22">
            <v>-3.214</v>
          </cell>
          <cell r="AW22">
            <v>-3.552</v>
          </cell>
          <cell r="AX22">
            <v>-3.6339999999999999</v>
          </cell>
          <cell r="AY22">
            <v>-3.4649999999999999</v>
          </cell>
          <cell r="AZ22">
            <v>-3.7189999999999999</v>
          </cell>
          <cell r="BA22">
            <v>-3.4279999999999999</v>
          </cell>
          <cell r="BB22">
            <v>-3.5350000000000001</v>
          </cell>
          <cell r="BC22">
            <v>-4.6820000000000004</v>
          </cell>
          <cell r="BD22">
            <v>-4.915</v>
          </cell>
          <cell r="BE22">
            <v>-5.2629999999999999</v>
          </cell>
          <cell r="BF22">
            <v>-5.5789999999999997</v>
          </cell>
          <cell r="BG22">
            <v>-6.6139999999999999</v>
          </cell>
          <cell r="BH22">
            <v>-6.5330000000000004</v>
          </cell>
          <cell r="BI22">
            <v>-6.5659999999999998</v>
          </cell>
          <cell r="BJ22">
            <v>-6.5190000000000001</v>
          </cell>
          <cell r="BK22">
            <v>-5.7919999999999998</v>
          </cell>
          <cell r="BL22">
            <v>-6.3159999999999998</v>
          </cell>
          <cell r="BM22">
            <v>-6.95</v>
          </cell>
          <cell r="BN22">
            <v>-11.590999999999999</v>
          </cell>
          <cell r="BO22">
            <v>-12.07</v>
          </cell>
          <cell r="BP22">
            <v>-15.342000000000001</v>
          </cell>
          <cell r="BQ22">
            <v>-17.274000000000001</v>
          </cell>
          <cell r="BR22">
            <v>-17.006</v>
          </cell>
          <cell r="BS22">
            <v>-15.509983313900179</v>
          </cell>
          <cell r="BT22">
            <v>-17.435110950111504</v>
          </cell>
          <cell r="BU22">
            <v>-19.360238586322833</v>
          </cell>
          <cell r="BV22">
            <v>-21.285366222534158</v>
          </cell>
          <cell r="BW22">
            <v>-23.210493858745487</v>
          </cell>
          <cell r="BX22">
            <v>-25.135621494956812</v>
          </cell>
          <cell r="BY22">
            <v>-27.060749131168141</v>
          </cell>
          <cell r="BZ22">
            <v>-28.985876767379466</v>
          </cell>
        </row>
        <row r="23">
          <cell r="B23" t="str">
            <v>EBIT, operating profit</v>
          </cell>
          <cell r="C23" t="str">
            <v>EBIT</v>
          </cell>
          <cell r="D23" t="str">
            <v>TWD</v>
          </cell>
          <cell r="Y23">
            <v>10781.033000000001</v>
          </cell>
          <cell r="Z23">
            <v>21066.833999999999</v>
          </cell>
          <cell r="AA23">
            <v>27654.632000000005</v>
          </cell>
          <cell r="AB23">
            <v>27913.957000000002</v>
          </cell>
          <cell r="AC23">
            <v>32093.301999999992</v>
          </cell>
          <cell r="AD23">
            <v>29611.939999999991</v>
          </cell>
          <cell r="AE23">
            <v>30271.590179411869</v>
          </cell>
          <cell r="AF23">
            <v>30565.682202272692</v>
          </cell>
          <cell r="AG23">
            <v>29612.773413632014</v>
          </cell>
          <cell r="AU23">
            <v>1675.8220000000003</v>
          </cell>
          <cell r="AV23">
            <v>2469.6650000000004</v>
          </cell>
          <cell r="AW23">
            <v>2822.4570000000003</v>
          </cell>
          <cell r="AX23">
            <v>3813.0889999999995</v>
          </cell>
          <cell r="AY23">
            <v>3213.1079999999997</v>
          </cell>
          <cell r="AZ23">
            <v>5123.9799999999996</v>
          </cell>
          <cell r="BA23">
            <v>5407.393</v>
          </cell>
          <cell r="BB23">
            <v>7322.3529999999992</v>
          </cell>
          <cell r="BC23">
            <v>5181.1010000000006</v>
          </cell>
          <cell r="BD23">
            <v>7105.5000000000009</v>
          </cell>
          <cell r="BE23">
            <v>7416.4550000000017</v>
          </cell>
          <cell r="BF23">
            <v>7951.5760000000009</v>
          </cell>
          <cell r="BG23">
            <v>4184.7350000000015</v>
          </cell>
          <cell r="BH23">
            <v>5790.0259999999998</v>
          </cell>
          <cell r="BI23">
            <v>8364.5359999999982</v>
          </cell>
          <cell r="BJ23">
            <v>9574.66</v>
          </cell>
          <cell r="BK23">
            <v>6686.6479999999992</v>
          </cell>
          <cell r="BL23">
            <v>6565.6360000000013</v>
          </cell>
          <cell r="BM23">
            <v>8791.1530000000002</v>
          </cell>
          <cell r="BN23">
            <v>10049.865</v>
          </cell>
          <cell r="BO23">
            <v>4688.7740000000013</v>
          </cell>
          <cell r="BP23">
            <v>7297.8840000000009</v>
          </cell>
          <cell r="BQ23">
            <v>10217.831</v>
          </cell>
          <cell r="BR23">
            <v>7407.4509999999982</v>
          </cell>
          <cell r="BS23">
            <v>4952.4991158362745</v>
          </cell>
          <cell r="BT23">
            <v>6862.2589729999545</v>
          </cell>
          <cell r="BU23">
            <v>10065.859975595245</v>
          </cell>
          <cell r="BV23">
            <v>8390.97211498039</v>
          </cell>
          <cell r="BW23">
            <v>5355.803361876503</v>
          </cell>
          <cell r="BX23">
            <v>6984.7972445395353</v>
          </cell>
          <cell r="BY23">
            <v>9818.55275319049</v>
          </cell>
          <cell r="BZ23">
            <v>8406.5288426661627</v>
          </cell>
        </row>
        <row r="24">
          <cell r="B24" t="str">
            <v>Interest income</v>
          </cell>
          <cell r="C24" t="str">
            <v>INT_INC_IND</v>
          </cell>
          <cell r="D24" t="str">
            <v>TWD</v>
          </cell>
          <cell r="Y24">
            <v>122.024</v>
          </cell>
          <cell r="Z24">
            <v>255.28899999999999</v>
          </cell>
          <cell r="AA24">
            <v>349.03300000000002</v>
          </cell>
          <cell r="AB24">
            <v>385.685</v>
          </cell>
          <cell r="AC24">
            <v>656.05</v>
          </cell>
          <cell r="AD24">
            <v>1182.8709999999999</v>
          </cell>
          <cell r="AE24">
            <v>980.84665063476552</v>
          </cell>
          <cell r="AF24">
            <v>1086.7999923864006</v>
          </cell>
          <cell r="AG24">
            <v>1051.9058486443296</v>
          </cell>
          <cell r="AU24">
            <v>20.803999999999998</v>
          </cell>
          <cell r="AV24">
            <v>28.105</v>
          </cell>
          <cell r="AW24">
            <v>35.430999999999997</v>
          </cell>
          <cell r="AX24">
            <v>37.683999999999997</v>
          </cell>
          <cell r="AY24">
            <v>56.57</v>
          </cell>
          <cell r="AZ24">
            <v>71.837999999999994</v>
          </cell>
          <cell r="BA24">
            <v>62.427999999999997</v>
          </cell>
          <cell r="BB24">
            <v>64.453000000000003</v>
          </cell>
          <cell r="BC24">
            <v>85.186000000000007</v>
          </cell>
          <cell r="BD24">
            <v>99.185000000000002</v>
          </cell>
          <cell r="BE24">
            <v>80.298000000000002</v>
          </cell>
          <cell r="BF24">
            <v>84.364000000000004</v>
          </cell>
          <cell r="BG24">
            <v>83.864000000000004</v>
          </cell>
          <cell r="BH24">
            <v>93.564999999999998</v>
          </cell>
          <cell r="BI24">
            <v>93.331000000000003</v>
          </cell>
          <cell r="BJ24">
            <v>114.925</v>
          </cell>
          <cell r="BK24">
            <v>146.94399999999999</v>
          </cell>
          <cell r="BL24">
            <v>166.35</v>
          </cell>
          <cell r="BM24">
            <v>154.9</v>
          </cell>
          <cell r="BN24">
            <v>187.85599999999999</v>
          </cell>
          <cell r="BO24">
            <v>235.75299999999999</v>
          </cell>
          <cell r="BP24">
            <v>290.50599999999997</v>
          </cell>
          <cell r="BQ24">
            <v>306.04199999999997</v>
          </cell>
          <cell r="BR24">
            <v>350.57</v>
          </cell>
          <cell r="BS24">
            <v>229.86512499999995</v>
          </cell>
          <cell r="BT24">
            <v>240.23026562499996</v>
          </cell>
          <cell r="BU24">
            <v>249.46529882812499</v>
          </cell>
          <cell r="BV24">
            <v>261.28596118164057</v>
          </cell>
          <cell r="BW24">
            <v>270.46470632934569</v>
          </cell>
          <cell r="BX24">
            <v>274.80366962051386</v>
          </cell>
          <cell r="BY24">
            <v>272.84087832307813</v>
          </cell>
          <cell r="BZ24">
            <v>268.69073811346288</v>
          </cell>
        </row>
        <row r="25">
          <cell r="B25" t="str">
            <v>Interest expense</v>
          </cell>
          <cell r="C25" t="str">
            <v>INT_EXP_IND</v>
          </cell>
          <cell r="D25" t="str">
            <v>TWD</v>
          </cell>
          <cell r="Y25">
            <v>-3.7999999999999999E-2</v>
          </cell>
          <cell r="Z25">
            <v>-4.8550000000000004</v>
          </cell>
          <cell r="AA25">
            <v>-3.0000000000000001E-3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U25">
            <v>0</v>
          </cell>
          <cell r="AV25">
            <v>0</v>
          </cell>
          <cell r="AW25">
            <v>-6.0000000000000001E-3</v>
          </cell>
          <cell r="AX25">
            <v>-3.2000000000000001E-2</v>
          </cell>
          <cell r="AY25">
            <v>-4.8979999999999997</v>
          </cell>
          <cell r="AZ25">
            <v>6.6000000000000003E-2</v>
          </cell>
          <cell r="BA25">
            <v>1.2E-2</v>
          </cell>
          <cell r="BB25">
            <v>-3.5000000000000003E-2</v>
          </cell>
          <cell r="BC25">
            <v>0</v>
          </cell>
          <cell r="BD25">
            <v>0</v>
          </cell>
          <cell r="BE25">
            <v>0</v>
          </cell>
          <cell r="BF25">
            <v>-3.0000000000000001E-3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</row>
        <row r="26">
          <cell r="B26" t="str">
            <v>Net interest income/(expense)</v>
          </cell>
          <cell r="C26" t="str">
            <v>NET_INT_EXP</v>
          </cell>
          <cell r="D26" t="str">
            <v>TWD</v>
          </cell>
          <cell r="Y26">
            <v>121.986</v>
          </cell>
          <cell r="Z26">
            <v>250.434</v>
          </cell>
          <cell r="AA26">
            <v>349.03000000000003</v>
          </cell>
          <cell r="AB26">
            <v>385.685</v>
          </cell>
          <cell r="AC26">
            <v>656.05</v>
          </cell>
          <cell r="AD26">
            <v>1182.8709999999999</v>
          </cell>
          <cell r="AE26">
            <v>980.84665063476552</v>
          </cell>
          <cell r="AF26">
            <v>1086.7999923864006</v>
          </cell>
          <cell r="AG26">
            <v>1051.9058486443296</v>
          </cell>
          <cell r="AU26">
            <v>20.803999999999998</v>
          </cell>
          <cell r="AV26">
            <v>28.105</v>
          </cell>
          <cell r="AW26">
            <v>35.424999999999997</v>
          </cell>
          <cell r="AX26">
            <v>37.652000000000001</v>
          </cell>
          <cell r="AY26">
            <v>51.671999999999997</v>
          </cell>
          <cell r="AZ26">
            <v>71.903999999999996</v>
          </cell>
          <cell r="BA26">
            <v>62.44</v>
          </cell>
          <cell r="BB26">
            <v>64.418000000000006</v>
          </cell>
          <cell r="BC26">
            <v>85.186000000000007</v>
          </cell>
          <cell r="BD26">
            <v>99.185000000000002</v>
          </cell>
          <cell r="BE26">
            <v>80.298000000000002</v>
          </cell>
          <cell r="BF26">
            <v>84.361000000000004</v>
          </cell>
          <cell r="BG26">
            <v>83.864000000000004</v>
          </cell>
          <cell r="BH26">
            <v>93.564999999999998</v>
          </cell>
          <cell r="BI26">
            <v>93.331000000000003</v>
          </cell>
          <cell r="BJ26">
            <v>114.925</v>
          </cell>
          <cell r="BK26">
            <v>146.94399999999999</v>
          </cell>
          <cell r="BL26">
            <v>166.35</v>
          </cell>
          <cell r="BM26">
            <v>154.9</v>
          </cell>
          <cell r="BN26">
            <v>187.85599999999999</v>
          </cell>
          <cell r="BO26">
            <v>235.75299999999999</v>
          </cell>
          <cell r="BP26">
            <v>290.50599999999997</v>
          </cell>
          <cell r="BQ26">
            <v>306.04199999999997</v>
          </cell>
          <cell r="BR26">
            <v>350.57</v>
          </cell>
          <cell r="BS26">
            <v>229.86512499999995</v>
          </cell>
          <cell r="BT26">
            <v>240.23026562499996</v>
          </cell>
          <cell r="BU26">
            <v>249.46529882812499</v>
          </cell>
          <cell r="BV26">
            <v>261.28596118164057</v>
          </cell>
          <cell r="BW26">
            <v>270.46470632934569</v>
          </cell>
          <cell r="BX26">
            <v>274.80366962051386</v>
          </cell>
          <cell r="BY26">
            <v>272.84087832307813</v>
          </cell>
          <cell r="BZ26">
            <v>268.69073811346288</v>
          </cell>
        </row>
        <row r="27">
          <cell r="B27" t="str">
            <v>Income/(loss) from unconsolidated subs &amp; associates</v>
          </cell>
          <cell r="C27" t="str">
            <v>ASSOCIATE</v>
          </cell>
          <cell r="D27" t="str">
            <v>TWD</v>
          </cell>
          <cell r="Y27">
            <v>-51.447000000000003</v>
          </cell>
          <cell r="Z27">
            <v>31.514000000000006</v>
          </cell>
          <cell r="AA27">
            <v>-5.8520000000000003</v>
          </cell>
          <cell r="AB27">
            <v>14.448999999999998</v>
          </cell>
          <cell r="AC27">
            <v>-40.450000000000003</v>
          </cell>
          <cell r="AD27">
            <v>47.596000000000004</v>
          </cell>
          <cell r="AE27">
            <v>14.813418457031251</v>
          </cell>
          <cell r="AF27">
            <v>29.166037230610854</v>
          </cell>
          <cell r="AG27">
            <v>-80</v>
          </cell>
          <cell r="AU27">
            <v>-4.32</v>
          </cell>
          <cell r="AV27">
            <v>-16.241</v>
          </cell>
          <cell r="AW27">
            <v>-12.728999999999999</v>
          </cell>
          <cell r="AX27">
            <v>-18.157</v>
          </cell>
          <cell r="AY27">
            <v>-12.314</v>
          </cell>
          <cell r="AZ27">
            <v>43.218000000000004</v>
          </cell>
          <cell r="BA27">
            <v>-7.1989999999999998</v>
          </cell>
          <cell r="BB27">
            <v>7.8090000000000002</v>
          </cell>
          <cell r="BC27">
            <v>1.272</v>
          </cell>
          <cell r="BD27">
            <v>-2.8119999999999998</v>
          </cell>
          <cell r="BE27">
            <v>1.3380000000000001</v>
          </cell>
          <cell r="BF27">
            <v>-5.65</v>
          </cell>
          <cell r="BG27">
            <v>-1.3959999999999999</v>
          </cell>
          <cell r="BH27">
            <v>-3.2010000000000001</v>
          </cell>
          <cell r="BI27">
            <v>-2.7290000000000001</v>
          </cell>
          <cell r="BJ27">
            <v>21.774999999999999</v>
          </cell>
          <cell r="BK27">
            <v>12.047000000000001</v>
          </cell>
          <cell r="BL27">
            <v>-68.984999999999999</v>
          </cell>
          <cell r="BM27">
            <v>21.643000000000001</v>
          </cell>
          <cell r="BN27">
            <v>-5.1550000000000002</v>
          </cell>
          <cell r="BO27">
            <v>7.4109999999999996</v>
          </cell>
          <cell r="BP27">
            <v>14.048</v>
          </cell>
          <cell r="BQ27">
            <v>12.159000000000001</v>
          </cell>
          <cell r="BR27">
            <v>13.978</v>
          </cell>
          <cell r="BS27">
            <v>0.8932500000000001</v>
          </cell>
          <cell r="BT27">
            <v>-0.50096874999999974</v>
          </cell>
          <cell r="BU27">
            <v>8.0595351562499999</v>
          </cell>
          <cell r="BV27">
            <v>6.3616020507812507</v>
          </cell>
          <cell r="BW27">
            <v>7.8011773071289072</v>
          </cell>
          <cell r="BX27">
            <v>7.8499494705200208</v>
          </cell>
          <cell r="BY27">
            <v>7.0751931543350235</v>
          </cell>
          <cell r="BZ27">
            <v>6.4397172986269009</v>
          </cell>
        </row>
        <row r="28">
          <cell r="B28" t="str">
            <v>Profit/(loss) on disposals of assets, pre-tax</v>
          </cell>
          <cell r="C28" t="str">
            <v>PROFIT_ON_DISP</v>
          </cell>
          <cell r="D28" t="str">
            <v>TWD</v>
          </cell>
          <cell r="Y28">
            <v>-22.335999999999991</v>
          </cell>
          <cell r="Z28">
            <v>76.494000000000014</v>
          </cell>
          <cell r="AA28">
            <v>20.642999999999994</v>
          </cell>
          <cell r="AB28">
            <v>20.792000000000002</v>
          </cell>
          <cell r="AC28">
            <v>21.188000000000002</v>
          </cell>
          <cell r="AD28">
            <v>-22.971</v>
          </cell>
          <cell r="AE28">
            <v>0</v>
          </cell>
          <cell r="AF28">
            <v>0</v>
          </cell>
          <cell r="AG28">
            <v>0</v>
          </cell>
          <cell r="AU28">
            <v>-34.189</v>
          </cell>
          <cell r="AV28">
            <v>5.66</v>
          </cell>
          <cell r="AW28">
            <v>-7.9090000000000007</v>
          </cell>
          <cell r="AX28">
            <v>14.101999999999999</v>
          </cell>
          <cell r="AY28">
            <v>7.0170000000000003</v>
          </cell>
          <cell r="AZ28">
            <v>52.042000000000002</v>
          </cell>
          <cell r="BA28">
            <v>9.7750000000000004</v>
          </cell>
          <cell r="BB28">
            <v>7.66</v>
          </cell>
          <cell r="BC28">
            <v>7.516</v>
          </cell>
          <cell r="BD28">
            <v>14.514999999999999</v>
          </cell>
          <cell r="BE28">
            <v>-4.0750000000000011</v>
          </cell>
          <cell r="BF28">
            <v>2.6869999999999998</v>
          </cell>
          <cell r="BG28">
            <v>0.126</v>
          </cell>
          <cell r="BH28">
            <v>6.798</v>
          </cell>
          <cell r="BI28">
            <v>13.542999999999999</v>
          </cell>
          <cell r="BJ28">
            <v>0.32500000000000001</v>
          </cell>
          <cell r="BK28">
            <v>0.52299999999999991</v>
          </cell>
          <cell r="BL28">
            <v>5.6850000000000005</v>
          </cell>
          <cell r="BM28">
            <v>14.939000000000002</v>
          </cell>
          <cell r="BN28">
            <v>4.0999999999999981E-2</v>
          </cell>
          <cell r="BO28">
            <v>0.22899999999999998</v>
          </cell>
          <cell r="BP28">
            <v>5.593</v>
          </cell>
          <cell r="BQ28">
            <v>-14.352</v>
          </cell>
          <cell r="BR28">
            <v>-14.440999999999999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</row>
        <row r="29">
          <cell r="B29" t="str">
            <v>Other non-ops income/(expense)</v>
          </cell>
          <cell r="C29" t="str">
            <v>OTH_COST_INC</v>
          </cell>
          <cell r="D29" t="str">
            <v>TWD</v>
          </cell>
          <cell r="Y29">
            <v>671.47900000000072</v>
          </cell>
          <cell r="Z29">
            <v>1537.8150000000016</v>
          </cell>
          <cell r="AA29">
            <v>1141.5090000000018</v>
          </cell>
          <cell r="AB29">
            <v>-83.684000000001632</v>
          </cell>
          <cell r="AC29">
            <v>-770.56899999999894</v>
          </cell>
          <cell r="AD29">
            <v>376.43500000000063</v>
          </cell>
          <cell r="AE29">
            <v>600.00000000000171</v>
          </cell>
          <cell r="AF29">
            <v>599.99999999999989</v>
          </cell>
          <cell r="AG29">
            <v>599.99999999999864</v>
          </cell>
          <cell r="AU29">
            <v>354.80300000000022</v>
          </cell>
          <cell r="AV29">
            <v>185.7420000000001</v>
          </cell>
          <cell r="AW29">
            <v>-126.42600000000014</v>
          </cell>
          <cell r="AX29">
            <v>257.3599999999999</v>
          </cell>
          <cell r="AY29">
            <v>267.91699999999992</v>
          </cell>
          <cell r="AZ29">
            <v>-278.50000000000023</v>
          </cell>
          <cell r="BA29">
            <v>563.48399999999992</v>
          </cell>
          <cell r="BB29">
            <v>984.91399999999953</v>
          </cell>
          <cell r="BC29">
            <v>-192.65900000000039</v>
          </cell>
          <cell r="BD29">
            <v>-244.65800000000041</v>
          </cell>
          <cell r="BE29">
            <v>1724.4930000000002</v>
          </cell>
          <cell r="BF29">
            <v>-145.66700000000023</v>
          </cell>
          <cell r="BG29">
            <v>-48.100000000000314</v>
          </cell>
          <cell r="BH29">
            <v>122.16000000000011</v>
          </cell>
          <cell r="BI29">
            <v>-384.43899999999991</v>
          </cell>
          <cell r="BJ29">
            <v>226.69499999999934</v>
          </cell>
          <cell r="BK29">
            <v>-1123.8599999999994</v>
          </cell>
          <cell r="BL29">
            <v>223.78699999999952</v>
          </cell>
          <cell r="BM29">
            <v>163.5799999999999</v>
          </cell>
          <cell r="BN29">
            <v>-34.076000000000732</v>
          </cell>
          <cell r="BO29">
            <v>-131.7039999999997</v>
          </cell>
          <cell r="BP29">
            <v>551.38900000000012</v>
          </cell>
          <cell r="BQ29">
            <v>-328.60399999999919</v>
          </cell>
          <cell r="BR29">
            <v>285.35400000000021</v>
          </cell>
          <cell r="BS29">
            <v>100.0000000000004</v>
          </cell>
          <cell r="BT29">
            <v>99.999999999999858</v>
          </cell>
          <cell r="BU29">
            <v>199.99999999999972</v>
          </cell>
          <cell r="BV29">
            <v>200</v>
          </cell>
          <cell r="BW29">
            <v>99.999999999999829</v>
          </cell>
          <cell r="BX29">
            <v>99.999999999999886</v>
          </cell>
          <cell r="BY29">
            <v>200.00000000000028</v>
          </cell>
          <cell r="BZ29">
            <v>199.99999999999906</v>
          </cell>
        </row>
        <row r="30">
          <cell r="B30" t="str">
            <v>Pre-tax profit</v>
          </cell>
          <cell r="C30" t="str">
            <v>PT_PROF</v>
          </cell>
          <cell r="D30" t="str">
            <v>TWD</v>
          </cell>
          <cell r="Y30">
            <v>11500.715000000002</v>
          </cell>
          <cell r="Z30">
            <v>22963.091</v>
          </cell>
          <cell r="AA30">
            <v>29159.962000000007</v>
          </cell>
          <cell r="AB30">
            <v>28251.199000000001</v>
          </cell>
          <cell r="AC30">
            <v>31959.520999999993</v>
          </cell>
          <cell r="AD30">
            <v>31195.870999999992</v>
          </cell>
          <cell r="AE30">
            <v>31867.250248503668</v>
          </cell>
          <cell r="AF30">
            <v>32281.648231889703</v>
          </cell>
          <cell r="AG30">
            <v>31184.679262276342</v>
          </cell>
          <cell r="AU30">
            <v>2012.9200000000005</v>
          </cell>
          <cell r="AV30">
            <v>2672.9310000000005</v>
          </cell>
          <cell r="AW30">
            <v>2710.8180000000002</v>
          </cell>
          <cell r="AX30">
            <v>4104.0459999999994</v>
          </cell>
          <cell r="AY30">
            <v>3527.3999999999996</v>
          </cell>
          <cell r="AZ30">
            <v>5012.6439999999993</v>
          </cell>
          <cell r="BA30">
            <v>6035.893</v>
          </cell>
          <cell r="BB30">
            <v>8387.1539999999986</v>
          </cell>
          <cell r="BC30">
            <v>5082.4160000000002</v>
          </cell>
          <cell r="BD30">
            <v>6971.7300000000005</v>
          </cell>
          <cell r="BE30">
            <v>9218.5090000000018</v>
          </cell>
          <cell r="BF30">
            <v>7887.3070000000007</v>
          </cell>
          <cell r="BG30">
            <v>4219.2290000000012</v>
          </cell>
          <cell r="BH30">
            <v>6009.348</v>
          </cell>
          <cell r="BI30">
            <v>8084.2419999999984</v>
          </cell>
          <cell r="BJ30">
            <v>9938.3799999999992</v>
          </cell>
          <cell r="BK30">
            <v>5722.3019999999997</v>
          </cell>
          <cell r="BL30">
            <v>6892.4730000000009</v>
          </cell>
          <cell r="BM30">
            <v>9146.2150000000001</v>
          </cell>
          <cell r="BN30">
            <v>10198.530999999999</v>
          </cell>
          <cell r="BO30">
            <v>4800.4630000000016</v>
          </cell>
          <cell r="BP30">
            <v>8159.420000000001</v>
          </cell>
          <cell r="BQ30">
            <v>10193.076000000001</v>
          </cell>
          <cell r="BR30">
            <v>8042.9119999999984</v>
          </cell>
          <cell r="BS30">
            <v>5283.2574908362749</v>
          </cell>
          <cell r="BT30">
            <v>7201.9882698749543</v>
          </cell>
          <cell r="BU30">
            <v>10523.38480957962</v>
          </cell>
          <cell r="BV30">
            <v>8858.6196782128118</v>
          </cell>
          <cell r="BW30">
            <v>5734.0692455129774</v>
          </cell>
          <cell r="BX30">
            <v>7367.4508636305691</v>
          </cell>
          <cell r="BY30">
            <v>10298.468824667903</v>
          </cell>
          <cell r="BZ30">
            <v>8881.6592980782516</v>
          </cell>
        </row>
        <row r="31">
          <cell r="A31" t="str">
            <v>Additional Income Statement Items</v>
          </cell>
        </row>
        <row r="32">
          <cell r="B32" t="str">
            <v>Contribution margin ratio</v>
          </cell>
          <cell r="C32" t="str">
            <v>CONTRIB_MARGIN_RATIO</v>
          </cell>
          <cell r="D32" t="str">
            <v>TWD</v>
          </cell>
        </row>
        <row r="33">
          <cell r="B33" t="str">
            <v>Lease payments</v>
          </cell>
          <cell r="C33" t="str">
            <v>LEASE_PAY</v>
          </cell>
          <cell r="D33" t="str">
            <v>TWD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</row>
        <row r="34">
          <cell r="B34" t="str">
            <v>Lease payments (deemed interest portion)</v>
          </cell>
          <cell r="C34" t="str">
            <v>LEASE_DEEM_INT</v>
          </cell>
          <cell r="D34" t="str">
            <v>TWD</v>
          </cell>
        </row>
        <row r="35">
          <cell r="B35" t="str">
            <v>Lease payments (deemed depreciation portion)</v>
          </cell>
          <cell r="C35" t="str">
            <v>LEASE_DEEM_DEPR</v>
          </cell>
          <cell r="D35" t="str">
            <v>TWD</v>
          </cell>
        </row>
        <row r="36">
          <cell r="B36" t="str">
            <v>Gross interest charge</v>
          </cell>
          <cell r="C36" t="str">
            <v>NET_INT_CH</v>
          </cell>
          <cell r="D36" t="str">
            <v>TWD</v>
          </cell>
          <cell r="Y36">
            <v>-3.7999999999999999E-2</v>
          </cell>
          <cell r="Z36">
            <v>-4.8550000000000004</v>
          </cell>
          <cell r="AA36">
            <v>-3.0000000000000001E-3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U36">
            <v>0</v>
          </cell>
          <cell r="AV36">
            <v>0</v>
          </cell>
          <cell r="AW36">
            <v>-6.0000000000000001E-3</v>
          </cell>
          <cell r="AX36">
            <v>-3.2000000000000001E-2</v>
          </cell>
          <cell r="AY36">
            <v>-4.8979999999999997</v>
          </cell>
          <cell r="AZ36">
            <v>6.6000000000000003E-2</v>
          </cell>
          <cell r="BA36">
            <v>1.2E-2</v>
          </cell>
          <cell r="BB36">
            <v>-3.5000000000000003E-2</v>
          </cell>
          <cell r="BC36">
            <v>0</v>
          </cell>
          <cell r="BD36">
            <v>0</v>
          </cell>
          <cell r="BE36">
            <v>0</v>
          </cell>
          <cell r="BF36">
            <v>-3.0000000000000001E-3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</row>
        <row r="37">
          <cell r="B37" t="str">
            <v>Income from associates (operating)</v>
          </cell>
          <cell r="C37" t="str">
            <v>ASSOCIATE_OP</v>
          </cell>
          <cell r="D37" t="str">
            <v>TWD</v>
          </cell>
        </row>
        <row r="38">
          <cell r="A38" t="str">
            <v>Balance Sheet</v>
          </cell>
        </row>
        <row r="39">
          <cell r="B39" t="str">
            <v>Cash &amp; cash equivalents</v>
          </cell>
          <cell r="C39" t="str">
            <v>CASH_EQ</v>
          </cell>
          <cell r="D39" t="str">
            <v>TWD</v>
          </cell>
          <cell r="Y39">
            <v>13502.800999999999</v>
          </cell>
          <cell r="Z39">
            <v>24100.464</v>
          </cell>
          <cell r="AA39">
            <v>39212.279000000002</v>
          </cell>
          <cell r="AB39">
            <v>52740.406999999999</v>
          </cell>
          <cell r="AC39">
            <v>67896.008000000002</v>
          </cell>
          <cell r="AD39">
            <v>83403.426000000007</v>
          </cell>
          <cell r="AE39">
            <v>102042.15247007867</v>
          </cell>
          <cell r="AF39">
            <v>119666.79137604842</v>
          </cell>
          <cell r="AG39">
            <v>135858.4294260637</v>
          </cell>
          <cell r="AU39">
            <v>12546.791999999999</v>
          </cell>
          <cell r="AV39">
            <v>11727.723</v>
          </cell>
          <cell r="AW39">
            <v>11021.714</v>
          </cell>
          <cell r="AX39">
            <v>13502.800999999999</v>
          </cell>
          <cell r="AY39">
            <v>17904.398000000001</v>
          </cell>
          <cell r="AZ39">
            <v>19268.998</v>
          </cell>
          <cell r="BA39">
            <v>19699.628000000001</v>
          </cell>
          <cell r="BB39">
            <v>24100.464</v>
          </cell>
          <cell r="BC39">
            <v>32547.456999999999</v>
          </cell>
          <cell r="BD39">
            <v>32057.77</v>
          </cell>
          <cell r="BE39">
            <v>33864.65</v>
          </cell>
          <cell r="BF39">
            <v>39212.279000000002</v>
          </cell>
          <cell r="BG39">
            <v>41835.392</v>
          </cell>
          <cell r="BH39">
            <v>45899.976000000002</v>
          </cell>
          <cell r="BI39">
            <v>44205.584999999999</v>
          </cell>
          <cell r="BJ39">
            <v>52740.406999999999</v>
          </cell>
          <cell r="BK39">
            <v>58052.63</v>
          </cell>
          <cell r="BL39">
            <v>58025.89</v>
          </cell>
          <cell r="BM39">
            <v>58825.415000000001</v>
          </cell>
          <cell r="BN39">
            <v>67896.008000000002</v>
          </cell>
          <cell r="BO39">
            <v>73626.285999999993</v>
          </cell>
          <cell r="BP39">
            <v>74534.244000000006</v>
          </cell>
          <cell r="BQ39">
            <v>72270.442999999999</v>
          </cell>
          <cell r="BR39">
            <v>83403.426000000007</v>
          </cell>
          <cell r="BS39">
            <v>85670.064015406591</v>
          </cell>
          <cell r="BT39">
            <v>94836.842975720254</v>
          </cell>
          <cell r="BU39">
            <v>89944.381789433115</v>
          </cell>
          <cell r="BV39">
            <v>102042.15247007867</v>
          </cell>
          <cell r="BW39">
            <v>106196.96038258768</v>
          </cell>
          <cell r="BX39">
            <v>113611.39626155271</v>
          </cell>
          <cell r="BY39">
            <v>120253.26354332746</v>
          </cell>
          <cell r="BZ39">
            <v>119666.79137604842</v>
          </cell>
        </row>
        <row r="40">
          <cell r="B40" t="str">
            <v>Accounts receivable</v>
          </cell>
          <cell r="C40" t="str">
            <v>DEBTORS</v>
          </cell>
          <cell r="D40" t="str">
            <v>TWD</v>
          </cell>
          <cell r="Y40">
            <v>6956.2830000000004</v>
          </cell>
          <cell r="Z40">
            <v>13624.097</v>
          </cell>
          <cell r="AA40">
            <v>11744.587</v>
          </cell>
          <cell r="AB40">
            <v>15374.122000000001</v>
          </cell>
          <cell r="AC40">
            <v>15474.016</v>
          </cell>
          <cell r="AD40">
            <v>11970.343000000001</v>
          </cell>
          <cell r="AE40">
            <v>12697.040411262184</v>
          </cell>
          <cell r="AF40">
            <v>13522.689699743009</v>
          </cell>
          <cell r="AG40">
            <v>14350.143543437454</v>
          </cell>
          <cell r="AU40">
            <v>3841.5030000000002</v>
          </cell>
          <cell r="AV40">
            <v>4655.1570000000002</v>
          </cell>
          <cell r="AW40">
            <v>6064.6009999999997</v>
          </cell>
          <cell r="AX40">
            <v>6956.2830000000004</v>
          </cell>
          <cell r="AY40">
            <v>4581.5889999999999</v>
          </cell>
          <cell r="AZ40">
            <v>8487.49</v>
          </cell>
          <cell r="BA40">
            <v>10844.331</v>
          </cell>
          <cell r="BB40">
            <v>13624.097</v>
          </cell>
          <cell r="BC40">
            <v>8454.369999999999</v>
          </cell>
          <cell r="BD40">
            <v>10735.953000000001</v>
          </cell>
          <cell r="BE40">
            <v>13308.458000000001</v>
          </cell>
          <cell r="BF40">
            <v>11744.587</v>
          </cell>
          <cell r="BG40">
            <v>8413.0450000000001</v>
          </cell>
          <cell r="BH40">
            <v>10371.814</v>
          </cell>
          <cell r="BI40">
            <v>14076.481</v>
          </cell>
          <cell r="BJ40">
            <v>15374.122000000001</v>
          </cell>
          <cell r="BK40">
            <v>11343.323999999999</v>
          </cell>
          <cell r="BL40">
            <v>11929.939</v>
          </cell>
          <cell r="BM40">
            <v>14553.943000000001</v>
          </cell>
          <cell r="BN40">
            <v>15474.016</v>
          </cell>
          <cell r="BO40">
            <v>9712.2890000000007</v>
          </cell>
          <cell r="BP40">
            <v>13751.754000000001</v>
          </cell>
          <cell r="BQ40">
            <v>16552.370999999999</v>
          </cell>
          <cell r="BR40">
            <v>11970.343000000001</v>
          </cell>
          <cell r="BS40">
            <v>8877.6740461879454</v>
          </cell>
          <cell r="BT40">
            <v>18429.113510804527</v>
          </cell>
          <cell r="BU40">
            <v>19349.483209976846</v>
          </cell>
          <cell r="BV40">
            <v>12697.040411262184</v>
          </cell>
          <cell r="BW40">
            <v>9470.4398234020227</v>
          </cell>
          <cell r="BX40">
            <v>18427.81927811688</v>
          </cell>
          <cell r="BY40">
            <v>18734.842411648769</v>
          </cell>
          <cell r="BZ40">
            <v>13522.689699743009</v>
          </cell>
        </row>
        <row r="41">
          <cell r="B41" t="str">
            <v>Inventory</v>
          </cell>
          <cell r="C41" t="str">
            <v>STOCKS</v>
          </cell>
          <cell r="D41" t="str">
            <v>TWD</v>
          </cell>
          <cell r="Y41">
            <v>2693.2510000000002</v>
          </cell>
          <cell r="Z41">
            <v>3538.3389999999999</v>
          </cell>
          <cell r="AA41">
            <v>3729.7109999999998</v>
          </cell>
          <cell r="AB41">
            <v>2584.6640000000002</v>
          </cell>
          <cell r="AC41">
            <v>2576.8319999999999</v>
          </cell>
          <cell r="AD41">
            <v>3893.35</v>
          </cell>
          <cell r="AE41">
            <v>3936.5654703848941</v>
          </cell>
          <cell r="AF41">
            <v>3899.2257628919833</v>
          </cell>
          <cell r="AG41">
            <v>3811.3005936026066</v>
          </cell>
          <cell r="AU41">
            <v>2681.7809999999999</v>
          </cell>
          <cell r="AV41">
            <v>2309.6909999999998</v>
          </cell>
          <cell r="AW41">
            <v>2736.5160000000001</v>
          </cell>
          <cell r="AX41">
            <v>2693.2510000000002</v>
          </cell>
          <cell r="AY41">
            <v>2707.2890000000002</v>
          </cell>
          <cell r="AZ41">
            <v>2386.8229999999999</v>
          </cell>
          <cell r="BA41">
            <v>3139.6390000000001</v>
          </cell>
          <cell r="BB41">
            <v>3538.3389999999999</v>
          </cell>
          <cell r="BC41">
            <v>4859.357</v>
          </cell>
          <cell r="BD41">
            <v>4397.2870000000003</v>
          </cell>
          <cell r="BE41">
            <v>4457.9210000000003</v>
          </cell>
          <cell r="BF41">
            <v>3729.7109999999998</v>
          </cell>
          <cell r="BG41">
            <v>3876.55</v>
          </cell>
          <cell r="BH41">
            <v>4145.0469999999996</v>
          </cell>
          <cell r="BI41">
            <v>3319.788</v>
          </cell>
          <cell r="BJ41">
            <v>2584.6640000000002</v>
          </cell>
          <cell r="BK41">
            <v>3002.6439999999998</v>
          </cell>
          <cell r="BL41">
            <v>2838.634</v>
          </cell>
          <cell r="BM41">
            <v>2418.6729999999998</v>
          </cell>
          <cell r="BN41">
            <v>2576.8319999999999</v>
          </cell>
          <cell r="BO41">
            <v>3448.4949999999999</v>
          </cell>
          <cell r="BP41">
            <v>3629.38</v>
          </cell>
          <cell r="BQ41">
            <v>3321.9110000000001</v>
          </cell>
          <cell r="BR41">
            <v>3893.35</v>
          </cell>
          <cell r="BS41">
            <v>2126.8329547556273</v>
          </cell>
          <cell r="BT41">
            <v>5320.1885801474618</v>
          </cell>
          <cell r="BU41">
            <v>4063.2503367465415</v>
          </cell>
          <cell r="BV41">
            <v>3936.5654703848941</v>
          </cell>
          <cell r="BW41">
            <v>2506.3617982813057</v>
          </cell>
          <cell r="BX41">
            <v>5155.4507549824948</v>
          </cell>
          <cell r="BY41">
            <v>4229.7434023635515</v>
          </cell>
          <cell r="BZ41">
            <v>3899.2257628919833</v>
          </cell>
        </row>
        <row r="42">
          <cell r="B42" t="str">
            <v>Other current assets</v>
          </cell>
          <cell r="C42" t="str">
            <v>OTH_CUR_ASS</v>
          </cell>
          <cell r="D42" t="str">
            <v>TWD</v>
          </cell>
          <cell r="Y42">
            <v>3656.7880000000005</v>
          </cell>
          <cell r="Z42">
            <v>3546.400999999998</v>
          </cell>
          <cell r="AA42">
            <v>6813.4309999999969</v>
          </cell>
          <cell r="AB42">
            <v>3643.471000000005</v>
          </cell>
          <cell r="AC42">
            <v>2189.5409999999974</v>
          </cell>
          <cell r="AD42">
            <v>2039.2259999999951</v>
          </cell>
          <cell r="AE42">
            <v>2039.2259999999951</v>
          </cell>
          <cell r="AF42">
            <v>2039.2259999999951</v>
          </cell>
          <cell r="AG42">
            <v>2039.2259999999951</v>
          </cell>
          <cell r="AU42">
            <v>2373.9850000000006</v>
          </cell>
          <cell r="AV42">
            <v>3680.0920000000006</v>
          </cell>
          <cell r="AW42">
            <v>2408.8380000000034</v>
          </cell>
          <cell r="AX42">
            <v>3656.7880000000005</v>
          </cell>
          <cell r="AY42">
            <v>3927.244999999999</v>
          </cell>
          <cell r="AZ42">
            <v>3985.5080000000053</v>
          </cell>
          <cell r="BA42">
            <v>4358.1670000000013</v>
          </cell>
          <cell r="BB42">
            <v>3546.400999999998</v>
          </cell>
          <cell r="BC42">
            <v>2506.9530000000086</v>
          </cell>
          <cell r="BD42">
            <v>6501.1469999999972</v>
          </cell>
          <cell r="BE42">
            <v>3236.4059999999954</v>
          </cell>
          <cell r="BF42">
            <v>6813.4309999999969</v>
          </cell>
          <cell r="BG42">
            <v>9712.4979999999996</v>
          </cell>
          <cell r="BH42">
            <v>5964.323000000004</v>
          </cell>
          <cell r="BI42">
            <v>993.14300000000367</v>
          </cell>
          <cell r="BJ42">
            <v>3643.471000000005</v>
          </cell>
          <cell r="BK42">
            <v>5282.2250000000058</v>
          </cell>
          <cell r="BL42">
            <v>7636.8799999999901</v>
          </cell>
          <cell r="BM42">
            <v>1786.7039999999979</v>
          </cell>
          <cell r="BN42">
            <v>2189.5409999999974</v>
          </cell>
          <cell r="BO42">
            <v>4982.2360000000044</v>
          </cell>
          <cell r="BP42">
            <v>4883.6459999999934</v>
          </cell>
          <cell r="BQ42">
            <v>1035.0130000000063</v>
          </cell>
          <cell r="BR42">
            <v>2039.2259999999951</v>
          </cell>
          <cell r="BS42">
            <v>2039.2259999999951</v>
          </cell>
          <cell r="BT42">
            <v>2039.2259999999951</v>
          </cell>
          <cell r="BU42">
            <v>2039.2259999999951</v>
          </cell>
          <cell r="BV42">
            <v>2039.2259999999951</v>
          </cell>
          <cell r="BW42">
            <v>2039.2259999999951</v>
          </cell>
          <cell r="BX42">
            <v>2039.2259999999951</v>
          </cell>
          <cell r="BY42">
            <v>2039.2259999999951</v>
          </cell>
          <cell r="BZ42">
            <v>2039.2259999999951</v>
          </cell>
        </row>
        <row r="43">
          <cell r="B43" t="str">
            <v>Total current assets</v>
          </cell>
          <cell r="C43" t="str">
            <v>CUR_ASS</v>
          </cell>
          <cell r="D43" t="str">
            <v>TWD</v>
          </cell>
          <cell r="Y43">
            <v>26809.123</v>
          </cell>
          <cell r="Z43">
            <v>44809.300999999999</v>
          </cell>
          <cell r="AA43">
            <v>61500.008000000002</v>
          </cell>
          <cell r="AB43">
            <v>74342.664000000004</v>
          </cell>
          <cell r="AC43">
            <v>88136.396999999997</v>
          </cell>
          <cell r="AD43">
            <v>101306.345</v>
          </cell>
          <cell r="AE43">
            <v>120714.98435172575</v>
          </cell>
          <cell r="AF43">
            <v>139127.93283868342</v>
          </cell>
          <cell r="AG43">
            <v>156059.09956310375</v>
          </cell>
          <cell r="AU43">
            <v>21444.060999999998</v>
          </cell>
          <cell r="AV43">
            <v>22372.663</v>
          </cell>
          <cell r="AW43">
            <v>22231.669000000002</v>
          </cell>
          <cell r="AX43">
            <v>26809.123</v>
          </cell>
          <cell r="AY43">
            <v>29120.521000000001</v>
          </cell>
          <cell r="AZ43">
            <v>34128.819000000003</v>
          </cell>
          <cell r="BA43">
            <v>38041.765000000007</v>
          </cell>
          <cell r="BB43">
            <v>44809.300999999999</v>
          </cell>
          <cell r="BC43">
            <v>48368.137000000002</v>
          </cell>
          <cell r="BD43">
            <v>53692.156999999992</v>
          </cell>
          <cell r="BE43">
            <v>54867.434999999998</v>
          </cell>
          <cell r="BF43">
            <v>61500.008000000002</v>
          </cell>
          <cell r="BG43">
            <v>63837.485000000001</v>
          </cell>
          <cell r="BH43">
            <v>66381.16</v>
          </cell>
          <cell r="BI43">
            <v>62594.997000000003</v>
          </cell>
          <cell r="BJ43">
            <v>74342.664000000004</v>
          </cell>
          <cell r="BK43">
            <v>77680.823000000004</v>
          </cell>
          <cell r="BL43">
            <v>80431.342999999993</v>
          </cell>
          <cell r="BM43">
            <v>77584.735000000001</v>
          </cell>
          <cell r="BN43">
            <v>88136.396999999997</v>
          </cell>
          <cell r="BO43">
            <v>91769.305999999997</v>
          </cell>
          <cell r="BP43">
            <v>96799.024000000005</v>
          </cell>
          <cell r="BQ43">
            <v>93179.738000000012</v>
          </cell>
          <cell r="BR43">
            <v>101306.345</v>
          </cell>
          <cell r="BS43">
            <v>98713.79701635016</v>
          </cell>
          <cell r="BT43">
            <v>120625.37106667223</v>
          </cell>
          <cell r="BU43">
            <v>115396.3413361565</v>
          </cell>
          <cell r="BV43">
            <v>120714.98435172575</v>
          </cell>
          <cell r="BW43">
            <v>120212.988004271</v>
          </cell>
          <cell r="BX43">
            <v>139233.89229465209</v>
          </cell>
          <cell r="BY43">
            <v>145257.07535733978</v>
          </cell>
          <cell r="BZ43">
            <v>139127.93283868342</v>
          </cell>
        </row>
        <row r="44">
          <cell r="B44" t="str">
            <v>Gross fixed assets, PP&amp;E</v>
          </cell>
          <cell r="C44" t="str">
            <v>GR_FIX_ASS</v>
          </cell>
          <cell r="D44" t="str">
            <v>TWD</v>
          </cell>
          <cell r="Y44">
            <v>16388.079000000002</v>
          </cell>
          <cell r="Z44">
            <v>21966.055</v>
          </cell>
          <cell r="AA44">
            <v>29867.143</v>
          </cell>
          <cell r="AB44">
            <v>31880.954999999998</v>
          </cell>
          <cell r="AC44">
            <v>38765.483999999997</v>
          </cell>
          <cell r="AD44">
            <v>44587.85</v>
          </cell>
          <cell r="AE44">
            <v>44667.85</v>
          </cell>
          <cell r="AF44">
            <v>44747.85</v>
          </cell>
          <cell r="AG44">
            <v>44827.85</v>
          </cell>
          <cell r="AU44">
            <v>14380.785</v>
          </cell>
          <cell r="AV44">
            <v>14375.123</v>
          </cell>
          <cell r="AW44">
            <v>15169.222</v>
          </cell>
          <cell r="AX44">
            <v>16388.079000000002</v>
          </cell>
          <cell r="AY44">
            <v>16816.300999999999</v>
          </cell>
          <cell r="AZ44">
            <v>17254.900000000001</v>
          </cell>
          <cell r="BA44">
            <v>18159.073</v>
          </cell>
          <cell r="BB44">
            <v>21966.055</v>
          </cell>
          <cell r="BC44">
            <v>26480.762000000002</v>
          </cell>
          <cell r="BD44">
            <v>29223.861000000004</v>
          </cell>
          <cell r="BE44">
            <v>29666.817999999999</v>
          </cell>
          <cell r="BF44">
            <v>29867.143</v>
          </cell>
          <cell r="BG44">
            <v>30455.02</v>
          </cell>
          <cell r="BH44">
            <v>30875.218000000001</v>
          </cell>
          <cell r="BI44">
            <v>31252.853000000003</v>
          </cell>
          <cell r="BJ44">
            <v>31880.954999999998</v>
          </cell>
          <cell r="BK44">
            <v>32533.277000000002</v>
          </cell>
          <cell r="BL44">
            <v>33872.516000000003</v>
          </cell>
          <cell r="BM44">
            <v>36137.057000000001</v>
          </cell>
          <cell r="BN44">
            <v>38765.483999999997</v>
          </cell>
          <cell r="BO44">
            <v>39866.326999999997</v>
          </cell>
          <cell r="BP44">
            <v>41154.907999999996</v>
          </cell>
          <cell r="BQ44">
            <v>42388.741999999998</v>
          </cell>
          <cell r="BR44">
            <v>44587.85</v>
          </cell>
          <cell r="BS44">
            <v>44607.85</v>
          </cell>
          <cell r="BT44">
            <v>44627.85</v>
          </cell>
          <cell r="BU44">
            <v>44647.85</v>
          </cell>
          <cell r="BV44">
            <v>44667.85</v>
          </cell>
          <cell r="BW44">
            <v>44687.85</v>
          </cell>
          <cell r="BX44">
            <v>44707.85</v>
          </cell>
          <cell r="BY44">
            <v>44727.85</v>
          </cell>
          <cell r="BZ44">
            <v>44747.85</v>
          </cell>
        </row>
        <row r="45">
          <cell r="B45" t="str">
            <v>Accumulated depreciation</v>
          </cell>
          <cell r="C45" t="str">
            <v>ACC_DDA</v>
          </cell>
          <cell r="D45" t="str">
            <v>TWD</v>
          </cell>
          <cell r="Y45">
            <v>-6587.7640000000001</v>
          </cell>
          <cell r="Z45">
            <v>-8244.31</v>
          </cell>
          <cell r="AA45">
            <v>-9752.2340000000004</v>
          </cell>
          <cell r="AB45">
            <v>-11634.103999999999</v>
          </cell>
          <cell r="AC45">
            <v>-13904.022999999997</v>
          </cell>
          <cell r="AD45">
            <v>-16737.798999999999</v>
          </cell>
          <cell r="AE45">
            <v>-19869.376410452314</v>
          </cell>
          <cell r="AF45">
            <v>-22658.445626431811</v>
          </cell>
          <cell r="AG45">
            <v>-25143.44967182483</v>
          </cell>
          <cell r="AU45">
            <v>-5694.7380000000003</v>
          </cell>
          <cell r="AV45">
            <v>-5199.2870000000003</v>
          </cell>
          <cell r="AW45">
            <v>-5533.5640000000003</v>
          </cell>
          <cell r="AX45">
            <v>-6587.7640000000001</v>
          </cell>
          <cell r="AY45">
            <v>-6972.6710000000003</v>
          </cell>
          <cell r="AZ45">
            <v>-7358.0050000000001</v>
          </cell>
          <cell r="BA45">
            <v>-7778.0240000000003</v>
          </cell>
          <cell r="BB45">
            <v>-8244.31</v>
          </cell>
          <cell r="BC45">
            <v>-8675.0640000000003</v>
          </cell>
          <cell r="BD45">
            <v>-9115.1380000000008</v>
          </cell>
          <cell r="BE45">
            <v>-9576.0720000000001</v>
          </cell>
          <cell r="BF45">
            <v>-9752.2340000000004</v>
          </cell>
          <cell r="BG45">
            <v>-10238.960999999999</v>
          </cell>
          <cell r="BH45">
            <v>-10722.621999999999</v>
          </cell>
          <cell r="BI45">
            <v>-11144.406000000001</v>
          </cell>
          <cell r="BJ45">
            <v>-11634.103999999999</v>
          </cell>
          <cell r="BK45">
            <v>-12195.109999999999</v>
          </cell>
          <cell r="BL45">
            <v>-12763.418999999998</v>
          </cell>
          <cell r="BM45">
            <v>-13327.986999999997</v>
          </cell>
          <cell r="BN45">
            <v>-13904.022999999997</v>
          </cell>
          <cell r="BO45">
            <v>-14517.844999999998</v>
          </cell>
          <cell r="BP45">
            <v>-15154.216999999997</v>
          </cell>
          <cell r="BQ45">
            <v>-15898.271999999997</v>
          </cell>
          <cell r="BR45">
            <v>-16737.798999999999</v>
          </cell>
          <cell r="BS45">
            <v>-17555.083069714488</v>
          </cell>
          <cell r="BT45">
            <v>-18348.986932151471</v>
          </cell>
          <cell r="BU45">
            <v>-19120.19620754732</v>
          </cell>
          <cell r="BV45">
            <v>-19869.376410452314</v>
          </cell>
          <cell r="BW45">
            <v>-20597.173539326141</v>
          </cell>
          <cell r="BX45">
            <v>-21304.214648843626</v>
          </cell>
          <cell r="BY45">
            <v>-21991.108405417712</v>
          </cell>
          <cell r="BZ45">
            <v>-22658.445626431811</v>
          </cell>
        </row>
        <row r="46">
          <cell r="B46" t="str">
            <v>Net PP&amp;E</v>
          </cell>
          <cell r="C46" t="str">
            <v>NET_FIX_ASS</v>
          </cell>
          <cell r="D46" t="str">
            <v>TWD</v>
          </cell>
          <cell r="Y46">
            <v>9800.3150000000023</v>
          </cell>
          <cell r="Z46">
            <v>13721.745000000001</v>
          </cell>
          <cell r="AA46">
            <v>20114.909</v>
          </cell>
          <cell r="AB46">
            <v>20246.850999999999</v>
          </cell>
          <cell r="AC46">
            <v>24861.460999999999</v>
          </cell>
          <cell r="AD46">
            <v>27850.050999999999</v>
          </cell>
          <cell r="AE46">
            <v>24798.473589547684</v>
          </cell>
          <cell r="AF46">
            <v>22089.404373568188</v>
          </cell>
          <cell r="AG46">
            <v>19684.400328175168</v>
          </cell>
          <cell r="AU46">
            <v>8686.0469999999987</v>
          </cell>
          <cell r="AV46">
            <v>9175.8359999999993</v>
          </cell>
          <cell r="AW46">
            <v>9635.6579999999994</v>
          </cell>
          <cell r="AX46">
            <v>9800.3150000000023</v>
          </cell>
          <cell r="AY46">
            <v>9843.6299999999992</v>
          </cell>
          <cell r="AZ46">
            <v>9896.8950000000004</v>
          </cell>
          <cell r="BA46">
            <v>10381.048999999999</v>
          </cell>
          <cell r="BB46">
            <v>13721.745000000001</v>
          </cell>
          <cell r="BC46">
            <v>17805.698000000004</v>
          </cell>
          <cell r="BD46">
            <v>20108.723000000005</v>
          </cell>
          <cell r="BE46">
            <v>20090.745999999999</v>
          </cell>
          <cell r="BF46">
            <v>20114.909</v>
          </cell>
          <cell r="BG46">
            <v>20216.059000000001</v>
          </cell>
          <cell r="BH46">
            <v>20152.596000000001</v>
          </cell>
          <cell r="BI46">
            <v>20108.447</v>
          </cell>
          <cell r="BJ46">
            <v>20246.850999999999</v>
          </cell>
          <cell r="BK46">
            <v>20338.167000000001</v>
          </cell>
          <cell r="BL46">
            <v>21109.097000000005</v>
          </cell>
          <cell r="BM46">
            <v>22809.070000000003</v>
          </cell>
          <cell r="BN46">
            <v>24861.460999999999</v>
          </cell>
          <cell r="BO46">
            <v>25348.482</v>
          </cell>
          <cell r="BP46">
            <v>26000.690999999999</v>
          </cell>
          <cell r="BQ46">
            <v>26490.47</v>
          </cell>
          <cell r="BR46">
            <v>27850.050999999999</v>
          </cell>
          <cell r="BS46">
            <v>27052.76693028551</v>
          </cell>
          <cell r="BT46">
            <v>26278.863067848528</v>
          </cell>
          <cell r="BU46">
            <v>25527.653792452678</v>
          </cell>
          <cell r="BV46">
            <v>24798.473589547684</v>
          </cell>
          <cell r="BW46">
            <v>24090.676460673858</v>
          </cell>
          <cell r="BX46">
            <v>23403.635351156372</v>
          </cell>
          <cell r="BY46">
            <v>22736.741594582287</v>
          </cell>
          <cell r="BZ46">
            <v>22089.404373568188</v>
          </cell>
        </row>
        <row r="47">
          <cell r="B47" t="str">
            <v>Gross intangibles</v>
          </cell>
          <cell r="C47" t="str">
            <v>GR_INTANG</v>
          </cell>
          <cell r="D47" t="str">
            <v>TWD</v>
          </cell>
          <cell r="Y47">
            <v>25.609000000000002</v>
          </cell>
          <cell r="Z47">
            <v>32.728000000000002</v>
          </cell>
          <cell r="AA47">
            <v>27.747</v>
          </cell>
          <cell r="AB47">
            <v>34.828000000000003</v>
          </cell>
          <cell r="AC47">
            <v>84.159000000000006</v>
          </cell>
          <cell r="AD47">
            <v>80.566000000000003</v>
          </cell>
          <cell r="AE47">
            <v>120.566</v>
          </cell>
          <cell r="AF47">
            <v>160.566</v>
          </cell>
          <cell r="AG47">
            <v>200.566</v>
          </cell>
          <cell r="AU47">
            <v>25.137</v>
          </cell>
          <cell r="AV47">
            <v>22.794</v>
          </cell>
          <cell r="AW47">
            <v>24.995000000000001</v>
          </cell>
          <cell r="AX47">
            <v>25.609000000000002</v>
          </cell>
          <cell r="AY47">
            <v>24.013999999999999</v>
          </cell>
          <cell r="AZ47">
            <v>28.731000000000002</v>
          </cell>
          <cell r="BA47">
            <v>27.155000000000001</v>
          </cell>
          <cell r="BB47">
            <v>32.728000000000002</v>
          </cell>
          <cell r="BC47">
            <v>32.5</v>
          </cell>
          <cell r="BD47">
            <v>31.189</v>
          </cell>
          <cell r="BE47">
            <v>31.312999999999999</v>
          </cell>
          <cell r="BF47">
            <v>27.747</v>
          </cell>
          <cell r="BG47">
            <v>45.404000000000003</v>
          </cell>
          <cell r="BH47">
            <v>40.801000000000002</v>
          </cell>
          <cell r="BI47">
            <v>39.173999999999999</v>
          </cell>
          <cell r="BJ47">
            <v>34.828000000000003</v>
          </cell>
          <cell r="BK47">
            <v>34.173999999999999</v>
          </cell>
          <cell r="BL47">
            <v>28.669</v>
          </cell>
          <cell r="BM47">
            <v>86.673000000000002</v>
          </cell>
          <cell r="BN47">
            <v>84.159000000000006</v>
          </cell>
          <cell r="BO47">
            <v>80.415999999999997</v>
          </cell>
          <cell r="BP47">
            <v>100.084</v>
          </cell>
          <cell r="BQ47">
            <v>88.337000000000003</v>
          </cell>
          <cell r="BR47">
            <v>80.566000000000003</v>
          </cell>
          <cell r="BS47">
            <v>90.566000000000003</v>
          </cell>
          <cell r="BT47">
            <v>100.566</v>
          </cell>
          <cell r="BU47">
            <v>110.566</v>
          </cell>
          <cell r="BV47">
            <v>120.566</v>
          </cell>
          <cell r="BW47">
            <v>130.566</v>
          </cell>
          <cell r="BX47">
            <v>140.566</v>
          </cell>
          <cell r="BY47">
            <v>150.566</v>
          </cell>
          <cell r="BZ47">
            <v>160.566</v>
          </cell>
        </row>
        <row r="48">
          <cell r="B48" t="str">
            <v>Accumulated amortization</v>
          </cell>
          <cell r="C48" t="str">
            <v>ACC_AMORT</v>
          </cell>
          <cell r="D48" t="str">
            <v>TWD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-73.590699072868688</v>
          </cell>
          <cell r="AF48">
            <v>-177.98344032511858</v>
          </cell>
          <cell r="AG48">
            <v>-313.17822375674973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-15.509983313900179</v>
          </cell>
          <cell r="BT48">
            <v>-32.945094264011686</v>
          </cell>
          <cell r="BU48">
            <v>-52.305332850334523</v>
          </cell>
          <cell r="BV48">
            <v>-73.590699072868688</v>
          </cell>
          <cell r="BW48">
            <v>-96.801192931614167</v>
          </cell>
          <cell r="BX48">
            <v>-121.93681442657098</v>
          </cell>
          <cell r="BY48">
            <v>-148.99756355773911</v>
          </cell>
          <cell r="BZ48">
            <v>-177.98344032511858</v>
          </cell>
        </row>
        <row r="49">
          <cell r="B49" t="str">
            <v>Net intangible assets</v>
          </cell>
          <cell r="C49" t="str">
            <v>NET_INTANG</v>
          </cell>
          <cell r="D49" t="str">
            <v>TWD</v>
          </cell>
          <cell r="Y49">
            <v>25.609000000000002</v>
          </cell>
          <cell r="Z49">
            <v>32.728000000000002</v>
          </cell>
          <cell r="AA49">
            <v>27.747</v>
          </cell>
          <cell r="AB49">
            <v>34.828000000000003</v>
          </cell>
          <cell r="AC49">
            <v>84.159000000000006</v>
          </cell>
          <cell r="AD49">
            <v>80.566000000000003</v>
          </cell>
          <cell r="AE49">
            <v>46.975300927131315</v>
          </cell>
          <cell r="AF49">
            <v>-17.417440325118577</v>
          </cell>
          <cell r="AG49">
            <v>-112.61222375674973</v>
          </cell>
          <cell r="AU49">
            <v>25.137</v>
          </cell>
          <cell r="AV49">
            <v>22.794</v>
          </cell>
          <cell r="AW49">
            <v>24.995000000000001</v>
          </cell>
          <cell r="AX49">
            <v>25.609000000000002</v>
          </cell>
          <cell r="AY49">
            <v>24.013999999999999</v>
          </cell>
          <cell r="AZ49">
            <v>28.731000000000002</v>
          </cell>
          <cell r="BA49">
            <v>27.155000000000001</v>
          </cell>
          <cell r="BB49">
            <v>32.728000000000002</v>
          </cell>
          <cell r="BC49">
            <v>32.5</v>
          </cell>
          <cell r="BD49">
            <v>31.189</v>
          </cell>
          <cell r="BE49">
            <v>31.312999999999999</v>
          </cell>
          <cell r="BF49">
            <v>27.747</v>
          </cell>
          <cell r="BG49">
            <v>45.404000000000003</v>
          </cell>
          <cell r="BH49">
            <v>40.801000000000002</v>
          </cell>
          <cell r="BI49">
            <v>39.173999999999999</v>
          </cell>
          <cell r="BJ49">
            <v>34.828000000000003</v>
          </cell>
          <cell r="BK49">
            <v>34.173999999999999</v>
          </cell>
          <cell r="BL49">
            <v>28.669</v>
          </cell>
          <cell r="BM49">
            <v>86.673000000000002</v>
          </cell>
          <cell r="BN49">
            <v>84.159000000000006</v>
          </cell>
          <cell r="BO49">
            <v>80.415999999999997</v>
          </cell>
          <cell r="BP49">
            <v>100.084</v>
          </cell>
          <cell r="BQ49">
            <v>88.337000000000003</v>
          </cell>
          <cell r="BR49">
            <v>80.566000000000003</v>
          </cell>
          <cell r="BS49">
            <v>75.056016686099824</v>
          </cell>
          <cell r="BT49">
            <v>67.620905735988316</v>
          </cell>
          <cell r="BU49">
            <v>58.26066714966548</v>
          </cell>
          <cell r="BV49">
            <v>46.975300927131315</v>
          </cell>
          <cell r="BW49">
            <v>33.764807068385835</v>
          </cell>
          <cell r="BX49">
            <v>18.629185573429027</v>
          </cell>
          <cell r="BY49">
            <v>1.5684364422608894</v>
          </cell>
          <cell r="BZ49">
            <v>-17.417440325118577</v>
          </cell>
        </row>
        <row r="50">
          <cell r="B50" t="str">
            <v>Equity method investments</v>
          </cell>
          <cell r="C50" t="str">
            <v>FIX_ASS_INV</v>
          </cell>
          <cell r="D50" t="str">
            <v>TWD</v>
          </cell>
        </row>
        <row r="51">
          <cell r="B51" t="str">
            <v>Investments in securities</v>
          </cell>
          <cell r="C51" t="str">
            <v>INV_SECUR</v>
          </cell>
          <cell r="D51" t="str">
            <v>TWD</v>
          </cell>
          <cell r="Y51">
            <v>273.71699999999998</v>
          </cell>
          <cell r="Z51">
            <v>111.18300000000001</v>
          </cell>
          <cell r="AA51">
            <v>105.39100000000001</v>
          </cell>
          <cell r="AB51">
            <v>92.224000000000004</v>
          </cell>
          <cell r="AC51">
            <v>160.59399999999999</v>
          </cell>
          <cell r="AD51">
            <v>209.44499999999999</v>
          </cell>
          <cell r="AE51">
            <v>224.25841845703124</v>
          </cell>
          <cell r="AF51">
            <v>253.42445568764208</v>
          </cell>
          <cell r="AG51">
            <v>173.42445568764208</v>
          </cell>
          <cell r="AU51">
            <v>320.79199999999997</v>
          </cell>
          <cell r="AV51">
            <v>304.60599999999999</v>
          </cell>
          <cell r="AW51">
            <v>291.839</v>
          </cell>
          <cell r="AX51">
            <v>273.71699999999998</v>
          </cell>
          <cell r="AY51">
            <v>208.739</v>
          </cell>
          <cell r="AZ51">
            <v>110.53100000000001</v>
          </cell>
          <cell r="BA51">
            <v>103.012</v>
          </cell>
          <cell r="BB51">
            <v>111.18300000000001</v>
          </cell>
          <cell r="BC51">
            <v>112.46899999999999</v>
          </cell>
          <cell r="BD51">
            <v>109.67</v>
          </cell>
          <cell r="BE51">
            <v>111.02</v>
          </cell>
          <cell r="BF51">
            <v>105.39100000000001</v>
          </cell>
          <cell r="BG51">
            <v>104.01300000000001</v>
          </cell>
          <cell r="BH51">
            <v>100.76</v>
          </cell>
          <cell r="BI51">
            <v>80.164000000000001</v>
          </cell>
          <cell r="BJ51">
            <v>92.224000000000004</v>
          </cell>
          <cell r="BK51">
            <v>212.239</v>
          </cell>
          <cell r="BL51">
            <v>121.642</v>
          </cell>
          <cell r="BM51">
            <v>179.21100000000001</v>
          </cell>
          <cell r="BN51">
            <v>160.59399999999999</v>
          </cell>
          <cell r="BO51">
            <v>161.08500000000001</v>
          </cell>
          <cell r="BP51">
            <v>167.17400000000001</v>
          </cell>
          <cell r="BQ51">
            <v>185.72499999999999</v>
          </cell>
          <cell r="BR51">
            <v>209.44499999999999</v>
          </cell>
          <cell r="BS51">
            <v>210.33824999999999</v>
          </cell>
          <cell r="BT51">
            <v>209.83728124999999</v>
          </cell>
          <cell r="BU51">
            <v>217.89681640625</v>
          </cell>
          <cell r="BV51">
            <v>224.25841845703124</v>
          </cell>
          <cell r="BW51">
            <v>232.05959576416015</v>
          </cell>
          <cell r="BX51">
            <v>239.90954523468017</v>
          </cell>
          <cell r="BY51">
            <v>246.98473838901518</v>
          </cell>
          <cell r="BZ51">
            <v>253.42445568764208</v>
          </cell>
        </row>
        <row r="52">
          <cell r="B52" t="str">
            <v>Other long-term assets</v>
          </cell>
          <cell r="C52" t="str">
            <v>OTH_LT_ASS</v>
          </cell>
          <cell r="D52" t="str">
            <v>TWD</v>
          </cell>
          <cell r="Y52">
            <v>1704.7949999999919</v>
          </cell>
          <cell r="Z52">
            <v>2378.6270000000022</v>
          </cell>
          <cell r="AA52">
            <v>2238.5209999999997</v>
          </cell>
          <cell r="AB52">
            <v>2357.8929999999887</v>
          </cell>
          <cell r="AC52">
            <v>2658.6219999999962</v>
          </cell>
          <cell r="AD52">
            <v>3202.0170000000276</v>
          </cell>
          <cell r="AE52">
            <v>3202.0169999999748</v>
          </cell>
          <cell r="AF52">
            <v>3202.0170000000003</v>
          </cell>
          <cell r="AG52">
            <v>3202.0169999999716</v>
          </cell>
          <cell r="AU52">
            <v>1684.5270000000021</v>
          </cell>
          <cell r="AV52">
            <v>1354.5960000000027</v>
          </cell>
          <cell r="AW52">
            <v>1688.9689999999964</v>
          </cell>
          <cell r="AX52">
            <v>1704.7949999999919</v>
          </cell>
          <cell r="AY52">
            <v>1604.5360000000026</v>
          </cell>
          <cell r="AZ52">
            <v>1787.3120000000042</v>
          </cell>
          <cell r="BA52">
            <v>2061.2650000000003</v>
          </cell>
          <cell r="BB52">
            <v>2378.6270000000022</v>
          </cell>
          <cell r="BC52">
            <v>2353.0329999999931</v>
          </cell>
          <cell r="BD52">
            <v>2203.7050000000058</v>
          </cell>
          <cell r="BE52">
            <v>2329.9959999999978</v>
          </cell>
          <cell r="BF52">
            <v>2238.5209999999997</v>
          </cell>
          <cell r="BG52">
            <v>2415.651999999996</v>
          </cell>
          <cell r="BH52">
            <v>2404.4470000000051</v>
          </cell>
          <cell r="BI52">
            <v>2474.5450000000014</v>
          </cell>
          <cell r="BJ52">
            <v>2357.8929999999887</v>
          </cell>
          <cell r="BK52">
            <v>2983.1750000000034</v>
          </cell>
          <cell r="BL52">
            <v>3062.2890000000098</v>
          </cell>
          <cell r="BM52">
            <v>3754.87499999998</v>
          </cell>
          <cell r="BN52">
            <v>2658.6219999999962</v>
          </cell>
          <cell r="BO52">
            <v>2901.9590000000098</v>
          </cell>
          <cell r="BP52">
            <v>2826.5489999999936</v>
          </cell>
          <cell r="BQ52">
            <v>3405.4979999999978</v>
          </cell>
          <cell r="BR52">
            <v>3202.0170000000276</v>
          </cell>
          <cell r="BS52">
            <v>3202.0170000000007</v>
          </cell>
          <cell r="BT52">
            <v>3202.0169999999798</v>
          </cell>
          <cell r="BU52">
            <v>3202.0170000000066</v>
          </cell>
          <cell r="BV52">
            <v>3202.0169999999748</v>
          </cell>
          <cell r="BW52">
            <v>3202.0169999999889</v>
          </cell>
          <cell r="BX52">
            <v>3202.016999999988</v>
          </cell>
          <cell r="BY52">
            <v>3202.0169999999953</v>
          </cell>
          <cell r="BZ52">
            <v>3202.0170000000003</v>
          </cell>
        </row>
        <row r="53">
          <cell r="B53" t="str">
            <v>Total assets</v>
          </cell>
          <cell r="C53" t="str">
            <v>TOT_ASSET</v>
          </cell>
          <cell r="D53" t="str">
            <v>TWD</v>
          </cell>
          <cell r="Y53">
            <v>38613.558999999994</v>
          </cell>
          <cell r="Z53">
            <v>61053.584000000003</v>
          </cell>
          <cell r="AA53">
            <v>83986.576000000001</v>
          </cell>
          <cell r="AB53">
            <v>97074.459999999992</v>
          </cell>
          <cell r="AC53">
            <v>115901.23299999999</v>
          </cell>
          <cell r="AD53">
            <v>132648.42400000003</v>
          </cell>
          <cell r="AE53">
            <v>148986.70866065758</v>
          </cell>
          <cell r="AF53">
            <v>164655.36122761414</v>
          </cell>
          <cell r="AG53">
            <v>179006.32912320978</v>
          </cell>
          <cell r="AU53">
            <v>32160.563999999998</v>
          </cell>
          <cell r="AV53">
            <v>33230.495000000003</v>
          </cell>
          <cell r="AW53">
            <v>33873.129999999997</v>
          </cell>
          <cell r="AX53">
            <v>38613.558999999994</v>
          </cell>
          <cell r="AY53">
            <v>40801.440000000002</v>
          </cell>
          <cell r="AZ53">
            <v>45952.288000000008</v>
          </cell>
          <cell r="BA53">
            <v>50614.246000000006</v>
          </cell>
          <cell r="BB53">
            <v>61053.584000000003</v>
          </cell>
          <cell r="BC53">
            <v>68671.837</v>
          </cell>
          <cell r="BD53">
            <v>76145.444000000003</v>
          </cell>
          <cell r="BE53">
            <v>77430.509999999995</v>
          </cell>
          <cell r="BF53">
            <v>83986.576000000001</v>
          </cell>
          <cell r="BG53">
            <v>86618.612999999998</v>
          </cell>
          <cell r="BH53">
            <v>89079.76400000001</v>
          </cell>
          <cell r="BI53">
            <v>85297.327000000005</v>
          </cell>
          <cell r="BJ53">
            <v>97074.459999999992</v>
          </cell>
          <cell r="BK53">
            <v>101248.57800000001</v>
          </cell>
          <cell r="BL53">
            <v>104753.04000000001</v>
          </cell>
          <cell r="BM53">
            <v>104414.56399999998</v>
          </cell>
          <cell r="BN53">
            <v>115901.23299999999</v>
          </cell>
          <cell r="BO53">
            <v>120261.24800000001</v>
          </cell>
          <cell r="BP53">
            <v>125893.522</v>
          </cell>
          <cell r="BQ53">
            <v>123349.76800000001</v>
          </cell>
          <cell r="BR53">
            <v>132648.42400000003</v>
          </cell>
          <cell r="BS53">
            <v>129253.97521332177</v>
          </cell>
          <cell r="BT53">
            <v>150383.70932150673</v>
          </cell>
          <cell r="BU53">
            <v>144402.1696121651</v>
          </cell>
          <cell r="BV53">
            <v>148986.70866065758</v>
          </cell>
          <cell r="BW53">
            <v>147771.50586777739</v>
          </cell>
          <cell r="BX53">
            <v>166098.08337661656</v>
          </cell>
          <cell r="BY53">
            <v>171444.38712675334</v>
          </cell>
          <cell r="BZ53">
            <v>164655.36122761414</v>
          </cell>
        </row>
        <row r="54">
          <cell r="B54" t="str">
            <v>Accounts payable</v>
          </cell>
          <cell r="C54" t="str">
            <v>ACC_PAY_GQ</v>
          </cell>
          <cell r="D54" t="str">
            <v>TWD</v>
          </cell>
          <cell r="Y54">
            <v>6432.4210000000003</v>
          </cell>
          <cell r="Z54">
            <v>12093.053</v>
          </cell>
          <cell r="AA54">
            <v>16826.614999999998</v>
          </cell>
          <cell r="AB54">
            <v>16387.843999999997</v>
          </cell>
          <cell r="AC54">
            <v>19082.858</v>
          </cell>
          <cell r="AD54">
            <v>20073.374</v>
          </cell>
          <cell r="AE54">
            <v>20306.591191375377</v>
          </cell>
          <cell r="AF54">
            <v>20105.083221411933</v>
          </cell>
          <cell r="AG54">
            <v>19630.585064843461</v>
          </cell>
          <cell r="AU54">
            <v>6031.8270000000002</v>
          </cell>
          <cell r="AV54">
            <v>7458.61</v>
          </cell>
          <cell r="AW54">
            <v>5797.2189999999991</v>
          </cell>
          <cell r="AX54">
            <v>6432.4210000000003</v>
          </cell>
          <cell r="AY54">
            <v>5421.1620000000003</v>
          </cell>
          <cell r="AZ54">
            <v>10857.084999999999</v>
          </cell>
          <cell r="BA54">
            <v>9995.8990000000013</v>
          </cell>
          <cell r="BB54">
            <v>12093.053</v>
          </cell>
          <cell r="BC54">
            <v>14591.996999999999</v>
          </cell>
          <cell r="BD54">
            <v>24407.303</v>
          </cell>
          <cell r="BE54">
            <v>17752.241999999998</v>
          </cell>
          <cell r="BF54">
            <v>16826.614999999998</v>
          </cell>
          <cell r="BG54">
            <v>15668.312</v>
          </cell>
          <cell r="BH54">
            <v>24293.152999999998</v>
          </cell>
          <cell r="BI54">
            <v>14839.530999999999</v>
          </cell>
          <cell r="BJ54">
            <v>16387.843999999997</v>
          </cell>
          <cell r="BK54">
            <v>16469.947</v>
          </cell>
          <cell r="BL54">
            <v>25086.305</v>
          </cell>
          <cell r="BM54">
            <v>17115.665000000001</v>
          </cell>
          <cell r="BN54">
            <v>19082.858</v>
          </cell>
          <cell r="BO54">
            <v>19046.812000000002</v>
          </cell>
          <cell r="BP54">
            <v>28891.467000000001</v>
          </cell>
          <cell r="BQ54">
            <v>18864.600999999999</v>
          </cell>
          <cell r="BR54">
            <v>20073.374</v>
          </cell>
          <cell r="BS54">
            <v>12415.226674002046</v>
          </cell>
          <cell r="BT54">
            <v>27773.470360037074</v>
          </cell>
          <cell r="BU54">
            <v>22865.322881128526</v>
          </cell>
          <cell r="BV54">
            <v>20306.591191375377</v>
          </cell>
          <cell r="BW54">
            <v>14463.397158892582</v>
          </cell>
          <cell r="BX54">
            <v>26884.44398693318</v>
          </cell>
          <cell r="BY54">
            <v>23763.821608571463</v>
          </cell>
          <cell r="BZ54">
            <v>20105.083221411933</v>
          </cell>
        </row>
        <row r="55">
          <cell r="B55" t="str">
            <v>Short-term debt</v>
          </cell>
          <cell r="C55" t="str">
            <v>SHORT_T_DEBT</v>
          </cell>
          <cell r="D55" t="str">
            <v>TWD</v>
          </cell>
          <cell r="Y55">
            <v>82.578999999999994</v>
          </cell>
          <cell r="Z55">
            <v>190.15700000000001</v>
          </cell>
          <cell r="AA55">
            <v>157.18899999999999</v>
          </cell>
          <cell r="AB55">
            <v>37.606999999999999</v>
          </cell>
          <cell r="AC55">
            <v>395.774</v>
          </cell>
          <cell r="AD55">
            <v>552.86800000000005</v>
          </cell>
          <cell r="AE55">
            <v>552.86800000000005</v>
          </cell>
          <cell r="AF55">
            <v>552.86800000000005</v>
          </cell>
          <cell r="AG55">
            <v>552.86800000000005</v>
          </cell>
          <cell r="AU55">
            <v>104.30200000000001</v>
          </cell>
          <cell r="AV55">
            <v>78.578000000000003</v>
          </cell>
          <cell r="AW55">
            <v>75.847999999999999</v>
          </cell>
          <cell r="AX55">
            <v>82.578999999999994</v>
          </cell>
          <cell r="AY55">
            <v>12.131</v>
          </cell>
          <cell r="AZ55">
            <v>13.834</v>
          </cell>
          <cell r="BA55">
            <v>210.90700000000001</v>
          </cell>
          <cell r="BB55">
            <v>190.15700000000001</v>
          </cell>
          <cell r="BC55">
            <v>179.12899999999999</v>
          </cell>
          <cell r="BD55">
            <v>269.33600000000001</v>
          </cell>
          <cell r="BE55">
            <v>163.59</v>
          </cell>
          <cell r="BF55">
            <v>157.18899999999999</v>
          </cell>
          <cell r="BG55">
            <v>197.52</v>
          </cell>
          <cell r="BH55">
            <v>79.186999999999998</v>
          </cell>
          <cell r="BI55">
            <v>34.198</v>
          </cell>
          <cell r="BJ55">
            <v>37.606999999999999</v>
          </cell>
          <cell r="BK55">
            <v>0</v>
          </cell>
          <cell r="BL55">
            <v>161.57599999999999</v>
          </cell>
          <cell r="BM55">
            <v>409.31400000000002</v>
          </cell>
          <cell r="BN55">
            <v>395.774</v>
          </cell>
          <cell r="BO55">
            <v>443.33800000000002</v>
          </cell>
          <cell r="BP55">
            <v>589.697</v>
          </cell>
          <cell r="BQ55">
            <v>400.54899999999998</v>
          </cell>
          <cell r="BR55">
            <v>552.86800000000005</v>
          </cell>
          <cell r="BS55">
            <v>552.86800000000005</v>
          </cell>
          <cell r="BT55">
            <v>552.86800000000005</v>
          </cell>
          <cell r="BU55">
            <v>552.86800000000005</v>
          </cell>
          <cell r="BV55">
            <v>552.86800000000005</v>
          </cell>
          <cell r="BW55">
            <v>552.86800000000005</v>
          </cell>
          <cell r="BX55">
            <v>552.86800000000005</v>
          </cell>
          <cell r="BY55">
            <v>552.86800000000005</v>
          </cell>
          <cell r="BZ55">
            <v>552.86800000000005</v>
          </cell>
        </row>
        <row r="56">
          <cell r="B56" t="str">
            <v>Other current liabilities</v>
          </cell>
          <cell r="C56" t="str">
            <v>OTH_CUR_LIABS</v>
          </cell>
          <cell r="D56" t="str">
            <v>TWD</v>
          </cell>
          <cell r="Y56">
            <v>1581.9350000000002</v>
          </cell>
          <cell r="Z56">
            <v>2499.9969999999985</v>
          </cell>
          <cell r="AA56">
            <v>3543.2580000000039</v>
          </cell>
          <cell r="AB56">
            <v>3715.8090000000011</v>
          </cell>
          <cell r="AC56">
            <v>3931.0739999999983</v>
          </cell>
          <cell r="AD56">
            <v>4304.7369999999992</v>
          </cell>
          <cell r="AE56">
            <v>4344.7369999999992</v>
          </cell>
          <cell r="AF56">
            <v>4384.7369999999992</v>
          </cell>
          <cell r="AG56">
            <v>4424.7369999999992</v>
          </cell>
          <cell r="AU56">
            <v>1033.1369999999995</v>
          </cell>
          <cell r="AV56">
            <v>936.58499999999958</v>
          </cell>
          <cell r="AW56">
            <v>945.08300000000054</v>
          </cell>
          <cell r="AX56">
            <v>1581.9350000000002</v>
          </cell>
          <cell r="AY56">
            <v>1839.3839999999993</v>
          </cell>
          <cell r="AZ56">
            <v>1701.8850000000009</v>
          </cell>
          <cell r="BA56">
            <v>1668.5629999999994</v>
          </cell>
          <cell r="BB56">
            <v>2499.9969999999985</v>
          </cell>
          <cell r="BC56">
            <v>3251.2470000000003</v>
          </cell>
          <cell r="BD56">
            <v>2930.38</v>
          </cell>
          <cell r="BE56">
            <v>2602.0190000000002</v>
          </cell>
          <cell r="BF56">
            <v>3543.2580000000039</v>
          </cell>
          <cell r="BG56">
            <v>4137.5239999999994</v>
          </cell>
          <cell r="BH56">
            <v>2974.8420000000024</v>
          </cell>
          <cell r="BI56">
            <v>2527.3159999999993</v>
          </cell>
          <cell r="BJ56">
            <v>3715.8090000000011</v>
          </cell>
          <cell r="BK56">
            <v>4605.6759999999995</v>
          </cell>
          <cell r="BL56">
            <v>2975.6349999999993</v>
          </cell>
          <cell r="BM56">
            <v>2637.9329999999995</v>
          </cell>
          <cell r="BN56">
            <v>3931.0739999999983</v>
          </cell>
          <cell r="BO56">
            <v>4661.3499999999985</v>
          </cell>
          <cell r="BP56">
            <v>3543.1870000000017</v>
          </cell>
          <cell r="BQ56">
            <v>3027.8429999999998</v>
          </cell>
          <cell r="BR56">
            <v>4304.7369999999992</v>
          </cell>
          <cell r="BS56">
            <v>4314.7369999999992</v>
          </cell>
          <cell r="BT56">
            <v>4324.7369999999992</v>
          </cell>
          <cell r="BU56">
            <v>4334.7369999999992</v>
          </cell>
          <cell r="BV56">
            <v>4344.7369999999992</v>
          </cell>
          <cell r="BW56">
            <v>4354.7369999999992</v>
          </cell>
          <cell r="BX56">
            <v>4364.7369999999992</v>
          </cell>
          <cell r="BY56">
            <v>4374.7369999999992</v>
          </cell>
          <cell r="BZ56">
            <v>4384.7369999999992</v>
          </cell>
        </row>
        <row r="57">
          <cell r="B57" t="str">
            <v>Total current liabilities</v>
          </cell>
          <cell r="C57" t="str">
            <v>SHORT_TERM_LIABS</v>
          </cell>
          <cell r="D57" t="str">
            <v>TWD</v>
          </cell>
          <cell r="Y57">
            <v>8096.9350000000004</v>
          </cell>
          <cell r="Z57">
            <v>14783.206999999999</v>
          </cell>
          <cell r="AA57">
            <v>20527.062000000002</v>
          </cell>
          <cell r="AB57">
            <v>20141.259999999998</v>
          </cell>
          <cell r="AC57">
            <v>23409.705999999998</v>
          </cell>
          <cell r="AD57">
            <v>24930.978999999999</v>
          </cell>
          <cell r="AE57">
            <v>25204.196191375377</v>
          </cell>
          <cell r="AF57">
            <v>25042.688221411932</v>
          </cell>
          <cell r="AG57">
            <v>24608.19006484346</v>
          </cell>
          <cell r="AU57">
            <v>7169.2659999999996</v>
          </cell>
          <cell r="AV57">
            <v>8473.7729999999992</v>
          </cell>
          <cell r="AW57">
            <v>6818.15</v>
          </cell>
          <cell r="AX57">
            <v>8096.9350000000004</v>
          </cell>
          <cell r="AY57">
            <v>7272.6769999999997</v>
          </cell>
          <cell r="AZ57">
            <v>12572.804</v>
          </cell>
          <cell r="BA57">
            <v>11875.369000000001</v>
          </cell>
          <cell r="BB57">
            <v>14783.206999999999</v>
          </cell>
          <cell r="BC57">
            <v>18022.373</v>
          </cell>
          <cell r="BD57">
            <v>27607.019</v>
          </cell>
          <cell r="BE57">
            <v>20517.850999999999</v>
          </cell>
          <cell r="BF57">
            <v>20527.062000000002</v>
          </cell>
          <cell r="BG57">
            <v>20003.356</v>
          </cell>
          <cell r="BH57">
            <v>27347.182000000001</v>
          </cell>
          <cell r="BI57">
            <v>17401.044999999998</v>
          </cell>
          <cell r="BJ57">
            <v>20141.259999999998</v>
          </cell>
          <cell r="BK57">
            <v>21075.623</v>
          </cell>
          <cell r="BL57">
            <v>28223.516</v>
          </cell>
          <cell r="BM57">
            <v>20162.912</v>
          </cell>
          <cell r="BN57">
            <v>23409.705999999998</v>
          </cell>
          <cell r="BO57">
            <v>24151.5</v>
          </cell>
          <cell r="BP57">
            <v>33024.351000000002</v>
          </cell>
          <cell r="BQ57">
            <v>22292.992999999999</v>
          </cell>
          <cell r="BR57">
            <v>24930.978999999999</v>
          </cell>
          <cell r="BS57">
            <v>17282.831674002045</v>
          </cell>
          <cell r="BT57">
            <v>32651.075360037074</v>
          </cell>
          <cell r="BU57">
            <v>27752.927881128526</v>
          </cell>
          <cell r="BV57">
            <v>25204.196191375377</v>
          </cell>
          <cell r="BW57">
            <v>19371.002158892581</v>
          </cell>
          <cell r="BX57">
            <v>31802.04898693318</v>
          </cell>
          <cell r="BY57">
            <v>28691.426608571463</v>
          </cell>
          <cell r="BZ57">
            <v>25042.688221411932</v>
          </cell>
        </row>
        <row r="58">
          <cell r="B58" t="str">
            <v>Long-term  debt</v>
          </cell>
          <cell r="C58" t="str">
            <v>LT_DEBT</v>
          </cell>
          <cell r="D58" t="str">
            <v>TWD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</row>
        <row r="59">
          <cell r="B59" t="str">
            <v>Other long-term liabilities</v>
          </cell>
          <cell r="C59" t="str">
            <v>OTH_LT_CRED_GQ</v>
          </cell>
          <cell r="D59" t="str">
            <v>TWD</v>
          </cell>
          <cell r="Y59">
            <v>71.466999999999999</v>
          </cell>
          <cell r="Z59">
            <v>72.207999999999998</v>
          </cell>
          <cell r="AA59">
            <v>73.215000000000003</v>
          </cell>
          <cell r="AB59">
            <v>90.685000000000002</v>
          </cell>
          <cell r="AC59">
            <v>94.296000000000006</v>
          </cell>
          <cell r="AD59">
            <v>117.874</v>
          </cell>
          <cell r="AE59">
            <v>117.874</v>
          </cell>
          <cell r="AF59">
            <v>117.874</v>
          </cell>
          <cell r="AG59">
            <v>117.874</v>
          </cell>
          <cell r="AU59">
            <v>73.055999999999997</v>
          </cell>
          <cell r="AV59">
            <v>79.856999999999999</v>
          </cell>
          <cell r="AW59">
            <v>68.662000000000006</v>
          </cell>
          <cell r="AX59">
            <v>71.466999999999999</v>
          </cell>
          <cell r="AY59">
            <v>72.040000000000006</v>
          </cell>
          <cell r="AZ59">
            <v>66.453000000000003</v>
          </cell>
          <cell r="BA59">
            <v>77.778000000000006</v>
          </cell>
          <cell r="BB59">
            <v>72.207999999999998</v>
          </cell>
          <cell r="BC59">
            <v>83.087999999999994</v>
          </cell>
          <cell r="BD59">
            <v>77.180000000000007</v>
          </cell>
          <cell r="BE59">
            <v>93.57</v>
          </cell>
          <cell r="BF59">
            <v>73.215000000000003</v>
          </cell>
          <cell r="BG59">
            <v>71.853999999999999</v>
          </cell>
          <cell r="BH59">
            <v>70.653999999999996</v>
          </cell>
          <cell r="BI59">
            <v>71.141000000000005</v>
          </cell>
          <cell r="BJ59">
            <v>90.685000000000002</v>
          </cell>
          <cell r="BK59">
            <v>77.052000000000007</v>
          </cell>
          <cell r="BL59">
            <v>76.78</v>
          </cell>
          <cell r="BM59">
            <v>77.513999999999996</v>
          </cell>
          <cell r="BN59">
            <v>94.296000000000006</v>
          </cell>
          <cell r="BO59">
            <v>91.063999999999993</v>
          </cell>
          <cell r="BP59">
            <v>91.968000000000004</v>
          </cell>
          <cell r="BQ59">
            <v>91.087999999999994</v>
          </cell>
          <cell r="BR59">
            <v>117.874</v>
          </cell>
          <cell r="BS59">
            <v>117.874</v>
          </cell>
          <cell r="BT59">
            <v>117.874</v>
          </cell>
          <cell r="BU59">
            <v>117.874</v>
          </cell>
          <cell r="BV59">
            <v>117.874</v>
          </cell>
          <cell r="BW59">
            <v>117.874</v>
          </cell>
          <cell r="BX59">
            <v>117.874</v>
          </cell>
          <cell r="BY59">
            <v>117.874</v>
          </cell>
          <cell r="BZ59">
            <v>117.874</v>
          </cell>
        </row>
        <row r="60">
          <cell r="B60" t="str">
            <v>Total long-term liabilities</v>
          </cell>
          <cell r="C60" t="str">
            <v>TOT_LT_LIAB</v>
          </cell>
          <cell r="D60" t="str">
            <v>TWD</v>
          </cell>
          <cell r="Y60">
            <v>71.466999999999999</v>
          </cell>
          <cell r="Z60">
            <v>72.207999999999998</v>
          </cell>
          <cell r="AA60">
            <v>73.215000000000003</v>
          </cell>
          <cell r="AB60">
            <v>90.685000000000002</v>
          </cell>
          <cell r="AC60">
            <v>94.296000000000006</v>
          </cell>
          <cell r="AD60">
            <v>117.874</v>
          </cell>
          <cell r="AE60">
            <v>117.874</v>
          </cell>
          <cell r="AF60">
            <v>117.874</v>
          </cell>
          <cell r="AG60">
            <v>117.874</v>
          </cell>
          <cell r="AU60">
            <v>73.055999999999997</v>
          </cell>
          <cell r="AV60">
            <v>79.856999999999999</v>
          </cell>
          <cell r="AW60">
            <v>68.662000000000006</v>
          </cell>
          <cell r="AX60">
            <v>71.466999999999999</v>
          </cell>
          <cell r="AY60">
            <v>72.040000000000006</v>
          </cell>
          <cell r="AZ60">
            <v>66.453000000000003</v>
          </cell>
          <cell r="BA60">
            <v>77.778000000000006</v>
          </cell>
          <cell r="BB60">
            <v>72.207999999999998</v>
          </cell>
          <cell r="BC60">
            <v>83.087999999999994</v>
          </cell>
          <cell r="BD60">
            <v>77.180000000000007</v>
          </cell>
          <cell r="BE60">
            <v>93.57</v>
          </cell>
          <cell r="BF60">
            <v>73.215000000000003</v>
          </cell>
          <cell r="BG60">
            <v>71.853999999999999</v>
          </cell>
          <cell r="BH60">
            <v>70.653999999999996</v>
          </cell>
          <cell r="BI60">
            <v>71.141000000000005</v>
          </cell>
          <cell r="BJ60">
            <v>90.685000000000002</v>
          </cell>
          <cell r="BK60">
            <v>77.052000000000007</v>
          </cell>
          <cell r="BL60">
            <v>76.78</v>
          </cell>
          <cell r="BM60">
            <v>77.513999999999996</v>
          </cell>
          <cell r="BN60">
            <v>94.296000000000006</v>
          </cell>
          <cell r="BO60">
            <v>91.063999999999993</v>
          </cell>
          <cell r="BP60">
            <v>91.968000000000004</v>
          </cell>
          <cell r="BQ60">
            <v>91.087999999999994</v>
          </cell>
          <cell r="BR60">
            <v>117.874</v>
          </cell>
          <cell r="BS60">
            <v>117.874</v>
          </cell>
          <cell r="BT60">
            <v>117.874</v>
          </cell>
          <cell r="BU60">
            <v>117.874</v>
          </cell>
          <cell r="BV60">
            <v>117.874</v>
          </cell>
          <cell r="BW60">
            <v>117.874</v>
          </cell>
          <cell r="BX60">
            <v>117.874</v>
          </cell>
          <cell r="BY60">
            <v>117.874</v>
          </cell>
          <cell r="BZ60">
            <v>117.874</v>
          </cell>
        </row>
        <row r="61">
          <cell r="B61" t="str">
            <v>Total liabilities</v>
          </cell>
          <cell r="C61" t="str">
            <v>TOT_LIAB</v>
          </cell>
          <cell r="D61" t="str">
            <v>TWD</v>
          </cell>
          <cell r="Y61">
            <v>8168.402</v>
          </cell>
          <cell r="Z61">
            <v>14855.414999999999</v>
          </cell>
          <cell r="AA61">
            <v>20600.277000000002</v>
          </cell>
          <cell r="AB61">
            <v>20231.945</v>
          </cell>
          <cell r="AC61">
            <v>23504.001999999997</v>
          </cell>
          <cell r="AD61">
            <v>25048.852999999999</v>
          </cell>
          <cell r="AE61">
            <v>25322.070191375376</v>
          </cell>
          <cell r="AF61">
            <v>25160.562221411932</v>
          </cell>
          <cell r="AG61">
            <v>24726.06406484346</v>
          </cell>
          <cell r="AU61">
            <v>7242.3219999999992</v>
          </cell>
          <cell r="AV61">
            <v>8553.6299999999992</v>
          </cell>
          <cell r="AW61">
            <v>6886.8119999999999</v>
          </cell>
          <cell r="AX61">
            <v>8168.402</v>
          </cell>
          <cell r="AY61">
            <v>7344.7169999999996</v>
          </cell>
          <cell r="AZ61">
            <v>12639.257</v>
          </cell>
          <cell r="BA61">
            <v>11953.147000000001</v>
          </cell>
          <cell r="BB61">
            <v>14855.414999999999</v>
          </cell>
          <cell r="BC61">
            <v>18105.460999999999</v>
          </cell>
          <cell r="BD61">
            <v>27684.199000000001</v>
          </cell>
          <cell r="BE61">
            <v>20611.420999999998</v>
          </cell>
          <cell r="BF61">
            <v>20600.277000000002</v>
          </cell>
          <cell r="BG61">
            <v>20075.21</v>
          </cell>
          <cell r="BH61">
            <v>27417.835999999999</v>
          </cell>
          <cell r="BI61">
            <v>17472.185999999998</v>
          </cell>
          <cell r="BJ61">
            <v>20231.945</v>
          </cell>
          <cell r="BK61">
            <v>21152.674999999999</v>
          </cell>
          <cell r="BL61">
            <v>28300.295999999998</v>
          </cell>
          <cell r="BM61">
            <v>20240.425999999999</v>
          </cell>
          <cell r="BN61">
            <v>23504.001999999997</v>
          </cell>
          <cell r="BO61">
            <v>24242.563999999998</v>
          </cell>
          <cell r="BP61">
            <v>33116.319000000003</v>
          </cell>
          <cell r="BQ61">
            <v>22384.080999999998</v>
          </cell>
          <cell r="BR61">
            <v>25048.852999999999</v>
          </cell>
          <cell r="BS61">
            <v>17400.705674002045</v>
          </cell>
          <cell r="BT61">
            <v>32768.949360037077</v>
          </cell>
          <cell r="BU61">
            <v>27870.801881128526</v>
          </cell>
          <cell r="BV61">
            <v>25322.070191375376</v>
          </cell>
          <cell r="BW61">
            <v>19488.876158892581</v>
          </cell>
          <cell r="BX61">
            <v>31919.922986933179</v>
          </cell>
          <cell r="BY61">
            <v>28809.300608571462</v>
          </cell>
          <cell r="BZ61">
            <v>25160.562221411932</v>
          </cell>
        </row>
        <row r="62">
          <cell r="B62" t="str">
            <v>Preferred shares</v>
          </cell>
          <cell r="C62" t="str">
            <v>PREF_SH</v>
          </cell>
          <cell r="D62" t="str">
            <v>TWD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</row>
        <row r="63">
          <cell r="B63" t="str">
            <v>Total common equity</v>
          </cell>
          <cell r="C63" t="str">
            <v>ORD_SH_FUND</v>
          </cell>
          <cell r="D63" t="str">
            <v>TWD</v>
          </cell>
          <cell r="Y63">
            <v>30445.156999999999</v>
          </cell>
          <cell r="Z63">
            <v>46198.169000000002</v>
          </cell>
          <cell r="AA63">
            <v>63386.298999999999</v>
          </cell>
          <cell r="AB63">
            <v>76842.514999999999</v>
          </cell>
          <cell r="AC63">
            <v>92397.231</v>
          </cell>
          <cell r="AD63">
            <v>107599.571</v>
          </cell>
          <cell r="AE63">
            <v>123664.6384692822</v>
          </cell>
          <cell r="AF63">
            <v>139494.7990062022</v>
          </cell>
          <cell r="AG63">
            <v>154280.26505836638</v>
          </cell>
          <cell r="AU63">
            <v>24918.241999999998</v>
          </cell>
          <cell r="AV63">
            <v>24676.865000000002</v>
          </cell>
          <cell r="AW63">
            <v>26986.317999999999</v>
          </cell>
          <cell r="AX63">
            <v>30445.156999999999</v>
          </cell>
          <cell r="AY63">
            <v>33456.722999999998</v>
          </cell>
          <cell r="AZ63">
            <v>33313.031000000003</v>
          </cell>
          <cell r="BA63">
            <v>38661.099000000002</v>
          </cell>
          <cell r="BB63">
            <v>46198.169000000002</v>
          </cell>
          <cell r="BC63">
            <v>50566.375999999997</v>
          </cell>
          <cell r="BD63">
            <v>48461.245000000003</v>
          </cell>
          <cell r="BE63">
            <v>56819.089</v>
          </cell>
          <cell r="BF63">
            <v>63386.298999999999</v>
          </cell>
          <cell r="BG63">
            <v>66543.403000000006</v>
          </cell>
          <cell r="BH63">
            <v>61661.928</v>
          </cell>
          <cell r="BI63">
            <v>67825.141000000003</v>
          </cell>
          <cell r="BJ63">
            <v>76842.514999999999</v>
          </cell>
          <cell r="BK63">
            <v>80095.903000000006</v>
          </cell>
          <cell r="BL63">
            <v>76452.744000000006</v>
          </cell>
          <cell r="BM63">
            <v>84174.138000000006</v>
          </cell>
          <cell r="BN63">
            <v>92397.231</v>
          </cell>
          <cell r="BO63">
            <v>96018.683999999994</v>
          </cell>
          <cell r="BP63">
            <v>92777.202999999994</v>
          </cell>
          <cell r="BQ63">
            <v>100965.68700000001</v>
          </cell>
          <cell r="BR63">
            <v>107599.571</v>
          </cell>
          <cell r="BS63">
            <v>111853.26953931972</v>
          </cell>
          <cell r="BT63">
            <v>117614.75996146968</v>
          </cell>
          <cell r="BU63">
            <v>116531.36773103656</v>
          </cell>
          <cell r="BV63">
            <v>123664.6384692822</v>
          </cell>
          <cell r="BW63">
            <v>128282.62970888482</v>
          </cell>
          <cell r="BX63">
            <v>134178.16038968338</v>
          </cell>
          <cell r="BY63">
            <v>142635.08651818187</v>
          </cell>
          <cell r="BZ63">
            <v>139494.7990062022</v>
          </cell>
        </row>
        <row r="64">
          <cell r="B64" t="str">
            <v>Minority interest</v>
          </cell>
          <cell r="C64" t="str">
            <v>MINORITIES</v>
          </cell>
          <cell r="D64" t="str">
            <v>TWD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</row>
        <row r="65">
          <cell r="B65" t="str">
            <v>Total shareholders' equity</v>
          </cell>
          <cell r="C65" t="str">
            <v>EQ</v>
          </cell>
          <cell r="D65" t="str">
            <v>TWD</v>
          </cell>
          <cell r="Y65">
            <v>30445.156999999999</v>
          </cell>
          <cell r="Z65">
            <v>46198.169000000002</v>
          </cell>
          <cell r="AA65">
            <v>63386.298999999999</v>
          </cell>
          <cell r="AB65">
            <v>76842.514999999999</v>
          </cell>
          <cell r="AC65">
            <v>92397.231</v>
          </cell>
          <cell r="AD65">
            <v>107599.571</v>
          </cell>
          <cell r="AE65">
            <v>123664.6384692822</v>
          </cell>
          <cell r="AF65">
            <v>139494.7990062022</v>
          </cell>
          <cell r="AG65">
            <v>154280.26505836638</v>
          </cell>
          <cell r="AU65">
            <v>24918.241999999998</v>
          </cell>
          <cell r="AV65">
            <v>24676.865000000002</v>
          </cell>
          <cell r="AW65">
            <v>26986.317999999999</v>
          </cell>
          <cell r="AX65">
            <v>30445.156999999999</v>
          </cell>
          <cell r="AY65">
            <v>33456.722999999998</v>
          </cell>
          <cell r="AZ65">
            <v>33313.031000000003</v>
          </cell>
          <cell r="BA65">
            <v>38661.099000000002</v>
          </cell>
          <cell r="BB65">
            <v>46198.169000000002</v>
          </cell>
          <cell r="BC65">
            <v>50566.375999999997</v>
          </cell>
          <cell r="BD65">
            <v>48461.245000000003</v>
          </cell>
          <cell r="BE65">
            <v>56819.089</v>
          </cell>
          <cell r="BF65">
            <v>63386.298999999999</v>
          </cell>
          <cell r="BG65">
            <v>66543.403000000006</v>
          </cell>
          <cell r="BH65">
            <v>61661.928</v>
          </cell>
          <cell r="BI65">
            <v>67825.141000000003</v>
          </cell>
          <cell r="BJ65">
            <v>76842.514999999999</v>
          </cell>
          <cell r="BK65">
            <v>80095.903000000006</v>
          </cell>
          <cell r="BL65">
            <v>76452.744000000006</v>
          </cell>
          <cell r="BM65">
            <v>84174.138000000006</v>
          </cell>
          <cell r="BN65">
            <v>92397.231</v>
          </cell>
          <cell r="BO65">
            <v>96018.683999999994</v>
          </cell>
          <cell r="BP65">
            <v>92777.202999999994</v>
          </cell>
          <cell r="BQ65">
            <v>100965.68700000001</v>
          </cell>
          <cell r="BR65">
            <v>107599.571</v>
          </cell>
          <cell r="BS65">
            <v>111853.26953931972</v>
          </cell>
          <cell r="BT65">
            <v>117614.75996146968</v>
          </cell>
          <cell r="BU65">
            <v>116531.36773103656</v>
          </cell>
          <cell r="BV65">
            <v>123664.6384692822</v>
          </cell>
          <cell r="BW65">
            <v>128282.62970888482</v>
          </cell>
          <cell r="BX65">
            <v>134178.16038968338</v>
          </cell>
          <cell r="BY65">
            <v>142635.08651818187</v>
          </cell>
          <cell r="BZ65">
            <v>139494.7990062022</v>
          </cell>
        </row>
        <row r="66">
          <cell r="B66" t="str">
            <v>Total liabilities and equity</v>
          </cell>
          <cell r="C66" t="str">
            <v>TOT_LIAB_EQ</v>
          </cell>
          <cell r="D66" t="str">
            <v>TWD</v>
          </cell>
          <cell r="Y66">
            <v>38613.559000000001</v>
          </cell>
          <cell r="Z66">
            <v>61053.584000000003</v>
          </cell>
          <cell r="AA66">
            <v>83986.576000000001</v>
          </cell>
          <cell r="AB66">
            <v>97074.459999999992</v>
          </cell>
          <cell r="AC66">
            <v>115901.23299999999</v>
          </cell>
          <cell r="AD66">
            <v>132648.424</v>
          </cell>
          <cell r="AE66">
            <v>148986.70866065758</v>
          </cell>
          <cell r="AF66">
            <v>164655.36122761414</v>
          </cell>
          <cell r="AG66">
            <v>179006.32912320984</v>
          </cell>
          <cell r="AU66">
            <v>32160.563999999998</v>
          </cell>
          <cell r="AV66">
            <v>33230.495000000003</v>
          </cell>
          <cell r="AW66">
            <v>33873.129999999997</v>
          </cell>
          <cell r="AX66">
            <v>38613.559000000001</v>
          </cell>
          <cell r="AY66">
            <v>40801.439999999995</v>
          </cell>
          <cell r="AZ66">
            <v>45952.288</v>
          </cell>
          <cell r="BA66">
            <v>50614.245999999999</v>
          </cell>
          <cell r="BB66">
            <v>61053.584000000003</v>
          </cell>
          <cell r="BC66">
            <v>68671.837</v>
          </cell>
          <cell r="BD66">
            <v>76145.444000000003</v>
          </cell>
          <cell r="BE66">
            <v>77430.509999999995</v>
          </cell>
          <cell r="BF66">
            <v>83986.576000000001</v>
          </cell>
          <cell r="BG66">
            <v>86618.613000000012</v>
          </cell>
          <cell r="BH66">
            <v>89079.763999999996</v>
          </cell>
          <cell r="BI66">
            <v>85297.327000000005</v>
          </cell>
          <cell r="BJ66">
            <v>97074.459999999992</v>
          </cell>
          <cell r="BK66">
            <v>101248.57800000001</v>
          </cell>
          <cell r="BL66">
            <v>104753.04000000001</v>
          </cell>
          <cell r="BM66">
            <v>104414.56400000001</v>
          </cell>
          <cell r="BN66">
            <v>115901.23299999999</v>
          </cell>
          <cell r="BO66">
            <v>120261.24799999999</v>
          </cell>
          <cell r="BP66">
            <v>125893.522</v>
          </cell>
          <cell r="BQ66">
            <v>123349.76800000001</v>
          </cell>
          <cell r="BR66">
            <v>132648.424</v>
          </cell>
          <cell r="BS66">
            <v>129253.97521332177</v>
          </cell>
          <cell r="BT66">
            <v>150383.70932150676</v>
          </cell>
          <cell r="BU66">
            <v>144402.16961216507</v>
          </cell>
          <cell r="BV66">
            <v>148986.70866065758</v>
          </cell>
          <cell r="BW66">
            <v>147771.50586777739</v>
          </cell>
          <cell r="BX66">
            <v>166098.08337661656</v>
          </cell>
          <cell r="BY66">
            <v>171444.38712675334</v>
          </cell>
          <cell r="BZ66">
            <v>164655.36122761414</v>
          </cell>
        </row>
        <row r="67">
          <cell r="A67" t="str">
            <v>Additional Balance Sheet Items</v>
          </cell>
        </row>
        <row r="68">
          <cell r="B68" t="str">
            <v>Total US$ debt (in US$)</v>
          </cell>
          <cell r="C68" t="str">
            <v>TOT_USD_DEBT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B69" t="str">
            <v>% US$ debt hedged (principal)</v>
          </cell>
          <cell r="C69" t="str">
            <v>TOT_PCT_USD_DEBT_HEDGED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B70" t="str">
            <v>% Floating debt (local currency debt)</v>
          </cell>
          <cell r="C70" t="str">
            <v>FLOATING_PCT_LOCAL_DEBT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B71" t="str">
            <v>% floating debt hedged (rates)</v>
          </cell>
          <cell r="C71" t="str">
            <v>FLOATING_PCT_LOCAL_DEBT_HEDGED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B72" t="str">
            <v>Net debt</v>
          </cell>
          <cell r="C72" t="str">
            <v>NET_DEBT</v>
          </cell>
          <cell r="D72" t="str">
            <v>TWD</v>
          </cell>
          <cell r="Y72">
            <v>-13420.222</v>
          </cell>
          <cell r="Z72">
            <v>-23910.307000000001</v>
          </cell>
          <cell r="AA72">
            <v>-39055.090000000004</v>
          </cell>
          <cell r="AB72">
            <v>-52702.799999999996</v>
          </cell>
          <cell r="AC72">
            <v>-67500.233999999997</v>
          </cell>
          <cell r="AD72">
            <v>-82850.558000000005</v>
          </cell>
          <cell r="AE72">
            <v>-101489.28447007867</v>
          </cell>
          <cell r="AF72">
            <v>-119113.92337604842</v>
          </cell>
          <cell r="AG72">
            <v>-135305.56142606371</v>
          </cell>
          <cell r="AU72">
            <v>-12442.49</v>
          </cell>
          <cell r="AV72">
            <v>-11649.145</v>
          </cell>
          <cell r="AW72">
            <v>-10945.866</v>
          </cell>
          <cell r="AX72">
            <v>-13420.222</v>
          </cell>
          <cell r="AY72">
            <v>-17892.267</v>
          </cell>
          <cell r="AZ72">
            <v>-19255.164000000001</v>
          </cell>
          <cell r="BA72">
            <v>-19488.721000000001</v>
          </cell>
          <cell r="BB72">
            <v>-23910.307000000001</v>
          </cell>
          <cell r="BC72">
            <v>-32368.327999999998</v>
          </cell>
          <cell r="BD72">
            <v>-31788.434000000001</v>
          </cell>
          <cell r="BE72">
            <v>-33701.060000000005</v>
          </cell>
          <cell r="BF72">
            <v>-39055.090000000004</v>
          </cell>
          <cell r="BG72">
            <v>-41637.872000000003</v>
          </cell>
          <cell r="BH72">
            <v>-45820.789000000004</v>
          </cell>
          <cell r="BI72">
            <v>-44171.387000000002</v>
          </cell>
          <cell r="BJ72">
            <v>-52702.799999999996</v>
          </cell>
          <cell r="BK72">
            <v>-58052.63</v>
          </cell>
          <cell r="BL72">
            <v>-57864.313999999998</v>
          </cell>
          <cell r="BM72">
            <v>-58416.101000000002</v>
          </cell>
          <cell r="BN72">
            <v>-67500.233999999997</v>
          </cell>
          <cell r="BO72">
            <v>-73182.947999999989</v>
          </cell>
          <cell r="BP72">
            <v>-73944.547000000006</v>
          </cell>
          <cell r="BQ72">
            <v>-71869.894</v>
          </cell>
          <cell r="BR72">
            <v>-82850.558000000005</v>
          </cell>
          <cell r="BS72">
            <v>-85117.196015406589</v>
          </cell>
          <cell r="BT72">
            <v>-94283.974975720252</v>
          </cell>
          <cell r="BU72">
            <v>-89391.513789433113</v>
          </cell>
          <cell r="BV72">
            <v>-101489.28447007867</v>
          </cell>
          <cell r="BW72">
            <v>-105644.09238258768</v>
          </cell>
          <cell r="BX72">
            <v>-113058.52826155271</v>
          </cell>
          <cell r="BY72">
            <v>-119700.39554332745</v>
          </cell>
          <cell r="BZ72">
            <v>-119113.92337604842</v>
          </cell>
        </row>
        <row r="73">
          <cell r="B73" t="str">
            <v>Capitalized leases</v>
          </cell>
          <cell r="C73" t="str">
            <v>CAP_LEASES</v>
          </cell>
          <cell r="D73" t="str">
            <v>TWD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</row>
        <row r="74">
          <cell r="B74" t="str">
            <v>Deferred income taxes</v>
          </cell>
          <cell r="C74" t="str">
            <v>DEF_INC_TAX</v>
          </cell>
          <cell r="D74" t="str">
            <v>TWD</v>
          </cell>
        </row>
        <row r="75">
          <cell r="B75" t="str">
            <v>Associates (mkt value) used in EV calculation</v>
          </cell>
          <cell r="C75" t="str">
            <v>MV_ASSOCIATES</v>
          </cell>
          <cell r="D75" t="str">
            <v>TWD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</row>
        <row r="76">
          <cell r="B76" t="str">
            <v>Net debt adjustment</v>
          </cell>
          <cell r="C76" t="str">
            <v>NET_DEBT_ADJ</v>
          </cell>
          <cell r="D76" t="str">
            <v>TWD</v>
          </cell>
        </row>
        <row r="77">
          <cell r="B77" t="str">
            <v>Company borrowing margin</v>
          </cell>
          <cell r="C77" t="str">
            <v>CO_BOR_MARGIN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 t="e">
            <v>#VALUE!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</row>
        <row r="78">
          <cell r="B78" t="str">
            <v>Unfunded pensions &amp; other provisions</v>
          </cell>
          <cell r="C78" t="str">
            <v>UNF_PENS</v>
          </cell>
          <cell r="D78" t="str">
            <v>TWD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</row>
        <row r="79">
          <cell r="B79" t="str">
            <v>Unfunded pension liabilities (off balance sheet)</v>
          </cell>
          <cell r="C79" t="str">
            <v>UNF_PENS_OFF</v>
          </cell>
          <cell r="D79" t="str">
            <v>TWD</v>
          </cell>
        </row>
        <row r="80">
          <cell r="B80" t="str">
            <v>Unfunded pension liabilities &amp; other, used in EV</v>
          </cell>
          <cell r="C80" t="str">
            <v>UNF_PENS_LIAB_OTH</v>
          </cell>
          <cell r="D80" t="str">
            <v>TWD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</row>
        <row r="81">
          <cell r="B81" t="str">
            <v>Adjustment for unfunded pensions &amp; goodwill</v>
          </cell>
          <cell r="C81" t="str">
            <v>ADJ_UNF_PENS_GOOD</v>
          </cell>
          <cell r="D81" t="str">
            <v>TWD</v>
          </cell>
          <cell r="Y81">
            <v>-25.609000000000002</v>
          </cell>
          <cell r="Z81">
            <v>-32.728000000000002</v>
          </cell>
          <cell r="AA81">
            <v>-27.747</v>
          </cell>
          <cell r="AB81">
            <v>-34.828000000000003</v>
          </cell>
          <cell r="AC81">
            <v>-84.159000000000006</v>
          </cell>
          <cell r="AD81">
            <v>-80.566000000000003</v>
          </cell>
          <cell r="AE81">
            <v>-46.975300927131315</v>
          </cell>
          <cell r="AF81">
            <v>17.417440325118577</v>
          </cell>
          <cell r="AG81">
            <v>112.61222375674973</v>
          </cell>
          <cell r="AU81">
            <v>-25.137</v>
          </cell>
          <cell r="AV81">
            <v>-22.794</v>
          </cell>
          <cell r="AW81">
            <v>-24.995000000000001</v>
          </cell>
          <cell r="AX81">
            <v>-25.609000000000002</v>
          </cell>
          <cell r="AY81">
            <v>-24.013999999999999</v>
          </cell>
          <cell r="AZ81">
            <v>-28.731000000000002</v>
          </cell>
          <cell r="BA81">
            <v>-27.155000000000001</v>
          </cell>
          <cell r="BB81">
            <v>-32.728000000000002</v>
          </cell>
          <cell r="BC81">
            <v>-32.5</v>
          </cell>
          <cell r="BD81">
            <v>-31.189</v>
          </cell>
          <cell r="BE81">
            <v>-31.312999999999999</v>
          </cell>
          <cell r="BF81">
            <v>-27.747</v>
          </cell>
          <cell r="BG81">
            <v>-45.404000000000003</v>
          </cell>
          <cell r="BH81">
            <v>-40.801000000000002</v>
          </cell>
          <cell r="BI81">
            <v>-39.173999999999999</v>
          </cell>
          <cell r="BJ81">
            <v>-34.828000000000003</v>
          </cell>
          <cell r="BK81">
            <v>-34.173999999999999</v>
          </cell>
          <cell r="BL81">
            <v>-28.669</v>
          </cell>
          <cell r="BM81">
            <v>-86.673000000000002</v>
          </cell>
          <cell r="BN81">
            <v>-84.159000000000006</v>
          </cell>
          <cell r="BO81">
            <v>-80.415999999999997</v>
          </cell>
          <cell r="BP81">
            <v>-100.084</v>
          </cell>
          <cell r="BQ81">
            <v>-88.337000000000003</v>
          </cell>
          <cell r="BR81">
            <v>-80.566000000000003</v>
          </cell>
          <cell r="BS81">
            <v>-75.056016686099824</v>
          </cell>
          <cell r="BT81">
            <v>-67.620905735988316</v>
          </cell>
          <cell r="BU81">
            <v>-58.26066714966548</v>
          </cell>
          <cell r="BV81">
            <v>-46.975300927131315</v>
          </cell>
          <cell r="BW81">
            <v>-33.764807068385835</v>
          </cell>
          <cell r="BX81">
            <v>-18.629185573429027</v>
          </cell>
          <cell r="BY81">
            <v>-1.5684364422608894</v>
          </cell>
          <cell r="BZ81">
            <v>17.417440325118577</v>
          </cell>
        </row>
        <row r="82">
          <cell r="B82" t="str">
            <v>Other GCI adjustments</v>
          </cell>
          <cell r="C82" t="str">
            <v>OTH_GCI_ADJ</v>
          </cell>
          <cell r="D82" t="str">
            <v>TWD</v>
          </cell>
        </row>
        <row r="83">
          <cell r="B83" t="str">
            <v>GCI inflator</v>
          </cell>
          <cell r="C83" t="str">
            <v>GCI_INFL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1</v>
          </cell>
          <cell r="AF83">
            <v>1</v>
          </cell>
          <cell r="AG83">
            <v>1</v>
          </cell>
          <cell r="AU83">
            <v>13</v>
          </cell>
          <cell r="AV83">
            <v>14</v>
          </cell>
          <cell r="AW83">
            <v>15</v>
          </cell>
          <cell r="AX83">
            <v>16</v>
          </cell>
          <cell r="AY83">
            <v>17</v>
          </cell>
          <cell r="AZ83">
            <v>18</v>
          </cell>
          <cell r="BA83">
            <v>19</v>
          </cell>
          <cell r="BB83">
            <v>20</v>
          </cell>
          <cell r="BC83">
            <v>21</v>
          </cell>
          <cell r="BD83">
            <v>22</v>
          </cell>
          <cell r="BE83">
            <v>23</v>
          </cell>
          <cell r="BF83">
            <v>24</v>
          </cell>
          <cell r="BG83">
            <v>25</v>
          </cell>
          <cell r="BH83">
            <v>26</v>
          </cell>
          <cell r="BI83">
            <v>27</v>
          </cell>
          <cell r="BJ83">
            <v>28</v>
          </cell>
          <cell r="BK83">
            <v>29</v>
          </cell>
          <cell r="BL83">
            <v>30</v>
          </cell>
          <cell r="BM83">
            <v>31</v>
          </cell>
          <cell r="BN83">
            <v>32</v>
          </cell>
          <cell r="BO83">
            <v>33</v>
          </cell>
          <cell r="BP83">
            <v>34</v>
          </cell>
          <cell r="BQ83">
            <v>35</v>
          </cell>
          <cell r="BR83">
            <v>36</v>
          </cell>
          <cell r="BS83">
            <v>37</v>
          </cell>
          <cell r="BT83">
            <v>38</v>
          </cell>
          <cell r="BU83">
            <v>39</v>
          </cell>
          <cell r="BV83">
            <v>40</v>
          </cell>
          <cell r="BW83">
            <v>40</v>
          </cell>
          <cell r="BX83">
            <v>40</v>
          </cell>
          <cell r="BY83">
            <v>40</v>
          </cell>
          <cell r="BZ83">
            <v>40</v>
          </cell>
        </row>
        <row r="84">
          <cell r="B84" t="str">
            <v>Minority interest</v>
          </cell>
          <cell r="C84" t="str">
            <v>BAL_MINO_INT</v>
          </cell>
          <cell r="D84" t="str">
            <v>TWD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</row>
        <row r="85">
          <cell r="A85" t="str">
            <v>Cash Flow Statement</v>
          </cell>
        </row>
        <row r="86">
          <cell r="B86" t="str">
            <v>Minority interest add-back</v>
          </cell>
          <cell r="C86" t="str">
            <v>CF_INC_MINORITY</v>
          </cell>
          <cell r="D86" t="str">
            <v>TWD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</row>
        <row r="87">
          <cell r="B87" t="str">
            <v>Depreciation &amp; amortization add-back</v>
          </cell>
          <cell r="C87" t="str">
            <v>DEPR_AMORT</v>
          </cell>
          <cell r="D87" t="str">
            <v>TWD</v>
          </cell>
          <cell r="Y87">
            <v>1447.808</v>
          </cell>
          <cell r="Z87">
            <v>1661.1279999999999</v>
          </cell>
          <cell r="AA87">
            <v>1840.761</v>
          </cell>
          <cell r="AB87">
            <v>2098.5</v>
          </cell>
          <cell r="AC87">
            <v>2300.5679999999998</v>
          </cell>
          <cell r="AD87">
            <v>2895.4679999999998</v>
          </cell>
          <cell r="AE87">
            <v>3205.1681095251852</v>
          </cell>
          <cell r="AF87">
            <v>2893.461957231747</v>
          </cell>
          <cell r="AG87">
            <v>2620.1988288246475</v>
          </cell>
          <cell r="AU87">
            <v>342.976</v>
          </cell>
          <cell r="AV87">
            <v>353.16</v>
          </cell>
          <cell r="AW87">
            <v>370.87100000000004</v>
          </cell>
          <cell r="AX87">
            <v>380.80099999999999</v>
          </cell>
          <cell r="AY87">
            <v>394.65299999999996</v>
          </cell>
          <cell r="AZ87">
            <v>396.57099999999997</v>
          </cell>
          <cell r="BA87">
            <v>414.03300000000002</v>
          </cell>
          <cell r="BB87">
            <v>455.87100000000004</v>
          </cell>
          <cell r="BC87">
            <v>445.37900000000002</v>
          </cell>
          <cell r="BD87">
            <v>457.63600000000002</v>
          </cell>
          <cell r="BE87">
            <v>464.83699999999999</v>
          </cell>
          <cell r="BF87">
            <v>472.90899999999999</v>
          </cell>
          <cell r="BG87">
            <v>497.35399999999998</v>
          </cell>
          <cell r="BH87">
            <v>519.76099999999997</v>
          </cell>
          <cell r="BI87">
            <v>531.87099999999998</v>
          </cell>
          <cell r="BJ87">
            <v>549.51400000000001</v>
          </cell>
          <cell r="BK87">
            <v>566.798</v>
          </cell>
          <cell r="BL87">
            <v>574.625</v>
          </cell>
          <cell r="BM87">
            <v>571.51800000000003</v>
          </cell>
          <cell r="BN87">
            <v>587.62699999999995</v>
          </cell>
          <cell r="BO87">
            <v>625.89200000000005</v>
          </cell>
          <cell r="BP87">
            <v>651.71399999999994</v>
          </cell>
          <cell r="BQ87">
            <v>761.32899999999995</v>
          </cell>
          <cell r="BR87">
            <v>856.53300000000002</v>
          </cell>
          <cell r="BS87">
            <v>832.7940530283912</v>
          </cell>
          <cell r="BT87">
            <v>811.33897338709198</v>
          </cell>
          <cell r="BU87">
            <v>790.56951398217223</v>
          </cell>
          <cell r="BV87">
            <v>770.46556912752988</v>
          </cell>
          <cell r="BW87">
            <v>751.00762273257305</v>
          </cell>
          <cell r="BX87">
            <v>732.17673101244247</v>
          </cell>
          <cell r="BY87">
            <v>713.9545057052519</v>
          </cell>
          <cell r="BZ87">
            <v>696.32309778147987</v>
          </cell>
        </row>
        <row r="88">
          <cell r="B88" t="str">
            <v>(Increase)/decrease in working capital</v>
          </cell>
          <cell r="C88" t="str">
            <v>WORK_CAP</v>
          </cell>
          <cell r="D88" t="str">
            <v>TWD</v>
          </cell>
          <cell r="Y88">
            <v>-1220.9270000000001</v>
          </cell>
          <cell r="Z88">
            <v>-1852.2699999999995</v>
          </cell>
          <cell r="AA88">
            <v>6421.6999999999989</v>
          </cell>
          <cell r="AB88">
            <v>-2923.2590000000027</v>
          </cell>
          <cell r="AC88">
            <v>2602.9520000000048</v>
          </cell>
          <cell r="AD88">
            <v>3177.6709999999985</v>
          </cell>
          <cell r="AE88">
            <v>-536.69569027169928</v>
          </cell>
          <cell r="AF88">
            <v>-989.8175509513585</v>
          </cell>
          <cell r="AG88">
            <v>-1214.0268309735402</v>
          </cell>
          <cell r="AU88">
            <v>1504.7290000000003</v>
          </cell>
          <cell r="AV88">
            <v>985.2189999999996</v>
          </cell>
          <cell r="AW88">
            <v>-3497.6600000000003</v>
          </cell>
          <cell r="AX88">
            <v>-213.21499999999969</v>
          </cell>
          <cell r="AY88">
            <v>1349.3970000000004</v>
          </cell>
          <cell r="AZ88">
            <v>1850.4879999999994</v>
          </cell>
          <cell r="BA88">
            <v>-3970.8429999999985</v>
          </cell>
          <cell r="BB88">
            <v>-1081.3120000000008</v>
          </cell>
          <cell r="BC88">
            <v>6347.6530000000002</v>
          </cell>
          <cell r="BD88">
            <v>7995.7929999999978</v>
          </cell>
          <cell r="BE88">
            <v>-9288.2000000000007</v>
          </cell>
          <cell r="BF88">
            <v>1366.4540000000011</v>
          </cell>
          <cell r="BG88">
            <v>2026.400000000001</v>
          </cell>
          <cell r="BH88">
            <v>6397.5749999999989</v>
          </cell>
          <cell r="BI88">
            <v>-12333.029999999999</v>
          </cell>
          <cell r="BJ88">
            <v>985.79599999999664</v>
          </cell>
          <cell r="BK88">
            <v>3694.9210000000057</v>
          </cell>
          <cell r="BL88">
            <v>8193.7529999999988</v>
          </cell>
          <cell r="BM88">
            <v>-10174.683000000001</v>
          </cell>
          <cell r="BN88">
            <v>888.96100000000069</v>
          </cell>
          <cell r="BO88">
            <v>4854.018</v>
          </cell>
          <cell r="BP88">
            <v>5624.3049999999985</v>
          </cell>
          <cell r="BQ88">
            <v>-12520.013999999999</v>
          </cell>
          <cell r="BR88">
            <v>5219.3619999999992</v>
          </cell>
          <cell r="BS88">
            <v>-2798.9613269415258</v>
          </cell>
          <cell r="BT88">
            <v>2613.448596026612</v>
          </cell>
          <cell r="BU88">
            <v>-4571.5789346799465</v>
          </cell>
          <cell r="BV88">
            <v>4220.3959753231611</v>
          </cell>
          <cell r="BW88">
            <v>-1186.3897725190463</v>
          </cell>
          <cell r="BX88">
            <v>814.57841662455212</v>
          </cell>
          <cell r="BY88">
            <v>-2501.9381592746631</v>
          </cell>
          <cell r="BZ88">
            <v>1883.9319642177988</v>
          </cell>
        </row>
        <row r="89">
          <cell r="B89" t="str">
            <v>Other operating cash flow items</v>
          </cell>
          <cell r="C89" t="str">
            <v>OTH_OP_CF</v>
          </cell>
          <cell r="D89" t="str">
            <v>TWD</v>
          </cell>
          <cell r="Y89">
            <v>1463.8089999999988</v>
          </cell>
          <cell r="Z89">
            <v>440.94599999999969</v>
          </cell>
          <cell r="AA89">
            <v>-3177.9600000000023</v>
          </cell>
          <cell r="AB89">
            <v>2089.5600000000022</v>
          </cell>
          <cell r="AC89">
            <v>696.58400000000211</v>
          </cell>
          <cell r="AD89">
            <v>1148.7800000000107</v>
          </cell>
          <cell r="AE89">
            <v>-14.813418457030821</v>
          </cell>
          <cell r="AF89">
            <v>-29.16603723060598</v>
          </cell>
          <cell r="AG89">
            <v>80.000000000002728</v>
          </cell>
          <cell r="AU89">
            <v>301.07799999999907</v>
          </cell>
          <cell r="AV89">
            <v>-2181.5880000000002</v>
          </cell>
          <cell r="AW89">
            <v>2325.77</v>
          </cell>
          <cell r="AX89">
            <v>1018.5490000000009</v>
          </cell>
          <cell r="AY89">
            <v>223.27900000000022</v>
          </cell>
          <cell r="AZ89">
            <v>-4195.2189999999982</v>
          </cell>
          <cell r="BA89">
            <v>3323.6139999999987</v>
          </cell>
          <cell r="BB89">
            <v>1089.2720000000027</v>
          </cell>
          <cell r="BC89">
            <v>-3178.1880000000001</v>
          </cell>
          <cell r="BD89">
            <v>-8991.6119999999992</v>
          </cell>
          <cell r="BE89">
            <v>6998.0409999999993</v>
          </cell>
          <cell r="BF89">
            <v>1993.7989999999982</v>
          </cell>
          <cell r="BG89">
            <v>728.9529999999977</v>
          </cell>
          <cell r="BH89">
            <v>-9252.9219999999987</v>
          </cell>
          <cell r="BI89">
            <v>8693.607</v>
          </cell>
          <cell r="BJ89">
            <v>1919.9220000000032</v>
          </cell>
          <cell r="BK89">
            <v>670.00999999999385</v>
          </cell>
          <cell r="BL89">
            <v>-9508.66</v>
          </cell>
          <cell r="BM89">
            <v>8046.6200000000008</v>
          </cell>
          <cell r="BN89">
            <v>1488.6140000000005</v>
          </cell>
          <cell r="BO89">
            <v>-1841.9000000000015</v>
          </cell>
          <cell r="BP89">
            <v>-10125.530999999999</v>
          </cell>
          <cell r="BQ89">
            <v>12883.983999999999</v>
          </cell>
          <cell r="BR89">
            <v>232.22700000000259</v>
          </cell>
          <cell r="BS89">
            <v>-0.89325000000008004</v>
          </cell>
          <cell r="BT89">
            <v>0.50096874999871943</v>
          </cell>
          <cell r="BU89">
            <v>-8.0595351562487849</v>
          </cell>
          <cell r="BV89">
            <v>-6.3616020507806752</v>
          </cell>
          <cell r="BW89">
            <v>-7.8011773071280004</v>
          </cell>
          <cell r="BX89">
            <v>-7.8499494705203006</v>
          </cell>
          <cell r="BY89">
            <v>-7.0751931543354658</v>
          </cell>
          <cell r="BZ89">
            <v>-6.4397172986271016</v>
          </cell>
        </row>
        <row r="90">
          <cell r="B90" t="str">
            <v>Cash flow from operating activities</v>
          </cell>
          <cell r="C90" t="str">
            <v>CF_OPS</v>
          </cell>
          <cell r="D90" t="str">
            <v>TWD</v>
          </cell>
          <cell r="Y90">
            <v>11300.481</v>
          </cell>
          <cell r="Z90">
            <v>19687.898000000001</v>
          </cell>
          <cell r="AA90">
            <v>29241.029000000002</v>
          </cell>
          <cell r="AB90">
            <v>23997.826000000001</v>
          </cell>
          <cell r="AC90">
            <v>31575.726999999999</v>
          </cell>
          <cell r="AD90">
            <v>31591.453000000001</v>
          </cell>
          <cell r="AE90">
            <v>28443.890470078666</v>
          </cell>
          <cell r="AF90">
            <v>27996.761465093408</v>
          </cell>
          <cell r="AG90">
            <v>26696.272643497949</v>
          </cell>
          <cell r="AU90">
            <v>3998.0039999999999</v>
          </cell>
          <cell r="AV90">
            <v>1192.192</v>
          </cell>
          <cell r="AW90">
            <v>1519.5239999999999</v>
          </cell>
          <cell r="AX90">
            <v>4590.7610000000004</v>
          </cell>
          <cell r="AY90">
            <v>4967.0290000000005</v>
          </cell>
          <cell r="AZ90">
            <v>1773.902</v>
          </cell>
          <cell r="BA90">
            <v>5052.3490000000002</v>
          </cell>
          <cell r="BB90">
            <v>7894.6180000000004</v>
          </cell>
          <cell r="BC90">
            <v>8022.098</v>
          </cell>
          <cell r="BD90">
            <v>4286.0010000000002</v>
          </cell>
          <cell r="BE90">
            <v>6380.43</v>
          </cell>
          <cell r="BF90">
            <v>10552.5</v>
          </cell>
          <cell r="BG90">
            <v>6875.415</v>
          </cell>
          <cell r="BH90">
            <v>1354.587</v>
          </cell>
          <cell r="BI90">
            <v>3853.038</v>
          </cell>
          <cell r="BJ90">
            <v>11914.786</v>
          </cell>
          <cell r="BK90">
            <v>9815.8369999999995</v>
          </cell>
          <cell r="BL90">
            <v>3974.067</v>
          </cell>
          <cell r="BM90">
            <v>6213.3040000000001</v>
          </cell>
          <cell r="BN90">
            <v>11572.519</v>
          </cell>
          <cell r="BO90">
            <v>7657.1310000000003</v>
          </cell>
          <cell r="BP90">
            <v>1651.566</v>
          </cell>
          <cell r="BQ90">
            <v>9496.6010000000006</v>
          </cell>
          <cell r="BR90">
            <v>12786.155000000001</v>
          </cell>
          <cell r="BS90">
            <v>2286.6380154065846</v>
          </cell>
          <cell r="BT90">
            <v>9186.7789603136662</v>
          </cell>
          <cell r="BU90">
            <v>4852.70281371286</v>
          </cell>
          <cell r="BV90">
            <v>12117.770680645554</v>
          </cell>
          <cell r="BW90">
            <v>4174.8079125090144</v>
          </cell>
          <cell r="BX90">
            <v>7434.4358789650332</v>
          </cell>
          <cell r="BY90">
            <v>6661.8672817747447</v>
          </cell>
          <cell r="BZ90">
            <v>9725.6503918446142</v>
          </cell>
        </row>
        <row r="91">
          <cell r="B91" t="str">
            <v>Capital expenditures, Capex</v>
          </cell>
          <cell r="C91" t="str">
            <v>CAPEX</v>
          </cell>
          <cell r="D91" t="str">
            <v>TWD</v>
          </cell>
          <cell r="Y91">
            <v>-3056.982</v>
          </cell>
          <cell r="Z91">
            <v>-5170.3680000000004</v>
          </cell>
          <cell r="AA91">
            <v>-4219.4449999999997</v>
          </cell>
          <cell r="AB91">
            <v>-4050.808</v>
          </cell>
          <cell r="AC91">
            <v>-7442.496000000001</v>
          </cell>
          <cell r="AD91">
            <v>-6412.32</v>
          </cell>
          <cell r="AE91">
            <v>-80</v>
          </cell>
          <cell r="AF91">
            <v>-80</v>
          </cell>
          <cell r="AG91">
            <v>-80</v>
          </cell>
          <cell r="AU91">
            <v>-879.89200000000005</v>
          </cell>
          <cell r="AV91">
            <v>-740.50400000000002</v>
          </cell>
          <cell r="AW91">
            <v>-648.36599999999999</v>
          </cell>
          <cell r="AX91">
            <v>-788.22</v>
          </cell>
          <cell r="AY91">
            <v>-340.42200000000003</v>
          </cell>
          <cell r="AZ91">
            <v>-374.81900000000002</v>
          </cell>
          <cell r="BA91">
            <v>-870.452</v>
          </cell>
          <cell r="BB91">
            <v>-3584.6750000000002</v>
          </cell>
          <cell r="BC91">
            <v>-911.02499999999998</v>
          </cell>
          <cell r="BD91">
            <v>-993.88</v>
          </cell>
          <cell r="BE91">
            <v>-955.97699999999998</v>
          </cell>
          <cell r="BF91">
            <v>-1358.5630000000001</v>
          </cell>
          <cell r="BG91">
            <v>-1012.278</v>
          </cell>
          <cell r="BH91">
            <v>-894.44</v>
          </cell>
          <cell r="BI91">
            <v>-1048.789</v>
          </cell>
          <cell r="BJ91">
            <v>-1095.3009999999999</v>
          </cell>
          <cell r="BK91">
            <v>-783.16099999999994</v>
          </cell>
          <cell r="BL91">
            <v>-1976.9190000000001</v>
          </cell>
          <cell r="BM91">
            <v>-2040.529</v>
          </cell>
          <cell r="BN91">
            <v>-2641.8870000000002</v>
          </cell>
          <cell r="BO91">
            <v>-1349.845</v>
          </cell>
          <cell r="BP91">
            <v>-1960.9459999999999</v>
          </cell>
          <cell r="BQ91">
            <v>-963.44600000000003</v>
          </cell>
          <cell r="BR91">
            <v>-2138.0830000000001</v>
          </cell>
          <cell r="BS91">
            <v>-20</v>
          </cell>
          <cell r="BT91">
            <v>-20</v>
          </cell>
          <cell r="BU91">
            <v>-20</v>
          </cell>
          <cell r="BV91">
            <v>-20</v>
          </cell>
          <cell r="BW91">
            <v>-20</v>
          </cell>
          <cell r="BX91">
            <v>-20</v>
          </cell>
          <cell r="BY91">
            <v>-20</v>
          </cell>
          <cell r="BZ91">
            <v>-20</v>
          </cell>
        </row>
        <row r="92">
          <cell r="B92" t="str">
            <v>Acquisitions</v>
          </cell>
          <cell r="C92" t="str">
            <v>ACQ</v>
          </cell>
          <cell r="D92" t="str">
            <v>TWD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-110.898</v>
          </cell>
          <cell r="AD92">
            <v>-8.8000000000000007</v>
          </cell>
          <cell r="AE92">
            <v>0</v>
          </cell>
          <cell r="AF92">
            <v>0</v>
          </cell>
          <cell r="AG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-110.898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-8.8000000000000007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</row>
        <row r="93">
          <cell r="B93" t="str">
            <v>Divestitures</v>
          </cell>
          <cell r="C93" t="str">
            <v>DIVEST</v>
          </cell>
          <cell r="D93" t="str">
            <v>TWD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</row>
        <row r="94">
          <cell r="B94" t="str">
            <v>Other investing cash flow items</v>
          </cell>
          <cell r="C94" t="str">
            <v>OTH_INV_CF</v>
          </cell>
          <cell r="D94" t="str">
            <v>TWD</v>
          </cell>
          <cell r="Y94">
            <v>-2102.7560000000003</v>
          </cell>
          <cell r="Z94">
            <v>-301.88999999999942</v>
          </cell>
          <cell r="AA94">
            <v>-2979.0560000000005</v>
          </cell>
          <cell r="AB94">
            <v>2936.4989999999998</v>
          </cell>
          <cell r="AC94">
            <v>1176.7830000000001</v>
          </cell>
          <cell r="AD94">
            <v>-709.04700000000071</v>
          </cell>
          <cell r="AE94">
            <v>0</v>
          </cell>
          <cell r="AF94">
            <v>0</v>
          </cell>
          <cell r="AG94">
            <v>0</v>
          </cell>
          <cell r="AU94">
            <v>-211.22399999999993</v>
          </cell>
          <cell r="AV94">
            <v>-1253.105</v>
          </cell>
          <cell r="AW94">
            <v>735.78700000000003</v>
          </cell>
          <cell r="AX94">
            <v>-1374.2140000000002</v>
          </cell>
          <cell r="AY94">
            <v>-151.5</v>
          </cell>
          <cell r="AZ94">
            <v>4.0300000000000296</v>
          </cell>
          <cell r="BA94">
            <v>-181.20399999999995</v>
          </cell>
          <cell r="BB94">
            <v>26.784000000000106</v>
          </cell>
          <cell r="BC94">
            <v>1374.1</v>
          </cell>
          <cell r="BD94">
            <v>-3833.9839999999995</v>
          </cell>
          <cell r="BE94">
            <v>3190.3679999999999</v>
          </cell>
          <cell r="BF94">
            <v>-3709.54</v>
          </cell>
          <cell r="BG94">
            <v>-2808.76</v>
          </cell>
          <cell r="BH94">
            <v>3766.2460000000001</v>
          </cell>
          <cell r="BI94">
            <v>4843.634</v>
          </cell>
          <cell r="BJ94">
            <v>-2864.6210000000001</v>
          </cell>
          <cell r="BK94">
            <v>-1944.2520000000002</v>
          </cell>
          <cell r="BL94">
            <v>-2343.4040000000005</v>
          </cell>
          <cell r="BM94">
            <v>4945.7019999999993</v>
          </cell>
          <cell r="BN94">
            <v>518.73700000000008</v>
          </cell>
          <cell r="BO94">
            <v>-204.01199999999994</v>
          </cell>
          <cell r="BP94">
            <v>80.559999999999945</v>
          </cell>
          <cell r="BQ94">
            <v>-745.49099999999987</v>
          </cell>
          <cell r="BR94">
            <v>159.89600000000002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</row>
        <row r="95">
          <cell r="B95" t="str">
            <v>Cash flow from investing</v>
          </cell>
          <cell r="C95" t="str">
            <v>CF_INV</v>
          </cell>
          <cell r="D95" t="str">
            <v>TWD</v>
          </cell>
          <cell r="Y95">
            <v>-5159.7380000000003</v>
          </cell>
          <cell r="Z95">
            <v>-5472.2579999999998</v>
          </cell>
          <cell r="AA95">
            <v>-7198.5010000000002</v>
          </cell>
          <cell r="AB95">
            <v>-1114.3090000000002</v>
          </cell>
          <cell r="AC95">
            <v>-6376.6110000000008</v>
          </cell>
          <cell r="AD95">
            <v>-7130.1670000000004</v>
          </cell>
          <cell r="AE95">
            <v>-80</v>
          </cell>
          <cell r="AF95">
            <v>-80</v>
          </cell>
          <cell r="AG95">
            <v>-80</v>
          </cell>
          <cell r="AU95">
            <v>-1091.116</v>
          </cell>
          <cell r="AV95">
            <v>-1993.6089999999999</v>
          </cell>
          <cell r="AW95">
            <v>87.421000000000006</v>
          </cell>
          <cell r="AX95">
            <v>-2162.4340000000002</v>
          </cell>
          <cell r="AY95">
            <v>-491.92200000000003</v>
          </cell>
          <cell r="AZ95">
            <v>-370.78899999999999</v>
          </cell>
          <cell r="BA95">
            <v>-1051.6559999999999</v>
          </cell>
          <cell r="BB95">
            <v>-3557.8910000000001</v>
          </cell>
          <cell r="BC95">
            <v>463.07499999999999</v>
          </cell>
          <cell r="BD95">
            <v>-4827.8639999999996</v>
          </cell>
          <cell r="BE95">
            <v>2234.3910000000001</v>
          </cell>
          <cell r="BF95">
            <v>-5068.1030000000001</v>
          </cell>
          <cell r="BG95">
            <v>-3821.038</v>
          </cell>
          <cell r="BH95">
            <v>2871.806</v>
          </cell>
          <cell r="BI95">
            <v>3794.8449999999998</v>
          </cell>
          <cell r="BJ95">
            <v>-3959.922</v>
          </cell>
          <cell r="BK95">
            <v>-2838.3110000000001</v>
          </cell>
          <cell r="BL95">
            <v>-4320.3230000000003</v>
          </cell>
          <cell r="BM95">
            <v>2905.1729999999998</v>
          </cell>
          <cell r="BN95">
            <v>-2123.15</v>
          </cell>
          <cell r="BO95">
            <v>-1553.857</v>
          </cell>
          <cell r="BP95">
            <v>-1880.386</v>
          </cell>
          <cell r="BQ95">
            <v>-1708.9369999999999</v>
          </cell>
          <cell r="BR95">
            <v>-1986.9870000000001</v>
          </cell>
          <cell r="BS95">
            <v>-20</v>
          </cell>
          <cell r="BT95">
            <v>-20</v>
          </cell>
          <cell r="BU95">
            <v>-20</v>
          </cell>
          <cell r="BV95">
            <v>-20</v>
          </cell>
          <cell r="BW95">
            <v>-20</v>
          </cell>
          <cell r="BX95">
            <v>-20</v>
          </cell>
          <cell r="BY95">
            <v>-20</v>
          </cell>
          <cell r="BZ95">
            <v>-20</v>
          </cell>
        </row>
        <row r="96">
          <cell r="B96" t="str">
            <v>Dividends paid</v>
          </cell>
          <cell r="C96" t="str">
            <v>DIV_PAID</v>
          </cell>
          <cell r="D96" t="str">
            <v>TWD</v>
          </cell>
          <cell r="Y96">
            <v>-2280.3829999999998</v>
          </cell>
          <cell r="Z96">
            <v>-2280.3829999999998</v>
          </cell>
          <cell r="AA96">
            <v>-3822.9960000000001</v>
          </cell>
          <cell r="AB96">
            <v>-6841.15</v>
          </cell>
          <cell r="AC96">
            <v>-8517.9030000000002</v>
          </cell>
          <cell r="AD96">
            <v>-8517.9030000000002</v>
          </cell>
          <cell r="AE96">
            <v>-9725.1640000000007</v>
          </cell>
          <cell r="AF96">
            <v>-10292.122559123642</v>
          </cell>
          <cell r="AG96">
            <v>-10424.634593482673</v>
          </cell>
          <cell r="AU96">
            <v>0</v>
          </cell>
          <cell r="AV96">
            <v>0</v>
          </cell>
          <cell r="AW96">
            <v>-2280.3829999999998</v>
          </cell>
          <cell r="AX96">
            <v>0</v>
          </cell>
          <cell r="AY96">
            <v>0</v>
          </cell>
          <cell r="AZ96">
            <v>0</v>
          </cell>
          <cell r="BA96">
            <v>-3822.9960000000001</v>
          </cell>
          <cell r="BB96">
            <v>0</v>
          </cell>
          <cell r="BC96">
            <v>0</v>
          </cell>
          <cell r="BD96">
            <v>0</v>
          </cell>
          <cell r="BE96">
            <v>-6841.15</v>
          </cell>
          <cell r="BF96">
            <v>0</v>
          </cell>
          <cell r="BG96">
            <v>0</v>
          </cell>
          <cell r="BH96">
            <v>0</v>
          </cell>
          <cell r="BI96">
            <v>-8517.9030000000002</v>
          </cell>
          <cell r="BJ96">
            <v>0</v>
          </cell>
          <cell r="BK96">
            <v>0</v>
          </cell>
          <cell r="BL96">
            <v>0</v>
          </cell>
          <cell r="BM96">
            <v>-8517.9030000000002</v>
          </cell>
          <cell r="BN96">
            <v>0</v>
          </cell>
          <cell r="BO96">
            <v>0</v>
          </cell>
          <cell r="BP96">
            <v>0</v>
          </cell>
          <cell r="BQ96">
            <v>-9725.1640000000007</v>
          </cell>
          <cell r="BR96">
            <v>0</v>
          </cell>
          <cell r="BS96">
            <v>0</v>
          </cell>
          <cell r="BT96">
            <v>0</v>
          </cell>
          <cell r="BU96">
            <v>-9725.1640000000007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-10292.122559123642</v>
          </cell>
        </row>
        <row r="97">
          <cell r="B97" t="str">
            <v>Common stock issuance/(repurchase)</v>
          </cell>
          <cell r="C97" t="str">
            <v>SH_REPUR</v>
          </cell>
          <cell r="D97" t="str">
            <v>TWD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</row>
        <row r="98">
          <cell r="B98" t="str">
            <v>Increase/(decrease) in total debt</v>
          </cell>
          <cell r="C98" t="str">
            <v>CHG_LT_DEBT</v>
          </cell>
          <cell r="D98" t="str">
            <v>TWD</v>
          </cell>
          <cell r="Y98">
            <v>-10.557</v>
          </cell>
          <cell r="Z98">
            <v>107.57800000000003</v>
          </cell>
          <cell r="AA98">
            <v>-32.968000000000004</v>
          </cell>
          <cell r="AB98">
            <v>-119.58199999999998</v>
          </cell>
          <cell r="AC98">
            <v>358.16699999999997</v>
          </cell>
          <cell r="AD98">
            <v>137</v>
          </cell>
          <cell r="AE98">
            <v>0</v>
          </cell>
          <cell r="AF98">
            <v>0</v>
          </cell>
          <cell r="AG98">
            <v>0</v>
          </cell>
          <cell r="AU98">
            <v>11.166</v>
          </cell>
          <cell r="AV98">
            <v>-25.724</v>
          </cell>
          <cell r="AW98">
            <v>-2.73</v>
          </cell>
          <cell r="AX98">
            <v>6.7309999999999999</v>
          </cell>
          <cell r="AY98">
            <v>-70.447999999999993</v>
          </cell>
          <cell r="AZ98">
            <v>1.7030000000000001</v>
          </cell>
          <cell r="BA98">
            <v>197.07300000000001</v>
          </cell>
          <cell r="BB98">
            <v>-20.75</v>
          </cell>
          <cell r="BC98">
            <v>-11.028</v>
          </cell>
          <cell r="BD98">
            <v>90.206999999999994</v>
          </cell>
          <cell r="BE98">
            <v>-105.746</v>
          </cell>
          <cell r="BF98">
            <v>-6.4009999999999998</v>
          </cell>
          <cell r="BG98">
            <v>40.331000000000003</v>
          </cell>
          <cell r="BH98">
            <v>-118.333</v>
          </cell>
          <cell r="BI98">
            <v>-44.988999999999997</v>
          </cell>
          <cell r="BJ98">
            <v>3.4089999999999998</v>
          </cell>
          <cell r="BK98">
            <v>-37.606999999999999</v>
          </cell>
          <cell r="BL98">
            <v>161.57599999999999</v>
          </cell>
          <cell r="BM98">
            <v>247.738</v>
          </cell>
          <cell r="BN98">
            <v>-13.54</v>
          </cell>
          <cell r="BO98">
            <v>33.593000000000004</v>
          </cell>
          <cell r="BP98">
            <v>145.17599999999999</v>
          </cell>
          <cell r="BQ98">
            <v>-179</v>
          </cell>
          <cell r="BR98">
            <v>137.23099999999999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</row>
        <row r="99">
          <cell r="B99" t="str">
            <v>Other financing cash flow items</v>
          </cell>
          <cell r="C99" t="str">
            <v>OTH_FIN_CF</v>
          </cell>
          <cell r="D99" t="str">
            <v>TWD</v>
          </cell>
          <cell r="Y99">
            <v>545.61699999999973</v>
          </cell>
          <cell r="Z99">
            <v>-1445.172</v>
          </cell>
          <cell r="AA99">
            <v>-3074.7490000000007</v>
          </cell>
          <cell r="AB99">
            <v>-2394.6569999999997</v>
          </cell>
          <cell r="AC99">
            <v>-1883.7790000000009</v>
          </cell>
          <cell r="AD99">
            <v>-572.96500000000015</v>
          </cell>
          <cell r="AE99">
            <v>0</v>
          </cell>
          <cell r="AF99">
            <v>0</v>
          </cell>
          <cell r="AG99">
            <v>0</v>
          </cell>
          <cell r="AU99">
            <v>24.721</v>
          </cell>
          <cell r="AV99">
            <v>8.0719999999999992</v>
          </cell>
          <cell r="AW99">
            <v>-29.841000000000367</v>
          </cell>
          <cell r="AX99">
            <v>46.028999999999996</v>
          </cell>
          <cell r="AY99">
            <v>-3.0620000000000118</v>
          </cell>
          <cell r="AZ99">
            <v>-40.216000000000008</v>
          </cell>
          <cell r="BA99">
            <v>55.860000000001349</v>
          </cell>
          <cell r="BB99">
            <v>84.858999999999995</v>
          </cell>
          <cell r="BC99">
            <v>-27.152000000000001</v>
          </cell>
          <cell r="BD99">
            <v>-38.030999999998691</v>
          </cell>
          <cell r="BE99">
            <v>138.95499999999981</v>
          </cell>
          <cell r="BF99">
            <v>-130.36699999999999</v>
          </cell>
          <cell r="BG99">
            <v>-471.59500000000003</v>
          </cell>
          <cell r="BH99">
            <v>-43.475999999999999</v>
          </cell>
          <cell r="BI99">
            <v>-779.38200000000279</v>
          </cell>
          <cell r="BJ99">
            <v>576.54899999999998</v>
          </cell>
          <cell r="BK99">
            <v>-1627.6960000000001</v>
          </cell>
          <cell r="BL99">
            <v>157.94000000000236</v>
          </cell>
          <cell r="BM99">
            <v>-48.786999999997249</v>
          </cell>
          <cell r="BN99">
            <v>-365.23599999999999</v>
          </cell>
          <cell r="BO99">
            <v>-406.58900000000909</v>
          </cell>
          <cell r="BP99">
            <v>991.60200000001373</v>
          </cell>
          <cell r="BQ99">
            <v>-147.30100000000675</v>
          </cell>
          <cell r="BR99">
            <v>196.584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</row>
        <row r="100">
          <cell r="B100" t="str">
            <v>Cash flow from financing</v>
          </cell>
          <cell r="C100" t="str">
            <v>CF_FIN</v>
          </cell>
          <cell r="D100" t="str">
            <v>TWD</v>
          </cell>
          <cell r="Y100">
            <v>-1745.3230000000001</v>
          </cell>
          <cell r="Z100">
            <v>-3617.9769999999999</v>
          </cell>
          <cell r="AA100">
            <v>-6930.7130000000006</v>
          </cell>
          <cell r="AB100">
            <v>-9355.3889999999992</v>
          </cell>
          <cell r="AC100">
            <v>-10043.515000000001</v>
          </cell>
          <cell r="AD100">
            <v>-8953.8680000000004</v>
          </cell>
          <cell r="AE100">
            <v>-9725.1640000000007</v>
          </cell>
          <cell r="AF100">
            <v>-10292.122559123642</v>
          </cell>
          <cell r="AG100">
            <v>-10424.634593482673</v>
          </cell>
          <cell r="AU100">
            <v>35.887</v>
          </cell>
          <cell r="AV100">
            <v>-17.652000000000001</v>
          </cell>
          <cell r="AW100">
            <v>-2312.9540000000002</v>
          </cell>
          <cell r="AX100">
            <v>52.76</v>
          </cell>
          <cell r="AY100">
            <v>-73.510000000000005</v>
          </cell>
          <cell r="AZ100">
            <v>-38.513000000000005</v>
          </cell>
          <cell r="BA100">
            <v>-3570.0629999999987</v>
          </cell>
          <cell r="BB100">
            <v>64.108999999999995</v>
          </cell>
          <cell r="BC100">
            <v>-38.18</v>
          </cell>
          <cell r="BD100">
            <v>52.176000000001302</v>
          </cell>
          <cell r="BE100">
            <v>-6807.9409999999998</v>
          </cell>
          <cell r="BF100">
            <v>-136.768</v>
          </cell>
          <cell r="BG100">
            <v>-431.26400000000001</v>
          </cell>
          <cell r="BH100">
            <v>-161.809</v>
          </cell>
          <cell r="BI100">
            <v>-9342.2740000000031</v>
          </cell>
          <cell r="BJ100">
            <v>579.95799999999997</v>
          </cell>
          <cell r="BK100">
            <v>-1665.3030000000001</v>
          </cell>
          <cell r="BL100">
            <v>319.51600000000235</v>
          </cell>
          <cell r="BM100">
            <v>-8318.9519999999975</v>
          </cell>
          <cell r="BN100">
            <v>-378.77600000000001</v>
          </cell>
          <cell r="BO100">
            <v>-372.99600000000908</v>
          </cell>
          <cell r="BP100">
            <v>1136.7780000000137</v>
          </cell>
          <cell r="BQ100">
            <v>-10051.465000000007</v>
          </cell>
          <cell r="BR100">
            <v>333.815</v>
          </cell>
          <cell r="BS100">
            <v>0</v>
          </cell>
          <cell r="BT100">
            <v>0</v>
          </cell>
          <cell r="BU100">
            <v>-9725.1640000000007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-10292.122559123642</v>
          </cell>
        </row>
        <row r="101">
          <cell r="B101" t="str">
            <v>Total cash flow</v>
          </cell>
          <cell r="C101" t="str">
            <v>TOT_CF</v>
          </cell>
          <cell r="D101" t="str">
            <v>TWD</v>
          </cell>
          <cell r="Y101">
            <v>4395.4199999999992</v>
          </cell>
          <cell r="Z101">
            <v>10597.663</v>
          </cell>
          <cell r="AA101">
            <v>15111.815000000002</v>
          </cell>
          <cell r="AB101">
            <v>13528.128000000001</v>
          </cell>
          <cell r="AC101">
            <v>15155.600999999997</v>
          </cell>
          <cell r="AD101">
            <v>15507.418</v>
          </cell>
          <cell r="AE101">
            <v>18638.726470078665</v>
          </cell>
          <cell r="AF101">
            <v>17624.638905969769</v>
          </cell>
          <cell r="AG101">
            <v>16191.638050015275</v>
          </cell>
          <cell r="AU101">
            <v>2942.7750000000001</v>
          </cell>
          <cell r="AV101">
            <v>-819.06899999999996</v>
          </cell>
          <cell r="AW101">
            <v>-706.00900000000024</v>
          </cell>
          <cell r="AX101">
            <v>2481.0870000000004</v>
          </cell>
          <cell r="AY101">
            <v>4401.5969999999998</v>
          </cell>
          <cell r="AZ101">
            <v>1364.6000000000001</v>
          </cell>
          <cell r="BA101">
            <v>430.63000000000147</v>
          </cell>
          <cell r="BB101">
            <v>4400.8360000000011</v>
          </cell>
          <cell r="BC101">
            <v>8446.9930000000004</v>
          </cell>
          <cell r="BD101">
            <v>-489.68699999999808</v>
          </cell>
          <cell r="BE101">
            <v>1806.88</v>
          </cell>
          <cell r="BF101">
            <v>5347.6289999999999</v>
          </cell>
          <cell r="BG101">
            <v>2623.1129999999998</v>
          </cell>
          <cell r="BH101">
            <v>4064.5839999999998</v>
          </cell>
          <cell r="BI101">
            <v>-1694.3910000000033</v>
          </cell>
          <cell r="BJ101">
            <v>8534.8220000000001</v>
          </cell>
          <cell r="BK101">
            <v>5312.223</v>
          </cell>
          <cell r="BL101">
            <v>-26.739999999997963</v>
          </cell>
          <cell r="BM101">
            <v>799.52500000000146</v>
          </cell>
          <cell r="BN101">
            <v>9070.5930000000008</v>
          </cell>
          <cell r="BO101">
            <v>5730.2779999999912</v>
          </cell>
          <cell r="BP101">
            <v>907.95800000001373</v>
          </cell>
          <cell r="BQ101">
            <v>-2263.8010000000068</v>
          </cell>
          <cell r="BR101">
            <v>11132.983000000002</v>
          </cell>
          <cell r="BS101">
            <v>2266.6380154065846</v>
          </cell>
          <cell r="BT101">
            <v>9166.7789603136662</v>
          </cell>
          <cell r="BU101">
            <v>-4892.4611862871407</v>
          </cell>
          <cell r="BV101">
            <v>12097.770680645554</v>
          </cell>
          <cell r="BW101">
            <v>4154.8079125090144</v>
          </cell>
          <cell r="BX101">
            <v>7414.4358789650332</v>
          </cell>
          <cell r="BY101">
            <v>6641.8672817747447</v>
          </cell>
          <cell r="BZ101">
            <v>-586.47216727902742</v>
          </cell>
        </row>
        <row r="102">
          <cell r="A102" t="str">
            <v>Additional Cash Flow Items</v>
          </cell>
        </row>
        <row r="103">
          <cell r="B103" t="str">
            <v>Associate and JV add-back</v>
          </cell>
          <cell r="C103" t="str">
            <v>ASSOC_JV_ADDBK</v>
          </cell>
          <cell r="D103" t="str">
            <v>TWD</v>
          </cell>
        </row>
        <row r="104">
          <cell r="B104" t="str">
            <v>Profit/(loss) on sale of assets</v>
          </cell>
          <cell r="C104" t="str">
            <v>PL_SALE_ASSETS</v>
          </cell>
          <cell r="D104" t="str">
            <v>TWD</v>
          </cell>
        </row>
        <row r="105">
          <cell r="B105" t="str">
            <v>Other non-cash adjustments</v>
          </cell>
          <cell r="C105" t="str">
            <v>OTH_NONCASH_ADJ</v>
          </cell>
          <cell r="D105" t="str">
            <v>TWD</v>
          </cell>
        </row>
        <row r="106">
          <cell r="B106" t="str">
            <v>Other DACF adjustments</v>
          </cell>
          <cell r="C106" t="str">
            <v>OTH_DACF_ADJ</v>
          </cell>
          <cell r="D106" t="str">
            <v>TWD</v>
          </cell>
        </row>
        <row r="107">
          <cell r="B107" t="str">
            <v>Cash interest expense</v>
          </cell>
          <cell r="C107" t="str">
            <v>CASH_INT_EXP</v>
          </cell>
          <cell r="D107" t="str">
            <v>TWD</v>
          </cell>
        </row>
        <row r="108">
          <cell r="B108" t="str">
            <v>Cash tax expense</v>
          </cell>
          <cell r="C108" t="str">
            <v>CASH_TAX_EXP</v>
          </cell>
          <cell r="D108" t="str">
            <v>TWD</v>
          </cell>
        </row>
        <row r="109">
          <cell r="B109" t="str">
            <v>Dividends received from associates/JVs</v>
          </cell>
          <cell r="C109" t="str">
            <v>DIVDS_ASSOC_JV</v>
          </cell>
          <cell r="D109" t="str">
            <v>TWD</v>
          </cell>
        </row>
        <row r="110">
          <cell r="B110" t="str">
            <v>Capex maintenance</v>
          </cell>
          <cell r="C110" t="str">
            <v>CAPEX_MAINTENANCE</v>
          </cell>
          <cell r="D110" t="str">
            <v>TWD</v>
          </cell>
        </row>
        <row r="111">
          <cell r="B111" t="str">
            <v>Capex expansion</v>
          </cell>
          <cell r="C111" t="str">
            <v>CAPEX_EXPANSION</v>
          </cell>
          <cell r="D111" t="str">
            <v>TWD</v>
          </cell>
        </row>
        <row r="112">
          <cell r="B112" t="str">
            <v>Non-PP&amp;E capex</v>
          </cell>
          <cell r="C112" t="str">
            <v>NONPPE_CAPEX</v>
          </cell>
          <cell r="D112" t="str">
            <v>TWD</v>
          </cell>
        </row>
        <row r="113">
          <cell r="B113" t="str">
            <v>Dividends paid to minorities</v>
          </cell>
          <cell r="C113" t="str">
            <v>DIVDS_PD_MINORITIES</v>
          </cell>
          <cell r="D113" t="str">
            <v>TWD</v>
          </cell>
        </row>
        <row r="114">
          <cell r="A114" t="str">
            <v>Other Items</v>
          </cell>
        </row>
        <row r="115">
          <cell r="B115" t="str">
            <v>Number of employees</v>
          </cell>
          <cell r="C115" t="str">
            <v>EMPLOYEES</v>
          </cell>
          <cell r="Y115">
            <v>16.004999999999999</v>
          </cell>
          <cell r="Z115">
            <v>16.004999999999999</v>
          </cell>
          <cell r="AA115">
            <v>16.004999999999999</v>
          </cell>
          <cell r="AB115">
            <v>16.004999999999999</v>
          </cell>
          <cell r="AC115">
            <v>17.257999999999999</v>
          </cell>
          <cell r="AD115">
            <v>17.257999999999999</v>
          </cell>
        </row>
        <row r="116">
          <cell r="A116" t="str">
            <v>Geographical Breakdown</v>
          </cell>
        </row>
        <row r="117">
          <cell r="B117" t="str">
            <v>Sales - % Canada</v>
          </cell>
          <cell r="C117" t="str">
            <v>SALES_CANADA</v>
          </cell>
        </row>
        <row r="118">
          <cell r="B118" t="str">
            <v>Sales - % United States</v>
          </cell>
          <cell r="C118" t="str">
            <v>SALES_US</v>
          </cell>
          <cell r="Y118">
            <v>0.1</v>
          </cell>
          <cell r="Z118">
            <v>0.1</v>
          </cell>
          <cell r="AA118">
            <v>0.1</v>
          </cell>
          <cell r="AB118">
            <v>0.1</v>
          </cell>
          <cell r="AC118">
            <v>0.1</v>
          </cell>
          <cell r="AD118">
            <v>0.1</v>
          </cell>
          <cell r="AE118">
            <v>0.1</v>
          </cell>
          <cell r="AF118">
            <v>0.1</v>
          </cell>
          <cell r="AG118">
            <v>0.1</v>
          </cell>
        </row>
        <row r="119">
          <cell r="B119" t="str">
            <v>Sales - % Other North Americas</v>
          </cell>
          <cell r="C119" t="str">
            <v>SALES_OTH_NO_AMER</v>
          </cell>
        </row>
        <row r="120">
          <cell r="B120" t="str">
            <v>Sales - % Argentina</v>
          </cell>
          <cell r="C120" t="str">
            <v>SALES_ARGENTINA</v>
          </cell>
        </row>
        <row r="121">
          <cell r="B121" t="str">
            <v>Sales - % Brazil</v>
          </cell>
          <cell r="C121" t="str">
            <v>SALES_BRAZIL</v>
          </cell>
        </row>
        <row r="122">
          <cell r="B122" t="str">
            <v>Sales - % Chile</v>
          </cell>
          <cell r="C122" t="str">
            <v>SALES_CHILE</v>
          </cell>
        </row>
        <row r="123">
          <cell r="B123" t="str">
            <v>Sales - % Colombia</v>
          </cell>
          <cell r="C123" t="str">
            <v>SALES_COLOMBIA</v>
          </cell>
        </row>
        <row r="124">
          <cell r="B124" t="str">
            <v>Sales - % Mexico</v>
          </cell>
          <cell r="C124" t="str">
            <v>SALES_MEXICO</v>
          </cell>
        </row>
        <row r="125">
          <cell r="B125" t="str">
            <v>Sales - % Venezuela</v>
          </cell>
          <cell r="C125" t="str">
            <v>SALES_VENEZUELA</v>
          </cell>
        </row>
        <row r="126">
          <cell r="B126" t="str">
            <v>Sales - % Other Latin Americas</v>
          </cell>
          <cell r="C126" t="str">
            <v>SALES_OTH_LATAM</v>
          </cell>
        </row>
        <row r="127">
          <cell r="B127" t="str">
            <v>Sales - % Austria</v>
          </cell>
          <cell r="C127" t="str">
            <v>SALES_AUSTRIA</v>
          </cell>
        </row>
        <row r="128">
          <cell r="B128" t="str">
            <v>Sales - % Belgium</v>
          </cell>
          <cell r="C128" t="str">
            <v>SALES_BEL</v>
          </cell>
        </row>
        <row r="129">
          <cell r="B129" t="str">
            <v>Sales - % France</v>
          </cell>
          <cell r="C129" t="str">
            <v>SALES_FRA</v>
          </cell>
        </row>
        <row r="130">
          <cell r="B130" t="str">
            <v>Sales - % Germany</v>
          </cell>
          <cell r="C130" t="str">
            <v>SALES_GER</v>
          </cell>
        </row>
        <row r="131">
          <cell r="B131" t="str">
            <v>Sales - % Greece</v>
          </cell>
          <cell r="C131" t="str">
            <v>SALES_GRE</v>
          </cell>
        </row>
        <row r="132">
          <cell r="B132" t="str">
            <v>Sales - % Ireland</v>
          </cell>
          <cell r="C132" t="str">
            <v>SALES_IRE</v>
          </cell>
        </row>
        <row r="133">
          <cell r="B133" t="str">
            <v>Sales - % Italy</v>
          </cell>
          <cell r="C133" t="str">
            <v>SALES_ITA</v>
          </cell>
        </row>
        <row r="134">
          <cell r="B134" t="str">
            <v>Sales - % Netherlands</v>
          </cell>
          <cell r="C134" t="str">
            <v>SALES_NETH</v>
          </cell>
        </row>
        <row r="135">
          <cell r="B135" t="str">
            <v>Sales - % Norway</v>
          </cell>
          <cell r="C135" t="str">
            <v>SALES_NOR</v>
          </cell>
        </row>
        <row r="136">
          <cell r="B136" t="str">
            <v>Sales - % Portugal</v>
          </cell>
          <cell r="C136" t="str">
            <v>SALES_POR</v>
          </cell>
        </row>
        <row r="137">
          <cell r="B137" t="str">
            <v>Sales - % Spain</v>
          </cell>
          <cell r="C137" t="str">
            <v>SALES_SPA</v>
          </cell>
        </row>
        <row r="138">
          <cell r="B138" t="str">
            <v>Sales - % Sweden</v>
          </cell>
          <cell r="C138" t="str">
            <v>SALES_SWE</v>
          </cell>
        </row>
        <row r="139">
          <cell r="B139" t="str">
            <v>Sales - % Switzerland</v>
          </cell>
          <cell r="C139" t="str">
            <v>SALES_SWIT</v>
          </cell>
        </row>
        <row r="140">
          <cell r="B140" t="str">
            <v>Sales - % UK</v>
          </cell>
          <cell r="C140" t="str">
            <v>SALES_UK</v>
          </cell>
          <cell r="Y140">
            <v>0.1</v>
          </cell>
          <cell r="Z140">
            <v>0.1</v>
          </cell>
          <cell r="AA140">
            <v>0.1</v>
          </cell>
          <cell r="AB140">
            <v>0.1</v>
          </cell>
          <cell r="AC140">
            <v>0.1</v>
          </cell>
          <cell r="AD140">
            <v>0.1</v>
          </cell>
          <cell r="AE140">
            <v>0.1</v>
          </cell>
          <cell r="AF140">
            <v>0.1</v>
          </cell>
          <cell r="AG140">
            <v>0.1</v>
          </cell>
        </row>
        <row r="141">
          <cell r="B141" t="str">
            <v>Sales - % Other Western Europe</v>
          </cell>
          <cell r="C141" t="str">
            <v>SALES_OTH_WEST_EURO</v>
          </cell>
          <cell r="Y141">
            <v>0.1</v>
          </cell>
          <cell r="Z141">
            <v>0.1</v>
          </cell>
          <cell r="AA141">
            <v>0.1</v>
          </cell>
          <cell r="AB141">
            <v>0.1</v>
          </cell>
          <cell r="AC141">
            <v>0.1</v>
          </cell>
          <cell r="AD141">
            <v>0.1</v>
          </cell>
          <cell r="AE141">
            <v>0.1</v>
          </cell>
          <cell r="AF141">
            <v>0.1</v>
          </cell>
          <cell r="AG141">
            <v>0.1</v>
          </cell>
        </row>
        <row r="142">
          <cell r="B142" t="str">
            <v>Sales - % Poland</v>
          </cell>
          <cell r="C142" t="str">
            <v>SALES_POLAND</v>
          </cell>
        </row>
        <row r="143">
          <cell r="B143" t="str">
            <v>Sales - % Russia</v>
          </cell>
          <cell r="C143" t="str">
            <v>SALES_RUSSIA</v>
          </cell>
        </row>
        <row r="144">
          <cell r="B144" t="str">
            <v>Sales - % Turkey</v>
          </cell>
          <cell r="C144" t="str">
            <v>SALES_TURKEY</v>
          </cell>
        </row>
        <row r="145">
          <cell r="B145" t="str">
            <v>Sales - % Other CEE</v>
          </cell>
          <cell r="C145" t="str">
            <v>SALES_OTH_CEE</v>
          </cell>
        </row>
        <row r="146">
          <cell r="B146" t="str">
            <v>Sales - % Saudi Arabia</v>
          </cell>
          <cell r="C146" t="str">
            <v>SALES_SAUDI_ARABIA</v>
          </cell>
        </row>
        <row r="147">
          <cell r="B147" t="str">
            <v>Sales - % United Arab Emirates</v>
          </cell>
          <cell r="C147" t="str">
            <v>SALES_UAE</v>
          </cell>
        </row>
        <row r="148">
          <cell r="B148" t="str">
            <v>Sales - % Other Middle East</v>
          </cell>
          <cell r="C148" t="str">
            <v>SALES_OTH_ME</v>
          </cell>
        </row>
        <row r="149">
          <cell r="B149" t="str">
            <v>Sales - % Nigeria</v>
          </cell>
          <cell r="C149" t="str">
            <v>SALES_NIGERIA</v>
          </cell>
        </row>
        <row r="150">
          <cell r="B150" t="str">
            <v>Sales - % South Africa</v>
          </cell>
          <cell r="C150" t="str">
            <v>SALES_SO_AFRICA</v>
          </cell>
        </row>
        <row r="151">
          <cell r="B151" t="str">
            <v>Sales - % Other Africa</v>
          </cell>
          <cell r="C151" t="str">
            <v>SALES_OTH_AFRICA</v>
          </cell>
        </row>
        <row r="152">
          <cell r="B152" t="str">
            <v>Sales - % Hong Kong</v>
          </cell>
          <cell r="C152" t="str">
            <v>SALES_HONG_KONG</v>
          </cell>
        </row>
        <row r="153">
          <cell r="B153" t="str">
            <v>Sales - % Japan</v>
          </cell>
          <cell r="C153" t="str">
            <v>SALES_JAPAN</v>
          </cell>
          <cell r="Y153">
            <v>0.1</v>
          </cell>
          <cell r="Z153">
            <v>0.1</v>
          </cell>
          <cell r="AA153">
            <v>0.1</v>
          </cell>
          <cell r="AB153">
            <v>0.1</v>
          </cell>
          <cell r="AC153">
            <v>0.1</v>
          </cell>
          <cell r="AD153">
            <v>0.1</v>
          </cell>
          <cell r="AE153">
            <v>0.1</v>
          </cell>
          <cell r="AF153">
            <v>0.1</v>
          </cell>
          <cell r="AG153">
            <v>0.1</v>
          </cell>
        </row>
        <row r="154">
          <cell r="B154" t="str">
            <v>Sales - % Singapore</v>
          </cell>
          <cell r="C154" t="str">
            <v>SALES_SINGAPORE</v>
          </cell>
        </row>
        <row r="155">
          <cell r="B155" t="str">
            <v>Sales - % South Korea</v>
          </cell>
          <cell r="C155" t="str">
            <v>SALES_SK</v>
          </cell>
        </row>
        <row r="156">
          <cell r="B156" t="str">
            <v>Sales - % Taiwan</v>
          </cell>
          <cell r="C156" t="str">
            <v>SALES_TAIWAN</v>
          </cell>
          <cell r="Y156">
            <v>0.2</v>
          </cell>
          <cell r="Z156">
            <v>0.2</v>
          </cell>
          <cell r="AA156">
            <v>0.2</v>
          </cell>
          <cell r="AB156">
            <v>0.2</v>
          </cell>
          <cell r="AC156">
            <v>0.2</v>
          </cell>
          <cell r="AD156">
            <v>0.2</v>
          </cell>
          <cell r="AE156">
            <v>0.2</v>
          </cell>
          <cell r="AF156">
            <v>0.2</v>
          </cell>
          <cell r="AG156">
            <v>0.2</v>
          </cell>
        </row>
        <row r="157">
          <cell r="B157" t="str">
            <v>Sales - % Other Developed Asia</v>
          </cell>
          <cell r="C157" t="str">
            <v>SALES_OTH_DEV_ASIA</v>
          </cell>
        </row>
        <row r="158">
          <cell r="B158" t="str">
            <v>Sales - % China</v>
          </cell>
          <cell r="C158" t="str">
            <v>SALES_CHINA</v>
          </cell>
          <cell r="Y158">
            <v>0.3</v>
          </cell>
          <cell r="Z158">
            <v>0.3</v>
          </cell>
          <cell r="AA158">
            <v>0.3</v>
          </cell>
          <cell r="AB158">
            <v>0.3</v>
          </cell>
          <cell r="AC158">
            <v>0.3</v>
          </cell>
          <cell r="AD158">
            <v>0.3</v>
          </cell>
          <cell r="AE158">
            <v>0.3</v>
          </cell>
          <cell r="AF158">
            <v>0.3</v>
          </cell>
          <cell r="AG158">
            <v>0.3</v>
          </cell>
        </row>
        <row r="159">
          <cell r="B159" t="str">
            <v>Sales - % India</v>
          </cell>
          <cell r="C159" t="str">
            <v>SALES_INDIA</v>
          </cell>
        </row>
        <row r="160">
          <cell r="B160" t="str">
            <v>Sales - % Indonesia</v>
          </cell>
          <cell r="C160" t="str">
            <v>SALES_INDONESIA</v>
          </cell>
        </row>
        <row r="161">
          <cell r="B161" t="str">
            <v>Sales - % Thailand</v>
          </cell>
          <cell r="C161" t="str">
            <v>SALES_THAILAND</v>
          </cell>
        </row>
        <row r="162">
          <cell r="B162" t="str">
            <v>Sales - % Other Emerging Asia</v>
          </cell>
          <cell r="C162" t="str">
            <v>SALES_OTH_EMERG_ASIA</v>
          </cell>
        </row>
        <row r="163">
          <cell r="B163" t="str">
            <v>Sales - % Australia</v>
          </cell>
          <cell r="C163" t="str">
            <v>SALES_AUSTRA</v>
          </cell>
        </row>
        <row r="164">
          <cell r="B164" t="str">
            <v>Sales - % New Zealand</v>
          </cell>
          <cell r="C164" t="str">
            <v>SALES_NZ</v>
          </cell>
        </row>
        <row r="165">
          <cell r="B165" t="str">
            <v>Sales - % Others</v>
          </cell>
          <cell r="C165" t="str">
            <v>SALES_OTHER</v>
          </cell>
          <cell r="Y165">
            <v>0.1</v>
          </cell>
          <cell r="Z165">
            <v>0.1</v>
          </cell>
          <cell r="AA165">
            <v>0.1</v>
          </cell>
          <cell r="AB165">
            <v>0.1</v>
          </cell>
          <cell r="AC165">
            <v>0.1</v>
          </cell>
          <cell r="AD165">
            <v>0.1</v>
          </cell>
          <cell r="AE165">
            <v>0.1</v>
          </cell>
          <cell r="AF165">
            <v>0.1</v>
          </cell>
          <cell r="AG165">
            <v>0.1</v>
          </cell>
        </row>
        <row r="166">
          <cell r="B166" t="str">
            <v>% of CoGS from U.S. (GS estimate)</v>
          </cell>
          <cell r="C166" t="str">
            <v>COGS_PCT_US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</row>
        <row r="167">
          <cell r="B167" t="str">
            <v>% of CoGS from non-U.S. (GS estimate)</v>
          </cell>
          <cell r="C167" t="str">
            <v>COGS_PCT_ROW</v>
          </cell>
          <cell r="Y167">
            <v>1</v>
          </cell>
          <cell r="Z167">
            <v>1</v>
          </cell>
          <cell r="AA167">
            <v>1</v>
          </cell>
          <cell r="AB167">
            <v>1</v>
          </cell>
          <cell r="AC167">
            <v>1</v>
          </cell>
          <cell r="AD167">
            <v>1</v>
          </cell>
          <cell r="AE167">
            <v>1</v>
          </cell>
          <cell r="AF167">
            <v>1</v>
          </cell>
          <cell r="AG167">
            <v>1</v>
          </cell>
        </row>
        <row r="168">
          <cell r="B168" t="str">
            <v>% of SG&amp;A from U.S. (GS estimate)</v>
          </cell>
          <cell r="C168" t="str">
            <v>SGA_PCT_US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% of SG&amp;A from non-U.S. (GS estimate)</v>
          </cell>
          <cell r="C169" t="str">
            <v>SGA_PCT_ROW</v>
          </cell>
          <cell r="Y169">
            <v>1</v>
          </cell>
          <cell r="Z169">
            <v>1</v>
          </cell>
          <cell r="AA169">
            <v>1</v>
          </cell>
          <cell r="AB169">
            <v>1</v>
          </cell>
          <cell r="AC169">
            <v>1</v>
          </cell>
          <cell r="AD169">
            <v>1</v>
          </cell>
          <cell r="AE169">
            <v>1</v>
          </cell>
          <cell r="AF169">
            <v>1</v>
          </cell>
          <cell r="AG169">
            <v>1</v>
          </cell>
        </row>
        <row r="170">
          <cell r="B170" t="str">
            <v>Sales -% Consumer (C)</v>
          </cell>
          <cell r="C170" t="str">
            <v>SALES_CONS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Sales -% Industry (I)</v>
          </cell>
          <cell r="C171" t="str">
            <v>SALES_IND</v>
          </cell>
          <cell r="Y171">
            <v>1</v>
          </cell>
          <cell r="Z171">
            <v>1</v>
          </cell>
          <cell r="AA171">
            <v>1</v>
          </cell>
          <cell r="AB171">
            <v>1</v>
          </cell>
          <cell r="AC171">
            <v>1</v>
          </cell>
          <cell r="AD171">
            <v>1</v>
          </cell>
          <cell r="AE171">
            <v>1</v>
          </cell>
          <cell r="AF171">
            <v>1</v>
          </cell>
          <cell r="AG171">
            <v>1</v>
          </cell>
        </row>
        <row r="172">
          <cell r="B172" t="str">
            <v>Sales -% Government (G)</v>
          </cell>
          <cell r="C172" t="str">
            <v>SALES_GOV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B173" t="str">
            <v>Sales - % Industry Sub-Segment: Financial Services</v>
          </cell>
          <cell r="C173" t="str">
            <v>SALES_FINAN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  <row r="174">
          <cell r="B174" t="str">
            <v>Sales - % Industry Sub-Segment: Oil &amp; Gas</v>
          </cell>
          <cell r="C174" t="str">
            <v>SALES_OIL_GAS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</row>
        <row r="175">
          <cell r="A175" t="str">
            <v>Commodities Exposure - Expense</v>
          </cell>
        </row>
        <row r="176">
          <cell r="B176" t="str">
            <v>Expense - % Oil/Petrol/Fuel</v>
          </cell>
          <cell r="C176" t="str">
            <v>EXP_OIL_PETRO_FUEL</v>
          </cell>
          <cell r="Y176">
            <v>1E-3</v>
          </cell>
          <cell r="Z176">
            <v>1E-3</v>
          </cell>
          <cell r="AA176">
            <v>1E-3</v>
          </cell>
          <cell r="AB176">
            <v>1E-3</v>
          </cell>
          <cell r="AC176">
            <v>1E-3</v>
          </cell>
          <cell r="AD176">
            <v>1E-3</v>
          </cell>
          <cell r="AE176">
            <v>1E-3</v>
          </cell>
          <cell r="AF176">
            <v>1E-3</v>
          </cell>
          <cell r="AG176">
            <v>1E-3</v>
          </cell>
        </row>
        <row r="177">
          <cell r="B177" t="str">
            <v>Expense - % Oil derivatives/NGLs/plastics</v>
          </cell>
          <cell r="C177" t="str">
            <v>EXP_OIL_DERIV_NGLS_PLASTICS</v>
          </cell>
          <cell r="Y177">
            <v>1E-3</v>
          </cell>
          <cell r="Z177">
            <v>1E-3</v>
          </cell>
          <cell r="AA177">
            <v>1E-3</v>
          </cell>
          <cell r="AB177">
            <v>1E-3</v>
          </cell>
          <cell r="AC177">
            <v>1E-3</v>
          </cell>
          <cell r="AD177">
            <v>1E-3</v>
          </cell>
          <cell r="AE177">
            <v>1E-3</v>
          </cell>
          <cell r="AF177">
            <v>1E-3</v>
          </cell>
          <cell r="AG177">
            <v>1E-3</v>
          </cell>
        </row>
        <row r="178">
          <cell r="B178" t="str">
            <v>Expense - % Gold</v>
          </cell>
          <cell r="C178" t="str">
            <v>EXP_GOLD</v>
          </cell>
        </row>
        <row r="179">
          <cell r="B179" t="str">
            <v>Expense - % Copper</v>
          </cell>
          <cell r="C179" t="str">
            <v>EXP_COPPER</v>
          </cell>
        </row>
        <row r="180">
          <cell r="B180" t="str">
            <v>Expense - % Silver</v>
          </cell>
          <cell r="C180" t="str">
            <v>EXP_SILVER</v>
          </cell>
        </row>
        <row r="181">
          <cell r="B181" t="str">
            <v>Expense - % Platinum</v>
          </cell>
          <cell r="C181" t="str">
            <v>EXP_PLATINUM</v>
          </cell>
        </row>
        <row r="182">
          <cell r="B182" t="str">
            <v>Expense - % Palladium</v>
          </cell>
          <cell r="C182" t="str">
            <v>EXP_PALLADIUM</v>
          </cell>
        </row>
        <row r="183">
          <cell r="B183" t="str">
            <v>Expense - % Aluminium</v>
          </cell>
          <cell r="C183" t="str">
            <v>EXP_ALUMINIUM</v>
          </cell>
        </row>
        <row r="184">
          <cell r="B184" t="str">
            <v>Expense - % Nickel</v>
          </cell>
          <cell r="C184" t="str">
            <v>EXP_NICKEL</v>
          </cell>
        </row>
        <row r="185">
          <cell r="B185" t="str">
            <v>Expense - % Zinc</v>
          </cell>
          <cell r="C185" t="str">
            <v>EXP_ZINC</v>
          </cell>
        </row>
        <row r="186">
          <cell r="B186" t="str">
            <v>Expense - % Paper/pulp</v>
          </cell>
          <cell r="C186" t="str">
            <v>EXP_PAPER_PULP</v>
          </cell>
        </row>
        <row r="187">
          <cell r="B187" t="str">
            <v>Expense - % Glass</v>
          </cell>
          <cell r="C187" t="str">
            <v>EXP_GLASS</v>
          </cell>
        </row>
        <row r="188">
          <cell r="B188" t="str">
            <v>Expense - % Water</v>
          </cell>
          <cell r="C188" t="str">
            <v>EXP_WATER</v>
          </cell>
        </row>
        <row r="189">
          <cell r="B189" t="str">
            <v>Expense - % Other commodity</v>
          </cell>
          <cell r="C189" t="str">
            <v>EXP_OTH_COMMODITY</v>
          </cell>
        </row>
        <row r="190">
          <cell r="B190" t="str">
            <v>Expense - % Other (Non-Commodity) cost</v>
          </cell>
          <cell r="C190" t="str">
            <v>EXP_OTH_COST</v>
          </cell>
        </row>
        <row r="191">
          <cell r="A191" t="str">
            <v>FX Exposure - Sales</v>
          </cell>
        </row>
        <row r="192">
          <cell r="B192" t="str">
            <v>Sales - % FX: British Pounds/Pence</v>
          </cell>
          <cell r="C192" t="str">
            <v>SALES_FX_GPB</v>
          </cell>
          <cell r="Y192">
            <v>0.1</v>
          </cell>
          <cell r="Z192">
            <v>0.1</v>
          </cell>
          <cell r="AA192">
            <v>0.1</v>
          </cell>
          <cell r="AB192">
            <v>0.1</v>
          </cell>
          <cell r="AC192">
            <v>0.1</v>
          </cell>
          <cell r="AD192">
            <v>0.1</v>
          </cell>
          <cell r="AE192">
            <v>0.1</v>
          </cell>
          <cell r="AF192">
            <v>0.1</v>
          </cell>
          <cell r="AG192">
            <v>0.1</v>
          </cell>
        </row>
        <row r="193">
          <cell r="B193" t="str">
            <v>Sales - % FX: Euro</v>
          </cell>
          <cell r="C193" t="str">
            <v>SALES_FX_EUR</v>
          </cell>
          <cell r="Y193">
            <v>0.1</v>
          </cell>
          <cell r="Z193">
            <v>0.1</v>
          </cell>
          <cell r="AA193">
            <v>0.1</v>
          </cell>
          <cell r="AB193">
            <v>0.1</v>
          </cell>
          <cell r="AC193">
            <v>0.1</v>
          </cell>
          <cell r="AD193">
            <v>0.1</v>
          </cell>
          <cell r="AE193">
            <v>0.1</v>
          </cell>
          <cell r="AF193">
            <v>0.1</v>
          </cell>
          <cell r="AG193">
            <v>0.1</v>
          </cell>
        </row>
        <row r="194">
          <cell r="B194" t="str">
            <v>Sales - % FX: New Russian Ruble</v>
          </cell>
          <cell r="C194" t="str">
            <v>SALES_FX_RUB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</row>
        <row r="195">
          <cell r="B195" t="str">
            <v>Sales - % FX: U.S. Dollar</v>
          </cell>
          <cell r="C195" t="str">
            <v>SALES_FX_USD</v>
          </cell>
          <cell r="Y195">
            <v>0.1</v>
          </cell>
          <cell r="Z195">
            <v>0.1</v>
          </cell>
          <cell r="AA195">
            <v>0.1</v>
          </cell>
          <cell r="AB195">
            <v>0.1</v>
          </cell>
          <cell r="AC195">
            <v>0.1</v>
          </cell>
          <cell r="AD195">
            <v>0.1</v>
          </cell>
          <cell r="AE195">
            <v>0.1</v>
          </cell>
          <cell r="AF195">
            <v>0.1</v>
          </cell>
          <cell r="AG195">
            <v>0.1</v>
          </cell>
        </row>
        <row r="196">
          <cell r="B196" t="str">
            <v>Sales - % FX: Brazilian Real</v>
          </cell>
          <cell r="C196" t="str">
            <v>SALES_FX_BRL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</row>
        <row r="197">
          <cell r="B197" t="str">
            <v>Sales - % FX: Japanese Yen</v>
          </cell>
          <cell r="C197" t="str">
            <v>SALES_FX_YEN</v>
          </cell>
          <cell r="Y197">
            <v>0.1</v>
          </cell>
          <cell r="Z197">
            <v>0.1</v>
          </cell>
          <cell r="AA197">
            <v>0.1</v>
          </cell>
          <cell r="AB197">
            <v>0.1</v>
          </cell>
          <cell r="AC197">
            <v>0.1</v>
          </cell>
          <cell r="AD197">
            <v>0.1</v>
          </cell>
          <cell r="AE197">
            <v>0.1</v>
          </cell>
          <cell r="AF197">
            <v>0.1</v>
          </cell>
          <cell r="AG197">
            <v>0.1</v>
          </cell>
        </row>
        <row r="198">
          <cell r="B198" t="str">
            <v>Sales - % FX: Chinese Renminbi</v>
          </cell>
          <cell r="C198" t="str">
            <v>SALES_FX_CNY</v>
          </cell>
          <cell r="Y198">
            <v>0.1</v>
          </cell>
          <cell r="Z198">
            <v>0.1</v>
          </cell>
          <cell r="AA198">
            <v>0.1</v>
          </cell>
          <cell r="AB198">
            <v>0.1</v>
          </cell>
          <cell r="AC198">
            <v>0.1</v>
          </cell>
          <cell r="AD198">
            <v>0.1</v>
          </cell>
          <cell r="AE198">
            <v>0.1</v>
          </cell>
          <cell r="AF198">
            <v>0.1</v>
          </cell>
          <cell r="AG198">
            <v>0.1</v>
          </cell>
        </row>
        <row r="199">
          <cell r="B199" t="str">
            <v>Sales - % FX: Indian Rupee</v>
          </cell>
          <cell r="C199" t="str">
            <v>SALES_FX_INR</v>
          </cell>
          <cell r="Y199">
            <v>0.05</v>
          </cell>
          <cell r="Z199">
            <v>0.05</v>
          </cell>
          <cell r="AA199">
            <v>0.05</v>
          </cell>
          <cell r="AB199">
            <v>0.05</v>
          </cell>
          <cell r="AC199">
            <v>0.05</v>
          </cell>
          <cell r="AD199">
            <v>0.05</v>
          </cell>
          <cell r="AE199">
            <v>0.05</v>
          </cell>
          <cell r="AF199">
            <v>0.05</v>
          </cell>
          <cell r="AG199">
            <v>0.05</v>
          </cell>
        </row>
        <row r="200">
          <cell r="B200" t="str">
            <v>Sales - % FX: South Korean Won</v>
          </cell>
          <cell r="C200" t="str">
            <v>SALES_FX_KRW</v>
          </cell>
          <cell r="Y200">
            <v>0.05</v>
          </cell>
          <cell r="Z200">
            <v>0.05</v>
          </cell>
          <cell r="AA200">
            <v>0.05</v>
          </cell>
          <cell r="AB200">
            <v>0.05</v>
          </cell>
          <cell r="AC200">
            <v>0.05</v>
          </cell>
          <cell r="AD200">
            <v>0.05</v>
          </cell>
          <cell r="AE200">
            <v>0.05</v>
          </cell>
          <cell r="AF200">
            <v>0.05</v>
          </cell>
          <cell r="AG200">
            <v>0.05</v>
          </cell>
        </row>
        <row r="201">
          <cell r="B201" t="str">
            <v>Sales - % FX: Taiwan Dollar</v>
          </cell>
          <cell r="C201" t="str">
            <v>SALES_FX_TWD</v>
          </cell>
          <cell r="Y201">
            <v>0.1</v>
          </cell>
          <cell r="Z201">
            <v>0.1</v>
          </cell>
          <cell r="AA201">
            <v>0.1</v>
          </cell>
          <cell r="AB201">
            <v>0.1</v>
          </cell>
          <cell r="AC201">
            <v>0.1</v>
          </cell>
          <cell r="AD201">
            <v>0.1</v>
          </cell>
          <cell r="AE201">
            <v>0.1</v>
          </cell>
          <cell r="AF201">
            <v>0.1</v>
          </cell>
          <cell r="AG201">
            <v>0.1</v>
          </cell>
        </row>
        <row r="202">
          <cell r="B202" t="str">
            <v>Sales - % FX: Other Currency</v>
          </cell>
          <cell r="C202" t="str">
            <v>SALES_FX_OTH</v>
          </cell>
          <cell r="Y202">
            <v>0.3</v>
          </cell>
          <cell r="Z202">
            <v>0.3</v>
          </cell>
          <cell r="AA202">
            <v>0.3</v>
          </cell>
          <cell r="AB202">
            <v>0.3</v>
          </cell>
          <cell r="AC202">
            <v>0.3</v>
          </cell>
          <cell r="AD202">
            <v>0.3</v>
          </cell>
          <cell r="AE202">
            <v>0.3</v>
          </cell>
          <cell r="AF202">
            <v>0.3</v>
          </cell>
          <cell r="AG202">
            <v>0.3</v>
          </cell>
        </row>
        <row r="203">
          <cell r="A203" t="str">
            <v>Items to be removed</v>
          </cell>
        </row>
        <row r="204">
          <cell r="B204" t="str">
            <v>Sales - Total % Americas</v>
          </cell>
          <cell r="C204" t="str">
            <v>SALES_TOT_AM</v>
          </cell>
        </row>
        <row r="205">
          <cell r="B205" t="str">
            <v>Sales - % Other Americas</v>
          </cell>
          <cell r="C205" t="str">
            <v>SALES_OTH_AM</v>
          </cell>
        </row>
        <row r="206">
          <cell r="B206" t="str">
            <v>Sales - Total % EMEA</v>
          </cell>
          <cell r="C206" t="str">
            <v>SALES_TOT_EMEA</v>
          </cell>
        </row>
        <row r="207">
          <cell r="B207" t="str">
            <v>Sales - % Western Europe-Ex UK</v>
          </cell>
          <cell r="C207" t="str">
            <v>SALES_EU_EX_UK</v>
          </cell>
        </row>
        <row r="208">
          <cell r="B208" t="str">
            <v>Sales - % Central &amp; Eastern Europe</v>
          </cell>
          <cell r="C208" t="str">
            <v>SALES_CEE</v>
          </cell>
        </row>
        <row r="209">
          <cell r="B209" t="str">
            <v>Sales - % Middle East</v>
          </cell>
          <cell r="C209" t="str">
            <v>SALES_ME</v>
          </cell>
        </row>
        <row r="210">
          <cell r="B210" t="str">
            <v>Sales - % Total Africa</v>
          </cell>
          <cell r="C210" t="str">
            <v>SALES_TOT_AFRICA</v>
          </cell>
        </row>
        <row r="211">
          <cell r="B211" t="str">
            <v>Sales - % Other EMEA</v>
          </cell>
          <cell r="C211" t="str">
            <v>SALES_OTH_EMEA</v>
          </cell>
        </row>
        <row r="212">
          <cell r="B212" t="str">
            <v>Sales - Total % Asia (incl Australia &amp; New Zealand)</v>
          </cell>
          <cell r="C212" t="str">
            <v>SALES_TOT_ASIA</v>
          </cell>
        </row>
        <row r="213">
          <cell r="B213" t="str">
            <v>Sales - % Other Asia</v>
          </cell>
          <cell r="C213" t="str">
            <v>SALES_OTH_AEJ</v>
          </cell>
        </row>
        <row r="214">
          <cell r="A214" t="str">
            <v>Security: Silergy Corp.</v>
          </cell>
        </row>
        <row r="215">
          <cell r="A215" t="str">
            <v>Reference Data</v>
          </cell>
        </row>
        <row r="216">
          <cell r="B216" t="str">
            <v>Ticker</v>
          </cell>
          <cell r="C216" t="str">
            <v>Ticker</v>
          </cell>
          <cell r="E216" t="str">
            <v>6415.TW</v>
          </cell>
        </row>
        <row r="217">
          <cell r="B217" t="str">
            <v>Security Name</v>
          </cell>
          <cell r="C217" t="str">
            <v>Security Name</v>
          </cell>
          <cell r="E217" t="str">
            <v>Silergy Corp.</v>
          </cell>
        </row>
        <row r="218">
          <cell r="B218" t="str">
            <v>Interim Type</v>
          </cell>
          <cell r="C218" t="str">
            <v>Interim Type</v>
          </cell>
          <cell r="E218" t="str">
            <v>Q</v>
          </cell>
        </row>
        <row r="219">
          <cell r="B219" t="str">
            <v>Publishing Currency</v>
          </cell>
          <cell r="C219" t="str">
            <v>PUB_CURRENCY_ISO</v>
          </cell>
          <cell r="E219" t="str">
            <v>TWD</v>
          </cell>
        </row>
        <row r="220">
          <cell r="B220" t="str">
            <v>Pricing Currency</v>
          </cell>
          <cell r="C220" t="str">
            <v>PRICE_CURRENCY_ISO</v>
          </cell>
          <cell r="E220" t="str">
            <v>TWD</v>
          </cell>
        </row>
        <row r="221">
          <cell r="B221" t="str">
            <v>Reporting Currency</v>
          </cell>
          <cell r="C221" t="str">
            <v>CURRENCY_ISO</v>
          </cell>
          <cell r="E221" t="str">
            <v>TWD</v>
          </cell>
        </row>
        <row r="222">
          <cell r="A222" t="str">
            <v>General Information</v>
          </cell>
        </row>
        <row r="223">
          <cell r="B223" t="str">
            <v>Asia ex. Japan Investment List</v>
          </cell>
          <cell r="C223" t="str">
            <v>AEJ_LIST</v>
          </cell>
        </row>
        <row r="224">
          <cell r="B224" t="str">
            <v>Asia ex. Japan Conviction List</v>
          </cell>
          <cell r="C224" t="str">
            <v>AEJ_CONVICTION</v>
          </cell>
        </row>
        <row r="225">
          <cell r="B225" t="str">
            <v>Legal rating</v>
          </cell>
          <cell r="C225" t="str">
            <v>LEGAL_RATING</v>
          </cell>
        </row>
        <row r="226">
          <cell r="B226" t="str">
            <v>Target price</v>
          </cell>
          <cell r="C226" t="str">
            <v>TARGET_PRICE</v>
          </cell>
          <cell r="D226" t="str">
            <v>TWD</v>
          </cell>
          <cell r="E226">
            <v>100</v>
          </cell>
        </row>
        <row r="227">
          <cell r="B227" t="str">
            <v>Target price period</v>
          </cell>
          <cell r="C227" t="str">
            <v>TP_PERIOD</v>
          </cell>
          <cell r="E227" t="str">
            <v>12 months</v>
          </cell>
        </row>
        <row r="228">
          <cell r="B228" t="str">
            <v>Fundamental value</v>
          </cell>
          <cell r="C228" t="str">
            <v>TARGET_PRICE_FUNDAMENTAL</v>
          </cell>
          <cell r="D228" t="str">
            <v>TWD</v>
          </cell>
        </row>
        <row r="229">
          <cell r="B229" t="str">
            <v>M&amp;A value</v>
          </cell>
          <cell r="C229" t="str">
            <v>TARGET_PRICE_MA</v>
          </cell>
          <cell r="D229" t="str">
            <v>TWD</v>
          </cell>
        </row>
        <row r="230">
          <cell r="B230" t="str">
            <v>Current shares outstanding (mn)</v>
          </cell>
          <cell r="C230" t="str">
            <v>NUM_SH</v>
          </cell>
          <cell r="E230">
            <v>134.14019999999999</v>
          </cell>
        </row>
        <row r="231">
          <cell r="B231" t="str">
            <v>Free float</v>
          </cell>
          <cell r="C231" t="str">
            <v>FREE_FLOAT</v>
          </cell>
        </row>
        <row r="232">
          <cell r="B232" t="str">
            <v>Foreign ownership</v>
          </cell>
          <cell r="C232" t="str">
            <v>FOREIGN_HOLDNG</v>
          </cell>
        </row>
        <row r="233">
          <cell r="B233" t="str">
            <v>Catalyst 1 date</v>
          </cell>
          <cell r="C233" t="str">
            <v>CATALYST1_DATE</v>
          </cell>
        </row>
        <row r="234">
          <cell r="B234" t="str">
            <v>Catalyst 1 description</v>
          </cell>
          <cell r="C234" t="str">
            <v>CATALYST1_EVENT</v>
          </cell>
        </row>
        <row r="235">
          <cell r="B235" t="str">
            <v>Catalyst 2 date</v>
          </cell>
          <cell r="C235" t="str">
            <v>CATALYST2_DATE</v>
          </cell>
        </row>
        <row r="236">
          <cell r="B236" t="str">
            <v>Catalyst 2 description</v>
          </cell>
          <cell r="C236" t="str">
            <v>CATALYST2_EVENT</v>
          </cell>
        </row>
        <row r="237">
          <cell r="B237" t="str">
            <v>Catalyst 3 date</v>
          </cell>
          <cell r="C237" t="str">
            <v>CATALYST3_DATE</v>
          </cell>
        </row>
        <row r="238">
          <cell r="B238" t="str">
            <v>Catalyst 3 description</v>
          </cell>
          <cell r="C238" t="str">
            <v>CATALYST3_EVENT</v>
          </cell>
        </row>
        <row r="239">
          <cell r="B239" t="str">
            <v>Catalyst 4 date</v>
          </cell>
          <cell r="C239" t="str">
            <v>CATALYST4_DATE</v>
          </cell>
        </row>
        <row r="240">
          <cell r="B240" t="str">
            <v>Catalyst 4 description</v>
          </cell>
          <cell r="C240" t="str">
            <v>CATALYST4_EVENT</v>
          </cell>
        </row>
        <row r="241">
          <cell r="B241" t="str">
            <v>Catalyst 5 date</v>
          </cell>
          <cell r="C241" t="str">
            <v>CATALYST5_DATE</v>
          </cell>
        </row>
        <row r="242">
          <cell r="B242" t="str">
            <v>Catalyst 5 description</v>
          </cell>
          <cell r="C242" t="str">
            <v>CATALYST5_EVENT</v>
          </cell>
        </row>
        <row r="243">
          <cell r="B243" t="str">
            <v>Target price multiple</v>
          </cell>
          <cell r="C243" t="str">
            <v>PRI_TARG_MULT</v>
          </cell>
        </row>
        <row r="244">
          <cell r="B244" t="str">
            <v>Target price methodology</v>
          </cell>
          <cell r="C244" t="str">
            <v>PRI_TARG_METH</v>
          </cell>
        </row>
        <row r="245">
          <cell r="A245" t="str">
            <v>Publishing Items</v>
          </cell>
        </row>
        <row r="246">
          <cell r="B246" t="str">
            <v>Book value per share, BVPS (Pub)</v>
          </cell>
          <cell r="C246" t="str">
            <v>BVPS_PUB</v>
          </cell>
          <cell r="D246" t="str">
            <v>TWD</v>
          </cell>
          <cell r="Y246">
            <v>226.96519760668318</v>
          </cell>
          <cell r="Z246">
            <v>344.40211808242424</v>
          </cell>
          <cell r="AA246">
            <v>472.53768072509212</v>
          </cell>
          <cell r="AB246">
            <v>572.85224712651393</v>
          </cell>
          <cell r="AC246">
            <v>688.81089337871867</v>
          </cell>
          <cell r="AD246">
            <v>802.14261645651345</v>
          </cell>
          <cell r="AE246">
            <v>921.90587511634999</v>
          </cell>
          <cell r="AF246">
            <v>1039.9179291979749</v>
          </cell>
          <cell r="AG246">
            <v>1150.1419042044547</v>
          </cell>
          <cell r="AU246">
            <v>185.76267218924676</v>
          </cell>
          <cell r="AV246">
            <v>183.96323398951247</v>
          </cell>
          <cell r="AW246">
            <v>201.17994456546211</v>
          </cell>
          <cell r="AX246">
            <v>226.96519760668318</v>
          </cell>
          <cell r="AY246">
            <v>249.41608108531224</v>
          </cell>
          <cell r="AZ246">
            <v>248.34487349802671</v>
          </cell>
          <cell r="BA246">
            <v>288.21411478438233</v>
          </cell>
          <cell r="BB246">
            <v>344.40211808242424</v>
          </cell>
          <cell r="BC246">
            <v>376.96660658027946</v>
          </cell>
          <cell r="BD246">
            <v>361.27309337543858</v>
          </cell>
          <cell r="BE246">
            <v>423.5798738931357</v>
          </cell>
          <cell r="BF246">
            <v>472.53768072509212</v>
          </cell>
          <cell r="BG246">
            <v>496.07353351195246</v>
          </cell>
          <cell r="BH246">
            <v>459.68269020025321</v>
          </cell>
          <cell r="BI246">
            <v>505.62874514873249</v>
          </cell>
          <cell r="BJ246">
            <v>572.85224712651393</v>
          </cell>
          <cell r="BK246">
            <v>597.10588622948239</v>
          </cell>
          <cell r="BL246">
            <v>569.94654846198239</v>
          </cell>
          <cell r="BM246">
            <v>627.50866630585028</v>
          </cell>
          <cell r="BN246">
            <v>688.81089337871867</v>
          </cell>
          <cell r="BO246">
            <v>715.80841537436208</v>
          </cell>
          <cell r="BP246">
            <v>691.64354160795938</v>
          </cell>
          <cell r="BQ246">
            <v>752.68776250519988</v>
          </cell>
          <cell r="BR246">
            <v>802.14261645651345</v>
          </cell>
          <cell r="BS246">
            <v>833.85345734775797</v>
          </cell>
          <cell r="BT246">
            <v>876.80471597231622</v>
          </cell>
          <cell r="BU246">
            <v>868.72814958555728</v>
          </cell>
          <cell r="BV246">
            <v>921.90587511634999</v>
          </cell>
          <cell r="BW246">
            <v>956.33247683308082</v>
          </cell>
          <cell r="BX246">
            <v>1000.2829904061824</v>
          </cell>
          <cell r="BY246">
            <v>1063.3284169710637</v>
          </cell>
          <cell r="BZ246">
            <v>1039.9179291979749</v>
          </cell>
        </row>
        <row r="247">
          <cell r="B247" t="str">
            <v>DPS, dividend per share (Pub)</v>
          </cell>
          <cell r="C247" t="str">
            <v>DPS_PUB</v>
          </cell>
          <cell r="D247" t="str">
            <v>TWD</v>
          </cell>
          <cell r="Y247">
            <v>16.999997018045299</v>
          </cell>
          <cell r="Z247">
            <v>28.500002236466027</v>
          </cell>
          <cell r="AA247">
            <v>50.999998509022646</v>
          </cell>
          <cell r="AB247">
            <v>63.500002236466031</v>
          </cell>
          <cell r="AC247">
            <v>63.500002236466031</v>
          </cell>
          <cell r="AD247">
            <v>72.499996272556629</v>
          </cell>
          <cell r="AE247">
            <v>76.726608124362741</v>
          </cell>
          <cell r="AF247">
            <v>77.714470333894496</v>
          </cell>
          <cell r="AG247">
            <v>75.000703864102363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</row>
        <row r="248">
          <cell r="B248" t="str">
            <v>Special dividend per share</v>
          </cell>
          <cell r="C248" t="str">
            <v>DPS_SPECIAL_PUB</v>
          </cell>
          <cell r="D248" t="str">
            <v>TWD</v>
          </cell>
        </row>
        <row r="249">
          <cell r="B249" t="str">
            <v>EBITDA (Pub)</v>
          </cell>
          <cell r="C249" t="str">
            <v>EBITDA_PUB</v>
          </cell>
          <cell r="D249" t="str">
            <v>TWD</v>
          </cell>
          <cell r="Y249">
            <v>12228.841</v>
          </cell>
          <cell r="Z249">
            <v>22727.962</v>
          </cell>
          <cell r="AA249">
            <v>29495.393000000004</v>
          </cell>
          <cell r="AB249">
            <v>30012.457000000002</v>
          </cell>
          <cell r="AC249">
            <v>34393.869999999995</v>
          </cell>
          <cell r="AD249">
            <v>32507.407999999992</v>
          </cell>
          <cell r="AE249">
            <v>33476.758288937053</v>
          </cell>
          <cell r="AF249">
            <v>33459.144159504438</v>
          </cell>
          <cell r="AG249">
            <v>32232.972242456661</v>
          </cell>
          <cell r="AU249">
            <v>2018.7980000000002</v>
          </cell>
          <cell r="AV249">
            <v>2822.8250000000003</v>
          </cell>
          <cell r="AW249">
            <v>3193.3280000000004</v>
          </cell>
          <cell r="AX249">
            <v>4193.8899999999994</v>
          </cell>
          <cell r="AY249">
            <v>3607.761</v>
          </cell>
          <cell r="AZ249">
            <v>5520.5509999999995</v>
          </cell>
          <cell r="BA249">
            <v>5821.4260000000004</v>
          </cell>
          <cell r="BB249">
            <v>7778.2239999999993</v>
          </cell>
          <cell r="BC249">
            <v>5626.4800000000005</v>
          </cell>
          <cell r="BD249">
            <v>7563.1360000000004</v>
          </cell>
          <cell r="BE249">
            <v>7881.2920000000013</v>
          </cell>
          <cell r="BF249">
            <v>8424.4850000000006</v>
          </cell>
          <cell r="BG249">
            <v>4682.0890000000009</v>
          </cell>
          <cell r="BH249">
            <v>6309.7870000000003</v>
          </cell>
          <cell r="BI249">
            <v>8896.4069999999992</v>
          </cell>
          <cell r="BJ249">
            <v>10124.174000000001</v>
          </cell>
          <cell r="BK249">
            <v>7253.4459999999999</v>
          </cell>
          <cell r="BL249">
            <v>7140.2610000000013</v>
          </cell>
          <cell r="BM249">
            <v>9362.6710000000003</v>
          </cell>
          <cell r="BN249">
            <v>10637.492</v>
          </cell>
          <cell r="BO249">
            <v>5314.6660000000011</v>
          </cell>
          <cell r="BP249">
            <v>7949.5980000000009</v>
          </cell>
          <cell r="BQ249">
            <v>10979.16</v>
          </cell>
          <cell r="BR249">
            <v>8263.9839999999986</v>
          </cell>
          <cell r="BS249">
            <v>5785.2931688646659</v>
          </cell>
          <cell r="BT249">
            <v>7673.5979463870462</v>
          </cell>
          <cell r="BU249">
            <v>10856.429489577418</v>
          </cell>
          <cell r="BV249">
            <v>9161.4376841079193</v>
          </cell>
          <cell r="BW249">
            <v>6106.8109846090756</v>
          </cell>
          <cell r="BX249">
            <v>7716.9739755519777</v>
          </cell>
          <cell r="BY249">
            <v>10532.507258895741</v>
          </cell>
          <cell r="BZ249">
            <v>9102.8519404476428</v>
          </cell>
        </row>
        <row r="250">
          <cell r="B250" t="str">
            <v>EPS (Pub)</v>
          </cell>
          <cell r="C250" t="str">
            <v>EPS_PUB</v>
          </cell>
          <cell r="D250" t="str">
            <v>TWD</v>
          </cell>
          <cell r="Y250">
            <v>71.64</v>
          </cell>
          <cell r="Z250">
            <v>144.91</v>
          </cell>
          <cell r="AA250">
            <v>180.08</v>
          </cell>
          <cell r="AB250">
            <v>169.48</v>
          </cell>
          <cell r="AC250">
            <v>193.64999999999998</v>
          </cell>
          <cell r="AD250">
            <v>181.67</v>
          </cell>
          <cell r="AE250">
            <v>192.26325493239321</v>
          </cell>
          <cell r="AF250">
            <v>194.73866220598768</v>
          </cell>
          <cell r="AG250">
            <v>187.93844534037402</v>
          </cell>
          <cell r="AU250">
            <v>13.785753690174449</v>
          </cell>
          <cell r="AV250">
            <v>15.173706575219924</v>
          </cell>
          <cell r="AW250">
            <v>17.29941106306844</v>
          </cell>
          <cell r="AX250">
            <v>25.381139108394212</v>
          </cell>
          <cell r="AY250">
            <v>22.362457134337262</v>
          </cell>
          <cell r="AZ250">
            <v>27.747592067988663</v>
          </cell>
          <cell r="BA250">
            <v>39.403198151185336</v>
          </cell>
          <cell r="BB250">
            <v>55.395758163113157</v>
          </cell>
          <cell r="BC250">
            <v>32.855628447890268</v>
          </cell>
          <cell r="BD250">
            <v>35.963799015953491</v>
          </cell>
          <cell r="BE250">
            <v>61.173043089309701</v>
          </cell>
          <cell r="BF250">
            <v>50.091978529894149</v>
          </cell>
          <cell r="BG250">
            <v>27.006918145221423</v>
          </cell>
          <cell r="BH250">
            <v>27.509862829879232</v>
          </cell>
          <cell r="BI250">
            <v>51.89048755032055</v>
          </cell>
          <cell r="BJ250">
            <v>63.065111077978237</v>
          </cell>
          <cell r="BK250">
            <v>36.410526315789475</v>
          </cell>
          <cell r="BL250">
            <v>35.144990308632785</v>
          </cell>
          <cell r="BM250">
            <v>57.929908667287975</v>
          </cell>
          <cell r="BN250">
            <v>64.166669151632618</v>
          </cell>
          <cell r="BO250">
            <v>29.962136573728955</v>
          </cell>
          <cell r="BP250">
            <v>41.009974653347264</v>
          </cell>
          <cell r="BQ250">
            <v>62.407201431340411</v>
          </cell>
          <cell r="BR250">
            <v>48.293074399880716</v>
          </cell>
          <cell r="BS250">
            <v>31.71084089124453</v>
          </cell>
          <cell r="BT250">
            <v>42.951258624558214</v>
          </cell>
          <cell r="BU250">
            <v>64.423429885797731</v>
          </cell>
          <cell r="BV250">
            <v>53.177725530792735</v>
          </cell>
          <cell r="BW250">
            <v>34.426601716730822</v>
          </cell>
          <cell r="BX250">
            <v>43.950513573101567</v>
          </cell>
          <cell r="BY250">
            <v>63.045426564881311</v>
          </cell>
          <cell r="BZ250">
            <v>53.316120351273987</v>
          </cell>
        </row>
        <row r="251">
          <cell r="B251" t="str">
            <v>EV adjustment (Pub)</v>
          </cell>
          <cell r="C251" t="str">
            <v>EV_ADJ_PUB</v>
          </cell>
          <cell r="D251" t="str">
            <v>TWD</v>
          </cell>
        </row>
        <row r="252">
          <cell r="B252" t="str">
            <v>Net debt (Pub)</v>
          </cell>
          <cell r="C252" t="str">
            <v>NET_DEBT_PUB</v>
          </cell>
          <cell r="D252" t="str">
            <v>TWD</v>
          </cell>
          <cell r="Y252">
            <v>-13420.222</v>
          </cell>
          <cell r="Z252">
            <v>-23910.307000000001</v>
          </cell>
          <cell r="AA252">
            <v>-39055.090000000004</v>
          </cell>
          <cell r="AB252">
            <v>-52702.799999999996</v>
          </cell>
          <cell r="AC252">
            <v>-67500.233999999997</v>
          </cell>
          <cell r="AD252">
            <v>-82850.558000000005</v>
          </cell>
          <cell r="AE252">
            <v>-101489.28447007867</v>
          </cell>
          <cell r="AF252">
            <v>-119113.92337604842</v>
          </cell>
          <cell r="AG252">
            <v>-135305.56142606371</v>
          </cell>
          <cell r="AU252">
            <v>-12442.49</v>
          </cell>
          <cell r="AV252">
            <v>-11649.145</v>
          </cell>
          <cell r="AW252">
            <v>-10945.866</v>
          </cell>
          <cell r="AX252">
            <v>-13420.222</v>
          </cell>
          <cell r="AY252">
            <v>-17892.267</v>
          </cell>
          <cell r="AZ252">
            <v>-19255.164000000001</v>
          </cell>
          <cell r="BA252">
            <v>-19488.721000000001</v>
          </cell>
          <cell r="BB252">
            <v>-23910.307000000001</v>
          </cell>
          <cell r="BC252">
            <v>-32368.327999999998</v>
          </cell>
          <cell r="BD252">
            <v>-31788.434000000001</v>
          </cell>
          <cell r="BE252">
            <v>-33701.060000000005</v>
          </cell>
          <cell r="BF252">
            <v>-39055.090000000004</v>
          </cell>
          <cell r="BG252">
            <v>-41637.872000000003</v>
          </cell>
          <cell r="BH252">
            <v>-45820.789000000004</v>
          </cell>
          <cell r="BI252">
            <v>-44171.387000000002</v>
          </cell>
          <cell r="BJ252">
            <v>-52702.799999999996</v>
          </cell>
          <cell r="BK252">
            <v>-58052.63</v>
          </cell>
          <cell r="BL252">
            <v>-57864.313999999998</v>
          </cell>
          <cell r="BM252">
            <v>-58416.101000000002</v>
          </cell>
          <cell r="BN252">
            <v>-67500.233999999997</v>
          </cell>
          <cell r="BO252">
            <v>-73182.947999999989</v>
          </cell>
          <cell r="BP252">
            <v>-73944.547000000006</v>
          </cell>
          <cell r="BQ252">
            <v>-71869.894</v>
          </cell>
          <cell r="BR252">
            <v>-82850.558000000005</v>
          </cell>
          <cell r="BS252">
            <v>-85117.196015406589</v>
          </cell>
          <cell r="BT252">
            <v>-94283.974975720252</v>
          </cell>
          <cell r="BU252">
            <v>-89391.513789433113</v>
          </cell>
          <cell r="BV252">
            <v>-101489.28447007867</v>
          </cell>
          <cell r="BW252">
            <v>-105644.09238258768</v>
          </cell>
          <cell r="BX252">
            <v>-113058.52826155271</v>
          </cell>
          <cell r="BY252">
            <v>-119700.39554332745</v>
          </cell>
          <cell r="BZ252">
            <v>-119113.92337604842</v>
          </cell>
        </row>
        <row r="253">
          <cell r="B253" t="str">
            <v>Net income (Pub)</v>
          </cell>
          <cell r="C253" t="str">
            <v>NI_PUB</v>
          </cell>
          <cell r="D253" t="str">
            <v>TWD</v>
          </cell>
          <cell r="Y253">
            <v>9609.7910000000011</v>
          </cell>
          <cell r="Z253">
            <v>19438.094000000001</v>
          </cell>
          <cell r="AA253">
            <v>24156.528000000006</v>
          </cell>
          <cell r="AB253">
            <v>22733.025000000001</v>
          </cell>
          <cell r="AC253">
            <v>25975.622999999992</v>
          </cell>
          <cell r="AD253">
            <v>24369.533999999992</v>
          </cell>
          <cell r="AE253">
            <v>25790.231469282215</v>
          </cell>
          <cell r="AF253">
            <v>26122.283096043633</v>
          </cell>
          <cell r="AG253">
            <v>25210.100645646839</v>
          </cell>
          <cell r="AU253">
            <v>1849.2210000000005</v>
          </cell>
          <cell r="AV253">
            <v>2035.4010000000005</v>
          </cell>
          <cell r="AW253">
            <v>2320.5430000000001</v>
          </cell>
          <cell r="AX253">
            <v>3404.6259999999993</v>
          </cell>
          <cell r="AY253">
            <v>2999.7</v>
          </cell>
          <cell r="AZ253">
            <v>3722.061999999999</v>
          </cell>
          <cell r="BA253">
            <v>5285.5450000000001</v>
          </cell>
          <cell r="BB253">
            <v>7430.7869999999984</v>
          </cell>
          <cell r="BC253">
            <v>4407.2539999999999</v>
          </cell>
          <cell r="BD253">
            <v>4824.1840000000011</v>
          </cell>
          <cell r="BE253">
            <v>8205.7520000000022</v>
          </cell>
          <cell r="BF253">
            <v>6719.3380000000006</v>
          </cell>
          <cell r="BG253">
            <v>3622.7080000000014</v>
          </cell>
          <cell r="BH253">
            <v>3690.1729999999998</v>
          </cell>
          <cell r="BI253">
            <v>6960.5899999999983</v>
          </cell>
          <cell r="BJ253">
            <v>8459.5540000000001</v>
          </cell>
          <cell r="BK253">
            <v>4884.1080000000002</v>
          </cell>
          <cell r="BL253">
            <v>4714.3490000000011</v>
          </cell>
          <cell r="BM253">
            <v>7769.8490000000002</v>
          </cell>
          <cell r="BN253">
            <v>8607.3169999999991</v>
          </cell>
          <cell r="BO253">
            <v>4019.1210000000015</v>
          </cell>
          <cell r="BP253">
            <v>5501.0780000000013</v>
          </cell>
          <cell r="BQ253">
            <v>8371.3020000000015</v>
          </cell>
          <cell r="BR253">
            <v>6478.0329999999985</v>
          </cell>
          <cell r="BS253">
            <v>4253.6985393197192</v>
          </cell>
          <cell r="BT253">
            <v>5761.4904221499637</v>
          </cell>
          <cell r="BU253">
            <v>8641.7717695668834</v>
          </cell>
          <cell r="BV253">
            <v>7133.2707382456429</v>
          </cell>
          <cell r="BW253">
            <v>4617.9912396026157</v>
          </cell>
          <cell r="BX253">
            <v>5895.5306807985589</v>
          </cell>
          <cell r="BY253">
            <v>8456.9261284984914</v>
          </cell>
          <cell r="BZ253">
            <v>7151.8350471439626</v>
          </cell>
        </row>
        <row r="254">
          <cell r="B254" t="str">
            <v>EBIT, operating profit (Pub)</v>
          </cell>
          <cell r="C254" t="str">
            <v>EBIT_PUB</v>
          </cell>
          <cell r="D254" t="str">
            <v>TWD</v>
          </cell>
          <cell r="Y254">
            <v>10781.033000000001</v>
          </cell>
          <cell r="Z254">
            <v>21066.833999999999</v>
          </cell>
          <cell r="AA254">
            <v>27654.632000000005</v>
          </cell>
          <cell r="AB254">
            <v>27913.957000000002</v>
          </cell>
          <cell r="AC254">
            <v>32093.301999999992</v>
          </cell>
          <cell r="AD254">
            <v>29611.939999999991</v>
          </cell>
          <cell r="AE254">
            <v>30271.590179411869</v>
          </cell>
          <cell r="AF254">
            <v>30565.682202272692</v>
          </cell>
          <cell r="AG254">
            <v>29612.773413632014</v>
          </cell>
          <cell r="AU254">
            <v>1675.8220000000003</v>
          </cell>
          <cell r="AV254">
            <v>2469.6650000000004</v>
          </cell>
          <cell r="AW254">
            <v>2822.4570000000003</v>
          </cell>
          <cell r="AX254">
            <v>3813.0889999999995</v>
          </cell>
          <cell r="AY254">
            <v>3213.1079999999997</v>
          </cell>
          <cell r="AZ254">
            <v>5123.9799999999996</v>
          </cell>
          <cell r="BA254">
            <v>5407.393</v>
          </cell>
          <cell r="BB254">
            <v>7322.3529999999992</v>
          </cell>
          <cell r="BC254">
            <v>5181.1010000000006</v>
          </cell>
          <cell r="BD254">
            <v>7105.5000000000009</v>
          </cell>
          <cell r="BE254">
            <v>7416.4550000000017</v>
          </cell>
          <cell r="BF254">
            <v>7951.5760000000009</v>
          </cell>
          <cell r="BG254">
            <v>4184.7350000000015</v>
          </cell>
          <cell r="BH254">
            <v>5790.0259999999998</v>
          </cell>
          <cell r="BI254">
            <v>8364.5359999999982</v>
          </cell>
          <cell r="BJ254">
            <v>9574.66</v>
          </cell>
          <cell r="BK254">
            <v>6686.6479999999992</v>
          </cell>
          <cell r="BL254">
            <v>6565.6360000000013</v>
          </cell>
          <cell r="BM254">
            <v>8791.1530000000002</v>
          </cell>
          <cell r="BN254">
            <v>10049.865</v>
          </cell>
          <cell r="BO254">
            <v>4688.7740000000013</v>
          </cell>
          <cell r="BP254">
            <v>7297.8840000000009</v>
          </cell>
          <cell r="BQ254">
            <v>10217.831</v>
          </cell>
          <cell r="BR254">
            <v>7407.4509999999982</v>
          </cell>
          <cell r="BS254">
            <v>4952.4991158362745</v>
          </cell>
          <cell r="BT254">
            <v>6862.2589729999545</v>
          </cell>
          <cell r="BU254">
            <v>10065.859975595245</v>
          </cell>
          <cell r="BV254">
            <v>8390.97211498039</v>
          </cell>
          <cell r="BW254">
            <v>5355.803361876503</v>
          </cell>
          <cell r="BX254">
            <v>6984.7972445395353</v>
          </cell>
          <cell r="BY254">
            <v>9818.55275319049</v>
          </cell>
          <cell r="BZ254">
            <v>8406.5288426661627</v>
          </cell>
        </row>
        <row r="255">
          <cell r="B255" t="str">
            <v>Pre-tax profit (Pub)</v>
          </cell>
          <cell r="C255" t="str">
            <v>PTP_PUB</v>
          </cell>
          <cell r="D255" t="str">
            <v>TWD</v>
          </cell>
          <cell r="Y255">
            <v>11500.715000000002</v>
          </cell>
          <cell r="Z255">
            <v>22963.091</v>
          </cell>
          <cell r="AA255">
            <v>29159.962000000007</v>
          </cell>
          <cell r="AB255">
            <v>28251.199000000001</v>
          </cell>
          <cell r="AC255">
            <v>31959.520999999993</v>
          </cell>
          <cell r="AD255">
            <v>31195.870999999992</v>
          </cell>
          <cell r="AE255">
            <v>31867.250248503668</v>
          </cell>
          <cell r="AF255">
            <v>32281.648231889703</v>
          </cell>
          <cell r="AG255">
            <v>31184.679262276342</v>
          </cell>
          <cell r="AU255">
            <v>2012.9200000000005</v>
          </cell>
          <cell r="AV255">
            <v>2672.9310000000005</v>
          </cell>
          <cell r="AW255">
            <v>2710.8180000000002</v>
          </cell>
          <cell r="AX255">
            <v>4104.0459999999994</v>
          </cell>
          <cell r="AY255">
            <v>3527.3999999999996</v>
          </cell>
          <cell r="AZ255">
            <v>5012.6439999999993</v>
          </cell>
          <cell r="BA255">
            <v>6035.893</v>
          </cell>
          <cell r="BB255">
            <v>8387.1539999999986</v>
          </cell>
          <cell r="BC255">
            <v>5082.4160000000002</v>
          </cell>
          <cell r="BD255">
            <v>6971.7300000000005</v>
          </cell>
          <cell r="BE255">
            <v>9218.5090000000018</v>
          </cell>
          <cell r="BF255">
            <v>7887.3070000000007</v>
          </cell>
          <cell r="BG255">
            <v>4219.2290000000012</v>
          </cell>
          <cell r="BH255">
            <v>6009.348</v>
          </cell>
          <cell r="BI255">
            <v>8084.2419999999984</v>
          </cell>
          <cell r="BJ255">
            <v>9938.3799999999992</v>
          </cell>
          <cell r="BK255">
            <v>5722.3019999999997</v>
          </cell>
          <cell r="BL255">
            <v>6892.4730000000009</v>
          </cell>
          <cell r="BM255">
            <v>9146.2150000000001</v>
          </cell>
          <cell r="BN255">
            <v>10198.530999999999</v>
          </cell>
          <cell r="BO255">
            <v>4800.4630000000016</v>
          </cell>
          <cell r="BP255">
            <v>8159.420000000001</v>
          </cell>
          <cell r="BQ255">
            <v>10193.076000000001</v>
          </cell>
          <cell r="BR255">
            <v>8042.9119999999984</v>
          </cell>
          <cell r="BS255">
            <v>5283.2574908362749</v>
          </cell>
          <cell r="BT255">
            <v>7201.9882698749543</v>
          </cell>
          <cell r="BU255">
            <v>10523.38480957962</v>
          </cell>
          <cell r="BV255">
            <v>8858.6196782128118</v>
          </cell>
          <cell r="BW255">
            <v>5734.0692455129774</v>
          </cell>
          <cell r="BX255">
            <v>7367.4508636305691</v>
          </cell>
          <cell r="BY255">
            <v>10298.468824667903</v>
          </cell>
          <cell r="BZ255">
            <v>8881.6592980782516</v>
          </cell>
        </row>
        <row r="256">
          <cell r="B256" t="str">
            <v>Sales, revenue (Pub)</v>
          </cell>
          <cell r="C256" t="str">
            <v>REVS_PUB</v>
          </cell>
          <cell r="D256" t="str">
            <v>TWD</v>
          </cell>
          <cell r="Y256">
            <v>27433.293000000001</v>
          </cell>
          <cell r="Z256">
            <v>45810.262999999999</v>
          </cell>
          <cell r="AA256">
            <v>55868.893000000004</v>
          </cell>
          <cell r="AB256">
            <v>48351.790999999997</v>
          </cell>
          <cell r="AC256">
            <v>53127.509999999995</v>
          </cell>
          <cell r="AD256">
            <v>49952.157999999996</v>
          </cell>
          <cell r="AE256">
            <v>51476.692394220503</v>
          </cell>
          <cell r="AF256">
            <v>52133.789951164705</v>
          </cell>
          <cell r="AG256">
            <v>50787.324371530143</v>
          </cell>
          <cell r="AU256">
            <v>5102.7610000000004</v>
          </cell>
          <cell r="AV256">
            <v>5857.5320000000002</v>
          </cell>
          <cell r="AW256">
            <v>7170.8770000000004</v>
          </cell>
          <cell r="AX256">
            <v>9302.1229999999996</v>
          </cell>
          <cell r="AY256">
            <v>6858.2740000000003</v>
          </cell>
          <cell r="AZ256">
            <v>9975.0079999999998</v>
          </cell>
          <cell r="BA256">
            <v>12088.09</v>
          </cell>
          <cell r="BB256">
            <v>16888.891</v>
          </cell>
          <cell r="BC256">
            <v>10567.179</v>
          </cell>
          <cell r="BD256">
            <v>13775.771000000001</v>
          </cell>
          <cell r="BE256">
            <v>16085.503000000001</v>
          </cell>
          <cell r="BF256">
            <v>15440.44</v>
          </cell>
          <cell r="BG256">
            <v>8271.0810000000001</v>
          </cell>
          <cell r="BH256">
            <v>10043.75</v>
          </cell>
          <cell r="BI256">
            <v>14314.6</v>
          </cell>
          <cell r="BJ256">
            <v>15722.36</v>
          </cell>
          <cell r="BK256">
            <v>10807.376</v>
          </cell>
          <cell r="BL256">
            <v>11313.62</v>
          </cell>
          <cell r="BM256">
            <v>14918.098</v>
          </cell>
          <cell r="BN256">
            <v>16088.415999999999</v>
          </cell>
          <cell r="BO256">
            <v>8877.3950000000004</v>
          </cell>
          <cell r="BP256">
            <v>12296.173000000001</v>
          </cell>
          <cell r="BQ256">
            <v>16333.634</v>
          </cell>
          <cell r="BR256">
            <v>12444.956</v>
          </cell>
          <cell r="BS256">
            <v>9096.3522905660011</v>
          </cell>
          <cell r="BT256">
            <v>11914.42615342</v>
          </cell>
          <cell r="BU256">
            <v>16483.458549276496</v>
          </cell>
          <cell r="BV256">
            <v>13982.455400958001</v>
          </cell>
          <cell r="BW256">
            <v>9672.0570192326613</v>
          </cell>
          <cell r="BX256">
            <v>12172.495471328648</v>
          </cell>
          <cell r="BY256">
            <v>16214.715386902491</v>
          </cell>
          <cell r="BZ256">
            <v>14074.522073700902</v>
          </cell>
        </row>
        <row r="257">
          <cell r="B257" t="str">
            <v>Total shareholders' equity (Pub)</v>
          </cell>
          <cell r="C257" t="str">
            <v>EQ_PUB</v>
          </cell>
          <cell r="D257" t="str">
            <v>TWD</v>
          </cell>
          <cell r="Y257">
            <v>30445.156999999999</v>
          </cell>
          <cell r="Z257">
            <v>46198.169000000002</v>
          </cell>
          <cell r="AA257">
            <v>63386.298999999999</v>
          </cell>
          <cell r="AB257">
            <v>76842.514999999999</v>
          </cell>
          <cell r="AC257">
            <v>92397.231</v>
          </cell>
          <cell r="AD257">
            <v>107599.571</v>
          </cell>
          <cell r="AE257">
            <v>123664.6384692822</v>
          </cell>
          <cell r="AF257">
            <v>139494.7990062022</v>
          </cell>
          <cell r="AG257">
            <v>154280.26505836638</v>
          </cell>
          <cell r="AU257">
            <v>24918.241999999998</v>
          </cell>
          <cell r="AV257">
            <v>24676.865000000002</v>
          </cell>
          <cell r="AW257">
            <v>26986.317999999999</v>
          </cell>
          <cell r="AX257">
            <v>30445.156999999999</v>
          </cell>
          <cell r="AY257">
            <v>33456.722999999998</v>
          </cell>
          <cell r="AZ257">
            <v>33313.031000000003</v>
          </cell>
          <cell r="BA257">
            <v>38661.099000000002</v>
          </cell>
          <cell r="BB257">
            <v>46198.169000000002</v>
          </cell>
          <cell r="BC257">
            <v>50566.375999999997</v>
          </cell>
          <cell r="BD257">
            <v>48461.245000000003</v>
          </cell>
          <cell r="BE257">
            <v>56819.089</v>
          </cell>
          <cell r="BF257">
            <v>63386.298999999999</v>
          </cell>
          <cell r="BG257">
            <v>66543.403000000006</v>
          </cell>
          <cell r="BH257">
            <v>61661.928</v>
          </cell>
          <cell r="BI257">
            <v>67825.141000000003</v>
          </cell>
          <cell r="BJ257">
            <v>76842.514999999999</v>
          </cell>
          <cell r="BK257">
            <v>80095.903000000006</v>
          </cell>
          <cell r="BL257">
            <v>76452.744000000006</v>
          </cell>
          <cell r="BM257">
            <v>84174.138000000006</v>
          </cell>
          <cell r="BN257">
            <v>92397.231</v>
          </cell>
          <cell r="BO257">
            <v>96018.683999999994</v>
          </cell>
          <cell r="BP257">
            <v>92777.202999999994</v>
          </cell>
          <cell r="BQ257">
            <v>100965.68700000001</v>
          </cell>
          <cell r="BR257">
            <v>107599.571</v>
          </cell>
          <cell r="BS257">
            <v>111853.26953931972</v>
          </cell>
          <cell r="BT257">
            <v>117614.75996146968</v>
          </cell>
          <cell r="BU257">
            <v>116531.36773103656</v>
          </cell>
          <cell r="BV257">
            <v>123664.6384692822</v>
          </cell>
          <cell r="BW257">
            <v>128282.62970888482</v>
          </cell>
          <cell r="BX257">
            <v>134178.16038968338</v>
          </cell>
          <cell r="BY257">
            <v>142635.08651818187</v>
          </cell>
          <cell r="BZ257">
            <v>139494.7990062022</v>
          </cell>
        </row>
        <row r="258">
          <cell r="B258" t="str">
            <v>EPS (consensus)</v>
          </cell>
          <cell r="C258" t="str">
            <v>EPS_CONS_PUB</v>
          </cell>
          <cell r="D258" t="str">
            <v>TWD</v>
          </cell>
        </row>
        <row r="259">
          <cell r="A259" t="str">
            <v>Income Statement</v>
          </cell>
        </row>
        <row r="260">
          <cell r="B260" t="str">
            <v>Provision for income tax</v>
          </cell>
          <cell r="C260" t="str">
            <v>PROV_INC_TAX</v>
          </cell>
          <cell r="D260" t="str">
            <v>TWD</v>
          </cell>
          <cell r="Y260">
            <v>-1890.924</v>
          </cell>
          <cell r="Z260">
            <v>-3524.9970000000003</v>
          </cell>
          <cell r="AA260">
            <v>-5003.4339999999993</v>
          </cell>
          <cell r="AB260">
            <v>-5518.174</v>
          </cell>
          <cell r="AC260">
            <v>-5983.8979999999992</v>
          </cell>
          <cell r="AD260">
            <v>-6826.3370000000004</v>
          </cell>
          <cell r="AE260">
            <v>-6077.0187792214538</v>
          </cell>
          <cell r="AF260">
            <v>-6159.365135846072</v>
          </cell>
          <cell r="AG260">
            <v>-5974.578616629502</v>
          </cell>
          <cell r="AU260">
            <v>-163.69900000000001</v>
          </cell>
          <cell r="AV260">
            <v>-637.53</v>
          </cell>
          <cell r="AW260">
            <v>-390.27499999999998</v>
          </cell>
          <cell r="AX260">
            <v>-699.42</v>
          </cell>
          <cell r="AY260">
            <v>-527.70000000000005</v>
          </cell>
          <cell r="AZ260">
            <v>-1290.5820000000001</v>
          </cell>
          <cell r="BA260">
            <v>-750.34799999999996</v>
          </cell>
          <cell r="BB260">
            <v>-956.36699999999996</v>
          </cell>
          <cell r="BC260">
            <v>-675.16200000000003</v>
          </cell>
          <cell r="BD260">
            <v>-2147.5459999999998</v>
          </cell>
          <cell r="BE260">
            <v>-1012.7569999999999</v>
          </cell>
          <cell r="BF260">
            <v>-1167.9690000000001</v>
          </cell>
          <cell r="BG260">
            <v>-596.52099999999996</v>
          </cell>
          <cell r="BH260">
            <v>-2319.1750000000002</v>
          </cell>
          <cell r="BI260">
            <v>-1123.652</v>
          </cell>
          <cell r="BJ260">
            <v>-1478.826</v>
          </cell>
          <cell r="BK260">
            <v>-838.19399999999996</v>
          </cell>
          <cell r="BL260">
            <v>-2178.1239999999998</v>
          </cell>
          <cell r="BM260">
            <v>-1376.366</v>
          </cell>
          <cell r="BN260">
            <v>-1591.2139999999999</v>
          </cell>
          <cell r="BO260">
            <v>-781.34199999999998</v>
          </cell>
          <cell r="BP260">
            <v>-2658.3420000000001</v>
          </cell>
          <cell r="BQ260">
            <v>-1821.7739999999999</v>
          </cell>
          <cell r="BR260">
            <v>-1564.8789999999999</v>
          </cell>
          <cell r="BS260">
            <v>-1029.5589515165561</v>
          </cell>
          <cell r="BT260">
            <v>-1440.4978477249908</v>
          </cell>
          <cell r="BU260">
            <v>-1881.6130400127374</v>
          </cell>
          <cell r="BV260">
            <v>-1725.3489399671691</v>
          </cell>
          <cell r="BW260">
            <v>-1116.0780059103615</v>
          </cell>
          <cell r="BX260">
            <v>-1471.9201828320099</v>
          </cell>
          <cell r="BY260">
            <v>-1841.5426961694116</v>
          </cell>
          <cell r="BZ260">
            <v>-1729.8242509342886</v>
          </cell>
        </row>
        <row r="261">
          <cell r="B261" t="str">
            <v>Minority interest</v>
          </cell>
          <cell r="C261" t="str">
            <v>INC_MINORITY</v>
          </cell>
          <cell r="D261" t="str">
            <v>TWD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</row>
        <row r="262">
          <cell r="B262" t="str">
            <v>Net income (pre-preferred dividends)</v>
          </cell>
          <cell r="C262" t="str">
            <v>NI_PRE_PREF</v>
          </cell>
          <cell r="D262" t="str">
            <v>TWD</v>
          </cell>
          <cell r="Y262">
            <v>9609.7910000000011</v>
          </cell>
          <cell r="Z262">
            <v>19438.094000000001</v>
          </cell>
          <cell r="AA262">
            <v>24156.528000000006</v>
          </cell>
          <cell r="AB262">
            <v>22733.025000000001</v>
          </cell>
          <cell r="AC262">
            <v>25975.622999999992</v>
          </cell>
          <cell r="AD262">
            <v>24369.533999999992</v>
          </cell>
          <cell r="AE262">
            <v>25790.231469282215</v>
          </cell>
          <cell r="AF262">
            <v>26122.283096043633</v>
          </cell>
          <cell r="AG262">
            <v>25210.100645646839</v>
          </cell>
          <cell r="AU262">
            <v>1849.2210000000005</v>
          </cell>
          <cell r="AV262">
            <v>2035.4010000000005</v>
          </cell>
          <cell r="AW262">
            <v>2320.5430000000001</v>
          </cell>
          <cell r="AX262">
            <v>3404.6259999999993</v>
          </cell>
          <cell r="AY262">
            <v>2999.7</v>
          </cell>
          <cell r="AZ262">
            <v>3722.061999999999</v>
          </cell>
          <cell r="BA262">
            <v>5285.5450000000001</v>
          </cell>
          <cell r="BB262">
            <v>7430.7869999999984</v>
          </cell>
          <cell r="BC262">
            <v>4407.2539999999999</v>
          </cell>
          <cell r="BD262">
            <v>4824.1840000000011</v>
          </cell>
          <cell r="BE262">
            <v>8205.7520000000022</v>
          </cell>
          <cell r="BF262">
            <v>6719.3380000000006</v>
          </cell>
          <cell r="BG262">
            <v>3622.7080000000014</v>
          </cell>
          <cell r="BH262">
            <v>3690.1729999999998</v>
          </cell>
          <cell r="BI262">
            <v>6960.5899999999983</v>
          </cell>
          <cell r="BJ262">
            <v>8459.5540000000001</v>
          </cell>
          <cell r="BK262">
            <v>4884.1080000000002</v>
          </cell>
          <cell r="BL262">
            <v>4714.3490000000011</v>
          </cell>
          <cell r="BM262">
            <v>7769.8490000000002</v>
          </cell>
          <cell r="BN262">
            <v>8607.3169999999991</v>
          </cell>
          <cell r="BO262">
            <v>4019.1210000000015</v>
          </cell>
          <cell r="BP262">
            <v>5501.0780000000013</v>
          </cell>
          <cell r="BQ262">
            <v>8371.3020000000015</v>
          </cell>
          <cell r="BR262">
            <v>6478.0329999999985</v>
          </cell>
          <cell r="BS262">
            <v>4253.6985393197192</v>
          </cell>
          <cell r="BT262">
            <v>5761.4904221499637</v>
          </cell>
          <cell r="BU262">
            <v>8641.7717695668834</v>
          </cell>
          <cell r="BV262">
            <v>7133.2707382456429</v>
          </cell>
          <cell r="BW262">
            <v>4617.9912396026157</v>
          </cell>
          <cell r="BX262">
            <v>5895.5306807985589</v>
          </cell>
          <cell r="BY262">
            <v>8456.9261284984914</v>
          </cell>
          <cell r="BZ262">
            <v>7151.8350471439626</v>
          </cell>
        </row>
        <row r="263">
          <cell r="B263" t="str">
            <v>Preferred dividends</v>
          </cell>
          <cell r="C263" t="str">
            <v>PREF_DIV</v>
          </cell>
          <cell r="D263" t="str">
            <v>TWD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</row>
        <row r="264">
          <cell r="B264" t="str">
            <v>Net income (pre-exceptionals)</v>
          </cell>
          <cell r="C264" t="str">
            <v>NET_EARNING</v>
          </cell>
          <cell r="D264" t="str">
            <v>TWD</v>
          </cell>
          <cell r="Y264">
            <v>9609.7910000000011</v>
          </cell>
          <cell r="Z264">
            <v>19438.094000000001</v>
          </cell>
          <cell r="AA264">
            <v>24156.528000000006</v>
          </cell>
          <cell r="AB264">
            <v>22733.025000000001</v>
          </cell>
          <cell r="AC264">
            <v>25975.622999999992</v>
          </cell>
          <cell r="AD264">
            <v>24369.533999999992</v>
          </cell>
          <cell r="AE264">
            <v>25790.231469282215</v>
          </cell>
          <cell r="AF264">
            <v>26122.283096043633</v>
          </cell>
          <cell r="AG264">
            <v>25210.100645646839</v>
          </cell>
          <cell r="AU264">
            <v>1849.2210000000005</v>
          </cell>
          <cell r="AV264">
            <v>2035.4010000000005</v>
          </cell>
          <cell r="AW264">
            <v>2320.5430000000001</v>
          </cell>
          <cell r="AX264">
            <v>3404.6259999999993</v>
          </cell>
          <cell r="AY264">
            <v>2999.7</v>
          </cell>
          <cell r="AZ264">
            <v>3722.061999999999</v>
          </cell>
          <cell r="BA264">
            <v>5285.5450000000001</v>
          </cell>
          <cell r="BB264">
            <v>7430.7869999999984</v>
          </cell>
          <cell r="BC264">
            <v>4407.2539999999999</v>
          </cell>
          <cell r="BD264">
            <v>4824.1840000000011</v>
          </cell>
          <cell r="BE264">
            <v>8205.7520000000022</v>
          </cell>
          <cell r="BF264">
            <v>6719.3380000000006</v>
          </cell>
          <cell r="BG264">
            <v>3622.7080000000014</v>
          </cell>
          <cell r="BH264">
            <v>3690.1729999999998</v>
          </cell>
          <cell r="BI264">
            <v>6960.5899999999983</v>
          </cell>
          <cell r="BJ264">
            <v>8459.5540000000001</v>
          </cell>
          <cell r="BK264">
            <v>4884.1080000000002</v>
          </cell>
          <cell r="BL264">
            <v>4714.3490000000011</v>
          </cell>
          <cell r="BM264">
            <v>7769.8490000000002</v>
          </cell>
          <cell r="BN264">
            <v>8607.3169999999991</v>
          </cell>
          <cell r="BO264">
            <v>4019.1210000000015</v>
          </cell>
          <cell r="BP264">
            <v>5501.0780000000013</v>
          </cell>
          <cell r="BQ264">
            <v>8371.3020000000015</v>
          </cell>
          <cell r="BR264">
            <v>6478.0329999999985</v>
          </cell>
          <cell r="BS264">
            <v>4253.6985393197192</v>
          </cell>
          <cell r="BT264">
            <v>5761.4904221499637</v>
          </cell>
          <cell r="BU264">
            <v>8641.7717695668834</v>
          </cell>
          <cell r="BV264">
            <v>7133.2707382456429</v>
          </cell>
          <cell r="BW264">
            <v>4617.9912396026157</v>
          </cell>
          <cell r="BX264">
            <v>5895.5306807985589</v>
          </cell>
          <cell r="BY264">
            <v>8456.9261284984914</v>
          </cell>
          <cell r="BZ264">
            <v>7151.8350471439626</v>
          </cell>
        </row>
        <row r="265">
          <cell r="B265" t="str">
            <v>Post-tax exceptionals</v>
          </cell>
          <cell r="C265" t="str">
            <v>TAX_EXC</v>
          </cell>
          <cell r="D265" t="str">
            <v>TWD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</row>
        <row r="266">
          <cell r="B266" t="str">
            <v>Net income (post-exceptionals)</v>
          </cell>
          <cell r="C266" t="str">
            <v>NET_INC</v>
          </cell>
          <cell r="D266" t="str">
            <v>TWD</v>
          </cell>
          <cell r="Y266">
            <v>9609.7910000000011</v>
          </cell>
          <cell r="Z266">
            <v>19438.094000000001</v>
          </cell>
          <cell r="AA266">
            <v>24156.528000000006</v>
          </cell>
          <cell r="AB266">
            <v>22733.025000000001</v>
          </cell>
          <cell r="AC266">
            <v>25975.622999999992</v>
          </cell>
          <cell r="AD266">
            <v>24369.533999999992</v>
          </cell>
          <cell r="AE266">
            <v>25790.231469282215</v>
          </cell>
          <cell r="AF266">
            <v>26122.283096043633</v>
          </cell>
          <cell r="AG266">
            <v>25210.100645646839</v>
          </cell>
          <cell r="AU266">
            <v>1849.2210000000005</v>
          </cell>
          <cell r="AV266">
            <v>2035.4010000000005</v>
          </cell>
          <cell r="AW266">
            <v>2320.5430000000001</v>
          </cell>
          <cell r="AX266">
            <v>3404.6259999999993</v>
          </cell>
          <cell r="AY266">
            <v>2999.7</v>
          </cell>
          <cell r="AZ266">
            <v>3722.061999999999</v>
          </cell>
          <cell r="BA266">
            <v>5285.5450000000001</v>
          </cell>
          <cell r="BB266">
            <v>7430.7869999999984</v>
          </cell>
          <cell r="BC266">
            <v>4407.2539999999999</v>
          </cell>
          <cell r="BD266">
            <v>4824.1840000000011</v>
          </cell>
          <cell r="BE266">
            <v>8205.7520000000022</v>
          </cell>
          <cell r="BF266">
            <v>6719.3380000000006</v>
          </cell>
          <cell r="BG266">
            <v>3622.7080000000014</v>
          </cell>
          <cell r="BH266">
            <v>3690.1729999999998</v>
          </cell>
          <cell r="BI266">
            <v>6960.5899999999983</v>
          </cell>
          <cell r="BJ266">
            <v>8459.5540000000001</v>
          </cell>
          <cell r="BK266">
            <v>4884.1080000000002</v>
          </cell>
          <cell r="BL266">
            <v>4714.3490000000011</v>
          </cell>
          <cell r="BM266">
            <v>7769.8490000000002</v>
          </cell>
          <cell r="BN266">
            <v>8607.3169999999991</v>
          </cell>
          <cell r="BO266">
            <v>4019.1210000000015</v>
          </cell>
          <cell r="BP266">
            <v>5501.0780000000013</v>
          </cell>
          <cell r="BQ266">
            <v>8371.3020000000015</v>
          </cell>
          <cell r="BR266">
            <v>6478.0329999999985</v>
          </cell>
          <cell r="BS266">
            <v>4253.6985393197192</v>
          </cell>
          <cell r="BT266">
            <v>5761.4904221499637</v>
          </cell>
          <cell r="BU266">
            <v>8641.7717695668834</v>
          </cell>
          <cell r="BV266">
            <v>7133.2707382456429</v>
          </cell>
          <cell r="BW266">
            <v>4617.9912396026157</v>
          </cell>
          <cell r="BX266">
            <v>5895.5306807985589</v>
          </cell>
          <cell r="BY266">
            <v>8456.9261284984914</v>
          </cell>
          <cell r="BZ266">
            <v>7151.8350471439626</v>
          </cell>
        </row>
        <row r="267">
          <cell r="B267" t="str">
            <v>EPS (pre-exceptionals, basic)</v>
          </cell>
          <cell r="C267" t="str">
            <v>EPS</v>
          </cell>
          <cell r="D267" t="str">
            <v>TWD</v>
          </cell>
          <cell r="Y267">
            <v>71.64</v>
          </cell>
          <cell r="Z267">
            <v>144.91</v>
          </cell>
          <cell r="AA267">
            <v>180.08</v>
          </cell>
          <cell r="AB267">
            <v>169.48</v>
          </cell>
          <cell r="AC267">
            <v>193.64999999999998</v>
          </cell>
          <cell r="AD267">
            <v>181.67</v>
          </cell>
          <cell r="AE267">
            <v>192.26325493239321</v>
          </cell>
          <cell r="AF267">
            <v>194.73866220598768</v>
          </cell>
          <cell r="AG267">
            <v>187.93844534037402</v>
          </cell>
          <cell r="AU267">
            <v>13.785753690174449</v>
          </cell>
          <cell r="AV267">
            <v>15.173706575219924</v>
          </cell>
          <cell r="AW267">
            <v>17.29941106306844</v>
          </cell>
          <cell r="AX267">
            <v>25.381139108394212</v>
          </cell>
          <cell r="AY267">
            <v>22.362457134337262</v>
          </cell>
          <cell r="AZ267">
            <v>27.747592067988663</v>
          </cell>
          <cell r="BA267">
            <v>39.403198151185336</v>
          </cell>
          <cell r="BB267">
            <v>55.395758163113157</v>
          </cell>
          <cell r="BC267">
            <v>32.855628447890268</v>
          </cell>
          <cell r="BD267">
            <v>35.963799015953491</v>
          </cell>
          <cell r="BE267">
            <v>61.173043089309701</v>
          </cell>
          <cell r="BF267">
            <v>50.091978529894149</v>
          </cell>
          <cell r="BG267">
            <v>27.006918145221423</v>
          </cell>
          <cell r="BH267">
            <v>27.509862829879232</v>
          </cell>
          <cell r="BI267">
            <v>51.89048755032055</v>
          </cell>
          <cell r="BJ267">
            <v>63.065111077978237</v>
          </cell>
          <cell r="BK267">
            <v>36.410526315789475</v>
          </cell>
          <cell r="BL267">
            <v>35.144990308632785</v>
          </cell>
          <cell r="BM267">
            <v>57.929908667287975</v>
          </cell>
          <cell r="BN267">
            <v>64.166669151632618</v>
          </cell>
          <cell r="BO267">
            <v>29.962136573728955</v>
          </cell>
          <cell r="BP267">
            <v>41.009974653347264</v>
          </cell>
          <cell r="BQ267">
            <v>62.407201431340411</v>
          </cell>
          <cell r="BR267">
            <v>48.293074399880716</v>
          </cell>
          <cell r="BS267">
            <v>31.71084089124453</v>
          </cell>
          <cell r="BT267">
            <v>42.951258624558214</v>
          </cell>
          <cell r="BU267">
            <v>64.423429885797731</v>
          </cell>
          <cell r="BV267">
            <v>53.177725530792735</v>
          </cell>
          <cell r="BW267">
            <v>34.426601716730822</v>
          </cell>
          <cell r="BX267">
            <v>43.950513573101567</v>
          </cell>
          <cell r="BY267">
            <v>63.045426564881311</v>
          </cell>
          <cell r="BZ267">
            <v>53.316120351273987</v>
          </cell>
        </row>
        <row r="268">
          <cell r="B268" t="str">
            <v>EPS (pre-exceptionals, diluted)</v>
          </cell>
          <cell r="C268" t="str">
            <v>EPS_FUL_DIL</v>
          </cell>
          <cell r="D268" t="str">
            <v>TWD</v>
          </cell>
          <cell r="Y268">
            <v>71.64</v>
          </cell>
          <cell r="Z268">
            <v>144.91</v>
          </cell>
          <cell r="AA268">
            <v>180.08</v>
          </cell>
          <cell r="AB268">
            <v>169.48</v>
          </cell>
          <cell r="AC268">
            <v>193.64999999999998</v>
          </cell>
          <cell r="AD268">
            <v>181.67</v>
          </cell>
          <cell r="AE268">
            <v>192.26325493239321</v>
          </cell>
          <cell r="AF268">
            <v>194.73866220598768</v>
          </cell>
          <cell r="AG268">
            <v>187.93844534037402</v>
          </cell>
          <cell r="AU268">
            <v>13.785753690174449</v>
          </cell>
          <cell r="AV268">
            <v>15.173706575219924</v>
          </cell>
          <cell r="AW268">
            <v>17.29941106306844</v>
          </cell>
          <cell r="AX268">
            <v>25.381139108394212</v>
          </cell>
          <cell r="AY268">
            <v>22.362457134337262</v>
          </cell>
          <cell r="AZ268">
            <v>27.747592067988663</v>
          </cell>
          <cell r="BA268">
            <v>39.403198151185336</v>
          </cell>
          <cell r="BB268">
            <v>55.395758163113157</v>
          </cell>
          <cell r="BC268">
            <v>32.855628447890268</v>
          </cell>
          <cell r="BD268">
            <v>35.963799015953491</v>
          </cell>
          <cell r="BE268">
            <v>61.173043089309701</v>
          </cell>
          <cell r="BF268">
            <v>50.091978529894149</v>
          </cell>
          <cell r="BG268">
            <v>27.006918145221423</v>
          </cell>
          <cell r="BH268">
            <v>27.509862829879232</v>
          </cell>
          <cell r="BI268">
            <v>51.89048755032055</v>
          </cell>
          <cell r="BJ268">
            <v>63.065111077978237</v>
          </cell>
          <cell r="BK268">
            <v>36.410526315789475</v>
          </cell>
          <cell r="BL268">
            <v>35.144990308632785</v>
          </cell>
          <cell r="BM268">
            <v>57.929908667287975</v>
          </cell>
          <cell r="BN268">
            <v>64.166669151632618</v>
          </cell>
          <cell r="BO268">
            <v>29.962136573728955</v>
          </cell>
          <cell r="BP268">
            <v>41.009974653347264</v>
          </cell>
          <cell r="BQ268">
            <v>62.407201431340411</v>
          </cell>
          <cell r="BR268">
            <v>48.293074399880716</v>
          </cell>
          <cell r="BS268">
            <v>31.71084089124453</v>
          </cell>
          <cell r="BT268">
            <v>42.951258624558214</v>
          </cell>
          <cell r="BU268">
            <v>64.423429885797731</v>
          </cell>
          <cell r="BV268">
            <v>53.177725530792735</v>
          </cell>
          <cell r="BW268">
            <v>34.426601716730822</v>
          </cell>
          <cell r="BX268">
            <v>43.950513573101567</v>
          </cell>
          <cell r="BY268">
            <v>63.045426564881311</v>
          </cell>
          <cell r="BZ268">
            <v>53.316120351273987</v>
          </cell>
        </row>
        <row r="269">
          <cell r="B269" t="str">
            <v>EPS (post-exceptionals, basic)</v>
          </cell>
          <cell r="C269" t="str">
            <v>EPS_POST_BASIC</v>
          </cell>
          <cell r="D269" t="str">
            <v>TWD</v>
          </cell>
          <cell r="Y269">
            <v>71.64</v>
          </cell>
          <cell r="Z269">
            <v>144.91</v>
          </cell>
          <cell r="AA269">
            <v>180.08</v>
          </cell>
          <cell r="AB269">
            <v>169.48</v>
          </cell>
          <cell r="AC269">
            <v>193.64999999999998</v>
          </cell>
          <cell r="AD269">
            <v>181.67</v>
          </cell>
          <cell r="AE269">
            <v>192.26325493239321</v>
          </cell>
          <cell r="AF269">
            <v>194.73866220598768</v>
          </cell>
          <cell r="AG269">
            <v>187.93844534037402</v>
          </cell>
          <cell r="AU269">
            <v>13.785753690174449</v>
          </cell>
          <cell r="AV269">
            <v>15.173706575219924</v>
          </cell>
          <cell r="AW269">
            <v>17.29941106306844</v>
          </cell>
          <cell r="AX269">
            <v>25.381139108394212</v>
          </cell>
          <cell r="AY269">
            <v>22.362457134337262</v>
          </cell>
          <cell r="AZ269">
            <v>27.747592067988663</v>
          </cell>
          <cell r="BA269">
            <v>39.403198151185336</v>
          </cell>
          <cell r="BB269">
            <v>55.395758163113157</v>
          </cell>
          <cell r="BC269">
            <v>32.855628447890268</v>
          </cell>
          <cell r="BD269">
            <v>35.963799015953491</v>
          </cell>
          <cell r="BE269">
            <v>61.173043089309701</v>
          </cell>
          <cell r="BF269">
            <v>50.091978529894149</v>
          </cell>
          <cell r="BG269">
            <v>27.006918145221423</v>
          </cell>
          <cell r="BH269">
            <v>27.509862829879232</v>
          </cell>
          <cell r="BI269">
            <v>51.89048755032055</v>
          </cell>
          <cell r="BJ269">
            <v>63.065111077978237</v>
          </cell>
          <cell r="BK269">
            <v>36.410526315789475</v>
          </cell>
          <cell r="BL269">
            <v>35.144990308632785</v>
          </cell>
          <cell r="BM269">
            <v>57.929908667287975</v>
          </cell>
          <cell r="BN269">
            <v>64.166669151632618</v>
          </cell>
          <cell r="BO269">
            <v>29.962136573728955</v>
          </cell>
          <cell r="BP269">
            <v>41.009974653347264</v>
          </cell>
          <cell r="BQ269">
            <v>62.407201431340411</v>
          </cell>
          <cell r="BR269">
            <v>48.293074399880716</v>
          </cell>
          <cell r="BS269">
            <v>31.71084089124453</v>
          </cell>
          <cell r="BT269">
            <v>42.951258624558214</v>
          </cell>
          <cell r="BU269">
            <v>64.423429885797731</v>
          </cell>
          <cell r="BV269">
            <v>53.177725530792735</v>
          </cell>
          <cell r="BW269">
            <v>34.426601716730822</v>
          </cell>
          <cell r="BX269">
            <v>43.950513573101567</v>
          </cell>
          <cell r="BY269">
            <v>63.045426564881311</v>
          </cell>
          <cell r="BZ269">
            <v>53.316120351273987</v>
          </cell>
        </row>
        <row r="270">
          <cell r="B270" t="str">
            <v>EPS (post-exceptionals, diluted)</v>
          </cell>
          <cell r="C270" t="str">
            <v>FULLY_DIL_EPS</v>
          </cell>
          <cell r="D270" t="str">
            <v>TWD</v>
          </cell>
          <cell r="Y270">
            <v>71.64</v>
          </cell>
          <cell r="Z270">
            <v>144.91</v>
          </cell>
          <cell r="AA270">
            <v>180.08</v>
          </cell>
          <cell r="AB270">
            <v>169.48</v>
          </cell>
          <cell r="AC270">
            <v>193.64999999999998</v>
          </cell>
          <cell r="AD270">
            <v>181.67</v>
          </cell>
          <cell r="AE270">
            <v>192.26325493239321</v>
          </cell>
          <cell r="AF270">
            <v>194.73866220598768</v>
          </cell>
          <cell r="AG270">
            <v>187.93844534037402</v>
          </cell>
          <cell r="AU270">
            <v>13.785753690174449</v>
          </cell>
          <cell r="AV270">
            <v>15.173706575219924</v>
          </cell>
          <cell r="AW270">
            <v>17.29941106306844</v>
          </cell>
          <cell r="AX270">
            <v>25.381139108394212</v>
          </cell>
          <cell r="AY270">
            <v>22.362457134337262</v>
          </cell>
          <cell r="AZ270">
            <v>27.747592067988663</v>
          </cell>
          <cell r="BA270">
            <v>39.403198151185336</v>
          </cell>
          <cell r="BB270">
            <v>55.395758163113157</v>
          </cell>
          <cell r="BC270">
            <v>32.855628447890268</v>
          </cell>
          <cell r="BD270">
            <v>35.963799015953491</v>
          </cell>
          <cell r="BE270">
            <v>61.173043089309701</v>
          </cell>
          <cell r="BF270">
            <v>50.091978529894149</v>
          </cell>
          <cell r="BG270">
            <v>27.006918145221423</v>
          </cell>
          <cell r="BH270">
            <v>27.509862829879232</v>
          </cell>
          <cell r="BI270">
            <v>51.89048755032055</v>
          </cell>
          <cell r="BJ270">
            <v>63.065111077978237</v>
          </cell>
          <cell r="BK270">
            <v>36.410526315789475</v>
          </cell>
          <cell r="BL270">
            <v>35.144990308632785</v>
          </cell>
          <cell r="BM270">
            <v>57.929908667287975</v>
          </cell>
          <cell r="BN270">
            <v>64.166669151632618</v>
          </cell>
          <cell r="BO270">
            <v>29.962136573728955</v>
          </cell>
          <cell r="BP270">
            <v>41.009974653347264</v>
          </cell>
          <cell r="BQ270">
            <v>62.407201431340411</v>
          </cell>
          <cell r="BR270">
            <v>48.293074399880716</v>
          </cell>
          <cell r="BS270">
            <v>31.71084089124453</v>
          </cell>
          <cell r="BT270">
            <v>42.951258624558214</v>
          </cell>
          <cell r="BU270">
            <v>64.423429885797731</v>
          </cell>
          <cell r="BV270">
            <v>53.177725530792735</v>
          </cell>
          <cell r="BW270">
            <v>34.426601716730822</v>
          </cell>
          <cell r="BX270">
            <v>43.950513573101567</v>
          </cell>
          <cell r="BY270">
            <v>63.045426564881311</v>
          </cell>
          <cell r="BZ270">
            <v>53.316120351273987</v>
          </cell>
        </row>
        <row r="271">
          <cell r="B271" t="str">
            <v>Common dividends paid</v>
          </cell>
          <cell r="C271" t="str">
            <v>COMMON_DIV_PAID</v>
          </cell>
          <cell r="D271" t="str">
            <v>TWD</v>
          </cell>
          <cell r="Y271">
            <v>-2280.3829999999998</v>
          </cell>
          <cell r="Z271">
            <v>-3822.9960000000001</v>
          </cell>
          <cell r="AA271">
            <v>-6841.15</v>
          </cell>
          <cell r="AB271">
            <v>-8517.9030000000002</v>
          </cell>
          <cell r="AC271">
            <v>-8517.9030000000002</v>
          </cell>
          <cell r="AD271">
            <v>-9725.1640000000007</v>
          </cell>
          <cell r="AE271">
            <v>-10292.122559123642</v>
          </cell>
          <cell r="AF271">
            <v>-10424.634593482673</v>
          </cell>
          <cell r="AG271">
            <v>-10060.609416471463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</row>
        <row r="272">
          <cell r="B272" t="str">
            <v>DPS, dividend per share</v>
          </cell>
          <cell r="C272" t="str">
            <v>DPS</v>
          </cell>
          <cell r="D272" t="str">
            <v>TWD</v>
          </cell>
          <cell r="Y272">
            <v>16.999997018045299</v>
          </cell>
          <cell r="Z272">
            <v>28.500002236466027</v>
          </cell>
          <cell r="AA272">
            <v>50.999998509022646</v>
          </cell>
          <cell r="AB272">
            <v>63.500002236466031</v>
          </cell>
          <cell r="AC272">
            <v>63.500002236466031</v>
          </cell>
          <cell r="AD272">
            <v>72.499996272556629</v>
          </cell>
          <cell r="AE272">
            <v>76.726608124362741</v>
          </cell>
          <cell r="AF272">
            <v>77.714470333894496</v>
          </cell>
          <cell r="AG272">
            <v>75.000703864102363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</row>
        <row r="273">
          <cell r="B273" t="str">
            <v>Weighted average shares outstanding, basic</v>
          </cell>
          <cell r="C273" t="str">
            <v>SH</v>
          </cell>
          <cell r="Y273">
            <v>134.14001954215524</v>
          </cell>
          <cell r="Z273">
            <v>134.13907942861087</v>
          </cell>
          <cell r="AA273">
            <v>134.14331408262996</v>
          </cell>
          <cell r="AB273">
            <v>134.13396860986549</v>
          </cell>
          <cell r="AC273">
            <v>134.13696359411307</v>
          </cell>
          <cell r="AD273">
            <v>134.14176253646718</v>
          </cell>
          <cell r="AE273">
            <v>134.14020000000002</v>
          </cell>
          <cell r="AF273">
            <v>134.14020000000002</v>
          </cell>
          <cell r="AG273">
            <v>134.14019999999999</v>
          </cell>
          <cell r="AU273">
            <v>134.13999999999999</v>
          </cell>
          <cell r="AV273">
            <v>134.13999999999999</v>
          </cell>
          <cell r="AW273">
            <v>134.13999999999999</v>
          </cell>
          <cell r="AX273">
            <v>134.13999999999999</v>
          </cell>
          <cell r="AY273">
            <v>134.13999999999999</v>
          </cell>
          <cell r="AZ273">
            <v>134.13999999999999</v>
          </cell>
          <cell r="BA273">
            <v>134.13999999999999</v>
          </cell>
          <cell r="BB273">
            <v>134.13999999999999</v>
          </cell>
          <cell r="BC273">
            <v>134.13999999999999</v>
          </cell>
          <cell r="BD273">
            <v>134.13999999999999</v>
          </cell>
          <cell r="BE273">
            <v>134.13999999999999</v>
          </cell>
          <cell r="BF273">
            <v>134.13999999999999</v>
          </cell>
          <cell r="BG273">
            <v>134.13999999999999</v>
          </cell>
          <cell r="BH273">
            <v>134.13999999999999</v>
          </cell>
          <cell r="BI273">
            <v>134.13999999999999</v>
          </cell>
          <cell r="BJ273">
            <v>134.13999999999999</v>
          </cell>
          <cell r="BK273">
            <v>134.13999999999999</v>
          </cell>
          <cell r="BL273">
            <v>134.13999999999999</v>
          </cell>
          <cell r="BM273">
            <v>134.125</v>
          </cell>
          <cell r="BN273">
            <v>134.13999999999999</v>
          </cell>
          <cell r="BO273">
            <v>134.13999999999999</v>
          </cell>
          <cell r="BP273">
            <v>134.13999999999999</v>
          </cell>
          <cell r="BQ273">
            <v>134.13999999999999</v>
          </cell>
          <cell r="BR273">
            <v>134.13999999999999</v>
          </cell>
          <cell r="BS273">
            <v>134.14019999999999</v>
          </cell>
          <cell r="BT273">
            <v>134.14019999999999</v>
          </cell>
          <cell r="BU273">
            <v>134.14019999999999</v>
          </cell>
          <cell r="BV273">
            <v>134.14019999999999</v>
          </cell>
          <cell r="BW273">
            <v>134.14019999999999</v>
          </cell>
          <cell r="BX273">
            <v>134.14019999999999</v>
          </cell>
          <cell r="BY273">
            <v>134.14019999999999</v>
          </cell>
          <cell r="BZ273">
            <v>134.14019999999999</v>
          </cell>
        </row>
        <row r="274">
          <cell r="B274" t="str">
            <v>Diluted average shares outstanding (mn)</v>
          </cell>
          <cell r="C274" t="str">
            <v>DILUTE_SHARES</v>
          </cell>
          <cell r="Y274">
            <v>134.14001954215524</v>
          </cell>
          <cell r="Z274">
            <v>134.13907942861087</v>
          </cell>
          <cell r="AA274">
            <v>134.14331408262996</v>
          </cell>
          <cell r="AB274">
            <v>134.13396860986549</v>
          </cell>
          <cell r="AC274">
            <v>134.13696359411307</v>
          </cell>
          <cell r="AD274">
            <v>134.14176253646718</v>
          </cell>
          <cell r="AE274">
            <v>134.14020000000002</v>
          </cell>
          <cell r="AF274">
            <v>134.14020000000002</v>
          </cell>
          <cell r="AG274">
            <v>134.14019999999999</v>
          </cell>
          <cell r="AU274">
            <v>134.13999999999999</v>
          </cell>
          <cell r="AV274">
            <v>134.13999999999999</v>
          </cell>
          <cell r="AW274">
            <v>134.13999999999999</v>
          </cell>
          <cell r="AX274">
            <v>134.13999999999999</v>
          </cell>
          <cell r="AY274">
            <v>134.13999999999999</v>
          </cell>
          <cell r="AZ274">
            <v>134.13999999999999</v>
          </cell>
          <cell r="BA274">
            <v>134.13999999999999</v>
          </cell>
          <cell r="BB274">
            <v>134.13999999999999</v>
          </cell>
          <cell r="BC274">
            <v>134.13999999999999</v>
          </cell>
          <cell r="BD274">
            <v>134.13999999999999</v>
          </cell>
          <cell r="BE274">
            <v>134.13999999999999</v>
          </cell>
          <cell r="BF274">
            <v>134.13999999999999</v>
          </cell>
          <cell r="BG274">
            <v>134.13999999999999</v>
          </cell>
          <cell r="BH274">
            <v>134.13999999999999</v>
          </cell>
          <cell r="BI274">
            <v>134.13999999999999</v>
          </cell>
          <cell r="BJ274">
            <v>134.13999999999999</v>
          </cell>
          <cell r="BK274">
            <v>134.13999999999999</v>
          </cell>
          <cell r="BL274">
            <v>134.13999999999999</v>
          </cell>
          <cell r="BM274">
            <v>134.125</v>
          </cell>
          <cell r="BN274">
            <v>134.13999999999999</v>
          </cell>
          <cell r="BO274">
            <v>134.13999999999999</v>
          </cell>
          <cell r="BP274">
            <v>134.13999999999999</v>
          </cell>
          <cell r="BQ274">
            <v>134.13999999999999</v>
          </cell>
          <cell r="BR274">
            <v>134.13999999999999</v>
          </cell>
          <cell r="BS274">
            <v>134.14019999999999</v>
          </cell>
          <cell r="BT274">
            <v>134.14019999999999</v>
          </cell>
          <cell r="BU274">
            <v>134.14019999999999</v>
          </cell>
          <cell r="BV274">
            <v>134.14019999999999</v>
          </cell>
          <cell r="BW274">
            <v>134.14019999999999</v>
          </cell>
          <cell r="BX274">
            <v>134.14019999999999</v>
          </cell>
          <cell r="BY274">
            <v>134.14019999999999</v>
          </cell>
          <cell r="BZ274">
            <v>134.14019999999999</v>
          </cell>
        </row>
        <row r="275">
          <cell r="B275" t="str">
            <v>Period-end shares outstanding</v>
          </cell>
          <cell r="C275" t="str">
            <v>NON_OP_ADD</v>
          </cell>
          <cell r="Y275">
            <v>134.14019999999999</v>
          </cell>
          <cell r="Z275">
            <v>134.14019999999999</v>
          </cell>
          <cell r="AA275">
            <v>134.14019999999999</v>
          </cell>
          <cell r="AB275">
            <v>134.14019999999999</v>
          </cell>
          <cell r="AC275">
            <v>134.14019999999999</v>
          </cell>
          <cell r="AD275">
            <v>134.14019999999999</v>
          </cell>
          <cell r="AE275">
            <v>134.14019999999999</v>
          </cell>
          <cell r="AF275">
            <v>134.14019999999999</v>
          </cell>
          <cell r="AG275">
            <v>134.14019999999999</v>
          </cell>
          <cell r="AU275">
            <v>134.14019999999999</v>
          </cell>
          <cell r="AV275">
            <v>134.14019999999999</v>
          </cell>
          <cell r="AW275">
            <v>134.14019999999999</v>
          </cell>
          <cell r="AX275">
            <v>134.14019999999999</v>
          </cell>
          <cell r="AY275">
            <v>134.14019999999999</v>
          </cell>
          <cell r="AZ275">
            <v>134.14019999999999</v>
          </cell>
          <cell r="BA275">
            <v>134.14019999999999</v>
          </cell>
          <cell r="BB275">
            <v>134.14019999999999</v>
          </cell>
          <cell r="BC275">
            <v>134.14019999999999</v>
          </cell>
          <cell r="BD275">
            <v>134.14019999999999</v>
          </cell>
          <cell r="BE275">
            <v>134.14019999999999</v>
          </cell>
          <cell r="BF275">
            <v>134.14019999999999</v>
          </cell>
          <cell r="BG275">
            <v>134.14019999999999</v>
          </cell>
          <cell r="BH275">
            <v>134.14019999999999</v>
          </cell>
          <cell r="BI275">
            <v>134.14019999999999</v>
          </cell>
          <cell r="BJ275">
            <v>134.14019999999999</v>
          </cell>
          <cell r="BK275">
            <v>134.14019999999999</v>
          </cell>
          <cell r="BL275">
            <v>134.14019999999999</v>
          </cell>
          <cell r="BM275">
            <v>134.14019999999999</v>
          </cell>
          <cell r="BN275">
            <v>134.14019999999999</v>
          </cell>
          <cell r="BO275">
            <v>134.14019999999999</v>
          </cell>
          <cell r="BP275">
            <v>134.14019999999999</v>
          </cell>
          <cell r="BQ275">
            <v>134.14019999999999</v>
          </cell>
          <cell r="BR275">
            <v>134.14019999999999</v>
          </cell>
          <cell r="BS275">
            <v>134.14019999999999</v>
          </cell>
          <cell r="BT275">
            <v>134.14019999999999</v>
          </cell>
          <cell r="BU275">
            <v>134.14019999999999</v>
          </cell>
          <cell r="BV275">
            <v>134.14019999999999</v>
          </cell>
          <cell r="BW275">
            <v>134.14019999999999</v>
          </cell>
          <cell r="BX275">
            <v>134.14019999999999</v>
          </cell>
          <cell r="BY275">
            <v>134.14019999999999</v>
          </cell>
          <cell r="BZ275">
            <v>134.14019999999999</v>
          </cell>
        </row>
        <row r="276">
          <cell r="A276" t="str">
            <v>Additional Income Statement Items</v>
          </cell>
        </row>
        <row r="277">
          <cell r="B277" t="str">
            <v>Marginal tax rate</v>
          </cell>
          <cell r="C277" t="str">
            <v>MARGIN_TAX_RATE</v>
          </cell>
          <cell r="Y277">
            <v>0.16368572393635059</v>
          </cell>
          <cell r="Z277">
            <v>0.15371803692349637</v>
          </cell>
          <cell r="AA277">
            <v>0.17155132375184173</v>
          </cell>
          <cell r="AB277">
            <v>0.19542525255208196</v>
          </cell>
          <cell r="AC277">
            <v>0.18699698196601491</v>
          </cell>
          <cell r="AD277">
            <v>0.21915618120104571</v>
          </cell>
          <cell r="AE277">
            <v>0.19078662055422263</v>
          </cell>
          <cell r="AF277">
            <v>0.1909733675278501</v>
          </cell>
          <cell r="AG277">
            <v>0.19109675063381731</v>
          </cell>
          <cell r="AU277">
            <v>8.1149987111102287E-2</v>
          </cell>
          <cell r="AV277">
            <v>0.2370729726473427</v>
          </cell>
          <cell r="AW277">
            <v>0.14329659080603344</v>
          </cell>
          <cell r="AX277">
            <v>0.16967141113622983</v>
          </cell>
          <cell r="AY277">
            <v>0.14907984091370097</v>
          </cell>
          <cell r="AZ277">
            <v>0.2597044407140785</v>
          </cell>
          <cell r="BA277">
            <v>0.12416623807812292</v>
          </cell>
          <cell r="BB277">
            <v>0.11413386129822797</v>
          </cell>
          <cell r="BC277">
            <v>0.13287598225911329</v>
          </cell>
          <cell r="BD277">
            <v>0.30791211810037128</v>
          </cell>
          <cell r="BE277">
            <v>0.1098772063575689</v>
          </cell>
          <cell r="BF277">
            <v>0.14797610071865336</v>
          </cell>
          <cell r="BG277">
            <v>0.14133475492373757</v>
          </cell>
          <cell r="BH277">
            <v>0.38572242820806951</v>
          </cell>
          <cell r="BI277">
            <v>0.13894596629566253</v>
          </cell>
          <cell r="BJ277">
            <v>0.14912623826400265</v>
          </cell>
          <cell r="BK277">
            <v>0.14678749022591811</v>
          </cell>
          <cell r="BL277">
            <v>0.31288330691645339</v>
          </cell>
          <cell r="BM277">
            <v>0.15084170523285914</v>
          </cell>
          <cell r="BN277">
            <v>0.15594501830024954</v>
          </cell>
          <cell r="BO277">
            <v>0.16301554833955478</v>
          </cell>
          <cell r="BP277">
            <v>0.32636225822467035</v>
          </cell>
          <cell r="BQ277">
            <v>0.1789400699367257</v>
          </cell>
          <cell r="BR277">
            <v>0.19490495251299864</v>
          </cell>
          <cell r="BS277">
            <v>0.19490495251299864</v>
          </cell>
          <cell r="BT277">
            <v>0.2</v>
          </cell>
          <cell r="BU277">
            <v>0.1789400699367257</v>
          </cell>
          <cell r="BV277">
            <v>0.19490495251299864</v>
          </cell>
          <cell r="BW277">
            <v>0.19490495251299864</v>
          </cell>
          <cell r="BX277">
            <v>0.2</v>
          </cell>
          <cell r="BY277">
            <v>0.1789400699367257</v>
          </cell>
          <cell r="BZ277">
            <v>0.19490495251299864</v>
          </cell>
        </row>
        <row r="278">
          <cell r="B278" t="str">
            <v>Net income (consensus) (Pub)</v>
          </cell>
          <cell r="C278" t="str">
            <v>NI_CONS</v>
          </cell>
          <cell r="D278" t="str">
            <v>TWD</v>
          </cell>
        </row>
        <row r="279">
          <cell r="A279" t="str">
            <v>Balance Sheet</v>
          </cell>
        </row>
        <row r="280">
          <cell r="B280" t="str">
            <v>BVPS, book value per share</v>
          </cell>
          <cell r="C280" t="str">
            <v>BVPS</v>
          </cell>
          <cell r="D280" t="str">
            <v>TWD</v>
          </cell>
          <cell r="Y280">
            <v>226.96519760668318</v>
          </cell>
          <cell r="Z280">
            <v>344.40211808242424</v>
          </cell>
          <cell r="AA280">
            <v>472.53768072509212</v>
          </cell>
          <cell r="AB280">
            <v>572.85224712651393</v>
          </cell>
          <cell r="AC280">
            <v>688.81089337871867</v>
          </cell>
          <cell r="AD280">
            <v>802.14261645651345</v>
          </cell>
          <cell r="AE280">
            <v>921.90587511634999</v>
          </cell>
          <cell r="AF280">
            <v>1039.9179291979749</v>
          </cell>
          <cell r="AG280">
            <v>1150.1419042044547</v>
          </cell>
          <cell r="AU280">
            <v>185.76267218924676</v>
          </cell>
          <cell r="AV280">
            <v>183.96323398951247</v>
          </cell>
          <cell r="AW280">
            <v>201.17994456546211</v>
          </cell>
          <cell r="AX280">
            <v>226.96519760668318</v>
          </cell>
          <cell r="AY280">
            <v>249.41608108531224</v>
          </cell>
          <cell r="AZ280">
            <v>248.34487349802671</v>
          </cell>
          <cell r="BA280">
            <v>288.21411478438233</v>
          </cell>
          <cell r="BB280">
            <v>344.40211808242424</v>
          </cell>
          <cell r="BC280">
            <v>376.96660658027946</v>
          </cell>
          <cell r="BD280">
            <v>361.27309337543858</v>
          </cell>
          <cell r="BE280">
            <v>423.5798738931357</v>
          </cell>
          <cell r="BF280">
            <v>472.53768072509212</v>
          </cell>
          <cell r="BG280">
            <v>496.07353351195246</v>
          </cell>
          <cell r="BH280">
            <v>459.68269020025321</v>
          </cell>
          <cell r="BI280">
            <v>505.62874514873249</v>
          </cell>
          <cell r="BJ280">
            <v>572.85224712651393</v>
          </cell>
          <cell r="BK280">
            <v>597.10588622948239</v>
          </cell>
          <cell r="BL280">
            <v>569.94654846198239</v>
          </cell>
          <cell r="BM280">
            <v>627.50866630585028</v>
          </cell>
          <cell r="BN280">
            <v>688.81089337871867</v>
          </cell>
          <cell r="BO280">
            <v>715.80841537436208</v>
          </cell>
          <cell r="BP280">
            <v>691.64354160795938</v>
          </cell>
          <cell r="BQ280">
            <v>752.68776250519988</v>
          </cell>
          <cell r="BR280">
            <v>802.14261645651345</v>
          </cell>
          <cell r="BS280">
            <v>833.85345734775797</v>
          </cell>
          <cell r="BT280">
            <v>876.80471597231622</v>
          </cell>
          <cell r="BU280">
            <v>868.72814958555728</v>
          </cell>
          <cell r="BV280">
            <v>921.90587511634999</v>
          </cell>
          <cell r="BW280">
            <v>956.33247683308082</v>
          </cell>
          <cell r="BX280">
            <v>1000.2829904061824</v>
          </cell>
          <cell r="BY280">
            <v>1063.3284169710637</v>
          </cell>
          <cell r="BZ280">
            <v>1039.9179291979749</v>
          </cell>
        </row>
        <row r="281">
          <cell r="A281" t="str">
            <v>Cash Flow Statement</v>
          </cell>
        </row>
        <row r="282">
          <cell r="B282" t="str">
            <v>Net income (pre-preferred dividends)</v>
          </cell>
          <cell r="C282" t="str">
            <v>CF_NI_PRE_PREF</v>
          </cell>
          <cell r="D282" t="str">
            <v>TWD</v>
          </cell>
          <cell r="Y282">
            <v>9609.7910000000011</v>
          </cell>
          <cell r="Z282">
            <v>19438.094000000001</v>
          </cell>
          <cell r="AA282">
            <v>24156.528000000006</v>
          </cell>
          <cell r="AB282">
            <v>22733.025000000001</v>
          </cell>
          <cell r="AC282">
            <v>25975.622999999992</v>
          </cell>
          <cell r="AD282">
            <v>24369.533999999992</v>
          </cell>
          <cell r="AE282">
            <v>25790.231469282211</v>
          </cell>
          <cell r="AF282">
            <v>26122.283096043626</v>
          </cell>
          <cell r="AG282">
            <v>25210.100645646839</v>
          </cell>
          <cell r="AU282">
            <v>1849.2210000000005</v>
          </cell>
          <cell r="AV282">
            <v>2035.4010000000005</v>
          </cell>
          <cell r="AW282">
            <v>2320.5430000000001</v>
          </cell>
          <cell r="AX282">
            <v>3404.6259999999993</v>
          </cell>
          <cell r="AY282">
            <v>2999.7</v>
          </cell>
          <cell r="AZ282">
            <v>3722.061999999999</v>
          </cell>
          <cell r="BA282">
            <v>5285.5450000000001</v>
          </cell>
          <cell r="BB282">
            <v>7430.7869999999984</v>
          </cell>
          <cell r="BC282">
            <v>4407.2539999999999</v>
          </cell>
          <cell r="BD282">
            <v>4824.1840000000011</v>
          </cell>
          <cell r="BE282">
            <v>8205.7520000000022</v>
          </cell>
          <cell r="BF282">
            <v>6719.3380000000006</v>
          </cell>
          <cell r="BG282">
            <v>3622.7080000000014</v>
          </cell>
          <cell r="BH282">
            <v>3690.1729999999998</v>
          </cell>
          <cell r="BI282">
            <v>6960.5899999999983</v>
          </cell>
          <cell r="BJ282">
            <v>8459.5540000000001</v>
          </cell>
          <cell r="BK282">
            <v>4884.1080000000002</v>
          </cell>
          <cell r="BL282">
            <v>4714.3490000000011</v>
          </cell>
          <cell r="BM282">
            <v>7769.8490000000002</v>
          </cell>
          <cell r="BN282">
            <v>8607.3169999999991</v>
          </cell>
          <cell r="BO282">
            <v>4019.1210000000015</v>
          </cell>
          <cell r="BP282">
            <v>5501.0780000000013</v>
          </cell>
          <cell r="BQ282">
            <v>8371.3020000000015</v>
          </cell>
          <cell r="BR282">
            <v>6478.0329999999985</v>
          </cell>
          <cell r="BS282">
            <v>4253.6985393197192</v>
          </cell>
          <cell r="BT282">
            <v>5761.4904221499637</v>
          </cell>
          <cell r="BU282">
            <v>8641.7717695668834</v>
          </cell>
          <cell r="BV282">
            <v>7133.2707382456429</v>
          </cell>
          <cell r="BW282">
            <v>4617.9912396026157</v>
          </cell>
          <cell r="BX282">
            <v>5895.5306807985589</v>
          </cell>
          <cell r="BY282">
            <v>8456.9261284984914</v>
          </cell>
          <cell r="BZ282">
            <v>7151.8350471439626</v>
          </cell>
        </row>
        <row r="283">
          <cell r="A283" t="str">
            <v>Other Items</v>
          </cell>
        </row>
        <row r="284">
          <cell r="B284" t="str">
            <v>Beta</v>
          </cell>
          <cell r="C284" t="str">
            <v>BETA_ANALYST</v>
          </cell>
        </row>
        <row r="285">
          <cell r="B285" t="str">
            <v>Market equity risk premium</v>
          </cell>
          <cell r="C285" t="str">
            <v>MKT_EQ_RISK_PREM</v>
          </cell>
        </row>
        <row r="286">
          <cell r="B286" t="str">
            <v>Risk-free rate</v>
          </cell>
          <cell r="C286" t="str">
            <v>RISK_FR_RATE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000422.SZ_Live_Sheet"/>
      <sheetName val="000422.SZ_Validation_Sheet"/>
      <sheetName val="000422.SZ_Annotation_Sheet"/>
      <sheetName val="000422.SZ_Exchange_Sheet"/>
      <sheetName val="Gas px hike"/>
      <sheetName val="Model"/>
      <sheetName val="Revenue"/>
      <sheetName val="Ratios"/>
      <sheetName val="Raw Data"/>
      <sheetName val="Act Vs Est"/>
      <sheetName val="Act Vs Est (output)"/>
      <sheetName val="Market Data"/>
      <sheetName val="Valuation"/>
      <sheetName val="Capacities"/>
      <sheetName val="Funding"/>
      <sheetName val="Factsheet"/>
      <sheetName val="Group structure"/>
      <sheetName val="Subsidiaries PL"/>
      <sheetName val="Group structure_post chg"/>
      <sheetName val="20081024_plant visit"/>
      <sheetName val="EVEBITDA"/>
      <sheetName val="3 risks"/>
      <sheetName val="DCF"/>
    </sheetNames>
    <sheetDataSet>
      <sheetData sheetId="0" refreshError="1"/>
      <sheetData sheetId="1" refreshError="1">
        <row r="1">
          <cell r="A1" t="str">
            <v>Issuer: Hubei Yihua Chemical Industry</v>
          </cell>
          <cell r="F1">
            <v>1998</v>
          </cell>
          <cell r="G1">
            <v>1999</v>
          </cell>
          <cell r="H1">
            <v>2000</v>
          </cell>
          <cell r="I1">
            <v>2001</v>
          </cell>
          <cell r="J1">
            <v>2002</v>
          </cell>
          <cell r="K1">
            <v>2003</v>
          </cell>
          <cell r="L1">
            <v>2004</v>
          </cell>
          <cell r="M1">
            <v>2005</v>
          </cell>
          <cell r="N1">
            <v>2006</v>
          </cell>
          <cell r="O1">
            <v>2007</v>
          </cell>
          <cell r="P1">
            <v>2008</v>
          </cell>
          <cell r="Q1">
            <v>2009</v>
          </cell>
          <cell r="R1">
            <v>2010</v>
          </cell>
          <cell r="S1">
            <v>2011</v>
          </cell>
          <cell r="T1">
            <v>2012</v>
          </cell>
          <cell r="U1">
            <v>2013</v>
          </cell>
          <cell r="V1">
            <v>2014</v>
          </cell>
          <cell r="W1">
            <v>2015</v>
          </cell>
          <cell r="X1">
            <v>2016</v>
          </cell>
          <cell r="Z1" t="str">
            <v>2002 Q1</v>
          </cell>
          <cell r="AA1" t="str">
            <v>2002 Q2</v>
          </cell>
          <cell r="AB1" t="str">
            <v>2002 Q3</v>
          </cell>
          <cell r="AC1" t="str">
            <v>2002 Q4</v>
          </cell>
          <cell r="AD1" t="str">
            <v>2003 Q1</v>
          </cell>
          <cell r="AE1" t="str">
            <v>2003 Q2</v>
          </cell>
          <cell r="AF1" t="str">
            <v>2003 Q3</v>
          </cell>
          <cell r="AG1" t="str">
            <v>2003 Q4</v>
          </cell>
          <cell r="AH1" t="str">
            <v>2004 Q1</v>
          </cell>
          <cell r="AI1" t="str">
            <v>2004 Q2</v>
          </cell>
          <cell r="AJ1" t="str">
            <v>2004 Q3</v>
          </cell>
          <cell r="AK1" t="str">
            <v>2004 Q4</v>
          </cell>
          <cell r="AL1" t="str">
            <v>2005 Q1</v>
          </cell>
          <cell r="AM1" t="str">
            <v>2005 Q2</v>
          </cell>
          <cell r="AN1" t="str">
            <v>2005 Q3</v>
          </cell>
          <cell r="AO1" t="str">
            <v>2005 Q4</v>
          </cell>
          <cell r="AP1" t="str">
            <v>2006 Q1</v>
          </cell>
          <cell r="AQ1" t="str">
            <v>2006 Q2</v>
          </cell>
          <cell r="AR1" t="str">
            <v>2006 Q3</v>
          </cell>
          <cell r="AS1" t="str">
            <v>2006 Q4</v>
          </cell>
          <cell r="AT1" t="str">
            <v>2007 Q1</v>
          </cell>
          <cell r="AU1" t="str">
            <v>2007 Q2</v>
          </cell>
          <cell r="AV1" t="str">
            <v>2007 Q3</v>
          </cell>
          <cell r="AW1" t="str">
            <v>2007 Q4</v>
          </cell>
          <cell r="AX1" t="str">
            <v>2008 Q1</v>
          </cell>
          <cell r="AY1" t="str">
            <v>2008 Q2</v>
          </cell>
          <cell r="AZ1" t="str">
            <v>2008 Q3</v>
          </cell>
          <cell r="BA1" t="str">
            <v>2008 Q4</v>
          </cell>
          <cell r="BB1" t="str">
            <v>2009 Q1</v>
          </cell>
          <cell r="BC1" t="str">
            <v>2009 Q2</v>
          </cell>
          <cell r="BD1" t="str">
            <v>2009 Q3</v>
          </cell>
          <cell r="BE1" t="str">
            <v>2009 Q4</v>
          </cell>
          <cell r="BF1" t="str">
            <v>2010 Q1</v>
          </cell>
          <cell r="BG1" t="str">
            <v>2010 Q2</v>
          </cell>
          <cell r="BH1" t="str">
            <v>2010 Q3</v>
          </cell>
          <cell r="BI1" t="str">
            <v>2010 Q4</v>
          </cell>
          <cell r="BJ1" t="str">
            <v>2011 Q1</v>
          </cell>
          <cell r="BK1" t="str">
            <v>2011 Q2</v>
          </cell>
          <cell r="BL1" t="str">
            <v>2011 Q3</v>
          </cell>
          <cell r="BM1" t="str">
            <v>2011 Q4</v>
          </cell>
          <cell r="BN1" t="str">
            <v>2012 Q1</v>
          </cell>
          <cell r="BO1" t="str">
            <v>2012 Q2</v>
          </cell>
          <cell r="BP1" t="str">
            <v>2012 Q3</v>
          </cell>
          <cell r="BQ1" t="str">
            <v>2012 Q4</v>
          </cell>
          <cell r="BR1" t="str">
            <v>2013 Q1</v>
          </cell>
          <cell r="BS1" t="str">
            <v>2013 Q2</v>
          </cell>
          <cell r="BT1" t="str">
            <v>2013 Q3</v>
          </cell>
          <cell r="BU1" t="str">
            <v>2013 Q4</v>
          </cell>
          <cell r="BV1" t="str">
            <v>2014 Q1</v>
          </cell>
          <cell r="BW1" t="str">
            <v>2014 Q2</v>
          </cell>
          <cell r="BX1" t="str">
            <v>2014 Q3</v>
          </cell>
          <cell r="BY1" t="str">
            <v>2014 Q4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Estimate</v>
          </cell>
          <cell r="V2" t="str">
            <v>Estimate</v>
          </cell>
          <cell r="W2" t="str">
            <v>Estimate</v>
          </cell>
          <cell r="X2" t="str">
            <v>Estimate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Actual</v>
          </cell>
          <cell r="AY2" t="str">
            <v>Actual</v>
          </cell>
          <cell r="AZ2" t="str">
            <v>Actual</v>
          </cell>
          <cell r="BA2" t="str">
            <v>Actual</v>
          </cell>
          <cell r="BB2" t="str">
            <v>Actual</v>
          </cell>
          <cell r="BC2" t="str">
            <v>Actual</v>
          </cell>
          <cell r="BD2" t="str">
            <v>Actual</v>
          </cell>
          <cell r="BE2" t="str">
            <v>Actual</v>
          </cell>
          <cell r="BF2" t="str">
            <v>Actual</v>
          </cell>
          <cell r="BG2" t="str">
            <v>Actual</v>
          </cell>
          <cell r="BH2" t="str">
            <v>Actual</v>
          </cell>
          <cell r="BI2" t="str">
            <v>Actual</v>
          </cell>
          <cell r="BJ2" t="str">
            <v>Actual</v>
          </cell>
          <cell r="BK2" t="str">
            <v>Actual</v>
          </cell>
          <cell r="BL2" t="str">
            <v>Actual</v>
          </cell>
          <cell r="BM2" t="str">
            <v>Actual</v>
          </cell>
          <cell r="BN2" t="str">
            <v>Actual</v>
          </cell>
          <cell r="BO2" t="str">
            <v>Actual</v>
          </cell>
          <cell r="BP2" t="str">
            <v>Actual</v>
          </cell>
          <cell r="BQ2" t="str">
            <v>Actual</v>
          </cell>
          <cell r="BR2" t="str">
            <v>Actual</v>
          </cell>
          <cell r="BS2" t="str">
            <v>Estimate</v>
          </cell>
          <cell r="BT2" t="str">
            <v>Estimate</v>
          </cell>
          <cell r="BU2" t="str">
            <v>Estimate</v>
          </cell>
          <cell r="BV2" t="str">
            <v>Estimate</v>
          </cell>
          <cell r="BW2" t="str">
            <v>Estimate</v>
          </cell>
          <cell r="BX2" t="str">
            <v>Estimate</v>
          </cell>
          <cell r="BY2" t="str">
            <v>Estimate</v>
          </cell>
        </row>
        <row r="3">
          <cell r="F3">
            <v>36160</v>
          </cell>
          <cell r="G3">
            <v>36525</v>
          </cell>
          <cell r="H3">
            <v>36891</v>
          </cell>
          <cell r="I3">
            <v>37256</v>
          </cell>
          <cell r="J3">
            <v>37621</v>
          </cell>
          <cell r="K3">
            <v>37986</v>
          </cell>
          <cell r="L3">
            <v>38352</v>
          </cell>
          <cell r="M3">
            <v>38717</v>
          </cell>
          <cell r="N3">
            <v>39082</v>
          </cell>
          <cell r="O3">
            <v>39447</v>
          </cell>
          <cell r="P3">
            <v>39813</v>
          </cell>
          <cell r="Q3">
            <v>40178</v>
          </cell>
          <cell r="R3">
            <v>40543</v>
          </cell>
          <cell r="S3">
            <v>40908</v>
          </cell>
          <cell r="T3">
            <v>41274</v>
          </cell>
          <cell r="U3">
            <v>41639</v>
          </cell>
          <cell r="V3">
            <v>42004</v>
          </cell>
          <cell r="W3">
            <v>42369</v>
          </cell>
          <cell r="X3">
            <v>42735</v>
          </cell>
          <cell r="Z3">
            <v>37346</v>
          </cell>
          <cell r="AA3">
            <v>37437</v>
          </cell>
          <cell r="AB3">
            <v>37529</v>
          </cell>
          <cell r="AC3">
            <v>37621</v>
          </cell>
          <cell r="AD3">
            <v>37711</v>
          </cell>
          <cell r="AE3">
            <v>37802</v>
          </cell>
          <cell r="AF3">
            <v>37894</v>
          </cell>
          <cell r="AG3">
            <v>37986</v>
          </cell>
          <cell r="AH3">
            <v>38077</v>
          </cell>
          <cell r="AI3">
            <v>38168</v>
          </cell>
          <cell r="AJ3">
            <v>38260</v>
          </cell>
          <cell r="AK3">
            <v>38352</v>
          </cell>
          <cell r="AL3">
            <v>38442</v>
          </cell>
          <cell r="AM3">
            <v>38533</v>
          </cell>
          <cell r="AN3">
            <v>38625</v>
          </cell>
          <cell r="AO3">
            <v>38717</v>
          </cell>
          <cell r="AP3">
            <v>38807</v>
          </cell>
          <cell r="AQ3">
            <v>38898</v>
          </cell>
          <cell r="AR3">
            <v>38990</v>
          </cell>
          <cell r="AS3">
            <v>39082</v>
          </cell>
          <cell r="AT3">
            <v>39172</v>
          </cell>
          <cell r="AU3">
            <v>39263</v>
          </cell>
          <cell r="AV3">
            <v>39355</v>
          </cell>
          <cell r="AW3">
            <v>39447</v>
          </cell>
          <cell r="AX3">
            <v>39538</v>
          </cell>
          <cell r="AY3">
            <v>39629</v>
          </cell>
          <cell r="AZ3">
            <v>39721</v>
          </cell>
          <cell r="BA3">
            <v>39813</v>
          </cell>
          <cell r="BB3">
            <v>39903</v>
          </cell>
          <cell r="BC3">
            <v>39994</v>
          </cell>
          <cell r="BD3">
            <v>40086</v>
          </cell>
          <cell r="BE3">
            <v>40178</v>
          </cell>
          <cell r="BF3">
            <v>40268</v>
          </cell>
          <cell r="BG3">
            <v>40359</v>
          </cell>
          <cell r="BH3">
            <v>40451</v>
          </cell>
          <cell r="BI3">
            <v>40543</v>
          </cell>
          <cell r="BJ3">
            <v>40633</v>
          </cell>
          <cell r="BK3">
            <v>40724</v>
          </cell>
          <cell r="BL3">
            <v>40816</v>
          </cell>
          <cell r="BM3">
            <v>40908</v>
          </cell>
          <cell r="BN3">
            <v>40999</v>
          </cell>
          <cell r="BO3">
            <v>41090</v>
          </cell>
          <cell r="BP3">
            <v>41182</v>
          </cell>
          <cell r="BQ3">
            <v>41274</v>
          </cell>
          <cell r="BR3">
            <v>41364</v>
          </cell>
          <cell r="BS3">
            <v>41455</v>
          </cell>
          <cell r="BT3">
            <v>41547</v>
          </cell>
          <cell r="BU3">
            <v>41639</v>
          </cell>
          <cell r="BV3">
            <v>41729</v>
          </cell>
          <cell r="BW3">
            <v>41820</v>
          </cell>
          <cell r="BX3">
            <v>41912</v>
          </cell>
          <cell r="BY3">
            <v>42004</v>
          </cell>
        </row>
        <row r="4">
          <cell r="A4" t="str">
            <v>Issuer: Hubei Yihua Chemical Industry</v>
          </cell>
          <cell r="B4" t="str">
            <v>134N7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Hubei Yihua Chemical Industry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342.37589609999998</v>
          </cell>
          <cell r="G9">
            <v>422.32967823000001</v>
          </cell>
          <cell r="H9">
            <v>399.57442122999998</v>
          </cell>
          <cell r="I9">
            <v>576.55374510000001</v>
          </cell>
          <cell r="J9">
            <v>791.76806367999995</v>
          </cell>
          <cell r="K9">
            <v>995.08515723000005</v>
          </cell>
          <cell r="L9">
            <v>1630.5808875099999</v>
          </cell>
          <cell r="M9">
            <v>2309.2304123499998</v>
          </cell>
          <cell r="N9">
            <v>3017.8035718699998</v>
          </cell>
          <cell r="O9">
            <v>5074.9631944299999</v>
          </cell>
          <cell r="P9">
            <v>7130.7207549799996</v>
          </cell>
          <cell r="Q9">
            <v>8760.6186315100003</v>
          </cell>
          <cell r="R9">
            <v>11544.950317209999</v>
          </cell>
          <cell r="S9">
            <v>17764.855169660001</v>
          </cell>
          <cell r="T9">
            <v>19317.607373260002</v>
          </cell>
          <cell r="U9">
            <v>18529.429299644598</v>
          </cell>
          <cell r="V9">
            <v>20682.473007658798</v>
          </cell>
          <cell r="W9">
            <v>22828.515130735701</v>
          </cell>
          <cell r="X9">
            <v>23271.1508627357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-212.22202806000001</v>
          </cell>
          <cell r="G11">
            <v>-312.86115726999998</v>
          </cell>
          <cell r="H11">
            <v>-339.94800728000001</v>
          </cell>
          <cell r="I11">
            <v>-462.80816540000001</v>
          </cell>
          <cell r="J11">
            <v>-642.77067312999998</v>
          </cell>
          <cell r="K11">
            <v>-803.00716541999998</v>
          </cell>
          <cell r="L11">
            <v>-1310.66343149</v>
          </cell>
          <cell r="M11">
            <v>-1923.31602432</v>
          </cell>
          <cell r="N11">
            <v>-2425.33187116</v>
          </cell>
          <cell r="O11">
            <v>-3925.32726465</v>
          </cell>
          <cell r="P11">
            <v>-5953.7605052700001</v>
          </cell>
          <cell r="Q11">
            <v>-7291.3245357799997</v>
          </cell>
          <cell r="R11">
            <v>-8948.6212564500001</v>
          </cell>
          <cell r="S11">
            <v>-14447.89664583</v>
          </cell>
          <cell r="T11">
            <v>-15550.6859083</v>
          </cell>
          <cell r="U11">
            <v>-15439.9931288354</v>
          </cell>
          <cell r="V11">
            <v>-17307.750058641901</v>
          </cell>
          <cell r="W11">
            <v>-19276.606756542998</v>
          </cell>
          <cell r="X11">
            <v>-19704.326327407602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-14.607250219999999</v>
          </cell>
          <cell r="G12">
            <v>-21.352677589999999</v>
          </cell>
          <cell r="H12">
            <v>-13.57364802</v>
          </cell>
          <cell r="I12">
            <v>-39.087493600000002</v>
          </cell>
          <cell r="J12">
            <v>-51.016701930000004</v>
          </cell>
          <cell r="K12">
            <v>-65.914977829999998</v>
          </cell>
          <cell r="L12">
            <v>-99.768583680000006</v>
          </cell>
          <cell r="M12">
            <v>-120.44735591</v>
          </cell>
          <cell r="N12">
            <v>-177.83010046000001</v>
          </cell>
          <cell r="O12">
            <v>-281.55421387000001</v>
          </cell>
          <cell r="P12">
            <v>-367.15505282999999</v>
          </cell>
          <cell r="Q12">
            <v>-604.64974301999996</v>
          </cell>
          <cell r="R12">
            <v>-1009.78369787</v>
          </cell>
          <cell r="S12">
            <v>-1244.4740685199999</v>
          </cell>
          <cell r="T12">
            <v>-1356.25755467</v>
          </cell>
          <cell r="U12">
            <v>-1352.6483388740601</v>
          </cell>
          <cell r="V12">
            <v>-1509.8205295590899</v>
          </cell>
          <cell r="W12">
            <v>-1666.4816045437101</v>
          </cell>
          <cell r="X12">
            <v>-1698.79401297971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-226.82927828000001</v>
          </cell>
          <cell r="G13">
            <v>-334.21383486000002</v>
          </cell>
          <cell r="H13">
            <v>-353.52165530000002</v>
          </cell>
          <cell r="I13">
            <v>-501.89565900000002</v>
          </cell>
          <cell r="J13">
            <v>-693.78737506000004</v>
          </cell>
          <cell r="K13">
            <v>-868.92214324999998</v>
          </cell>
          <cell r="L13">
            <v>-1410.4320151700001</v>
          </cell>
          <cell r="M13">
            <v>-2043.7633802299999</v>
          </cell>
          <cell r="N13">
            <v>-2603.1619716199998</v>
          </cell>
          <cell r="O13">
            <v>-4206.8814785200002</v>
          </cell>
          <cell r="P13">
            <v>-6320.9155581000005</v>
          </cell>
          <cell r="Q13">
            <v>-7895.9742788000003</v>
          </cell>
          <cell r="R13">
            <v>-9958.4049543199999</v>
          </cell>
          <cell r="S13">
            <v>-15692.37071435</v>
          </cell>
          <cell r="T13">
            <v>-16906.943462970001</v>
          </cell>
          <cell r="U13">
            <v>-16792.641467709502</v>
          </cell>
          <cell r="V13">
            <v>-18817.570588201001</v>
          </cell>
          <cell r="W13">
            <v>-20943.088361086699</v>
          </cell>
          <cell r="X13">
            <v>-21403.120340387301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-226.82927828000001</v>
          </cell>
          <cell r="G16">
            <v>-334.21383486000002</v>
          </cell>
          <cell r="H16">
            <v>-353.52165530000002</v>
          </cell>
          <cell r="I16">
            <v>-501.89565900000002</v>
          </cell>
          <cell r="J16">
            <v>-693.78737506000004</v>
          </cell>
          <cell r="K16">
            <v>-868.92214324999998</v>
          </cell>
          <cell r="L16">
            <v>-1410.4320151700001</v>
          </cell>
          <cell r="M16">
            <v>-2043.7633802299999</v>
          </cell>
          <cell r="N16">
            <v>-2603.1619716199998</v>
          </cell>
          <cell r="O16">
            <v>-4206.8814785200002</v>
          </cell>
          <cell r="P16">
            <v>-6320.9155581000005</v>
          </cell>
          <cell r="Q16">
            <v>-7895.9742788000003</v>
          </cell>
          <cell r="R16">
            <v>-9958.4049543199999</v>
          </cell>
          <cell r="S16">
            <v>-15692.37071435</v>
          </cell>
          <cell r="T16">
            <v>-16906.943462970001</v>
          </cell>
          <cell r="U16">
            <v>-16792.641467709502</v>
          </cell>
          <cell r="V16">
            <v>-18817.570588201001</v>
          </cell>
          <cell r="W16">
            <v>-20943.088361086699</v>
          </cell>
          <cell r="X16">
            <v>-21403.120340387301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-207.08657858000001</v>
          </cell>
          <cell r="G17">
            <v>-294.84851579000002</v>
          </cell>
          <cell r="H17">
            <v>-315.19466951999999</v>
          </cell>
          <cell r="I17">
            <v>-449.61285609999999</v>
          </cell>
          <cell r="J17">
            <v>-587.15248554000004</v>
          </cell>
          <cell r="K17">
            <v>-737.08675056000004</v>
          </cell>
          <cell r="L17">
            <v>-1228.8305758500001</v>
          </cell>
          <cell r="M17">
            <v>-1810.7832406800001</v>
          </cell>
          <cell r="N17">
            <v>-2316.00693</v>
          </cell>
          <cell r="O17">
            <v>-3823.2038189899999</v>
          </cell>
          <cell r="P17">
            <v>-5820.1487849699997</v>
          </cell>
          <cell r="Q17">
            <v>-7241.4034944499999</v>
          </cell>
          <cell r="R17">
            <v>-9212.8477361700006</v>
          </cell>
          <cell r="S17">
            <v>-14796.94226801</v>
          </cell>
          <cell r="T17">
            <v>-15727.772910449999</v>
          </cell>
          <cell r="U17">
            <v>-15509.629360317</v>
          </cell>
          <cell r="V17">
            <v>-17491.747375187999</v>
          </cell>
          <cell r="W17">
            <v>-19565.156481864</v>
          </cell>
          <cell r="X17">
            <v>-19973.6050776312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135.28931752</v>
          </cell>
          <cell r="G18">
            <v>127.48116244000001</v>
          </cell>
          <cell r="H18">
            <v>84.379751709999994</v>
          </cell>
          <cell r="I18">
            <v>126.940889</v>
          </cell>
          <cell r="J18">
            <v>204.61557814</v>
          </cell>
          <cell r="K18">
            <v>257.99840667000001</v>
          </cell>
          <cell r="L18">
            <v>401.75031166000002</v>
          </cell>
          <cell r="M18">
            <v>498.44717166999999</v>
          </cell>
          <cell r="N18">
            <v>701.79664187000003</v>
          </cell>
          <cell r="O18">
            <v>1251.75937544</v>
          </cell>
          <cell r="P18">
            <v>1310.5719700100001</v>
          </cell>
          <cell r="Q18">
            <v>1519.21513706</v>
          </cell>
          <cell r="R18">
            <v>2332.1025810400001</v>
          </cell>
          <cell r="S18">
            <v>2967.9129016500001</v>
          </cell>
          <cell r="T18">
            <v>3589.8344628099999</v>
          </cell>
          <cell r="U18">
            <v>3019.79993932757</v>
          </cell>
          <cell r="V18">
            <v>3190.7256324708201</v>
          </cell>
          <cell r="W18">
            <v>3263.3586488717601</v>
          </cell>
          <cell r="X18">
            <v>3297.5457851045298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-18.480076619999998</v>
          </cell>
          <cell r="G19">
            <v>-36.316989790000001</v>
          </cell>
          <cell r="H19">
            <v>-38.035857780000001</v>
          </cell>
          <cell r="I19">
            <v>-52.087526099999998</v>
          </cell>
          <cell r="J19">
            <v>-105.32472152</v>
          </cell>
          <cell r="K19">
            <v>-130.51113665</v>
          </cell>
          <cell r="L19">
            <v>-180.27718328</v>
          </cell>
          <cell r="M19">
            <v>-231.65588351</v>
          </cell>
          <cell r="N19">
            <v>-285.56835225999998</v>
          </cell>
          <cell r="O19">
            <v>-368.74928674</v>
          </cell>
          <cell r="P19">
            <v>-472.15426117999999</v>
          </cell>
          <cell r="Q19">
            <v>-610.90480034999996</v>
          </cell>
          <cell r="R19">
            <v>-709.99852878000002</v>
          </cell>
          <cell r="S19">
            <v>-856.61127898999996</v>
          </cell>
          <cell r="T19">
            <v>-1144.1108352700001</v>
          </cell>
          <cell r="U19">
            <v>-1241.57646316143</v>
          </cell>
          <cell r="V19">
            <v>-1284.38756878201</v>
          </cell>
          <cell r="W19">
            <v>-1336.49623499172</v>
          </cell>
          <cell r="X19">
            <v>-1388.0796185251299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-1.26262308</v>
          </cell>
          <cell r="G20">
            <v>-3.0483292799999999</v>
          </cell>
          <cell r="H20">
            <v>-0.291128</v>
          </cell>
          <cell r="I20">
            <v>-0.1952768</v>
          </cell>
          <cell r="J20">
            <v>-1.310168</v>
          </cell>
          <cell r="K20">
            <v>-1.3242560400000001</v>
          </cell>
          <cell r="L20">
            <v>-1.3242560400000001</v>
          </cell>
          <cell r="M20">
            <v>-1.3242560400000001</v>
          </cell>
          <cell r="N20">
            <v>-1.58668936</v>
          </cell>
          <cell r="O20">
            <v>-14.928372789999999</v>
          </cell>
          <cell r="P20">
            <v>-28.612511949999998</v>
          </cell>
          <cell r="Q20">
            <v>-43.665984000000002</v>
          </cell>
          <cell r="R20">
            <v>-35.558689370000003</v>
          </cell>
          <cell r="S20">
            <v>-38.817167349999998</v>
          </cell>
          <cell r="T20">
            <v>-35.059717249999999</v>
          </cell>
          <cell r="U20">
            <v>-41.435644231017001</v>
          </cell>
          <cell r="V20">
            <v>-41.435644231017001</v>
          </cell>
          <cell r="W20">
            <v>-41.435644231017001</v>
          </cell>
          <cell r="X20">
            <v>-41.435644231017001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115.54661781999999</v>
          </cell>
          <cell r="G21">
            <v>88.115843369999993</v>
          </cell>
          <cell r="H21">
            <v>46.05276593</v>
          </cell>
          <cell r="I21">
            <v>74.658086100000006</v>
          </cell>
          <cell r="J21">
            <v>97.980688619999995</v>
          </cell>
          <cell r="K21">
            <v>126.16301398</v>
          </cell>
          <cell r="L21">
            <v>220.14887234</v>
          </cell>
          <cell r="M21">
            <v>265.46703212</v>
          </cell>
          <cell r="N21">
            <v>414.64160025000001</v>
          </cell>
          <cell r="O21">
            <v>868.08171591000098</v>
          </cell>
          <cell r="P21">
            <v>809.80519687999799</v>
          </cell>
          <cell r="Q21">
            <v>864.64435271000104</v>
          </cell>
          <cell r="R21">
            <v>1586.54536289</v>
          </cell>
          <cell r="S21">
            <v>2072.4844553100002</v>
          </cell>
          <cell r="T21">
            <v>2410.6639102899999</v>
          </cell>
          <cell r="U21">
            <v>1736.78783193512</v>
          </cell>
          <cell r="V21">
            <v>1864.9024194578001</v>
          </cell>
          <cell r="W21">
            <v>1885.4267696490199</v>
          </cell>
          <cell r="X21">
            <v>1868.0305223483799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0.43104450999999999</v>
          </cell>
          <cell r="G22">
            <v>6.5343559999999995E-2</v>
          </cell>
          <cell r="H22">
            <v>3.2342879999999997E-2</v>
          </cell>
          <cell r="I22">
            <v>0.48520862999999997</v>
          </cell>
          <cell r="J22">
            <v>0.74173981</v>
          </cell>
          <cell r="K22">
            <v>0.66016187999999998</v>
          </cell>
          <cell r="L22">
            <v>0.85146184999999996</v>
          </cell>
          <cell r="M22">
            <v>1.2783353500000001</v>
          </cell>
          <cell r="N22">
            <v>3.64616395</v>
          </cell>
          <cell r="O22">
            <v>3.6795805499999998</v>
          </cell>
          <cell r="P22">
            <v>20.835628549999999</v>
          </cell>
          <cell r="Q22">
            <v>9.2757417899999997</v>
          </cell>
          <cell r="R22">
            <v>7.3027726700000004</v>
          </cell>
          <cell r="S22">
            <v>12.99595807</v>
          </cell>
          <cell r="T22">
            <v>0</v>
          </cell>
          <cell r="U22">
            <v>3.8452113293750001</v>
          </cell>
          <cell r="V22">
            <v>5.8887240239340004</v>
          </cell>
          <cell r="W22">
            <v>8.9932964019400004</v>
          </cell>
          <cell r="X22">
            <v>10.582303944008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-0.43104450999999999</v>
          </cell>
          <cell r="G23">
            <v>-0.11483717</v>
          </cell>
          <cell r="H23">
            <v>-1.42067732</v>
          </cell>
          <cell r="I23">
            <v>-14.228995530000001</v>
          </cell>
          <cell r="J23">
            <v>-26.309570570000002</v>
          </cell>
          <cell r="K23">
            <v>-32.415108449999998</v>
          </cell>
          <cell r="L23">
            <v>-42.560279649999998</v>
          </cell>
          <cell r="M23">
            <v>-50.249404570000003</v>
          </cell>
          <cell r="N23">
            <v>-100.21982754</v>
          </cell>
          <cell r="O23">
            <v>-211.21263911</v>
          </cell>
          <cell r="P23">
            <v>-298.61861033000002</v>
          </cell>
          <cell r="Q23">
            <v>-354.51565376999997</v>
          </cell>
          <cell r="R23">
            <v>-438.94926251999999</v>
          </cell>
          <cell r="S23">
            <v>-630.96270655000001</v>
          </cell>
          <cell r="T23">
            <v>-826.98836741000002</v>
          </cell>
          <cell r="U23">
            <v>-858.43981802799999</v>
          </cell>
          <cell r="V23">
            <v>-825.42290194999998</v>
          </cell>
          <cell r="W23">
            <v>-825.42290194999998</v>
          </cell>
          <cell r="X23">
            <v>-825.42290194999998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0</v>
          </cell>
          <cell r="G24">
            <v>-4.949361E-2</v>
          </cell>
          <cell r="H24">
            <v>-1.3883344399999999</v>
          </cell>
          <cell r="I24">
            <v>-13.7437869</v>
          </cell>
          <cell r="J24">
            <v>-25.56783076</v>
          </cell>
          <cell r="K24">
            <v>-31.754946570000001</v>
          </cell>
          <cell r="L24">
            <v>-41.708817799999998</v>
          </cell>
          <cell r="M24">
            <v>-48.971069219999997</v>
          </cell>
          <cell r="N24">
            <v>-96.573663589999995</v>
          </cell>
          <cell r="O24">
            <v>-207.53305856</v>
          </cell>
          <cell r="P24">
            <v>-277.78298178</v>
          </cell>
          <cell r="Q24">
            <v>-345.23991197999999</v>
          </cell>
          <cell r="R24">
            <v>-431.64648985000002</v>
          </cell>
          <cell r="S24">
            <v>-617.96674847999998</v>
          </cell>
          <cell r="T24">
            <v>-826.98836741000002</v>
          </cell>
          <cell r="U24">
            <v>-854.59460669862494</v>
          </cell>
          <cell r="V24">
            <v>-819.53417792606604</v>
          </cell>
          <cell r="W24">
            <v>-816.42960554805995</v>
          </cell>
          <cell r="X24">
            <v>-814.84059800599198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24.925843990000001</v>
          </cell>
          <cell r="G27">
            <v>16.538655410000001</v>
          </cell>
          <cell r="H27">
            <v>1.36541541</v>
          </cell>
          <cell r="I27">
            <v>-6.8611834500000004</v>
          </cell>
          <cell r="J27">
            <v>-0.68752897999999996</v>
          </cell>
          <cell r="K27">
            <v>-3.84101391</v>
          </cell>
          <cell r="L27">
            <v>-18.755746080000002</v>
          </cell>
          <cell r="M27">
            <v>15.51785003</v>
          </cell>
          <cell r="N27">
            <v>11.01267393</v>
          </cell>
          <cell r="O27">
            <v>-0.82562084999999996</v>
          </cell>
          <cell r="P27">
            <v>79.783497479999994</v>
          </cell>
          <cell r="Q27">
            <v>39.646091779999999</v>
          </cell>
          <cell r="R27">
            <v>4.7970834</v>
          </cell>
          <cell r="S27">
            <v>39.704464699999001</v>
          </cell>
          <cell r="T27">
            <v>20.346254920001002</v>
          </cell>
          <cell r="U27">
            <v>20.346254919999001</v>
          </cell>
          <cell r="V27">
            <v>20.346254920002</v>
          </cell>
          <cell r="W27">
            <v>20.346254920001002</v>
          </cell>
          <cell r="X27">
            <v>20.346254919998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140.47246181</v>
          </cell>
          <cell r="G28">
            <v>104.60500517</v>
          </cell>
          <cell r="H28">
            <v>46.029846900000003</v>
          </cell>
          <cell r="I28">
            <v>54.053115750000003</v>
          </cell>
          <cell r="J28">
            <v>71.725328880000006</v>
          </cell>
          <cell r="K28">
            <v>90.5670535</v>
          </cell>
          <cell r="L28">
            <v>159.68430846000001</v>
          </cell>
          <cell r="M28">
            <v>232.01381293</v>
          </cell>
          <cell r="N28">
            <v>329.08061058999999</v>
          </cell>
          <cell r="O28">
            <v>659.72303650000003</v>
          </cell>
          <cell r="P28">
            <v>611.80571257999895</v>
          </cell>
          <cell r="Q28">
            <v>559.05053251000095</v>
          </cell>
          <cell r="R28">
            <v>1159.6959564399999</v>
          </cell>
          <cell r="S28">
            <v>1494.22217153</v>
          </cell>
          <cell r="T28">
            <v>1604.0217978000001</v>
          </cell>
          <cell r="U28">
            <v>902.53948015649803</v>
          </cell>
          <cell r="V28">
            <v>1065.7144964517299</v>
          </cell>
          <cell r="W28">
            <v>1089.34341902096</v>
          </cell>
          <cell r="X28">
            <v>1073.5361792623901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-0.43104450999999999</v>
          </cell>
          <cell r="G34">
            <v>-0.11483717</v>
          </cell>
          <cell r="H34">
            <v>-1.42067732</v>
          </cell>
          <cell r="I34">
            <v>-14.228995530000001</v>
          </cell>
          <cell r="J34">
            <v>-26.309570570000002</v>
          </cell>
          <cell r="K34">
            <v>-32.415108449999998</v>
          </cell>
          <cell r="L34">
            <v>-42.560279649999998</v>
          </cell>
          <cell r="M34">
            <v>-50.249404570000003</v>
          </cell>
          <cell r="N34">
            <v>-100.21982754</v>
          </cell>
          <cell r="O34">
            <v>-211.21263911</v>
          </cell>
          <cell r="P34">
            <v>-298.61861033000002</v>
          </cell>
          <cell r="Q34">
            <v>-354.51565376999997</v>
          </cell>
          <cell r="R34">
            <v>-438.94926251999999</v>
          </cell>
          <cell r="S34">
            <v>-630.96270655000001</v>
          </cell>
          <cell r="T34">
            <v>-826.98836741000002</v>
          </cell>
          <cell r="U34">
            <v>-858.43981802799999</v>
          </cell>
          <cell r="V34">
            <v>-825.42290194999998</v>
          </cell>
          <cell r="W34">
            <v>-825.42290194999998</v>
          </cell>
          <cell r="X34">
            <v>-825.42290194999998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50.822735569999999</v>
          </cell>
          <cell r="G37">
            <v>1.2998623899999999</v>
          </cell>
          <cell r="H37">
            <v>31.338005219999999</v>
          </cell>
          <cell r="I37">
            <v>60.235038539999998</v>
          </cell>
          <cell r="J37">
            <v>124.32899802</v>
          </cell>
          <cell r="K37">
            <v>84.336113920000003</v>
          </cell>
          <cell r="L37">
            <v>200.85606278</v>
          </cell>
          <cell r="M37">
            <v>226.59195371000001</v>
          </cell>
          <cell r="N37">
            <v>666.27126344999999</v>
          </cell>
          <cell r="O37">
            <v>467.26079769</v>
          </cell>
          <cell r="P37">
            <v>391.1008832</v>
          </cell>
          <cell r="Q37">
            <v>1137.4961129000001</v>
          </cell>
          <cell r="R37">
            <v>1561.69633211</v>
          </cell>
          <cell r="S37">
            <v>3666.4772629099998</v>
          </cell>
          <cell r="T37">
            <v>1538.08453175</v>
          </cell>
          <cell r="U37">
            <v>1177.7448047868099</v>
          </cell>
          <cell r="V37">
            <v>1199.1061869253899</v>
          </cell>
          <cell r="W37">
            <v>1058.2303944008299</v>
          </cell>
          <cell r="X37">
            <v>1230.2498201783401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19.230767239999999</v>
          </cell>
          <cell r="G38">
            <v>88.924567300000007</v>
          </cell>
          <cell r="H38">
            <v>93.931794760000002</v>
          </cell>
          <cell r="I38">
            <v>71.186047040000005</v>
          </cell>
          <cell r="J38">
            <v>31.635685729999999</v>
          </cell>
          <cell r="K38">
            <v>44.444113430000002</v>
          </cell>
          <cell r="L38">
            <v>76.455506060000005</v>
          </cell>
          <cell r="M38">
            <v>105.6089465</v>
          </cell>
          <cell r="N38">
            <v>341.45182245000001</v>
          </cell>
          <cell r="O38">
            <v>331.93359250999998</v>
          </cell>
          <cell r="P38">
            <v>383.82738581000001</v>
          </cell>
          <cell r="Q38">
            <v>455.96168829999999</v>
          </cell>
          <cell r="R38">
            <v>1072.31496238</v>
          </cell>
          <cell r="S38">
            <v>1189.8645759399999</v>
          </cell>
          <cell r="T38">
            <v>1444.4786551300001</v>
          </cell>
          <cell r="U38">
            <v>1370.67011257645</v>
          </cell>
          <cell r="V38">
            <v>1529.9363594706499</v>
          </cell>
          <cell r="W38">
            <v>1688.6846809037399</v>
          </cell>
          <cell r="X38">
            <v>1721.4275980653799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22.626246340000002</v>
          </cell>
          <cell r="G39">
            <v>27.276496590000001</v>
          </cell>
          <cell r="H39">
            <v>36.443957529999999</v>
          </cell>
          <cell r="I39">
            <v>85.130757399999993</v>
          </cell>
          <cell r="J39">
            <v>86.923112279999998</v>
          </cell>
          <cell r="K39">
            <v>80.530730890000001</v>
          </cell>
          <cell r="L39">
            <v>218.06305212999999</v>
          </cell>
          <cell r="M39">
            <v>258.57118443000002</v>
          </cell>
          <cell r="N39">
            <v>485.28350253000002</v>
          </cell>
          <cell r="O39">
            <v>1175.6936374899999</v>
          </cell>
          <cell r="P39">
            <v>1925.9250089699999</v>
          </cell>
          <cell r="Q39">
            <v>1629.73167134</v>
          </cell>
          <cell r="R39">
            <v>2521.0302460500002</v>
          </cell>
          <cell r="S39">
            <v>3456.8180618900001</v>
          </cell>
          <cell r="T39">
            <v>3931.2143616899998</v>
          </cell>
          <cell r="U39">
            <v>3934.02564652519</v>
          </cell>
          <cell r="V39">
            <v>4409.9198779553399</v>
          </cell>
          <cell r="W39">
            <v>4911.5737763246598</v>
          </cell>
          <cell r="X39">
            <v>4858.6010122375001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22.232679359999999</v>
          </cell>
          <cell r="G40">
            <v>16.80117482</v>
          </cell>
          <cell r="H40">
            <v>20.395966680000001</v>
          </cell>
          <cell r="I40">
            <v>32.627527919999999</v>
          </cell>
          <cell r="J40">
            <v>128.63777013999999</v>
          </cell>
          <cell r="K40">
            <v>149.71915113</v>
          </cell>
          <cell r="L40">
            <v>187.23602693000001</v>
          </cell>
          <cell r="M40">
            <v>205.32553068000001</v>
          </cell>
          <cell r="N40">
            <v>515.44765647999998</v>
          </cell>
          <cell r="O40">
            <v>732.27766839000003</v>
          </cell>
          <cell r="P40">
            <v>486.15091959</v>
          </cell>
          <cell r="Q40">
            <v>594.56574897999997</v>
          </cell>
          <cell r="R40">
            <v>2065.4425572599998</v>
          </cell>
          <cell r="S40">
            <v>2816.76150577</v>
          </cell>
          <cell r="T40">
            <v>2274.4690148999998</v>
          </cell>
          <cell r="U40">
            <v>2274.4690148999998</v>
          </cell>
          <cell r="V40">
            <v>2274.4690148999998</v>
          </cell>
          <cell r="W40">
            <v>2274.4690148999998</v>
          </cell>
          <cell r="X40">
            <v>2274.4690148999998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114.91242851</v>
          </cell>
          <cell r="G41">
            <v>134.30210109999999</v>
          </cell>
          <cell r="H41">
            <v>182.10972419000001</v>
          </cell>
          <cell r="I41">
            <v>249.17937090000001</v>
          </cell>
          <cell r="J41">
            <v>371.52556616999999</v>
          </cell>
          <cell r="K41">
            <v>359.03010936999999</v>
          </cell>
          <cell r="L41">
            <v>682.6106479</v>
          </cell>
          <cell r="M41">
            <v>796.09761532000005</v>
          </cell>
          <cell r="N41">
            <v>2008.4542449099999</v>
          </cell>
          <cell r="O41">
            <v>2707.1656960800001</v>
          </cell>
          <cell r="P41">
            <v>3187.0041975700001</v>
          </cell>
          <cell r="Q41">
            <v>3817.7552215199998</v>
          </cell>
          <cell r="R41">
            <v>7220.4840978000002</v>
          </cell>
          <cell r="S41">
            <v>11129.92140651</v>
          </cell>
          <cell r="T41">
            <v>9188.2465634700002</v>
          </cell>
          <cell r="U41">
            <v>8756.9095787884507</v>
          </cell>
          <cell r="V41">
            <v>9413.4314392513807</v>
          </cell>
          <cell r="W41">
            <v>9932.9578665292302</v>
          </cell>
          <cell r="X41">
            <v>10084.747445381199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1.27294262</v>
          </cell>
          <cell r="G42">
            <v>819.23515355999996</v>
          </cell>
          <cell r="H42">
            <v>985.74835759999996</v>
          </cell>
          <cell r="I42">
            <v>1494.0541110199999</v>
          </cell>
          <cell r="J42">
            <v>1612.6624670000001</v>
          </cell>
          <cell r="K42">
            <v>2088.0077974300002</v>
          </cell>
          <cell r="L42">
            <v>2374.4399261600001</v>
          </cell>
          <cell r="M42">
            <v>3288.2348165899998</v>
          </cell>
          <cell r="N42">
            <v>4489.4869474300003</v>
          </cell>
          <cell r="O42">
            <v>7561.7700855100002</v>
          </cell>
          <cell r="P42">
            <v>9710.2740934400008</v>
          </cell>
          <cell r="Q42">
            <v>11836.150611450001</v>
          </cell>
          <cell r="R42">
            <v>14565.924876720001</v>
          </cell>
          <cell r="S42">
            <v>19444.235225659999</v>
          </cell>
          <cell r="T42">
            <v>25189.926826539999</v>
          </cell>
          <cell r="U42">
            <v>27589.926826539999</v>
          </cell>
          <cell r="V42">
            <v>29589.926826539999</v>
          </cell>
          <cell r="W42">
            <v>31797.449604138401</v>
          </cell>
          <cell r="X42">
            <v>34047.7753610359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-128.39370445</v>
          </cell>
          <cell r="H43">
            <v>-159.08670309999999</v>
          </cell>
          <cell r="I43">
            <v>-296.62043924</v>
          </cell>
          <cell r="J43">
            <v>-359.47081508000002</v>
          </cell>
          <cell r="K43">
            <v>-476.94328445999997</v>
          </cell>
          <cell r="L43">
            <v>-639.26283907000004</v>
          </cell>
          <cell r="M43">
            <v>-852.96109391000005</v>
          </cell>
          <cell r="N43">
            <v>-1122.72497219</v>
          </cell>
          <cell r="O43">
            <v>-1875.4035835</v>
          </cell>
          <cell r="P43">
            <v>-2340.5548357500002</v>
          </cell>
          <cell r="Q43">
            <v>-3060.8773244099998</v>
          </cell>
          <cell r="R43">
            <v>-3623.9487114100002</v>
          </cell>
          <cell r="S43">
            <v>-4457.9601181500002</v>
          </cell>
          <cell r="T43">
            <v>-5594.6805277900003</v>
          </cell>
          <cell r="U43">
            <v>-6836.2569909514305</v>
          </cell>
          <cell r="V43">
            <v>-8120.6445597334296</v>
          </cell>
          <cell r="W43">
            <v>-9457.1407947251591</v>
          </cell>
          <cell r="X43">
            <v>-10845.220413250299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1.27294262</v>
          </cell>
          <cell r="G44">
            <v>690.84144910999999</v>
          </cell>
          <cell r="H44">
            <v>826.66165450000005</v>
          </cell>
          <cell r="I44">
            <v>1197.4336717799999</v>
          </cell>
          <cell r="J44">
            <v>1253.1916519199999</v>
          </cell>
          <cell r="K44">
            <v>1611.0645129699999</v>
          </cell>
          <cell r="L44">
            <v>1735.17708709</v>
          </cell>
          <cell r="M44">
            <v>2435.27372268</v>
          </cell>
          <cell r="N44">
            <v>3366.7619752400001</v>
          </cell>
          <cell r="O44">
            <v>5686.3665020099997</v>
          </cell>
          <cell r="P44">
            <v>7369.7192576899997</v>
          </cell>
          <cell r="Q44">
            <v>8775.2732870399996</v>
          </cell>
          <cell r="R44">
            <v>10941.976165309999</v>
          </cell>
          <cell r="S44">
            <v>14986.27510751</v>
          </cell>
          <cell r="T44">
            <v>19595.24629875</v>
          </cell>
          <cell r="U44">
            <v>20753.6698355886</v>
          </cell>
          <cell r="V44">
            <v>21469.2822668066</v>
          </cell>
          <cell r="W44">
            <v>22340.308809413302</v>
          </cell>
          <cell r="X44">
            <v>23202.5549477856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14.57856</v>
          </cell>
          <cell r="K45">
            <v>11.918303999999999</v>
          </cell>
          <cell r="L45">
            <v>11.918303999999999</v>
          </cell>
          <cell r="M45">
            <v>12.057404</v>
          </cell>
          <cell r="N45">
            <v>29.59635986</v>
          </cell>
          <cell r="O45">
            <v>349.22839749000002</v>
          </cell>
          <cell r="P45">
            <v>817.78559538000002</v>
          </cell>
          <cell r="Q45">
            <v>1053.83159572</v>
          </cell>
          <cell r="R45">
            <v>632.06475302000001</v>
          </cell>
          <cell r="S45">
            <v>697.86308101999998</v>
          </cell>
          <cell r="T45">
            <v>745.86308101999998</v>
          </cell>
          <cell r="U45">
            <v>745.86308101999998</v>
          </cell>
          <cell r="V45">
            <v>745.86308101999998</v>
          </cell>
          <cell r="W45">
            <v>745.86308101999998</v>
          </cell>
          <cell r="X45">
            <v>745.86308101999998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-1.3242560000000001</v>
          </cell>
          <cell r="K46">
            <v>-1.3242560400000001</v>
          </cell>
          <cell r="L46">
            <v>-2.6485120800000002</v>
          </cell>
          <cell r="M46">
            <v>-3.97276812</v>
          </cell>
          <cell r="N46">
            <v>-5.5594574799999998</v>
          </cell>
          <cell r="O46">
            <v>-15.79914994</v>
          </cell>
          <cell r="P46">
            <v>-143.43846592</v>
          </cell>
          <cell r="Q46">
            <v>-185.60444992000001</v>
          </cell>
          <cell r="R46">
            <v>-108.86611062</v>
          </cell>
          <cell r="S46">
            <v>-146.18327797000001</v>
          </cell>
          <cell r="T46">
            <v>-179.74299522000001</v>
          </cell>
          <cell r="U46">
            <v>-221.17863945101701</v>
          </cell>
          <cell r="V46">
            <v>-262.61428368203298</v>
          </cell>
          <cell r="W46">
            <v>-304.04992791305</v>
          </cell>
          <cell r="X46">
            <v>-345.48557214406702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13.254303999999999</v>
          </cell>
          <cell r="K47">
            <v>10.594047959999999</v>
          </cell>
          <cell r="L47">
            <v>9.2697919199999994</v>
          </cell>
          <cell r="M47">
            <v>8.0846358800000004</v>
          </cell>
          <cell r="N47">
            <v>24.036902380000001</v>
          </cell>
          <cell r="O47">
            <v>333.42924755000001</v>
          </cell>
          <cell r="P47">
            <v>674.34712946000002</v>
          </cell>
          <cell r="Q47">
            <v>868.22714580000002</v>
          </cell>
          <cell r="R47">
            <v>523.19864240000004</v>
          </cell>
          <cell r="S47">
            <v>551.67980305000003</v>
          </cell>
          <cell r="T47">
            <v>566.12008579999997</v>
          </cell>
          <cell r="U47">
            <v>524.68444156898295</v>
          </cell>
          <cell r="V47">
            <v>483.24879733796701</v>
          </cell>
          <cell r="W47">
            <v>441.81315310694998</v>
          </cell>
          <cell r="X47">
            <v>400.37750887593302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0</v>
          </cell>
          <cell r="G49">
            <v>0</v>
          </cell>
          <cell r="H49">
            <v>0</v>
          </cell>
          <cell r="I49">
            <v>5.0802026600000003</v>
          </cell>
          <cell r="J49">
            <v>4.5679132999999998</v>
          </cell>
          <cell r="K49">
            <v>4.0556239400000003</v>
          </cell>
          <cell r="L49">
            <v>5.5433345799999998</v>
          </cell>
          <cell r="M49">
            <v>5.12984522</v>
          </cell>
          <cell r="N49">
            <v>8</v>
          </cell>
          <cell r="O49">
            <v>8</v>
          </cell>
          <cell r="P49">
            <v>10.02</v>
          </cell>
          <cell r="Q49">
            <v>7.18</v>
          </cell>
          <cell r="R49">
            <v>7.2576000000000001</v>
          </cell>
          <cell r="S49">
            <v>61.267625549999998</v>
          </cell>
          <cell r="T49">
            <v>57.389301160000002</v>
          </cell>
          <cell r="U49">
            <v>70.858576799999994</v>
          </cell>
          <cell r="V49">
            <v>84.327852440000001</v>
          </cell>
          <cell r="W49">
            <v>97.797128079999993</v>
          </cell>
          <cell r="X49">
            <v>111.26640372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531.61050264000005</v>
          </cell>
          <cell r="G50">
            <v>22.11223085</v>
          </cell>
          <cell r="H50">
            <v>22.691296749999999</v>
          </cell>
          <cell r="I50">
            <v>0</v>
          </cell>
          <cell r="J50">
            <v>1.48326E-13</v>
          </cell>
          <cell r="K50">
            <v>0</v>
          </cell>
          <cell r="L50">
            <v>0</v>
          </cell>
          <cell r="M50">
            <v>5.1442493899999997</v>
          </cell>
          <cell r="N50">
            <v>46.87431814</v>
          </cell>
          <cell r="O50">
            <v>53.448835790002001</v>
          </cell>
          <cell r="P50">
            <v>99.852302520001004</v>
          </cell>
          <cell r="Q50">
            <v>47.564526370000998</v>
          </cell>
          <cell r="R50">
            <v>52.897012689995996</v>
          </cell>
          <cell r="S50">
            <v>50.227324439996998</v>
          </cell>
          <cell r="T50">
            <v>61.015893400002</v>
          </cell>
          <cell r="U50">
            <v>61.015893400002</v>
          </cell>
          <cell r="V50">
            <v>61.015893400002</v>
          </cell>
          <cell r="W50">
            <v>61.015893399999001</v>
          </cell>
          <cell r="X50">
            <v>61.015893399999001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647.79587376999996</v>
          </cell>
          <cell r="G51">
            <v>847.25578106</v>
          </cell>
          <cell r="H51">
            <v>1031.4626754400001</v>
          </cell>
          <cell r="I51">
            <v>1451.69324534</v>
          </cell>
          <cell r="J51">
            <v>1642.5394353900001</v>
          </cell>
          <cell r="K51">
            <v>1984.74429424</v>
          </cell>
          <cell r="L51">
            <v>2432.6008614900002</v>
          </cell>
          <cell r="M51">
            <v>3249.7300684900001</v>
          </cell>
          <cell r="N51">
            <v>5454.1274406700004</v>
          </cell>
          <cell r="O51">
            <v>8788.4102814300004</v>
          </cell>
          <cell r="P51">
            <v>11340.94288724</v>
          </cell>
          <cell r="Q51">
            <v>13516.00018073</v>
          </cell>
          <cell r="R51">
            <v>18745.813518200001</v>
          </cell>
          <cell r="S51">
            <v>26779.37126706</v>
          </cell>
          <cell r="T51">
            <v>29468.01814258</v>
          </cell>
          <cell r="U51">
            <v>30167.138326146</v>
          </cell>
          <cell r="V51">
            <v>31511.306249235899</v>
          </cell>
          <cell r="W51">
            <v>32873.892850529402</v>
          </cell>
          <cell r="X51">
            <v>33859.962199162801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63.455728329999999</v>
          </cell>
          <cell r="G52">
            <v>52.366740980000003</v>
          </cell>
          <cell r="H52">
            <v>83.802334920000007</v>
          </cell>
          <cell r="I52">
            <v>174.84138680000001</v>
          </cell>
          <cell r="J52">
            <v>165.26244055999999</v>
          </cell>
          <cell r="K52">
            <v>167.68699993000001</v>
          </cell>
          <cell r="L52">
            <v>187.16980267</v>
          </cell>
          <cell r="M52">
            <v>331.25106603</v>
          </cell>
          <cell r="N52">
            <v>628.03807878999999</v>
          </cell>
          <cell r="O52">
            <v>1448.401177</v>
          </cell>
          <cell r="P52">
            <v>2318.3831290399999</v>
          </cell>
          <cell r="Q52">
            <v>1237.6591615100001</v>
          </cell>
          <cell r="R52">
            <v>1597.8180816500001</v>
          </cell>
          <cell r="S52">
            <v>2702.7349793399999</v>
          </cell>
          <cell r="T52">
            <v>3634.2187414300001</v>
          </cell>
          <cell r="U52">
            <v>3637.9161892598499</v>
          </cell>
          <cell r="V52">
            <v>4077.9904247759</v>
          </cell>
          <cell r="W52">
            <v>4541.8854275690401</v>
          </cell>
          <cell r="X52">
            <v>4642.6631894713901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0.2</v>
          </cell>
          <cell r="G53">
            <v>20.45</v>
          </cell>
          <cell r="H53">
            <v>81.45</v>
          </cell>
          <cell r="I53">
            <v>35.29</v>
          </cell>
          <cell r="J53">
            <v>162.55000000000001</v>
          </cell>
          <cell r="K53">
            <v>322.55</v>
          </cell>
          <cell r="L53">
            <v>350</v>
          </cell>
          <cell r="M53">
            <v>508.5</v>
          </cell>
          <cell r="N53">
            <v>562.4</v>
          </cell>
          <cell r="O53">
            <v>1668.9</v>
          </cell>
          <cell r="P53">
            <v>2540.0592190299999</v>
          </cell>
          <cell r="Q53">
            <v>2831.0262537399999</v>
          </cell>
          <cell r="R53">
            <v>3932.0382151499998</v>
          </cell>
          <cell r="S53">
            <v>8552.0984825100004</v>
          </cell>
          <cell r="T53">
            <v>8538.5402359599993</v>
          </cell>
          <cell r="U53">
            <v>8538.5402359599993</v>
          </cell>
          <cell r="V53">
            <v>8538.5402359599993</v>
          </cell>
          <cell r="W53">
            <v>8538.5402359599993</v>
          </cell>
          <cell r="X53">
            <v>8538.5402359599993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10.187578869999999</v>
          </cell>
          <cell r="G54">
            <v>10.55290905</v>
          </cell>
          <cell r="H54">
            <v>9.9476845899999997</v>
          </cell>
          <cell r="I54">
            <v>60.524071110000001</v>
          </cell>
          <cell r="J54">
            <v>112.53572595</v>
          </cell>
          <cell r="K54">
            <v>92.548812729999995</v>
          </cell>
          <cell r="L54">
            <v>188.77969825</v>
          </cell>
          <cell r="M54">
            <v>93.213737030000004</v>
          </cell>
          <cell r="N54">
            <v>451.78216033000001</v>
          </cell>
          <cell r="O54">
            <v>533.36729733000004</v>
          </cell>
          <cell r="P54">
            <v>949.48834453999996</v>
          </cell>
          <cell r="Q54">
            <v>706.08428542000001</v>
          </cell>
          <cell r="R54">
            <v>1099.36703902</v>
          </cell>
          <cell r="S54">
            <v>457.33947267000099</v>
          </cell>
          <cell r="T54">
            <v>333.714050219998</v>
          </cell>
          <cell r="U54">
            <v>267.00536255915199</v>
          </cell>
          <cell r="V54">
            <v>271.17774588741298</v>
          </cell>
          <cell r="W54">
            <v>271.14160386206601</v>
          </cell>
          <cell r="X54">
            <v>270.74670466533598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73.843307199999998</v>
          </cell>
          <cell r="G55">
            <v>83.369650030000003</v>
          </cell>
          <cell r="H55">
            <v>175.20001951</v>
          </cell>
          <cell r="I55">
            <v>270.65545791</v>
          </cell>
          <cell r="J55">
            <v>440.34816651</v>
          </cell>
          <cell r="K55">
            <v>582.78581266000003</v>
          </cell>
          <cell r="L55">
            <v>725.94950091999999</v>
          </cell>
          <cell r="M55">
            <v>932.96480306000001</v>
          </cell>
          <cell r="N55">
            <v>1642.2202391200001</v>
          </cell>
          <cell r="O55">
            <v>3650.6684743300002</v>
          </cell>
          <cell r="P55">
            <v>5807.9306926099998</v>
          </cell>
          <cell r="Q55">
            <v>4774.76970067</v>
          </cell>
          <cell r="R55">
            <v>6629.2233358200001</v>
          </cell>
          <cell r="S55">
            <v>11712.17293452</v>
          </cell>
          <cell r="T55">
            <v>12506.47302761</v>
          </cell>
          <cell r="U55">
            <v>12443.461787779001</v>
          </cell>
          <cell r="V55">
            <v>12887.7084066233</v>
          </cell>
          <cell r="W55">
            <v>13351.567267391099</v>
          </cell>
          <cell r="X55">
            <v>13451.9501300967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50.1</v>
          </cell>
          <cell r="G56">
            <v>170.1</v>
          </cell>
          <cell r="H56">
            <v>224.6</v>
          </cell>
          <cell r="I56">
            <v>319.88087999999999</v>
          </cell>
          <cell r="J56">
            <v>329.38564000000002</v>
          </cell>
          <cell r="K56">
            <v>456.1</v>
          </cell>
          <cell r="L56">
            <v>450.25</v>
          </cell>
          <cell r="M56">
            <v>715.75</v>
          </cell>
          <cell r="N56">
            <v>1714</v>
          </cell>
          <cell r="O56">
            <v>2349</v>
          </cell>
          <cell r="P56">
            <v>2330</v>
          </cell>
          <cell r="Q56">
            <v>3839.5</v>
          </cell>
          <cell r="R56">
            <v>6189.9464819599998</v>
          </cell>
          <cell r="S56">
            <v>6825.8520140399996</v>
          </cell>
          <cell r="T56">
            <v>7969.9178030399999</v>
          </cell>
          <cell r="U56">
            <v>7969.9178030399999</v>
          </cell>
          <cell r="V56">
            <v>7969.9178030399999</v>
          </cell>
          <cell r="W56">
            <v>7969.9178030399999</v>
          </cell>
          <cell r="X56">
            <v>7969.9178030399999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3.1889386800000001</v>
          </cell>
          <cell r="G57">
            <v>1.6242856800000001</v>
          </cell>
          <cell r="H57">
            <v>5.8813709999999998E-2</v>
          </cell>
          <cell r="I57">
            <v>9.8491900000000007E-3</v>
          </cell>
          <cell r="J57">
            <v>9.8491900000000007E-3</v>
          </cell>
          <cell r="K57">
            <v>1.30984919</v>
          </cell>
          <cell r="L57">
            <v>1.55984919</v>
          </cell>
          <cell r="M57">
            <v>26.659849189999999</v>
          </cell>
          <cell r="N57">
            <v>29.169424639999999</v>
          </cell>
          <cell r="O57">
            <v>27.659849189999999</v>
          </cell>
          <cell r="P57">
            <v>33.44</v>
          </cell>
          <cell r="Q57">
            <v>1222.75717429</v>
          </cell>
          <cell r="R57">
            <v>770.95669923000003</v>
          </cell>
          <cell r="S57">
            <v>1182.08645929</v>
          </cell>
          <cell r="T57">
            <v>1210.58990739</v>
          </cell>
          <cell r="U57">
            <v>1210.58990739</v>
          </cell>
          <cell r="V57">
            <v>1210.58990739</v>
          </cell>
          <cell r="W57">
            <v>1210.58990739</v>
          </cell>
          <cell r="X57">
            <v>1210.58990739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53.288938680000001</v>
          </cell>
          <cell r="G58">
            <v>171.72428568000001</v>
          </cell>
          <cell r="H58">
            <v>224.65881371</v>
          </cell>
          <cell r="I58">
            <v>319.89072919</v>
          </cell>
          <cell r="J58">
            <v>329.39548918999998</v>
          </cell>
          <cell r="K58">
            <v>457.40984918999999</v>
          </cell>
          <cell r="L58">
            <v>451.80984919000002</v>
          </cell>
          <cell r="M58">
            <v>742.40984919000005</v>
          </cell>
          <cell r="N58">
            <v>1743.16942464</v>
          </cell>
          <cell r="O58">
            <v>2376.6598491899999</v>
          </cell>
          <cell r="P58">
            <v>2363.44</v>
          </cell>
          <cell r="Q58">
            <v>5062.25717429</v>
          </cell>
          <cell r="R58">
            <v>6960.9031811900004</v>
          </cell>
          <cell r="S58">
            <v>8007.9384733300003</v>
          </cell>
          <cell r="T58">
            <v>9180.5077104299999</v>
          </cell>
          <cell r="U58">
            <v>9180.5077104299999</v>
          </cell>
          <cell r="V58">
            <v>9180.5077104299999</v>
          </cell>
          <cell r="W58">
            <v>9180.5077104299999</v>
          </cell>
          <cell r="X58">
            <v>9180.5077104299999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127.13224588</v>
          </cell>
          <cell r="G59">
            <v>255.09393571000001</v>
          </cell>
          <cell r="H59">
            <v>399.85883322000001</v>
          </cell>
          <cell r="I59">
            <v>590.5461871</v>
          </cell>
          <cell r="J59">
            <v>769.74365569999998</v>
          </cell>
          <cell r="K59">
            <v>1040.1956618500001</v>
          </cell>
          <cell r="L59">
            <v>1177.75935011</v>
          </cell>
          <cell r="M59">
            <v>1675.3746522500001</v>
          </cell>
          <cell r="N59">
            <v>3385.3896637600001</v>
          </cell>
          <cell r="O59">
            <v>6027.3283235199997</v>
          </cell>
          <cell r="P59">
            <v>8171.3706926100003</v>
          </cell>
          <cell r="Q59">
            <v>9837.02687496</v>
          </cell>
          <cell r="R59">
            <v>13590.12651701</v>
          </cell>
          <cell r="S59">
            <v>19720.11140785</v>
          </cell>
          <cell r="T59">
            <v>21686.980738040002</v>
          </cell>
          <cell r="U59">
            <v>21623.969498209</v>
          </cell>
          <cell r="V59">
            <v>22068.2161170533</v>
          </cell>
          <cell r="W59">
            <v>22532.074977821099</v>
          </cell>
          <cell r="X59">
            <v>22632.457840526698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520.66362789000004</v>
          </cell>
          <cell r="G61">
            <v>592.16184535000002</v>
          </cell>
          <cell r="H61">
            <v>631.60584222</v>
          </cell>
          <cell r="I61">
            <v>773.09810043000004</v>
          </cell>
          <cell r="J61">
            <v>781.15866915000004</v>
          </cell>
          <cell r="K61">
            <v>846.56788742000003</v>
          </cell>
          <cell r="L61">
            <v>1130.5771109699999</v>
          </cell>
          <cell r="M61">
            <v>1260.5530726500001</v>
          </cell>
          <cell r="N61">
            <v>1470.7409542</v>
          </cell>
          <cell r="O61">
            <v>1813.3569139199999</v>
          </cell>
          <cell r="P61">
            <v>1989.87418751</v>
          </cell>
          <cell r="Q61">
            <v>2170.6199727500002</v>
          </cell>
          <cell r="R61">
            <v>2725.5052977800001</v>
          </cell>
          <cell r="S61">
            <v>5235.4141657500004</v>
          </cell>
          <cell r="T61">
            <v>6144.5226068000002</v>
          </cell>
          <cell r="U61">
            <v>6583.0031692438697</v>
          </cell>
          <cell r="V61">
            <v>7100.7590149246798</v>
          </cell>
          <cell r="W61">
            <v>7617.8281621239303</v>
          </cell>
          <cell r="X61">
            <v>8127.3942245853304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88.048957810000005</v>
          </cell>
          <cell r="J62">
            <v>91.637110539999995</v>
          </cell>
          <cell r="K62">
            <v>98.280744970000001</v>
          </cell>
          <cell r="L62">
            <v>124.26440040999999</v>
          </cell>
          <cell r="M62">
            <v>313.80234359000002</v>
          </cell>
          <cell r="N62">
            <v>597.99682270999995</v>
          </cell>
          <cell r="O62">
            <v>947.72504399000002</v>
          </cell>
          <cell r="P62">
            <v>1179.6980071200001</v>
          </cell>
          <cell r="Q62">
            <v>1508.35333302</v>
          </cell>
          <cell r="R62">
            <v>2430.18170341</v>
          </cell>
          <cell r="S62">
            <v>1823.8456934599999</v>
          </cell>
          <cell r="T62">
            <v>1636.5147977399999</v>
          </cell>
          <cell r="U62">
            <v>1960.1656586931299</v>
          </cell>
          <cell r="V62">
            <v>2342.3311172579201</v>
          </cell>
          <cell r="W62">
            <v>2723.9897105844202</v>
          </cell>
          <cell r="X62">
            <v>3100.1101340507198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520.66362789000004</v>
          </cell>
          <cell r="G63">
            <v>592.16184535000002</v>
          </cell>
          <cell r="H63">
            <v>631.60584222</v>
          </cell>
          <cell r="I63">
            <v>861.14705823999998</v>
          </cell>
          <cell r="J63">
            <v>872.79577969000002</v>
          </cell>
          <cell r="K63">
            <v>944.84863239000003</v>
          </cell>
          <cell r="L63">
            <v>1254.8415113799999</v>
          </cell>
          <cell r="M63">
            <v>1574.3554162400001</v>
          </cell>
          <cell r="N63">
            <v>2068.7377769099999</v>
          </cell>
          <cell r="O63">
            <v>2761.0819579099998</v>
          </cell>
          <cell r="P63">
            <v>3169.57219463</v>
          </cell>
          <cell r="Q63">
            <v>3678.97330577</v>
          </cell>
          <cell r="R63">
            <v>5155.68700119</v>
          </cell>
          <cell r="S63">
            <v>7059.2598592100003</v>
          </cell>
          <cell r="T63">
            <v>7781.0374045400004</v>
          </cell>
          <cell r="U63">
            <v>8543.1688279369992</v>
          </cell>
          <cell r="V63">
            <v>9443.0901321826004</v>
          </cell>
          <cell r="W63">
            <v>10341.8178727083</v>
          </cell>
          <cell r="X63">
            <v>11227.504358636001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647.79587376999996</v>
          </cell>
          <cell r="G64">
            <v>847.25578106</v>
          </cell>
          <cell r="H64">
            <v>1031.4646754400001</v>
          </cell>
          <cell r="I64">
            <v>1451.69324534</v>
          </cell>
          <cell r="J64">
            <v>1642.5394353900001</v>
          </cell>
          <cell r="K64">
            <v>1985.04429424</v>
          </cell>
          <cell r="L64">
            <v>2432.6008614900002</v>
          </cell>
          <cell r="M64">
            <v>3249.7300684900001</v>
          </cell>
          <cell r="N64">
            <v>5454.1274406700004</v>
          </cell>
          <cell r="O64">
            <v>8788.4102814300004</v>
          </cell>
          <cell r="P64">
            <v>11340.94288724</v>
          </cell>
          <cell r="Q64">
            <v>13516.00018073</v>
          </cell>
          <cell r="R64">
            <v>18745.813518200001</v>
          </cell>
          <cell r="S64">
            <v>26779.37126706</v>
          </cell>
          <cell r="T64">
            <v>29468.01814258</v>
          </cell>
          <cell r="U64">
            <v>30167.138326146</v>
          </cell>
          <cell r="V64">
            <v>31511.306249235899</v>
          </cell>
          <cell r="W64">
            <v>32873.892850529497</v>
          </cell>
          <cell r="X64">
            <v>33859.962199162801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-0.52273557000000004</v>
          </cell>
          <cell r="G66">
            <v>189.25013761</v>
          </cell>
          <cell r="H66">
            <v>274.71199478</v>
          </cell>
          <cell r="I66">
            <v>294.93584146000001</v>
          </cell>
          <cell r="J66">
            <v>367.60664198000001</v>
          </cell>
          <cell r="K66">
            <v>694.31388607999997</v>
          </cell>
          <cell r="L66">
            <v>599.39393722</v>
          </cell>
          <cell r="M66">
            <v>997.65804629000002</v>
          </cell>
          <cell r="N66">
            <v>1610.12873655</v>
          </cell>
          <cell r="O66">
            <v>3550.6392023100002</v>
          </cell>
          <cell r="P66">
            <v>4478.9583358299997</v>
          </cell>
          <cell r="Q66">
            <v>5533.0301408400001</v>
          </cell>
          <cell r="R66">
            <v>8560.2883650000003</v>
          </cell>
          <cell r="S66">
            <v>11711.473233639999</v>
          </cell>
          <cell r="T66">
            <v>14970.37350725</v>
          </cell>
          <cell r="U66">
            <v>15330.713234213201</v>
          </cell>
          <cell r="V66">
            <v>15309.3518520746</v>
          </cell>
          <cell r="W66">
            <v>15450.227644599199</v>
          </cell>
          <cell r="X66">
            <v>15278.208218821699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F71">
            <v>8.5694733599999996E-3</v>
          </cell>
          <cell r="G71">
            <v>6.0266161100000005E-4</v>
          </cell>
          <cell r="H71">
            <v>4.6419778469999999E-3</v>
          </cell>
          <cell r="I71">
            <v>4.0062393432E-2</v>
          </cell>
          <cell r="J71">
            <v>5.3481733036999997E-2</v>
          </cell>
          <cell r="K71">
            <v>4.1629883067000002E-2</v>
          </cell>
          <cell r="L71">
            <v>5.3183729647000001E-2</v>
          </cell>
          <cell r="M71">
            <v>4.1045051721000002E-2</v>
          </cell>
          <cell r="N71">
            <v>4.4025578782000002E-2</v>
          </cell>
          <cell r="O71">
            <v>5.2567918343000002E-2</v>
          </cell>
          <cell r="P71">
            <v>6.1317244185000001E-2</v>
          </cell>
          <cell r="Q71">
            <v>5.3146579488000001E-2</v>
          </cell>
          <cell r="R71">
            <v>4.3365928289000003E-2</v>
          </cell>
          <cell r="S71">
            <v>4.1030351000999998E-2</v>
          </cell>
          <cell r="T71">
            <v>5.0094828085000001E-2</v>
          </cell>
          <cell r="U71">
            <v>5.1999999999999998E-2</v>
          </cell>
          <cell r="V71">
            <v>0.05</v>
          </cell>
          <cell r="W71">
            <v>0.05</v>
          </cell>
          <cell r="X71">
            <v>0.05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-13.254303999999999</v>
          </cell>
          <cell r="K75">
            <v>-10.594047959999999</v>
          </cell>
          <cell r="L75">
            <v>-9.2697919199999994</v>
          </cell>
          <cell r="M75">
            <v>-8.0846358800000004</v>
          </cell>
          <cell r="N75">
            <v>-24.036902380000001</v>
          </cell>
          <cell r="O75">
            <v>-333.42924755000001</v>
          </cell>
          <cell r="P75">
            <v>-674.34712946000002</v>
          </cell>
          <cell r="Q75">
            <v>-868.22714580000002</v>
          </cell>
          <cell r="R75">
            <v>-523.19864240000004</v>
          </cell>
          <cell r="S75">
            <v>-551.67980305000003</v>
          </cell>
          <cell r="T75">
            <v>-566.12008579999997</v>
          </cell>
          <cell r="U75">
            <v>-524.68444156898295</v>
          </cell>
          <cell r="V75">
            <v>-483.24879733796701</v>
          </cell>
          <cell r="W75">
            <v>-441.81315310694998</v>
          </cell>
          <cell r="X75">
            <v>-400.37750887593302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88.048957810000005</v>
          </cell>
          <cell r="J78">
            <v>91.637110539999995</v>
          </cell>
          <cell r="K78">
            <v>98.280744970000001</v>
          </cell>
          <cell r="L78">
            <v>124.26440040999999</v>
          </cell>
          <cell r="M78">
            <v>313.80234359000002</v>
          </cell>
          <cell r="N78">
            <v>597.99682270999995</v>
          </cell>
          <cell r="O78">
            <v>947.72504399000002</v>
          </cell>
          <cell r="P78">
            <v>1179.6980071200001</v>
          </cell>
          <cell r="Q78">
            <v>1508.35333302</v>
          </cell>
          <cell r="R78">
            <v>2430.18170341</v>
          </cell>
          <cell r="S78">
            <v>1823.8456934599999</v>
          </cell>
          <cell r="T78">
            <v>1636.5147977399999</v>
          </cell>
          <cell r="U78">
            <v>1960.1656586931299</v>
          </cell>
          <cell r="V78">
            <v>2342.3311172579201</v>
          </cell>
          <cell r="W78">
            <v>2723.9897105844202</v>
          </cell>
          <cell r="X78">
            <v>3100.1101340507198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0.31297301</v>
          </cell>
          <cell r="J80">
            <v>3.58815273</v>
          </cell>
          <cell r="K80">
            <v>6.6436344299999996</v>
          </cell>
          <cell r="L80">
            <v>25.98365544</v>
          </cell>
          <cell r="M80">
            <v>39.537943179999999</v>
          </cell>
          <cell r="N80">
            <v>79.150102910000001</v>
          </cell>
          <cell r="O80">
            <v>199.72822128000001</v>
          </cell>
          <cell r="P80">
            <v>130.68101106</v>
          </cell>
          <cell r="Q80">
            <v>210.22453891999999</v>
          </cell>
          <cell r="R80">
            <v>454.79802719000003</v>
          </cell>
          <cell r="S80">
            <v>448.50949936000001</v>
          </cell>
          <cell r="T80">
            <v>607.38136175</v>
          </cell>
          <cell r="U80">
            <v>323.650860953132</v>
          </cell>
          <cell r="V80">
            <v>382.165458564792</v>
          </cell>
          <cell r="W80">
            <v>381.658593326497</v>
          </cell>
          <cell r="X80">
            <v>376.12042346629897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19.742699699999999</v>
          </cell>
          <cell r="G81">
            <v>39.365319069999998</v>
          </cell>
          <cell r="H81">
            <v>38.326985780000001</v>
          </cell>
          <cell r="I81">
            <v>52.2828029</v>
          </cell>
          <cell r="J81">
            <v>106.63488952</v>
          </cell>
          <cell r="K81">
            <v>131.83539268999999</v>
          </cell>
          <cell r="L81">
            <v>181.60143932</v>
          </cell>
          <cell r="M81">
            <v>232.98013954999999</v>
          </cell>
          <cell r="N81">
            <v>287.15504162000002</v>
          </cell>
          <cell r="O81">
            <v>383.67765953000003</v>
          </cell>
          <cell r="P81">
            <v>500.76677312999999</v>
          </cell>
          <cell r="Q81">
            <v>654.57078435000005</v>
          </cell>
          <cell r="R81">
            <v>745.55721815000004</v>
          </cell>
          <cell r="S81">
            <v>895.42844634000005</v>
          </cell>
          <cell r="T81">
            <v>1179.17055252</v>
          </cell>
          <cell r="U81">
            <v>1283.0121073924399</v>
          </cell>
          <cell r="V81">
            <v>1325.82321301302</v>
          </cell>
          <cell r="W81">
            <v>1377.93187922274</v>
          </cell>
          <cell r="X81">
            <v>1429.5152627561499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-5.9293073500000002</v>
          </cell>
          <cell r="G82">
            <v>-79.636202940000004</v>
          </cell>
          <cell r="H82">
            <v>13.06088922</v>
          </cell>
          <cell r="I82">
            <v>103.44282501000001</v>
          </cell>
          <cell r="J82">
            <v>-15.819527190000001</v>
          </cell>
          <cell r="K82">
            <v>-45.059781149999999</v>
          </cell>
          <cell r="L82">
            <v>-91.346901410000001</v>
          </cell>
          <cell r="M82">
            <v>-39.23577435</v>
          </cell>
          <cell r="N82">
            <v>-117.32188379</v>
          </cell>
          <cell r="O82">
            <v>4.2263182800000001</v>
          </cell>
          <cell r="P82">
            <v>730.10458327000003</v>
          </cell>
          <cell r="Q82">
            <v>-1208.4838209</v>
          </cell>
          <cell r="R82">
            <v>-2225.0869833299998</v>
          </cell>
          <cell r="S82">
            <v>-1341.76704657</v>
          </cell>
          <cell r="T82">
            <v>621.14045151999801</v>
          </cell>
          <cell r="U82">
            <v>7.9860178873659997</v>
          </cell>
          <cell r="V82">
            <v>-190.91385948004</v>
          </cell>
          <cell r="W82">
            <v>-196.543359034617</v>
          </cell>
          <cell r="X82">
            <v>120.612709631135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42.18676928</v>
          </cell>
          <cell r="G83">
            <v>-2.7182654199999998</v>
          </cell>
          <cell r="H83">
            <v>3.48372299</v>
          </cell>
          <cell r="I83">
            <v>-26.73111085</v>
          </cell>
          <cell r="J83">
            <v>30.5167836</v>
          </cell>
          <cell r="K83">
            <v>-35.86760151</v>
          </cell>
          <cell r="L83">
            <v>155.16434705</v>
          </cell>
          <cell r="M83">
            <v>35.503100430000003</v>
          </cell>
          <cell r="N83">
            <v>183.92837406999999</v>
          </cell>
          <cell r="O83">
            <v>-213.41357435</v>
          </cell>
          <cell r="P83">
            <v>-1458.1559542</v>
          </cell>
          <cell r="Q83">
            <v>844.04737047000003</v>
          </cell>
          <cell r="R83">
            <v>917.50494707999906</v>
          </cell>
          <cell r="S83">
            <v>1143.77288516</v>
          </cell>
          <cell r="T83">
            <v>753.20780772000296</v>
          </cell>
          <cell r="U83">
            <v>66.708687660848994</v>
          </cell>
          <cell r="V83">
            <v>-4.1723833282599996</v>
          </cell>
          <cell r="W83">
            <v>3.6142025345000002E-2</v>
          </cell>
          <cell r="X83">
            <v>0.39489919672899998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157.05287437999999</v>
          </cell>
          <cell r="G84">
            <v>31.141754630000001</v>
          </cell>
          <cell r="H84">
            <v>94.315594860000004</v>
          </cell>
          <cell r="I84">
            <v>169.81572822000001</v>
          </cell>
          <cell r="J84">
            <v>175.75694138</v>
          </cell>
          <cell r="K84">
            <v>122.96086273</v>
          </cell>
          <cell r="L84">
            <v>387.00273191000002</v>
          </cell>
          <cell r="M84">
            <v>435.73594995000002</v>
          </cell>
          <cell r="N84">
            <v>653.37510718999999</v>
          </cell>
          <cell r="O84">
            <v>781.91995069999996</v>
          </cell>
          <cell r="P84">
            <v>376.84484093999902</v>
          </cell>
          <cell r="Q84">
            <v>753.11243619000095</v>
          </cell>
          <cell r="R84">
            <v>465.30454615999997</v>
          </cell>
          <cell r="S84">
            <v>1963.6611212299999</v>
          </cell>
          <cell r="T84">
            <v>4027.0867222000002</v>
          </cell>
          <cell r="U84">
            <v>2142.9161606768098</v>
          </cell>
          <cell r="V84">
            <v>2057.90858211773</v>
          </cell>
          <cell r="W84">
            <v>2107.3665683812801</v>
          </cell>
          <cell r="X84">
            <v>2463.0286239570501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-268.09933575999997</v>
          </cell>
          <cell r="G85">
            <v>-211.30329065999999</v>
          </cell>
          <cell r="H85">
            <v>-164.18511634000001</v>
          </cell>
          <cell r="I85">
            <v>-364.81101612999998</v>
          </cell>
          <cell r="J85">
            <v>-195.75179263000001</v>
          </cell>
          <cell r="K85">
            <v>-392.62268499999999</v>
          </cell>
          <cell r="L85">
            <v>-413.41400397000001</v>
          </cell>
          <cell r="M85">
            <v>-914.30603533999999</v>
          </cell>
          <cell r="N85">
            <v>-1295.6783697799999</v>
          </cell>
          <cell r="O85">
            <v>-2614.5362065499999</v>
          </cell>
          <cell r="P85">
            <v>-1512.37877284</v>
          </cell>
          <cell r="Q85">
            <v>-1135.63167294</v>
          </cell>
          <cell r="R85">
            <v>-3237.3908007999999</v>
          </cell>
          <cell r="S85">
            <v>-4971.3464085400001</v>
          </cell>
          <cell r="T85">
            <v>-5282.3111306299998</v>
          </cell>
          <cell r="U85">
            <v>-2400</v>
          </cell>
          <cell r="V85">
            <v>-2000</v>
          </cell>
          <cell r="W85">
            <v>-2207.5227775984299</v>
          </cell>
          <cell r="X85">
            <v>-2250.32575689748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2.0539999999999999E-2</v>
          </cell>
          <cell r="G88">
            <v>0</v>
          </cell>
          <cell r="H88">
            <v>0</v>
          </cell>
          <cell r="I88">
            <v>-53.105294890000003</v>
          </cell>
          <cell r="J88">
            <v>0.83895025000000001</v>
          </cell>
          <cell r="K88">
            <v>-5.7795753300000001</v>
          </cell>
          <cell r="L88">
            <v>-3.3268198899999999</v>
          </cell>
          <cell r="M88">
            <v>19.51245042</v>
          </cell>
          <cell r="N88">
            <v>-11.285951320000001</v>
          </cell>
          <cell r="O88">
            <v>41.468838419999997</v>
          </cell>
          <cell r="P88">
            <v>-465.76687217</v>
          </cell>
          <cell r="Q88">
            <v>12.44291561</v>
          </cell>
          <cell r="R88">
            <v>1.0932541200000001</v>
          </cell>
          <cell r="S88">
            <v>-553.28768558000002</v>
          </cell>
          <cell r="T88">
            <v>-13.469275639999999</v>
          </cell>
          <cell r="U88">
            <v>-13.469275639999999</v>
          </cell>
          <cell r="V88">
            <v>-13.469275639999999</v>
          </cell>
          <cell r="W88">
            <v>-13.469275639999999</v>
          </cell>
          <cell r="X88">
            <v>-13.469275639999999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-268.07879575999999</v>
          </cell>
          <cell r="G89">
            <v>-211.30329065999999</v>
          </cell>
          <cell r="H89">
            <v>-164.18511634000001</v>
          </cell>
          <cell r="I89">
            <v>-417.91631102000002</v>
          </cell>
          <cell r="J89">
            <v>-194.91284238</v>
          </cell>
          <cell r="K89">
            <v>-398.40226032999999</v>
          </cell>
          <cell r="L89">
            <v>-416.74082385999998</v>
          </cell>
          <cell r="M89">
            <v>-894.79358491999994</v>
          </cell>
          <cell r="N89">
            <v>-1306.9643211</v>
          </cell>
          <cell r="O89">
            <v>-2573.06736813</v>
          </cell>
          <cell r="P89">
            <v>-1978.14564501</v>
          </cell>
          <cell r="Q89">
            <v>-1123.18875733</v>
          </cell>
          <cell r="R89">
            <v>-3236.2975466799999</v>
          </cell>
          <cell r="S89">
            <v>-5524.6340941199996</v>
          </cell>
          <cell r="T89">
            <v>-5295.7804062699997</v>
          </cell>
          <cell r="U89">
            <v>-2413.46927564</v>
          </cell>
          <cell r="V89">
            <v>-2013.46927564</v>
          </cell>
          <cell r="W89">
            <v>-2220.9920532384299</v>
          </cell>
          <cell r="X89">
            <v>-2263.79503253748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-18.696303499999999</v>
          </cell>
          <cell r="K90">
            <v>-21.388037000000001</v>
          </cell>
          <cell r="L90">
            <v>-21.388037000000001</v>
          </cell>
          <cell r="M90">
            <v>-36.980321850000003</v>
          </cell>
          <cell r="N90">
            <v>-54.237805199999997</v>
          </cell>
          <cell r="O90">
            <v>-65.085366239999999</v>
          </cell>
          <cell r="P90">
            <v>-119.32317144</v>
          </cell>
          <cell r="Q90">
            <v>-81.356707799999995</v>
          </cell>
          <cell r="R90">
            <v>-54.237805199999997</v>
          </cell>
          <cell r="S90">
            <v>-54.237805199999997</v>
          </cell>
          <cell r="T90">
            <v>-27.118902599999998</v>
          </cell>
          <cell r="U90">
            <v>-89.786612000000005</v>
          </cell>
          <cell r="V90">
            <v>-23.077924339151</v>
          </cell>
          <cell r="W90">
            <v>-27.250307667411001</v>
          </cell>
          <cell r="X90">
            <v>-27.214165642066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50.1</v>
          </cell>
          <cell r="G92">
            <v>140.25</v>
          </cell>
          <cell r="H92">
            <v>115.5</v>
          </cell>
          <cell r="I92">
            <v>48.273600000000002</v>
          </cell>
          <cell r="J92">
            <v>136.76476</v>
          </cell>
          <cell r="K92">
            <v>286.71436</v>
          </cell>
          <cell r="L92">
            <v>21.6</v>
          </cell>
          <cell r="M92">
            <v>424</v>
          </cell>
          <cell r="N92">
            <v>1052.1500000000001</v>
          </cell>
          <cell r="O92">
            <v>1741.5</v>
          </cell>
          <cell r="P92">
            <v>1745.65921903</v>
          </cell>
          <cell r="Q92">
            <v>1012.96703471</v>
          </cell>
          <cell r="R92">
            <v>3390.8897614100001</v>
          </cell>
          <cell r="S92">
            <v>4954.9602673600002</v>
          </cell>
          <cell r="T92">
            <v>1129.4417534500001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75.771777959999994</v>
          </cell>
          <cell r="G93">
            <v>-9.6113371500000007</v>
          </cell>
          <cell r="H93">
            <v>-15.592335690000001</v>
          </cell>
          <cell r="I93">
            <v>228.72401611999999</v>
          </cell>
          <cell r="J93">
            <v>-34.818596020000001</v>
          </cell>
          <cell r="K93">
            <v>-29.877809500000001</v>
          </cell>
          <cell r="L93">
            <v>146.04607781000001</v>
          </cell>
          <cell r="M93">
            <v>97.773847750000002</v>
          </cell>
          <cell r="N93">
            <v>95.356328849999997</v>
          </cell>
          <cell r="O93">
            <v>-84.277682089999999</v>
          </cell>
          <cell r="P93">
            <v>-101.19515800999901</v>
          </cell>
          <cell r="Q93">
            <v>184.861223929999</v>
          </cell>
          <cell r="R93">
            <v>-141.45873648</v>
          </cell>
          <cell r="S93">
            <v>765.03144153000301</v>
          </cell>
          <cell r="T93">
            <v>-1962.0218979399999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125.87177796</v>
          </cell>
          <cell r="G94">
            <v>130.63866285</v>
          </cell>
          <cell r="H94">
            <v>99.907664310000001</v>
          </cell>
          <cell r="I94">
            <v>276.99761611999998</v>
          </cell>
          <cell r="J94">
            <v>83.249860479999995</v>
          </cell>
          <cell r="K94">
            <v>235.44851349999999</v>
          </cell>
          <cell r="L94">
            <v>146.25804081000001</v>
          </cell>
          <cell r="M94">
            <v>484.79352590000002</v>
          </cell>
          <cell r="N94">
            <v>1093.2685236499999</v>
          </cell>
          <cell r="O94">
            <v>1592.1369516699999</v>
          </cell>
          <cell r="P94">
            <v>1525.14088958</v>
          </cell>
          <cell r="Q94">
            <v>1116.47155084</v>
          </cell>
          <cell r="R94">
            <v>3195.1932197299998</v>
          </cell>
          <cell r="S94">
            <v>5665.7539036899998</v>
          </cell>
          <cell r="T94">
            <v>-859.69904709000298</v>
          </cell>
          <cell r="U94">
            <v>-89.786612000000005</v>
          </cell>
          <cell r="V94">
            <v>-23.077924339151</v>
          </cell>
          <cell r="W94">
            <v>-27.250307667411001</v>
          </cell>
          <cell r="X94">
            <v>-27.214165642066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14.84585658</v>
          </cell>
          <cell r="G95">
            <v>-49.522873179999998</v>
          </cell>
          <cell r="H95">
            <v>30.038142830000002</v>
          </cell>
          <cell r="I95">
            <v>28.897033319999998</v>
          </cell>
          <cell r="J95">
            <v>64.093959479999995</v>
          </cell>
          <cell r="K95">
            <v>-39.992884099999998</v>
          </cell>
          <cell r="L95">
            <v>116.51994886</v>
          </cell>
          <cell r="M95">
            <v>25.735890929999002</v>
          </cell>
          <cell r="N95">
            <v>439.67930974000001</v>
          </cell>
          <cell r="O95">
            <v>-199.01046575999999</v>
          </cell>
          <cell r="P95">
            <v>-76.159914490000006</v>
          </cell>
          <cell r="Q95">
            <v>746.39522969999996</v>
          </cell>
          <cell r="R95">
            <v>424.20021921</v>
          </cell>
          <cell r="S95">
            <v>2104.7809308000001</v>
          </cell>
          <cell r="T95">
            <v>-2128.39273116</v>
          </cell>
          <cell r="U95">
            <v>-360.33972696318801</v>
          </cell>
          <cell r="V95">
            <v>21.361382138581</v>
          </cell>
          <cell r="W95">
            <v>-140.87579252455799</v>
          </cell>
          <cell r="X95">
            <v>172.01942577750501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1.5216000000000001</v>
          </cell>
          <cell r="I109">
            <v>1.6240000000000001</v>
          </cell>
          <cell r="J109">
            <v>1.6910000000000001</v>
          </cell>
          <cell r="K109">
            <v>1.92</v>
          </cell>
          <cell r="L109">
            <v>2.464</v>
          </cell>
          <cell r="M109">
            <v>2.8149999999999999</v>
          </cell>
          <cell r="N109">
            <v>2.5619999999999998</v>
          </cell>
          <cell r="O109">
            <v>2.403</v>
          </cell>
          <cell r="P109">
            <v>2.339</v>
          </cell>
          <cell r="Q109">
            <v>3.0979999999999999</v>
          </cell>
          <cell r="R109">
            <v>3.2749999999999999</v>
          </cell>
          <cell r="S109">
            <v>4.68</v>
          </cell>
          <cell r="T109">
            <v>3.5670000000000002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4">
          <cell r="B114" t="str">
            <v>Sales - % Brazil</v>
          </cell>
          <cell r="C114" t="str">
            <v>SALES_BRAZIL</v>
          </cell>
        </row>
        <row r="115">
          <cell r="B115" t="str">
            <v>Sales - % Other Americas</v>
          </cell>
          <cell r="C115" t="str">
            <v>SALES_OTH_AM</v>
          </cell>
        </row>
        <row r="116">
          <cell r="B116" t="str">
            <v>Sales - Total % EMEA</v>
          </cell>
          <cell r="C116" t="str">
            <v>SALES_TOT_EMEA</v>
          </cell>
        </row>
        <row r="117">
          <cell r="B117" t="str">
            <v>Sales - % UK</v>
          </cell>
          <cell r="C117" t="str">
            <v>SALES_UK</v>
          </cell>
        </row>
        <row r="118">
          <cell r="B118" t="str">
            <v>Sales - % Western Europe-Ex UK</v>
          </cell>
          <cell r="C118" t="str">
            <v>SALES_EU_EX_UK</v>
          </cell>
        </row>
        <row r="135">
          <cell r="B135" t="str">
            <v>Sales - % Central &amp; Eastern Europe</v>
          </cell>
          <cell r="C135" t="str">
            <v>SALES_CEE</v>
          </cell>
        </row>
        <row r="136">
          <cell r="B136" t="str">
            <v>Sales - % Middle East</v>
          </cell>
          <cell r="C136" t="str">
            <v>SALES_ME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</row>
        <row r="139">
          <cell r="B139" t="str">
            <v>Sales - % Other EMEA</v>
          </cell>
          <cell r="C139" t="str">
            <v>SALES_OTH_EMEA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G140">
            <v>1</v>
          </cell>
          <cell r="H140">
            <v>1</v>
          </cell>
          <cell r="I140">
            <v>1</v>
          </cell>
          <cell r="J140">
            <v>1</v>
          </cell>
          <cell r="K140">
            <v>1</v>
          </cell>
          <cell r="L140">
            <v>1</v>
          </cell>
          <cell r="M140">
            <v>1</v>
          </cell>
          <cell r="N140">
            <v>1</v>
          </cell>
          <cell r="O140">
            <v>1</v>
          </cell>
          <cell r="P140">
            <v>1</v>
          </cell>
          <cell r="Q140">
            <v>1</v>
          </cell>
          <cell r="R140">
            <v>1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</row>
        <row r="141">
          <cell r="B141" t="str">
            <v>Sales - % Japan</v>
          </cell>
          <cell r="C141" t="str">
            <v>SALES_JAPAN</v>
          </cell>
        </row>
        <row r="142">
          <cell r="B142" t="str">
            <v>Sales - % China</v>
          </cell>
          <cell r="C142" t="str">
            <v>SALES_CHINA</v>
          </cell>
          <cell r="G142">
            <v>1</v>
          </cell>
          <cell r="H142">
            <v>1</v>
          </cell>
          <cell r="I142">
            <v>1</v>
          </cell>
          <cell r="J142">
            <v>1</v>
          </cell>
          <cell r="K142">
            <v>1</v>
          </cell>
          <cell r="L142">
            <v>1</v>
          </cell>
          <cell r="M142">
            <v>1</v>
          </cell>
          <cell r="N142">
            <v>1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</row>
        <row r="143">
          <cell r="B143" t="str">
            <v>Sales - % India</v>
          </cell>
          <cell r="C143" t="str">
            <v>SALES_INDIA</v>
          </cell>
        </row>
        <row r="144">
          <cell r="B144" t="str">
            <v>Sales - % South Korea</v>
          </cell>
          <cell r="C144" t="str">
            <v>SALES_SK</v>
          </cell>
        </row>
        <row r="145">
          <cell r="B145" t="str">
            <v>Sales - % Taiwan</v>
          </cell>
          <cell r="C145" t="str">
            <v>SALES_TAIWAN</v>
          </cell>
        </row>
        <row r="148">
          <cell r="B148" t="str">
            <v>Sales - % Other Asia</v>
          </cell>
          <cell r="C148" t="str">
            <v>SALES_OTH_AEJ</v>
          </cell>
        </row>
        <row r="149">
          <cell r="B149" t="str">
            <v>Sales - % Others</v>
          </cell>
          <cell r="C149" t="str">
            <v>SALES_OTHER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  <cell r="G188">
            <v>1</v>
          </cell>
          <cell r="H188">
            <v>1</v>
          </cell>
          <cell r="I188">
            <v>1</v>
          </cell>
          <cell r="J188">
            <v>1</v>
          </cell>
          <cell r="K188">
            <v>1</v>
          </cell>
          <cell r="L188">
            <v>1</v>
          </cell>
          <cell r="M188">
            <v>1</v>
          </cell>
          <cell r="N188">
            <v>1</v>
          </cell>
          <cell r="O188">
            <v>1</v>
          </cell>
          <cell r="P188">
            <v>1</v>
          </cell>
          <cell r="Q188">
            <v>1</v>
          </cell>
          <cell r="R188">
            <v>1</v>
          </cell>
          <cell r="S188">
            <v>1</v>
          </cell>
          <cell r="T188">
            <v>1</v>
          </cell>
          <cell r="U188">
            <v>1</v>
          </cell>
          <cell r="V188">
            <v>1</v>
          </cell>
          <cell r="W188">
            <v>1</v>
          </cell>
          <cell r="X188">
            <v>1</v>
          </cell>
        </row>
        <row r="189">
          <cell r="B189" t="str">
            <v>Sales -% Government (G)</v>
          </cell>
          <cell r="C189" t="str">
            <v>SALES_GOV</v>
          </cell>
        </row>
        <row r="190">
          <cell r="B190" t="str">
            <v>Sales - % Industry Sub-Segment: Financial Services</v>
          </cell>
          <cell r="C190" t="str">
            <v>SALES_FINAN</v>
          </cell>
        </row>
        <row r="194">
          <cell r="A194" t="str">
            <v>Commodities Exposure - Sales</v>
          </cell>
        </row>
        <row r="195">
          <cell r="B195" t="str">
            <v>Sales - % Paper/pulp</v>
          </cell>
          <cell r="C195" t="str">
            <v>SALES_PAPER_PULP</v>
          </cell>
        </row>
        <row r="196">
          <cell r="B196" t="str">
            <v>Sales - % Lumber</v>
          </cell>
          <cell r="C196" t="str">
            <v>SALES_LUMBER</v>
          </cell>
        </row>
        <row r="197">
          <cell r="B197" t="str">
            <v>Sales - % Rubber</v>
          </cell>
          <cell r="C197" t="str">
            <v>SALES_RUBBER</v>
          </cell>
        </row>
        <row r="198">
          <cell r="B198" t="str">
            <v>Sales - % Potash</v>
          </cell>
          <cell r="C198" t="str">
            <v>SALES_POTASH</v>
          </cell>
        </row>
        <row r="199">
          <cell r="B199" t="str">
            <v>Sales - % Nitrogen</v>
          </cell>
          <cell r="C199" t="str">
            <v>SALES_NITROGEN</v>
          </cell>
        </row>
        <row r="200">
          <cell r="B200" t="str">
            <v>Sales - % Phosphate</v>
          </cell>
          <cell r="C200" t="str">
            <v>SALES_PHOSPHATE</v>
          </cell>
        </row>
        <row r="201">
          <cell r="B201" t="str">
            <v>Sales - % Wheat</v>
          </cell>
          <cell r="C201" t="str">
            <v>SALES_WHEAT</v>
          </cell>
        </row>
        <row r="202">
          <cell r="B202" t="str">
            <v>Sales - % Sugar</v>
          </cell>
          <cell r="C202" t="str">
            <v>SALES_SUGAR</v>
          </cell>
        </row>
        <row r="203">
          <cell r="B203" t="str">
            <v>Sales - % Soybean</v>
          </cell>
          <cell r="C203" t="str">
            <v>SALES_SOYBEAN</v>
          </cell>
        </row>
        <row r="204">
          <cell r="B204" t="str">
            <v>Sales - % Corn</v>
          </cell>
          <cell r="C204" t="str">
            <v>SALES_CORN</v>
          </cell>
        </row>
        <row r="205">
          <cell r="B205" t="str">
            <v>Sales - % Cotton</v>
          </cell>
          <cell r="C205" t="str">
            <v>SALES_COTTON</v>
          </cell>
        </row>
        <row r="206">
          <cell r="B206" t="str">
            <v>Sales - % Coffee</v>
          </cell>
          <cell r="C206" t="str">
            <v>SALES_COFFEE</v>
          </cell>
        </row>
        <row r="207">
          <cell r="B207" t="str">
            <v>Sales - % Cocoa</v>
          </cell>
          <cell r="C207" t="str">
            <v>SALES_COCOA</v>
          </cell>
        </row>
        <row r="208">
          <cell r="B208" t="str">
            <v>Sales - % Beef</v>
          </cell>
          <cell r="C208" t="str">
            <v>SALES_BEEF</v>
          </cell>
        </row>
        <row r="209">
          <cell r="B209" t="str">
            <v>Sales - % Pork</v>
          </cell>
          <cell r="C209" t="str">
            <v>SALES_PORK</v>
          </cell>
        </row>
        <row r="210">
          <cell r="B210" t="str">
            <v>Sales - % Chicken</v>
          </cell>
          <cell r="C210" t="str">
            <v>SALES_CHICKEN</v>
          </cell>
        </row>
        <row r="211">
          <cell r="B211" t="str">
            <v>Sales - % Dairy</v>
          </cell>
          <cell r="C211" t="str">
            <v>SALES_DAIRY</v>
          </cell>
        </row>
        <row r="212">
          <cell r="B212" t="str">
            <v>Sales - % Nuts</v>
          </cell>
          <cell r="C212" t="str">
            <v>SALES_NUTS</v>
          </cell>
        </row>
        <row r="213">
          <cell r="B213" t="str">
            <v>Sales - % Palm oil</v>
          </cell>
          <cell r="C213" t="str">
            <v>SALES_PALM_OIL</v>
          </cell>
        </row>
        <row r="214">
          <cell r="B214" t="str">
            <v>Sales - % Other edible oil</v>
          </cell>
          <cell r="C214" t="str">
            <v>SALES_OTH_EDIBLE_OIL</v>
          </cell>
        </row>
        <row r="215">
          <cell r="B215" t="str">
            <v>Sales - % Tobacco leaf</v>
          </cell>
          <cell r="C215" t="str">
            <v>SALES_TOBACCO_LEAF</v>
          </cell>
        </row>
        <row r="216">
          <cell r="B216" t="str">
            <v>Sales - % Other commodity</v>
          </cell>
          <cell r="C216" t="str">
            <v>SALES_OTH_COMMODITY</v>
          </cell>
        </row>
        <row r="217">
          <cell r="A217" t="str">
            <v>Commodities Exposure - Expense</v>
          </cell>
        </row>
        <row r="218">
          <cell r="B218" t="str">
            <v>Expense - % Oil/Petrol/Fuel</v>
          </cell>
          <cell r="C218" t="str">
            <v>EXP_OIL_PETRO_FUEL</v>
          </cell>
        </row>
        <row r="219">
          <cell r="B219" t="str">
            <v>Expense - % Oil derivatives/NGLs/plastics</v>
          </cell>
          <cell r="C219" t="str">
            <v>EXP_OIL_DERIV_NGLS_PLASTICS</v>
          </cell>
        </row>
        <row r="220">
          <cell r="B220" t="str">
            <v>Expense - % Nat Gas</v>
          </cell>
          <cell r="C220" t="str">
            <v>EXP_NAT_GAS</v>
          </cell>
        </row>
        <row r="221">
          <cell r="B221" t="str">
            <v>Expense - % Potash</v>
          </cell>
          <cell r="C221" t="str">
            <v>EXP_POTASH</v>
          </cell>
        </row>
        <row r="222">
          <cell r="B222" t="str">
            <v>Expense - % Nitrogen</v>
          </cell>
          <cell r="C222" t="str">
            <v>EXP_NITROGEN</v>
          </cell>
        </row>
        <row r="223">
          <cell r="B223" t="str">
            <v>Expense - % Phosphate</v>
          </cell>
          <cell r="C223" t="str">
            <v>EXP_PHOSPHATE</v>
          </cell>
        </row>
        <row r="224">
          <cell r="B224" t="str">
            <v>Expense - % Wheat</v>
          </cell>
          <cell r="C224" t="str">
            <v>EXP_WHEAT</v>
          </cell>
        </row>
        <row r="225">
          <cell r="B225" t="str">
            <v>Expense - % Sugar</v>
          </cell>
          <cell r="C225" t="str">
            <v>EXP_SUGAR</v>
          </cell>
        </row>
        <row r="226">
          <cell r="B226" t="str">
            <v>Expense - % Soybean</v>
          </cell>
          <cell r="C226" t="str">
            <v>EXP_SOYBEAN</v>
          </cell>
        </row>
        <row r="227">
          <cell r="B227" t="str">
            <v>Expense - % Corn</v>
          </cell>
          <cell r="C227" t="str">
            <v>EXP_CORN</v>
          </cell>
        </row>
        <row r="228">
          <cell r="B228" t="str">
            <v>Expense - % Cotton</v>
          </cell>
          <cell r="C228" t="str">
            <v>EXP_COTTON</v>
          </cell>
        </row>
        <row r="229">
          <cell r="B229" t="str">
            <v>Expense - % Coffee</v>
          </cell>
          <cell r="C229" t="str">
            <v>EXP_COFFEE</v>
          </cell>
        </row>
        <row r="230">
          <cell r="B230" t="str">
            <v>Expense - % Cocoa</v>
          </cell>
          <cell r="C230" t="str">
            <v>EXP_COCOA</v>
          </cell>
        </row>
        <row r="231">
          <cell r="B231" t="str">
            <v>Expense - % Beef</v>
          </cell>
          <cell r="C231" t="str">
            <v>EXP_BEEF</v>
          </cell>
        </row>
        <row r="232">
          <cell r="B232" t="str">
            <v>Expense - % Pork</v>
          </cell>
          <cell r="C232" t="str">
            <v>EXP_PORK</v>
          </cell>
        </row>
        <row r="233">
          <cell r="B233" t="str">
            <v>Expense - % Chicken</v>
          </cell>
          <cell r="C233" t="str">
            <v>EXP_CHICKEN</v>
          </cell>
        </row>
        <row r="234">
          <cell r="B234" t="str">
            <v>Expense - % Dairy</v>
          </cell>
          <cell r="C234" t="str">
            <v>EXP_DAIRY</v>
          </cell>
        </row>
        <row r="235">
          <cell r="B235" t="str">
            <v>Expense - % Nuts</v>
          </cell>
          <cell r="C235" t="str">
            <v>EXP_NUTS</v>
          </cell>
        </row>
        <row r="236">
          <cell r="B236" t="str">
            <v>Expense - % Palm oil</v>
          </cell>
          <cell r="C236" t="str">
            <v>EXP_PALM_OIL</v>
          </cell>
        </row>
        <row r="237">
          <cell r="B237" t="str">
            <v>Expense - % Other edible oil</v>
          </cell>
          <cell r="C237" t="str">
            <v>EXP_OTH_EDIBLE_OIL</v>
          </cell>
        </row>
        <row r="238">
          <cell r="B238" t="str">
            <v>Expense - % Tobacco leaf</v>
          </cell>
          <cell r="C238" t="str">
            <v>EXP_TOBACCO_LEAF</v>
          </cell>
        </row>
        <row r="239">
          <cell r="B239" t="str">
            <v>Expense - % Water</v>
          </cell>
          <cell r="C239" t="str">
            <v>EXP_WATER</v>
          </cell>
        </row>
        <row r="240">
          <cell r="B240" t="str">
            <v>Expense - % Other commodity</v>
          </cell>
          <cell r="C240" t="str">
            <v>EXP_OTH_COMMODITY</v>
          </cell>
        </row>
        <row r="241">
          <cell r="A241" t="str">
            <v>FX Exposure - Sales</v>
          </cell>
        </row>
        <row r="242">
          <cell r="B242" t="str">
            <v>Sales - % FX: British Pounds/Pence</v>
          </cell>
          <cell r="C242" t="str">
            <v>SALES_FX_GPB</v>
          </cell>
        </row>
        <row r="243">
          <cell r="B243" t="str">
            <v>Sales - % FX: Euro</v>
          </cell>
          <cell r="C243" t="str">
            <v>SALES_FX_EUR</v>
          </cell>
        </row>
        <row r="244">
          <cell r="B244" t="str">
            <v>Sales - % FX: New Russian Ruble</v>
          </cell>
          <cell r="C244" t="str">
            <v>SALES_FX_RUB</v>
          </cell>
        </row>
        <row r="245">
          <cell r="B245" t="str">
            <v>Sales - % FX: U.S. Dollar</v>
          </cell>
          <cell r="C245" t="str">
            <v>SALES_FX_USD</v>
          </cell>
        </row>
        <row r="246">
          <cell r="B246" t="str">
            <v>Sales - % FX: Brazilian Real</v>
          </cell>
          <cell r="C246" t="str">
            <v>SALES_FX_BRL</v>
          </cell>
        </row>
        <row r="247">
          <cell r="B247" t="str">
            <v>Sales - % FX: Japanese Yen</v>
          </cell>
          <cell r="C247" t="str">
            <v>SALES_FX_YEN</v>
          </cell>
        </row>
        <row r="248">
          <cell r="B248" t="str">
            <v>Sales - % FX: Chinese Renminbi</v>
          </cell>
          <cell r="C248" t="str">
            <v>SALES_FX_CNY</v>
          </cell>
        </row>
        <row r="249">
          <cell r="B249" t="str">
            <v>Sales - % FX: Indian Rupee</v>
          </cell>
          <cell r="C249" t="str">
            <v>SALES_FX_INR</v>
          </cell>
        </row>
        <row r="250">
          <cell r="B250" t="str">
            <v>Sales - % FX: South Korean Won</v>
          </cell>
          <cell r="C250" t="str">
            <v>SALES_FX_KRW</v>
          </cell>
        </row>
        <row r="251">
          <cell r="B251" t="str">
            <v>Sales - % FX: Taiwan Dollar</v>
          </cell>
          <cell r="C251" t="str">
            <v>SALES_FX_TWD</v>
          </cell>
        </row>
        <row r="252">
          <cell r="A252" t="str">
            <v>Security: Hubei Yihua Chemical Industry</v>
          </cell>
          <cell r="B252" t="str">
            <v>134N7</v>
          </cell>
        </row>
        <row r="253">
          <cell r="A253" t="str">
            <v>Reference Data</v>
          </cell>
        </row>
        <row r="254">
          <cell r="B254" t="str">
            <v>Ticker</v>
          </cell>
          <cell r="C254" t="str">
            <v>Ticker</v>
          </cell>
          <cell r="E254" t="str">
            <v>000422.SZ</v>
          </cell>
        </row>
        <row r="255">
          <cell r="B255" t="str">
            <v>Security Name</v>
          </cell>
          <cell r="C255" t="str">
            <v>Security Name</v>
          </cell>
          <cell r="E255" t="str">
            <v>Hubei Yihua Chemical Industry</v>
          </cell>
        </row>
        <row r="256">
          <cell r="B256" t="str">
            <v>Interim Type</v>
          </cell>
          <cell r="C256" t="str">
            <v>Interim Type</v>
          </cell>
          <cell r="E256" t="str">
            <v>Q</v>
          </cell>
        </row>
        <row r="257">
          <cell r="B257" t="str">
            <v>Publishing Currency</v>
          </cell>
          <cell r="C257" t="str">
            <v>PUB_CURRENCY_ISO</v>
          </cell>
          <cell r="E257" t="str">
            <v>CNY</v>
          </cell>
        </row>
        <row r="258">
          <cell r="B258" t="str">
            <v>Pricing Currency</v>
          </cell>
          <cell r="C258" t="str">
            <v>PRICE_CURRENCY_ISO</v>
          </cell>
          <cell r="E258" t="str">
            <v>CNY</v>
          </cell>
        </row>
        <row r="259">
          <cell r="B259" t="str">
            <v>Reporting Currency</v>
          </cell>
          <cell r="C259" t="str">
            <v>CURRENCY_ISO</v>
          </cell>
          <cell r="E259" t="str">
            <v>CNY</v>
          </cell>
        </row>
        <row r="260">
          <cell r="A260" t="str">
            <v>General Information</v>
          </cell>
        </row>
        <row r="261">
          <cell r="B261" t="str">
            <v>Asia Pacific Investment List</v>
          </cell>
          <cell r="C261" t="str">
            <v>AEJ_LIST</v>
          </cell>
        </row>
        <row r="262">
          <cell r="B262" t="str">
            <v>Asia Pacific Conviction List</v>
          </cell>
          <cell r="C262" t="str">
            <v>AEJ_CONVICTION</v>
          </cell>
        </row>
        <row r="263">
          <cell r="B263" t="str">
            <v>Legal rating</v>
          </cell>
          <cell r="C263" t="str">
            <v>LEGAL_RATING</v>
          </cell>
        </row>
        <row r="264">
          <cell r="B264" t="str">
            <v>Target price</v>
          </cell>
          <cell r="C264" t="str">
            <v>TARGET_PRICE</v>
          </cell>
          <cell r="D264" t="str">
            <v>CNY</v>
          </cell>
          <cell r="E264">
            <v>6.2</v>
          </cell>
        </row>
        <row r="265">
          <cell r="B265" t="str">
            <v>Target price period</v>
          </cell>
          <cell r="C265" t="str">
            <v>TP_PERIOD</v>
          </cell>
          <cell r="E265" t="str">
            <v>12 months</v>
          </cell>
        </row>
        <row r="266">
          <cell r="B266" t="str">
            <v>Current shares outstanding (mn)</v>
          </cell>
          <cell r="C266" t="str">
            <v>NUM_SH</v>
          </cell>
          <cell r="E266">
            <v>897.86671222248003</v>
          </cell>
        </row>
        <row r="267">
          <cell r="B267" t="str">
            <v>Free float</v>
          </cell>
          <cell r="C267" t="str">
            <v>FREE_FLOAT</v>
          </cell>
          <cell r="E267">
            <v>0.90086329430800005</v>
          </cell>
        </row>
        <row r="268">
          <cell r="B268" t="str">
            <v>Foreign ownership</v>
          </cell>
          <cell r="C268" t="str">
            <v>FOREIGN_HOLDNG</v>
          </cell>
        </row>
        <row r="269">
          <cell r="B269" t="str">
            <v>Hubei Yihua Group</v>
          </cell>
          <cell r="C269" t="str">
            <v>ACT1</v>
          </cell>
          <cell r="E269">
            <v>9.9136705692000004E-2</v>
          </cell>
        </row>
        <row r="270">
          <cell r="B270" t="str">
            <v>Catalyst 1 date</v>
          </cell>
          <cell r="C270" t="str">
            <v>CATALYST1_DATE</v>
          </cell>
        </row>
        <row r="271">
          <cell r="B271" t="str">
            <v>Catalyst 1 description</v>
          </cell>
          <cell r="C271" t="str">
            <v>CATALYST1_EVENT</v>
          </cell>
        </row>
        <row r="272">
          <cell r="B272" t="str">
            <v>Catalyst 2 date</v>
          </cell>
          <cell r="C272" t="str">
            <v>CATALYST2_DATE</v>
          </cell>
        </row>
        <row r="273">
          <cell r="B273" t="str">
            <v>Catalyst 2 description</v>
          </cell>
          <cell r="C273" t="str">
            <v>CATALYST2_EVENT</v>
          </cell>
        </row>
        <row r="274">
          <cell r="B274" t="str">
            <v>Catalyst 3 date</v>
          </cell>
          <cell r="C274" t="str">
            <v>CATALYST3_DATE</v>
          </cell>
        </row>
        <row r="275">
          <cell r="B275" t="str">
            <v>Catalyst 3 description</v>
          </cell>
          <cell r="C275" t="str">
            <v>CATALYST3_EVENT</v>
          </cell>
        </row>
        <row r="276">
          <cell r="B276" t="str">
            <v>Catalyst 4 date</v>
          </cell>
          <cell r="C276" t="str">
            <v>CATALYST4_DATE</v>
          </cell>
        </row>
        <row r="277">
          <cell r="B277" t="str">
            <v>Catalyst 4 description</v>
          </cell>
          <cell r="C277" t="str">
            <v>CATALYST4_EVENT</v>
          </cell>
        </row>
        <row r="278">
          <cell r="B278" t="str">
            <v>Catalyst 5 date</v>
          </cell>
          <cell r="C278" t="str">
            <v>CATALYST5_DATE</v>
          </cell>
        </row>
        <row r="279">
          <cell r="B279" t="str">
            <v>Catalyst 5 description</v>
          </cell>
          <cell r="C279" t="str">
            <v>CATALYST5_EVENT</v>
          </cell>
        </row>
        <row r="280">
          <cell r="B280" t="str">
            <v>Target price multiple</v>
          </cell>
          <cell r="C280" t="str">
            <v>PRI_TARG_MULT</v>
          </cell>
          <cell r="E280">
            <v>0.78396881292300002</v>
          </cell>
        </row>
        <row r="281">
          <cell r="B281" t="str">
            <v>Target price methodology</v>
          </cell>
          <cell r="C281" t="str">
            <v>PRI_TARG_METH</v>
          </cell>
          <cell r="E281" t="str">
            <v>2014E P/B vs 14E-15E average ROE</v>
          </cell>
        </row>
        <row r="282">
          <cell r="A282" t="str">
            <v>Publishing Items</v>
          </cell>
        </row>
        <row r="283">
          <cell r="B283" t="str">
            <v>Book value per share, BVPS (Pub)</v>
          </cell>
          <cell r="C283" t="str">
            <v>BVPS_PUB</v>
          </cell>
          <cell r="D283" t="str">
            <v>CNY</v>
          </cell>
          <cell r="F283">
            <v>2.509543589922</v>
          </cell>
          <cell r="G283">
            <v>2.854157432154</v>
          </cell>
          <cell r="H283">
            <v>3.0442733231129999</v>
          </cell>
          <cell r="I283">
            <v>3.1421773467960001</v>
          </cell>
          <cell r="J283">
            <v>2.5491825927430001</v>
          </cell>
          <cell r="K283">
            <v>2.7626347980419999</v>
          </cell>
          <cell r="L283">
            <v>3.2007619475000002</v>
          </cell>
          <cell r="M283">
            <v>3.2443047183470002</v>
          </cell>
          <cell r="N283">
            <v>1.8926342415499999</v>
          </cell>
          <cell r="O283">
            <v>2.3335322088070001</v>
          </cell>
          <cell r="P283">
            <v>2.5606848118990002</v>
          </cell>
          <cell r="Q283">
            <v>2.7932789075379998</v>
          </cell>
          <cell r="R283">
            <v>3.5073373304620001</v>
          </cell>
          <cell r="S283">
            <v>6.7372327468669999</v>
          </cell>
          <cell r="T283">
            <v>6.8434685495699998</v>
          </cell>
          <cell r="U283">
            <v>7.3318267395710004</v>
          </cell>
          <cell r="V283">
            <v>7.9084778600919998</v>
          </cell>
          <cell r="W283">
            <v>8.4843641694520002</v>
          </cell>
          <cell r="X283">
            <v>9.0518939102529998</v>
          </cell>
        </row>
        <row r="284">
          <cell r="B284" t="str">
            <v>DPS, dividend per share (Pub)</v>
          </cell>
          <cell r="C284" t="str">
            <v>DPS_PUB</v>
          </cell>
          <cell r="D284" t="str">
            <v>CNY</v>
          </cell>
          <cell r="F284">
            <v>0</v>
          </cell>
          <cell r="G284">
            <v>0</v>
          </cell>
          <cell r="H284">
            <v>0</v>
          </cell>
          <cell r="I284">
            <v>7.5989193730999993E-2</v>
          </cell>
          <cell r="J284">
            <v>6.9796334299999999E-2</v>
          </cell>
          <cell r="K284">
            <v>6.9796334299999999E-2</v>
          </cell>
          <cell r="L284">
            <v>0.10469450145</v>
          </cell>
          <cell r="M284">
            <v>0.1395926686</v>
          </cell>
          <cell r="N284">
            <v>8.3755601159999998E-2</v>
          </cell>
          <cell r="O284">
            <v>0.15355193546000001</v>
          </cell>
          <cell r="P284">
            <v>0.10469450145</v>
          </cell>
          <cell r="Q284">
            <v>6.9796334299999999E-2</v>
          </cell>
          <cell r="R284">
            <v>6.9796334299999999E-2</v>
          </cell>
          <cell r="S284">
            <v>3.4898167149999999E-2</v>
          </cell>
          <cell r="T284">
            <v>9.9999934040999994E-2</v>
          </cell>
          <cell r="U284">
            <v>2.5703062632E-2</v>
          </cell>
          <cell r="V284">
            <v>3.0350058975E-2</v>
          </cell>
          <cell r="W284">
            <v>3.0309805756000001E-2</v>
          </cell>
          <cell r="X284">
            <v>2.9869986357999999E-2</v>
          </cell>
        </row>
        <row r="285">
          <cell r="B285" t="str">
            <v>EBITDA (Pub)</v>
          </cell>
          <cell r="C285" t="str">
            <v>EBITDA_PUB</v>
          </cell>
          <cell r="D285" t="str">
            <v>CNY</v>
          </cell>
          <cell r="F285">
            <v>135.28931752</v>
          </cell>
          <cell r="G285">
            <v>127.48116244000001</v>
          </cell>
          <cell r="H285">
            <v>84.379751709999994</v>
          </cell>
          <cell r="I285">
            <v>126.940889</v>
          </cell>
          <cell r="J285">
            <v>204.61557814</v>
          </cell>
          <cell r="K285">
            <v>257.99840667000001</v>
          </cell>
          <cell r="L285">
            <v>401.75031166000002</v>
          </cell>
          <cell r="M285">
            <v>498.44717166999999</v>
          </cell>
          <cell r="N285">
            <v>701.79664187000003</v>
          </cell>
          <cell r="O285">
            <v>1251.75937544</v>
          </cell>
          <cell r="P285">
            <v>1310.5719700100001</v>
          </cell>
          <cell r="Q285">
            <v>1519.21513706</v>
          </cell>
          <cell r="R285">
            <v>2332.1025810400001</v>
          </cell>
          <cell r="S285">
            <v>2967.9129016500001</v>
          </cell>
          <cell r="T285">
            <v>3589.8344628099999</v>
          </cell>
          <cell r="U285">
            <v>3019.79993932757</v>
          </cell>
          <cell r="V285">
            <v>3190.7256324708201</v>
          </cell>
          <cell r="W285">
            <v>3263.3586488717601</v>
          </cell>
          <cell r="X285">
            <v>3297.5457851045298</v>
          </cell>
        </row>
        <row r="286">
          <cell r="B286" t="str">
            <v>EPS (Pub)</v>
          </cell>
          <cell r="C286" t="str">
            <v>EPS_PUB</v>
          </cell>
          <cell r="D286" t="str">
            <v>CNY</v>
          </cell>
          <cell r="F286">
            <v>0.48706338208</v>
          </cell>
          <cell r="G286">
            <v>0.35730311237899998</v>
          </cell>
          <cell r="H286">
            <v>0.190115890959</v>
          </cell>
          <cell r="I286">
            <v>0.16464154834</v>
          </cell>
          <cell r="J286">
            <v>0.16589700634900001</v>
          </cell>
          <cell r="K286">
            <v>0.213452205299</v>
          </cell>
          <cell r="L286">
            <v>0.32727417751400001</v>
          </cell>
          <cell r="M286">
            <v>0.42968316059299999</v>
          </cell>
          <cell r="N286">
            <v>0.28370510499899998</v>
          </cell>
          <cell r="O286">
            <v>0.52465356841599997</v>
          </cell>
          <cell r="P286">
            <v>0.60926072893799998</v>
          </cell>
          <cell r="Q286">
            <v>0.32525785543899999</v>
          </cell>
          <cell r="R286">
            <v>0.73676632843099998</v>
          </cell>
          <cell r="S286">
            <v>1.0522858069479999</v>
          </cell>
          <cell r="T286">
            <v>0.96471618437200002</v>
          </cell>
          <cell r="U286">
            <v>0.51406125263400004</v>
          </cell>
          <cell r="V286">
            <v>0.60700117949499999</v>
          </cell>
          <cell r="W286">
            <v>0.60619611511600002</v>
          </cell>
          <cell r="X286">
            <v>0.59739972715900003</v>
          </cell>
        </row>
        <row r="287">
          <cell r="B287" t="str">
            <v>EV adjustment (Pub)</v>
          </cell>
          <cell r="C287" t="str">
            <v>EV_ADJ_PUB</v>
          </cell>
          <cell r="D287" t="str">
            <v>CNY</v>
          </cell>
        </row>
        <row r="288">
          <cell r="B288" t="str">
            <v>Net debt (Pub)</v>
          </cell>
          <cell r="C288" t="str">
            <v>NET_DEBT_PUB</v>
          </cell>
          <cell r="D288" t="str">
            <v>CNY</v>
          </cell>
          <cell r="F288">
            <v>-0.52273557000000004</v>
          </cell>
          <cell r="G288">
            <v>189.25013761</v>
          </cell>
          <cell r="H288">
            <v>274.71199478</v>
          </cell>
          <cell r="I288">
            <v>294.93584146000001</v>
          </cell>
          <cell r="J288">
            <v>367.60664198000001</v>
          </cell>
          <cell r="K288">
            <v>694.31388607999997</v>
          </cell>
          <cell r="L288">
            <v>599.39393722</v>
          </cell>
          <cell r="M288">
            <v>997.65804629000002</v>
          </cell>
          <cell r="N288">
            <v>1610.12873655</v>
          </cell>
          <cell r="O288">
            <v>3550.6392023100002</v>
          </cell>
          <cell r="P288">
            <v>4478.9583358299997</v>
          </cell>
          <cell r="Q288">
            <v>5533.0301408400001</v>
          </cell>
          <cell r="R288">
            <v>8560.2883650000003</v>
          </cell>
          <cell r="S288">
            <v>11711.473233639999</v>
          </cell>
          <cell r="T288">
            <v>14970.37350725</v>
          </cell>
          <cell r="U288">
            <v>15330.713234213201</v>
          </cell>
          <cell r="V288">
            <v>15309.3518520746</v>
          </cell>
          <cell r="W288">
            <v>15450.227644599199</v>
          </cell>
          <cell r="X288">
            <v>15278.208218821699</v>
          </cell>
        </row>
        <row r="289">
          <cell r="B289" t="str">
            <v>Net income (Pub)</v>
          </cell>
          <cell r="C289" t="str">
            <v>NI_PUB</v>
          </cell>
          <cell r="D289" t="str">
            <v>CNY</v>
          </cell>
          <cell r="F289">
            <v>101.05271275</v>
          </cell>
          <cell r="G289">
            <v>74.130903919999994</v>
          </cell>
          <cell r="H289">
            <v>39.443996869999999</v>
          </cell>
          <cell r="I289">
            <v>40.508238149999997</v>
          </cell>
          <cell r="J289">
            <v>50.83664272</v>
          </cell>
          <cell r="K289">
            <v>65.409218269999997</v>
          </cell>
          <cell r="L289">
            <v>115.60019151</v>
          </cell>
          <cell r="M289">
            <v>166.95054114000001</v>
          </cell>
          <cell r="N289">
            <v>220.46347238000001</v>
          </cell>
          <cell r="O289">
            <v>407.70132596000002</v>
          </cell>
          <cell r="P289">
            <v>473.44842767999899</v>
          </cell>
          <cell r="Q289">
            <v>252.753563350001</v>
          </cell>
          <cell r="R289">
            <v>572.53133707000097</v>
          </cell>
          <cell r="S289">
            <v>817.71733693999704</v>
          </cell>
          <cell r="T289">
            <v>866.18654869000204</v>
          </cell>
          <cell r="U289">
            <v>461.55848678302198</v>
          </cell>
          <cell r="V289">
            <v>545.00615334821703</v>
          </cell>
          <cell r="W289">
            <v>544.28331284131605</v>
          </cell>
          <cell r="X289">
            <v>536.38532890673696</v>
          </cell>
          <cell r="Z289">
            <v>10.15063791</v>
          </cell>
          <cell r="AA289">
            <v>23.765177309999999</v>
          </cell>
          <cell r="AB289">
            <v>15.859944820000001</v>
          </cell>
          <cell r="AC289">
            <v>1.06088268</v>
          </cell>
          <cell r="AD289">
            <v>11.86999741</v>
          </cell>
          <cell r="AE289">
            <v>21.666005859999999</v>
          </cell>
          <cell r="AF289">
            <v>15.93668001</v>
          </cell>
          <cell r="AG289">
            <v>15.93653499</v>
          </cell>
          <cell r="AH289">
            <v>16.639648040000001</v>
          </cell>
          <cell r="AI289">
            <v>39.44896095</v>
          </cell>
          <cell r="AJ289">
            <v>43.650199530000002</v>
          </cell>
          <cell r="AK289">
            <v>15.861382989999999</v>
          </cell>
          <cell r="AL289">
            <v>32.892771029999999</v>
          </cell>
          <cell r="AM289">
            <v>41.126330400000001</v>
          </cell>
          <cell r="AN289">
            <v>44.54568209</v>
          </cell>
          <cell r="AO289">
            <v>48.38575762</v>
          </cell>
          <cell r="AP289">
            <v>45.377274900000003</v>
          </cell>
          <cell r="AQ289">
            <v>50.83352936</v>
          </cell>
          <cell r="AR289">
            <v>44.528795440000003</v>
          </cell>
          <cell r="AS289">
            <v>79.723872679999999</v>
          </cell>
          <cell r="AT289">
            <v>65.317747010000005</v>
          </cell>
          <cell r="AU289">
            <v>107.77801220000001</v>
          </cell>
          <cell r="AV289">
            <v>81.863789679999996</v>
          </cell>
          <cell r="AW289">
            <v>152.74177707000001</v>
          </cell>
          <cell r="AX289">
            <v>171.74701468000001</v>
          </cell>
          <cell r="AY289">
            <v>183.87054204</v>
          </cell>
          <cell r="AZ289">
            <v>53.483944829999999</v>
          </cell>
          <cell r="BA289">
            <v>64.346926129999005</v>
          </cell>
          <cell r="BB289">
            <v>105.66043624</v>
          </cell>
          <cell r="BC289">
            <v>6.1729298500000001</v>
          </cell>
          <cell r="BD289">
            <v>66.119201050000001</v>
          </cell>
          <cell r="BE289">
            <v>74.800996210001003</v>
          </cell>
          <cell r="BF289">
            <v>170.78017573</v>
          </cell>
          <cell r="BG289">
            <v>171.441131600001</v>
          </cell>
          <cell r="BH289">
            <v>106.471650479999</v>
          </cell>
          <cell r="BI289">
            <v>123.83837926</v>
          </cell>
          <cell r="BJ289">
            <v>141.84108130999999</v>
          </cell>
          <cell r="BK289">
            <v>332.09034362</v>
          </cell>
          <cell r="BL289">
            <v>296.060337540001</v>
          </cell>
          <cell r="BM289">
            <v>47.725574469995998</v>
          </cell>
          <cell r="BN289">
            <v>190.89960851999999</v>
          </cell>
          <cell r="BO289">
            <v>283.57690940999998</v>
          </cell>
          <cell r="BP289">
            <v>159.051944259999</v>
          </cell>
          <cell r="BQ289">
            <v>232.65808650000201</v>
          </cell>
          <cell r="BR289">
            <v>104.76348347</v>
          </cell>
          <cell r="BS289">
            <v>100.958546527</v>
          </cell>
          <cell r="BT289">
            <v>99.497550626410003</v>
          </cell>
          <cell r="BU289">
            <v>156.33890615961101</v>
          </cell>
          <cell r="BV289">
            <v>143.17870833840399</v>
          </cell>
          <cell r="BW289">
            <v>151.096461325896</v>
          </cell>
          <cell r="BX289">
            <v>117.486253394277</v>
          </cell>
          <cell r="BY289">
            <v>133.24473028963999</v>
          </cell>
        </row>
        <row r="290">
          <cell r="B290" t="str">
            <v>EBIT, operating profit (Pub)</v>
          </cell>
          <cell r="C290" t="str">
            <v>EBIT_PUB</v>
          </cell>
          <cell r="D290" t="str">
            <v>CNY</v>
          </cell>
          <cell r="F290">
            <v>115.54661781999999</v>
          </cell>
          <cell r="G290">
            <v>88.115843369999993</v>
          </cell>
          <cell r="H290">
            <v>46.05276593</v>
          </cell>
          <cell r="I290">
            <v>74.658086100000006</v>
          </cell>
          <cell r="J290">
            <v>97.980688619999995</v>
          </cell>
          <cell r="K290">
            <v>126.16301398</v>
          </cell>
          <cell r="L290">
            <v>220.14887234</v>
          </cell>
          <cell r="M290">
            <v>265.46703212</v>
          </cell>
          <cell r="N290">
            <v>414.64160025000001</v>
          </cell>
          <cell r="O290">
            <v>868.08171591000098</v>
          </cell>
          <cell r="P290">
            <v>809.80519687999799</v>
          </cell>
          <cell r="Q290">
            <v>864.64435271000104</v>
          </cell>
          <cell r="R290">
            <v>1586.54536289</v>
          </cell>
          <cell r="S290">
            <v>2072.4844553100002</v>
          </cell>
          <cell r="T290">
            <v>2410.6639102899999</v>
          </cell>
          <cell r="U290">
            <v>1736.78783193512</v>
          </cell>
          <cell r="V290">
            <v>1864.9024194578001</v>
          </cell>
          <cell r="W290">
            <v>1885.4267696490199</v>
          </cell>
          <cell r="X290">
            <v>1868.0305223483799</v>
          </cell>
          <cell r="Z290">
            <v>19.636092319999999</v>
          </cell>
          <cell r="AA290">
            <v>34.560138610000003</v>
          </cell>
          <cell r="AB290">
            <v>33.646697789999997</v>
          </cell>
          <cell r="AC290">
            <v>10.137759900000001</v>
          </cell>
          <cell r="AD290">
            <v>24.640832920000001</v>
          </cell>
          <cell r="AE290">
            <v>41.470927160000002</v>
          </cell>
          <cell r="AF290">
            <v>34.166750139999998</v>
          </cell>
          <cell r="AG290">
            <v>25.884503760000001</v>
          </cell>
          <cell r="AH290">
            <v>34.82391466</v>
          </cell>
          <cell r="AI290">
            <v>66.023884519999996</v>
          </cell>
          <cell r="AJ290">
            <v>63.754244210000003</v>
          </cell>
          <cell r="AK290">
            <v>55.546828949999998</v>
          </cell>
          <cell r="AL290">
            <v>56.670890489999998</v>
          </cell>
          <cell r="AM290">
            <v>62.841943309999998</v>
          </cell>
          <cell r="AN290">
            <v>70.675427589999998</v>
          </cell>
          <cell r="AO290">
            <v>75.278770730000005</v>
          </cell>
          <cell r="AP290">
            <v>71.283649170000004</v>
          </cell>
          <cell r="AQ290">
            <v>98.945090149999999</v>
          </cell>
          <cell r="AR290">
            <v>90.777056259999995</v>
          </cell>
          <cell r="AS290">
            <v>153.63580467</v>
          </cell>
          <cell r="AT290">
            <v>135.79689056000001</v>
          </cell>
          <cell r="AU290">
            <v>203.05558823000001</v>
          </cell>
          <cell r="AV290">
            <v>202.78116420999999</v>
          </cell>
          <cell r="AW290">
            <v>326.44807291000001</v>
          </cell>
          <cell r="AX290">
            <v>294.58446147000001</v>
          </cell>
          <cell r="AY290">
            <v>367.62217625</v>
          </cell>
          <cell r="AZ290">
            <v>173.98988270000001</v>
          </cell>
          <cell r="BA290">
            <v>-26.391323540001</v>
          </cell>
          <cell r="BB290">
            <v>257.34498923000001</v>
          </cell>
          <cell r="BC290">
            <v>210.24979449</v>
          </cell>
          <cell r="BD290">
            <v>179.67961782</v>
          </cell>
          <cell r="BE290">
            <v>217.369951170001</v>
          </cell>
          <cell r="BF290">
            <v>397.74784285999999</v>
          </cell>
          <cell r="BG290">
            <v>383.53238688000101</v>
          </cell>
          <cell r="BH290">
            <v>281.57355819000003</v>
          </cell>
          <cell r="BI290">
            <v>523.69157496000003</v>
          </cell>
          <cell r="BJ290">
            <v>357.41505586</v>
          </cell>
          <cell r="BK290">
            <v>559.66895994000004</v>
          </cell>
          <cell r="BL290">
            <v>757.05790632000105</v>
          </cell>
          <cell r="BM290">
            <v>398.34253318999703</v>
          </cell>
          <cell r="BN290">
            <v>531.65055784000003</v>
          </cell>
          <cell r="BO290">
            <v>789.77908671</v>
          </cell>
          <cell r="BP290">
            <v>418.99245961999901</v>
          </cell>
          <cell r="BQ290">
            <v>670.24180612000202</v>
          </cell>
          <cell r="BR290">
            <v>427.28908818999997</v>
          </cell>
          <cell r="BS290">
            <v>394.52081105000002</v>
          </cell>
          <cell r="BT290">
            <v>394.93592613969798</v>
          </cell>
          <cell r="BU290">
            <v>520.04200655542502</v>
          </cell>
          <cell r="BV290">
            <v>435.17541826266199</v>
          </cell>
          <cell r="BW290">
            <v>535.24693866715597</v>
          </cell>
          <cell r="BX290">
            <v>424.06847321592801</v>
          </cell>
          <cell r="BY290">
            <v>470.41158931205501</v>
          </cell>
        </row>
        <row r="291">
          <cell r="B291" t="str">
            <v>Pre-tax profit (Pub)</v>
          </cell>
          <cell r="C291" t="str">
            <v>PTP_PUB</v>
          </cell>
          <cell r="D291" t="str">
            <v>CNY</v>
          </cell>
          <cell r="F291">
            <v>140.47246181</v>
          </cell>
          <cell r="G291">
            <v>104.60500517</v>
          </cell>
          <cell r="H291">
            <v>46.029846900000003</v>
          </cell>
          <cell r="I291">
            <v>54.053115750000003</v>
          </cell>
          <cell r="J291">
            <v>71.725328880000006</v>
          </cell>
          <cell r="K291">
            <v>90.5670535</v>
          </cell>
          <cell r="L291">
            <v>159.68430846000001</v>
          </cell>
          <cell r="M291">
            <v>232.01381293</v>
          </cell>
          <cell r="N291">
            <v>329.08061058999999</v>
          </cell>
          <cell r="O291">
            <v>659.72303650000003</v>
          </cell>
          <cell r="P291">
            <v>611.80571257999895</v>
          </cell>
          <cell r="Q291">
            <v>559.05053251000095</v>
          </cell>
          <cell r="R291">
            <v>1159.6959564399999</v>
          </cell>
          <cell r="S291">
            <v>1494.22217153</v>
          </cell>
          <cell r="T291">
            <v>1604.0217978000001</v>
          </cell>
          <cell r="U291">
            <v>902.53948015649803</v>
          </cell>
          <cell r="V291">
            <v>1065.7144964517299</v>
          </cell>
          <cell r="W291">
            <v>1089.34341902096</v>
          </cell>
          <cell r="X291">
            <v>1073.5361792623901</v>
          </cell>
        </row>
        <row r="292">
          <cell r="B292" t="str">
            <v>Sales, revenue (Pub)</v>
          </cell>
          <cell r="C292" t="str">
            <v>REVS_PUB</v>
          </cell>
          <cell r="D292" t="str">
            <v>CNY</v>
          </cell>
          <cell r="F292">
            <v>342.37589609999998</v>
          </cell>
          <cell r="G292">
            <v>422.32967823000001</v>
          </cell>
          <cell r="H292">
            <v>399.57442122999998</v>
          </cell>
          <cell r="I292">
            <v>576.55374510000001</v>
          </cell>
          <cell r="J292">
            <v>791.76806367999995</v>
          </cell>
          <cell r="K292">
            <v>995.08515723000005</v>
          </cell>
          <cell r="L292">
            <v>1630.5808875099999</v>
          </cell>
          <cell r="M292">
            <v>2309.2304123499998</v>
          </cell>
          <cell r="N292">
            <v>3017.8035718699998</v>
          </cell>
          <cell r="O292">
            <v>5074.9631944299999</v>
          </cell>
          <cell r="P292">
            <v>7130.7207549799996</v>
          </cell>
          <cell r="Q292">
            <v>8760.6186315100003</v>
          </cell>
          <cell r="R292">
            <v>11544.950317209999</v>
          </cell>
          <cell r="S292">
            <v>17764.855169660001</v>
          </cell>
          <cell r="T292">
            <v>19317.607373260002</v>
          </cell>
          <cell r="U292">
            <v>18529.429299644598</v>
          </cell>
          <cell r="V292">
            <v>20682.473007658798</v>
          </cell>
          <cell r="W292">
            <v>22828.515130735701</v>
          </cell>
          <cell r="X292">
            <v>23271.1508627357</v>
          </cell>
          <cell r="Z292">
            <v>163.08677435000001</v>
          </cell>
          <cell r="AA292">
            <v>235.95743325000001</v>
          </cell>
          <cell r="AB292">
            <v>185.29673844999999</v>
          </cell>
          <cell r="AC292">
            <v>207.42711763</v>
          </cell>
          <cell r="AD292">
            <v>224.17810890999999</v>
          </cell>
          <cell r="AE292">
            <v>263.08384182999998</v>
          </cell>
          <cell r="AF292">
            <v>229.36231282</v>
          </cell>
          <cell r="AG292">
            <v>278.46089367000002</v>
          </cell>
          <cell r="AH292">
            <v>240.60947623999999</v>
          </cell>
          <cell r="AI292">
            <v>529.85507848999998</v>
          </cell>
          <cell r="AJ292">
            <v>424.86481659999998</v>
          </cell>
          <cell r="AK292">
            <v>435.25151618000001</v>
          </cell>
          <cell r="AL292">
            <v>550.89467880999996</v>
          </cell>
          <cell r="AM292">
            <v>582.44928945000004</v>
          </cell>
          <cell r="AN292">
            <v>581.96076591999997</v>
          </cell>
          <cell r="AO292">
            <v>593.92567816999997</v>
          </cell>
          <cell r="AP292">
            <v>590.12303476</v>
          </cell>
          <cell r="AQ292">
            <v>681.50611876999994</v>
          </cell>
          <cell r="AR292">
            <v>753.26683922999996</v>
          </cell>
          <cell r="AS292">
            <v>992.90757911000003</v>
          </cell>
          <cell r="AT292">
            <v>1022.82770261</v>
          </cell>
          <cell r="AU292">
            <v>1198.4295300199999</v>
          </cell>
          <cell r="AV292">
            <v>1312.24645854</v>
          </cell>
          <cell r="AW292">
            <v>1541.45950326</v>
          </cell>
          <cell r="AX292">
            <v>1752.8384209200001</v>
          </cell>
          <cell r="AY292">
            <v>2222.9457392200002</v>
          </cell>
          <cell r="AZ292">
            <v>1612.58609845</v>
          </cell>
          <cell r="BA292">
            <v>1542.35049639</v>
          </cell>
          <cell r="BB292">
            <v>1981.2507665000001</v>
          </cell>
          <cell r="BC292">
            <v>2168.21101125</v>
          </cell>
          <cell r="BD292">
            <v>2225.4900519500002</v>
          </cell>
          <cell r="BE292">
            <v>2385.6668018099999</v>
          </cell>
          <cell r="BF292">
            <v>2326.8658245000001</v>
          </cell>
          <cell r="BG292">
            <v>2692.21743079</v>
          </cell>
          <cell r="BH292">
            <v>3247.9284412799998</v>
          </cell>
          <cell r="BI292">
            <v>3277.93862064</v>
          </cell>
          <cell r="BJ292">
            <v>3208.5903398</v>
          </cell>
          <cell r="BK292">
            <v>4123.5207160500004</v>
          </cell>
          <cell r="BL292">
            <v>5255.1032121600001</v>
          </cell>
          <cell r="BM292">
            <v>5177.6409016500002</v>
          </cell>
          <cell r="BN292">
            <v>4559.1649021000003</v>
          </cell>
          <cell r="BO292">
            <v>4823.5717223199999</v>
          </cell>
          <cell r="BP292">
            <v>4483.1155461899998</v>
          </cell>
          <cell r="BQ292">
            <v>5451.7552026499998</v>
          </cell>
          <cell r="BR292">
            <v>3798.4879958000001</v>
          </cell>
          <cell r="BS292">
            <v>4525.3544174799999</v>
          </cell>
          <cell r="BT292">
            <v>4758.2980114148704</v>
          </cell>
          <cell r="BU292">
            <v>5447.2888749497197</v>
          </cell>
          <cell r="BV292">
            <v>4394.2396372604999</v>
          </cell>
          <cell r="BW292">
            <v>5129.9050813570002</v>
          </cell>
          <cell r="BX292">
            <v>5311.1927297929396</v>
          </cell>
          <cell r="BY292">
            <v>5847.1355592483596</v>
          </cell>
        </row>
        <row r="293">
          <cell r="B293" t="str">
            <v>Total shareholders' equity (Pub)</v>
          </cell>
          <cell r="C293" t="str">
            <v>EQ_PUB</v>
          </cell>
          <cell r="D293" t="str">
            <v>CNY</v>
          </cell>
          <cell r="F293">
            <v>520.66362789000004</v>
          </cell>
          <cell r="G293">
            <v>592.16184535000002</v>
          </cell>
          <cell r="H293">
            <v>631.60584222</v>
          </cell>
          <cell r="I293">
            <v>861.14705823999998</v>
          </cell>
          <cell r="J293">
            <v>872.79577969000002</v>
          </cell>
          <cell r="K293">
            <v>944.84863239000003</v>
          </cell>
          <cell r="L293">
            <v>1254.8415113799999</v>
          </cell>
          <cell r="M293">
            <v>1574.3554162400001</v>
          </cell>
          <cell r="N293">
            <v>2068.7377769099999</v>
          </cell>
          <cell r="O293">
            <v>2761.0819579099998</v>
          </cell>
          <cell r="P293">
            <v>3169.57219463</v>
          </cell>
          <cell r="Q293">
            <v>3678.97330577</v>
          </cell>
          <cell r="R293">
            <v>5155.68700119</v>
          </cell>
          <cell r="S293">
            <v>7059.2598592100003</v>
          </cell>
          <cell r="T293">
            <v>7781.0374045400004</v>
          </cell>
          <cell r="U293">
            <v>8543.1688279369992</v>
          </cell>
          <cell r="V293">
            <v>9443.0901321826004</v>
          </cell>
          <cell r="W293">
            <v>10341.8178727083</v>
          </cell>
          <cell r="X293">
            <v>11227.504358636001</v>
          </cell>
        </row>
        <row r="294">
          <cell r="B294" t="str">
            <v>EPS (consensus)</v>
          </cell>
          <cell r="C294" t="str">
            <v>EPS_CONS_PUB</v>
          </cell>
          <cell r="D294" t="str">
            <v>CNY</v>
          </cell>
        </row>
        <row r="295">
          <cell r="A295" t="str">
            <v>Income Statement</v>
          </cell>
        </row>
        <row r="296">
          <cell r="B296" t="str">
            <v>Provision for income tax</v>
          </cell>
          <cell r="C296" t="str">
            <v>PROV_INC_TAX</v>
          </cell>
          <cell r="D296" t="str">
            <v>CNY</v>
          </cell>
          <cell r="F296">
            <v>-39.419749060000001</v>
          </cell>
          <cell r="G296">
            <v>-30.47410125</v>
          </cell>
          <cell r="H296">
            <v>-6.5858500299999996</v>
          </cell>
          <cell r="I296">
            <v>-13.231904589999999</v>
          </cell>
          <cell r="J296">
            <v>-17.300533430000002</v>
          </cell>
          <cell r="K296">
            <v>-18.514200800000001</v>
          </cell>
          <cell r="L296">
            <v>-18.100461509999999</v>
          </cell>
          <cell r="M296">
            <v>-25.525328609999999</v>
          </cell>
          <cell r="N296">
            <v>-29.467035299999999</v>
          </cell>
          <cell r="O296">
            <v>-52.293489260000001</v>
          </cell>
          <cell r="P296">
            <v>-7.6762738400000003</v>
          </cell>
          <cell r="Q296">
            <v>-96.072430240000003</v>
          </cell>
          <cell r="R296">
            <v>-132.36659218</v>
          </cell>
          <cell r="S296">
            <v>-227.99533522999999</v>
          </cell>
          <cell r="T296">
            <v>-130.45388736000001</v>
          </cell>
          <cell r="U296">
            <v>-117.330132420345</v>
          </cell>
          <cell r="V296">
            <v>-138.54288453872601</v>
          </cell>
          <cell r="W296">
            <v>-163.401512853143</v>
          </cell>
          <cell r="X296">
            <v>-161.03042688935901</v>
          </cell>
        </row>
        <row r="297">
          <cell r="B297" t="str">
            <v>Minority interest</v>
          </cell>
          <cell r="C297" t="str">
            <v>INC_MINORITY</v>
          </cell>
          <cell r="D297" t="str">
            <v>CNY</v>
          </cell>
          <cell r="F297">
            <v>0</v>
          </cell>
          <cell r="G297">
            <v>0</v>
          </cell>
          <cell r="H297">
            <v>0</v>
          </cell>
          <cell r="I297">
            <v>-0.31297301</v>
          </cell>
          <cell r="J297">
            <v>-3.58815273</v>
          </cell>
          <cell r="K297">
            <v>-6.6436344299999996</v>
          </cell>
          <cell r="L297">
            <v>-25.98365544</v>
          </cell>
          <cell r="M297">
            <v>-39.537943179999999</v>
          </cell>
          <cell r="N297">
            <v>-79.150102910000001</v>
          </cell>
          <cell r="O297">
            <v>-199.72822128000001</v>
          </cell>
          <cell r="P297">
            <v>-130.68101106</v>
          </cell>
          <cell r="Q297">
            <v>-210.22453891999999</v>
          </cell>
          <cell r="R297">
            <v>-454.79802719000003</v>
          </cell>
          <cell r="S297">
            <v>-448.50949936000001</v>
          </cell>
          <cell r="T297">
            <v>-607.38136175</v>
          </cell>
          <cell r="U297">
            <v>-323.650860953132</v>
          </cell>
          <cell r="V297">
            <v>-382.165458564792</v>
          </cell>
          <cell r="W297">
            <v>-381.658593326497</v>
          </cell>
          <cell r="X297">
            <v>-376.12042346629897</v>
          </cell>
        </row>
        <row r="298">
          <cell r="B298" t="str">
            <v>Net income (pre-preferred dividends)</v>
          </cell>
          <cell r="C298" t="str">
            <v>NI_PRE_PREF</v>
          </cell>
          <cell r="D298" t="str">
            <v>CNY</v>
          </cell>
          <cell r="F298">
            <v>101.05271275</v>
          </cell>
          <cell r="G298">
            <v>74.130903919999994</v>
          </cell>
          <cell r="H298">
            <v>39.443996869999999</v>
          </cell>
          <cell r="I298">
            <v>40.508238149999997</v>
          </cell>
          <cell r="J298">
            <v>50.83664272</v>
          </cell>
          <cell r="K298">
            <v>65.409218269999997</v>
          </cell>
          <cell r="L298">
            <v>115.60019151</v>
          </cell>
          <cell r="M298">
            <v>166.95054114000001</v>
          </cell>
          <cell r="N298">
            <v>220.46347238000001</v>
          </cell>
          <cell r="O298">
            <v>407.70132596000002</v>
          </cell>
          <cell r="P298">
            <v>473.44842767999899</v>
          </cell>
          <cell r="Q298">
            <v>252.753563350001</v>
          </cell>
          <cell r="R298">
            <v>572.53133707000097</v>
          </cell>
          <cell r="S298">
            <v>817.71733693999704</v>
          </cell>
          <cell r="T298">
            <v>866.18654869000204</v>
          </cell>
          <cell r="U298">
            <v>461.55848678302198</v>
          </cell>
          <cell r="V298">
            <v>545.00615334821703</v>
          </cell>
          <cell r="W298">
            <v>544.28331284131605</v>
          </cell>
          <cell r="X298">
            <v>536.38532890673696</v>
          </cell>
        </row>
        <row r="299">
          <cell r="B299" t="str">
            <v>Preferred dividends</v>
          </cell>
          <cell r="C299" t="str">
            <v>PREF_DIV</v>
          </cell>
          <cell r="D299" t="str">
            <v>CNY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B300" t="str">
            <v>Net income (pre-exceptionals)</v>
          </cell>
          <cell r="C300" t="str">
            <v>NET_EARNING</v>
          </cell>
          <cell r="D300" t="str">
            <v>CNY</v>
          </cell>
          <cell r="F300">
            <v>101.05271275</v>
          </cell>
          <cell r="G300">
            <v>74.130903919999994</v>
          </cell>
          <cell r="H300">
            <v>39.443996869999999</v>
          </cell>
          <cell r="I300">
            <v>40.508238149999997</v>
          </cell>
          <cell r="J300">
            <v>50.83664272</v>
          </cell>
          <cell r="K300">
            <v>65.409218269999997</v>
          </cell>
          <cell r="L300">
            <v>115.60019151</v>
          </cell>
          <cell r="M300">
            <v>166.95054114000001</v>
          </cell>
          <cell r="N300">
            <v>220.46347238000001</v>
          </cell>
          <cell r="O300">
            <v>407.70132596000002</v>
          </cell>
          <cell r="P300">
            <v>473.44842767999899</v>
          </cell>
          <cell r="Q300">
            <v>252.753563350001</v>
          </cell>
          <cell r="R300">
            <v>572.53133707000097</v>
          </cell>
          <cell r="S300">
            <v>817.71733693999704</v>
          </cell>
          <cell r="T300">
            <v>866.18654869000204</v>
          </cell>
          <cell r="U300">
            <v>461.55848678302198</v>
          </cell>
          <cell r="V300">
            <v>545.00615334821703</v>
          </cell>
          <cell r="W300">
            <v>544.28331284131605</v>
          </cell>
          <cell r="X300">
            <v>536.38532890673696</v>
          </cell>
        </row>
        <row r="301">
          <cell r="B301" t="str">
            <v>Post-tax exceptionals</v>
          </cell>
          <cell r="C301" t="str">
            <v>TAX_EXC</v>
          </cell>
          <cell r="D301" t="str">
            <v>CNY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-224.89682857</v>
          </cell>
          <cell r="Q301">
            <v>-15.064496780000001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</row>
        <row r="302">
          <cell r="B302" t="str">
            <v>Net income (post-exceptionals)</v>
          </cell>
          <cell r="C302" t="str">
            <v>NET_INC</v>
          </cell>
          <cell r="D302" t="str">
            <v>CNY</v>
          </cell>
          <cell r="F302">
            <v>101.05271275</v>
          </cell>
          <cell r="G302">
            <v>74.130903919999994</v>
          </cell>
          <cell r="H302">
            <v>39.443996869999999</v>
          </cell>
          <cell r="I302">
            <v>40.508238149999997</v>
          </cell>
          <cell r="J302">
            <v>50.83664272</v>
          </cell>
          <cell r="K302">
            <v>65.409218269999997</v>
          </cell>
          <cell r="L302">
            <v>115.60019151</v>
          </cell>
          <cell r="M302">
            <v>166.95054114000001</v>
          </cell>
          <cell r="N302">
            <v>220.46347238000001</v>
          </cell>
          <cell r="O302">
            <v>407.70132596000002</v>
          </cell>
          <cell r="P302">
            <v>248.55159910999899</v>
          </cell>
          <cell r="Q302">
            <v>237.68906657000099</v>
          </cell>
          <cell r="R302">
            <v>572.53133707000097</v>
          </cell>
          <cell r="S302">
            <v>817.71733693999704</v>
          </cell>
          <cell r="T302">
            <v>866.18654869000204</v>
          </cell>
          <cell r="U302">
            <v>461.55848678302198</v>
          </cell>
          <cell r="V302">
            <v>545.00615334821703</v>
          </cell>
          <cell r="W302">
            <v>544.28331284131605</v>
          </cell>
          <cell r="X302">
            <v>536.38532890673696</v>
          </cell>
        </row>
        <row r="303">
          <cell r="B303" t="str">
            <v>EPS (pre-exceptionals, basic)</v>
          </cell>
          <cell r="C303" t="str">
            <v>EPS</v>
          </cell>
          <cell r="D303" t="str">
            <v>CNY</v>
          </cell>
          <cell r="F303">
            <v>0.48706338208</v>
          </cell>
          <cell r="G303">
            <v>0.35730311237899998</v>
          </cell>
          <cell r="H303">
            <v>0.190115890959</v>
          </cell>
          <cell r="I303">
            <v>0.16464154834</v>
          </cell>
          <cell r="J303">
            <v>0.16589700634900001</v>
          </cell>
          <cell r="K303">
            <v>0.213452205299</v>
          </cell>
          <cell r="L303">
            <v>0.32727417751400001</v>
          </cell>
          <cell r="M303">
            <v>0.42968316059299999</v>
          </cell>
          <cell r="N303">
            <v>0.28370510499899998</v>
          </cell>
          <cell r="O303">
            <v>0.52465356841599997</v>
          </cell>
          <cell r="P303">
            <v>0.60926072893799998</v>
          </cell>
          <cell r="Q303">
            <v>0.32525785543899999</v>
          </cell>
          <cell r="R303">
            <v>0.73676632843099998</v>
          </cell>
          <cell r="S303">
            <v>1.0522858069479999</v>
          </cell>
          <cell r="T303">
            <v>0.96471618437200002</v>
          </cell>
          <cell r="U303">
            <v>0.51406125263400004</v>
          </cell>
          <cell r="V303">
            <v>0.60700117949499999</v>
          </cell>
          <cell r="W303">
            <v>0.60619611511600002</v>
          </cell>
          <cell r="X303">
            <v>0.59739972715900003</v>
          </cell>
        </row>
        <row r="304">
          <cell r="B304" t="str">
            <v>EPS (pre-exceptionals, diluted)</v>
          </cell>
          <cell r="C304" t="str">
            <v>EPS_FUL_DIL</v>
          </cell>
          <cell r="D304" t="str">
            <v>CNY</v>
          </cell>
          <cell r="F304">
            <v>0.48706338208</v>
          </cell>
          <cell r="G304">
            <v>0.35730311237899998</v>
          </cell>
          <cell r="H304">
            <v>0.190115890959</v>
          </cell>
          <cell r="I304">
            <v>0.16464154834</v>
          </cell>
          <cell r="J304">
            <v>0.16589700634900001</v>
          </cell>
          <cell r="K304">
            <v>0.213452205299</v>
          </cell>
          <cell r="L304">
            <v>0.32727417751400001</v>
          </cell>
          <cell r="M304">
            <v>0.42968316059299999</v>
          </cell>
          <cell r="N304">
            <v>0.28370510499899998</v>
          </cell>
          <cell r="O304">
            <v>0.52465356841599997</v>
          </cell>
          <cell r="P304">
            <v>0.60926072893799998</v>
          </cell>
          <cell r="Q304">
            <v>0.32525785543899999</v>
          </cell>
          <cell r="R304">
            <v>0.73676632843099998</v>
          </cell>
          <cell r="S304">
            <v>1.0522858069479999</v>
          </cell>
          <cell r="T304">
            <v>0.96471618437200002</v>
          </cell>
          <cell r="U304">
            <v>0.51406125263400004</v>
          </cell>
          <cell r="V304">
            <v>0.60700117949499999</v>
          </cell>
          <cell r="W304">
            <v>0.60619611511600002</v>
          </cell>
          <cell r="X304">
            <v>0.59739972715900003</v>
          </cell>
        </row>
        <row r="305">
          <cell r="B305" t="str">
            <v>EPS (post-exceptionals, basic)</v>
          </cell>
          <cell r="C305" t="str">
            <v>EPS_POST_BASIC</v>
          </cell>
          <cell r="D305" t="str">
            <v>CNY</v>
          </cell>
          <cell r="F305">
            <v>0.48706338208</v>
          </cell>
          <cell r="G305">
            <v>0.35730311237899998</v>
          </cell>
          <cell r="H305">
            <v>0.190115890959</v>
          </cell>
          <cell r="I305">
            <v>0.16464154834</v>
          </cell>
          <cell r="J305">
            <v>0.16589700634900001</v>
          </cell>
          <cell r="K305">
            <v>0.213452205299</v>
          </cell>
          <cell r="L305">
            <v>0.32727417751400001</v>
          </cell>
          <cell r="M305">
            <v>0.42968316059299999</v>
          </cell>
          <cell r="N305">
            <v>0.28370510499899998</v>
          </cell>
          <cell r="O305">
            <v>0.52465356841599997</v>
          </cell>
          <cell r="P305">
            <v>0.31985052563100003</v>
          </cell>
          <cell r="Q305">
            <v>0.30587199258199999</v>
          </cell>
          <cell r="R305">
            <v>0.73676632843099998</v>
          </cell>
          <cell r="S305">
            <v>1.0522858069479999</v>
          </cell>
          <cell r="T305">
            <v>0.96471618437200002</v>
          </cell>
          <cell r="U305">
            <v>0.51406125263400004</v>
          </cell>
          <cell r="V305">
            <v>0.60700117949499999</v>
          </cell>
          <cell r="W305">
            <v>0.60619611511600002</v>
          </cell>
          <cell r="X305">
            <v>0.59739972715900003</v>
          </cell>
        </row>
        <row r="306">
          <cell r="B306" t="str">
            <v>EPS (post-exceptionals, diluted)</v>
          </cell>
          <cell r="C306" t="str">
            <v>FULLY_DIL_EPS</v>
          </cell>
          <cell r="D306" t="str">
            <v>CNY</v>
          </cell>
          <cell r="F306">
            <v>0.48706338208</v>
          </cell>
          <cell r="G306">
            <v>0.35730311237899998</v>
          </cell>
          <cell r="H306">
            <v>0.190115890959</v>
          </cell>
          <cell r="I306">
            <v>0.16464154834</v>
          </cell>
          <cell r="J306">
            <v>0.16589700634900001</v>
          </cell>
          <cell r="K306">
            <v>0.213452205299</v>
          </cell>
          <cell r="L306">
            <v>0.32727417751400001</v>
          </cell>
          <cell r="M306">
            <v>0.42968316059299999</v>
          </cell>
          <cell r="N306">
            <v>0.28370510499899998</v>
          </cell>
          <cell r="O306">
            <v>0.52465356841599997</v>
          </cell>
          <cell r="P306">
            <v>0.31985052563100003</v>
          </cell>
          <cell r="Q306">
            <v>0.30587199258199999</v>
          </cell>
          <cell r="R306">
            <v>0.73676632843099998</v>
          </cell>
          <cell r="S306">
            <v>1.0522858069479999</v>
          </cell>
          <cell r="T306">
            <v>0.96471618437200002</v>
          </cell>
          <cell r="U306">
            <v>0.51406125263400004</v>
          </cell>
          <cell r="V306">
            <v>0.60700117949499999</v>
          </cell>
          <cell r="W306">
            <v>0.60619611511600002</v>
          </cell>
          <cell r="X306">
            <v>0.59739972715900003</v>
          </cell>
        </row>
        <row r="307">
          <cell r="B307" t="str">
            <v>Common dividends paid</v>
          </cell>
          <cell r="C307" t="str">
            <v>COMMON_DIV_PAID</v>
          </cell>
          <cell r="D307" t="str">
            <v>CNY</v>
          </cell>
          <cell r="F307">
            <v>0</v>
          </cell>
          <cell r="G307">
            <v>0</v>
          </cell>
          <cell r="H307">
            <v>0</v>
          </cell>
          <cell r="I307">
            <v>-18.696303499999999</v>
          </cell>
          <cell r="J307">
            <v>-21.388037000000001</v>
          </cell>
          <cell r="K307">
            <v>-21.388037000000001</v>
          </cell>
          <cell r="L307">
            <v>-36.980321850000003</v>
          </cell>
          <cell r="M307">
            <v>-54.237805199999997</v>
          </cell>
          <cell r="N307">
            <v>-65.085366239999999</v>
          </cell>
          <cell r="O307">
            <v>-119.32317144</v>
          </cell>
          <cell r="P307">
            <v>-81.356707799999995</v>
          </cell>
          <cell r="Q307">
            <v>-54.237805199999997</v>
          </cell>
          <cell r="R307">
            <v>-54.237805199999997</v>
          </cell>
          <cell r="S307">
            <v>-27.118902599999998</v>
          </cell>
          <cell r="T307">
            <v>-89.786612000000005</v>
          </cell>
          <cell r="U307">
            <v>-23.077924339151</v>
          </cell>
          <cell r="V307">
            <v>-27.250307667411001</v>
          </cell>
          <cell r="W307">
            <v>-27.214165642066</v>
          </cell>
          <cell r="X307">
            <v>-26.819266445337</v>
          </cell>
        </row>
        <row r="308">
          <cell r="B308" t="str">
            <v>DPS, dividend per share</v>
          </cell>
          <cell r="C308" t="str">
            <v>DPS</v>
          </cell>
          <cell r="D308" t="str">
            <v>CNY</v>
          </cell>
          <cell r="F308">
            <v>0</v>
          </cell>
          <cell r="G308">
            <v>0</v>
          </cell>
          <cell r="H308">
            <v>0</v>
          </cell>
          <cell r="I308">
            <v>7.5989193730999993E-2</v>
          </cell>
          <cell r="J308">
            <v>6.9796334299999999E-2</v>
          </cell>
          <cell r="K308">
            <v>6.9796334299999999E-2</v>
          </cell>
          <cell r="L308">
            <v>0.10469450145</v>
          </cell>
          <cell r="M308">
            <v>0.1395926686</v>
          </cell>
          <cell r="N308">
            <v>8.3755601159999998E-2</v>
          </cell>
          <cell r="O308">
            <v>0.15355193546000001</v>
          </cell>
          <cell r="P308">
            <v>0.10469450145</v>
          </cell>
          <cell r="Q308">
            <v>6.9796334299999999E-2</v>
          </cell>
          <cell r="R308">
            <v>6.9796334299999999E-2</v>
          </cell>
          <cell r="S308">
            <v>3.4898167149999999E-2</v>
          </cell>
          <cell r="T308">
            <v>9.9999934040999994E-2</v>
          </cell>
          <cell r="U308">
            <v>2.5703062632E-2</v>
          </cell>
          <cell r="V308">
            <v>3.0350058975E-2</v>
          </cell>
          <cell r="W308">
            <v>3.0309805756000001E-2</v>
          </cell>
          <cell r="X308">
            <v>2.9869986357999999E-2</v>
          </cell>
        </row>
        <row r="309">
          <cell r="B309" t="str">
            <v>Weighted average shares outstanding, basic</v>
          </cell>
          <cell r="C309" t="str">
            <v>SH</v>
          </cell>
          <cell r="F309">
            <v>207.47343460414399</v>
          </cell>
          <cell r="G309">
            <v>207.47343460414399</v>
          </cell>
          <cell r="H309">
            <v>207.47343460414399</v>
          </cell>
          <cell r="I309">
            <v>246.03897715012201</v>
          </cell>
          <cell r="J309">
            <v>306.43496129853298</v>
          </cell>
          <cell r="K309">
            <v>306.43496129853298</v>
          </cell>
          <cell r="L309">
            <v>353.22124216486299</v>
          </cell>
          <cell r="M309">
            <v>388.543365091883</v>
          </cell>
          <cell r="N309">
            <v>777.08673018376601</v>
          </cell>
          <cell r="O309">
            <v>777.08673018376601</v>
          </cell>
          <cell r="P309">
            <v>777.08673018376601</v>
          </cell>
          <cell r="Q309">
            <v>777.08673018376601</v>
          </cell>
          <cell r="R309">
            <v>777.08673018376601</v>
          </cell>
          <cell r="S309">
            <v>777.08673018376601</v>
          </cell>
          <cell r="T309">
            <v>897.86671222248003</v>
          </cell>
          <cell r="U309">
            <v>897.86671222248003</v>
          </cell>
          <cell r="V309">
            <v>897.86671222248003</v>
          </cell>
          <cell r="W309">
            <v>897.86671222248003</v>
          </cell>
          <cell r="X309">
            <v>897.86671222248003</v>
          </cell>
        </row>
        <row r="310">
          <cell r="B310" t="str">
            <v>Diluted average shares outstanding (mn)</v>
          </cell>
          <cell r="C310" t="str">
            <v>DILUTE_SHARES</v>
          </cell>
          <cell r="F310">
            <v>207.47343460414399</v>
          </cell>
          <cell r="G310">
            <v>207.47343460414399</v>
          </cell>
          <cell r="H310">
            <v>207.47343460414399</v>
          </cell>
          <cell r="I310">
            <v>246.03897715012201</v>
          </cell>
          <cell r="J310">
            <v>306.43496129853298</v>
          </cell>
          <cell r="K310">
            <v>306.43496129853298</v>
          </cell>
          <cell r="L310">
            <v>353.22124216486299</v>
          </cell>
          <cell r="M310">
            <v>388.543365091883</v>
          </cell>
          <cell r="N310">
            <v>777.08673018376601</v>
          </cell>
          <cell r="O310">
            <v>777.08673018376601</v>
          </cell>
          <cell r="P310">
            <v>777.08673018376601</v>
          </cell>
          <cell r="Q310">
            <v>777.08673018376601</v>
          </cell>
          <cell r="R310">
            <v>777.08673018376601</v>
          </cell>
          <cell r="S310">
            <v>777.08673018376601</v>
          </cell>
          <cell r="T310">
            <v>897.86671222248003</v>
          </cell>
          <cell r="U310">
            <v>897.86671222248003</v>
          </cell>
          <cell r="V310">
            <v>897.86671222248003</v>
          </cell>
          <cell r="W310">
            <v>897.86671222248003</v>
          </cell>
          <cell r="X310">
            <v>897.86671222248003</v>
          </cell>
        </row>
        <row r="311">
          <cell r="B311" t="str">
            <v>Period-end shares outstanding</v>
          </cell>
          <cell r="C311" t="str">
            <v>NON_OP_ADD</v>
          </cell>
          <cell r="F311">
            <v>207.47343460414399</v>
          </cell>
          <cell r="G311">
            <v>207.47343460414399</v>
          </cell>
          <cell r="H311">
            <v>207.47343460414399</v>
          </cell>
          <cell r="I311">
            <v>246.03897715012201</v>
          </cell>
          <cell r="J311">
            <v>306.43496129853298</v>
          </cell>
          <cell r="K311">
            <v>306.43496129853298</v>
          </cell>
          <cell r="L311">
            <v>353.22124216486299</v>
          </cell>
          <cell r="M311">
            <v>388.543365091883</v>
          </cell>
          <cell r="N311">
            <v>777.08673018376601</v>
          </cell>
          <cell r="O311">
            <v>777.08673018376601</v>
          </cell>
          <cell r="P311">
            <v>777.08673018376601</v>
          </cell>
          <cell r="Q311">
            <v>777.08673018376601</v>
          </cell>
          <cell r="R311">
            <v>777.08673018376601</v>
          </cell>
          <cell r="S311">
            <v>777.08673018376601</v>
          </cell>
          <cell r="T311">
            <v>897.86671222248003</v>
          </cell>
          <cell r="U311">
            <v>897.86671222248003</v>
          </cell>
          <cell r="V311">
            <v>897.86671222248003</v>
          </cell>
          <cell r="W311">
            <v>897.86671222248003</v>
          </cell>
          <cell r="X311">
            <v>897.86671222248003</v>
          </cell>
        </row>
        <row r="312">
          <cell r="A312" t="str">
            <v>Additional Income Statement Items</v>
          </cell>
        </row>
        <row r="313">
          <cell r="B313" t="str">
            <v>Marginal tax rate</v>
          </cell>
          <cell r="C313" t="str">
            <v>MARGIN_TAX_RATE</v>
          </cell>
          <cell r="F313">
            <v>0.28062261137900002</v>
          </cell>
          <cell r="G313">
            <v>0.29132546000499998</v>
          </cell>
          <cell r="H313">
            <v>0.14307781740600001</v>
          </cell>
          <cell r="I313">
            <v>0.244794484211</v>
          </cell>
          <cell r="J313">
            <v>0.24120535520899999</v>
          </cell>
          <cell r="K313">
            <v>0.20442534105400001</v>
          </cell>
          <cell r="L313">
            <v>0.113351535192</v>
          </cell>
          <cell r="M313">
            <v>0.110016417935</v>
          </cell>
          <cell r="N313">
            <v>8.9543517155999994E-2</v>
          </cell>
          <cell r="O313">
            <v>7.9265822727000002E-2</v>
          </cell>
          <cell r="P313">
            <v>1.2546914293E-2</v>
          </cell>
          <cell r="Q313">
            <v>0.171849277754</v>
          </cell>
          <cell r="R313">
            <v>0.11413904777800001</v>
          </cell>
          <cell r="S313">
            <v>0.152584628695</v>
          </cell>
          <cell r="T313">
            <v>8.1329248480000005E-2</v>
          </cell>
          <cell r="U313">
            <v>0.13</v>
          </cell>
          <cell r="V313">
            <v>0.13</v>
          </cell>
          <cell r="W313">
            <v>0.15</v>
          </cell>
          <cell r="X313">
            <v>0.15</v>
          </cell>
        </row>
        <row r="314">
          <cell r="B314" t="str">
            <v>Net income (consensus) (Pub)</v>
          </cell>
          <cell r="C314" t="str">
            <v>NI_CONS</v>
          </cell>
          <cell r="D314" t="str">
            <v>CNY</v>
          </cell>
        </row>
        <row r="315">
          <cell r="A315" t="str">
            <v>Balance Sheet</v>
          </cell>
        </row>
        <row r="316">
          <cell r="B316" t="str">
            <v>BVPS, book value per share</v>
          </cell>
          <cell r="C316" t="str">
            <v>BVPS</v>
          </cell>
          <cell r="D316" t="str">
            <v>CNY</v>
          </cell>
          <cell r="F316">
            <v>2.509543589922</v>
          </cell>
          <cell r="G316">
            <v>2.854157432154</v>
          </cell>
          <cell r="H316">
            <v>3.0442733231129999</v>
          </cell>
          <cell r="I316">
            <v>3.1421773467960001</v>
          </cell>
          <cell r="J316">
            <v>2.5491825927430001</v>
          </cell>
          <cell r="K316">
            <v>2.7626347980419999</v>
          </cell>
          <cell r="L316">
            <v>3.2007619475000002</v>
          </cell>
          <cell r="M316">
            <v>3.2443047183470002</v>
          </cell>
          <cell r="N316">
            <v>1.8926342415499999</v>
          </cell>
          <cell r="O316">
            <v>2.3335322088070001</v>
          </cell>
          <cell r="P316">
            <v>2.5606848118990002</v>
          </cell>
          <cell r="Q316">
            <v>2.7932789075379998</v>
          </cell>
          <cell r="R316">
            <v>3.5073373304620001</v>
          </cell>
          <cell r="S316">
            <v>6.7372327468669999</v>
          </cell>
          <cell r="T316">
            <v>6.8434685495699998</v>
          </cell>
          <cell r="U316">
            <v>7.3318267395710004</v>
          </cell>
          <cell r="V316">
            <v>7.9084778600919998</v>
          </cell>
          <cell r="W316">
            <v>8.4843641694520002</v>
          </cell>
          <cell r="X316">
            <v>9.0518939102529998</v>
          </cell>
        </row>
        <row r="317">
          <cell r="A317" t="str">
            <v>Cash Flow Statement</v>
          </cell>
        </row>
        <row r="318">
          <cell r="B318" t="str">
            <v>Net income (pre-preferred dividends)</v>
          </cell>
          <cell r="C318" t="str">
            <v>CF_NI_PRE_PREF</v>
          </cell>
          <cell r="D318" t="str">
            <v>CNY</v>
          </cell>
          <cell r="F318">
            <v>101.05271275</v>
          </cell>
          <cell r="G318">
            <v>74.130903919999994</v>
          </cell>
          <cell r="H318">
            <v>39.443996869999999</v>
          </cell>
          <cell r="I318">
            <v>40.508238149999997</v>
          </cell>
          <cell r="J318">
            <v>50.83664272</v>
          </cell>
          <cell r="K318">
            <v>65.409218269999997</v>
          </cell>
          <cell r="L318">
            <v>115.60019151</v>
          </cell>
          <cell r="M318">
            <v>166.95054114000001</v>
          </cell>
          <cell r="N318">
            <v>220.46347238000001</v>
          </cell>
          <cell r="O318">
            <v>407.70132596000002</v>
          </cell>
          <cell r="P318">
            <v>473.44842767999899</v>
          </cell>
          <cell r="Q318">
            <v>252.753563350001</v>
          </cell>
          <cell r="R318">
            <v>572.53133707000097</v>
          </cell>
          <cell r="S318">
            <v>817.71733693999704</v>
          </cell>
          <cell r="T318">
            <v>866.18654869000204</v>
          </cell>
          <cell r="U318">
            <v>461.55848678302198</v>
          </cell>
          <cell r="V318">
            <v>545.00615334821703</v>
          </cell>
          <cell r="W318">
            <v>544.28331284131605</v>
          </cell>
          <cell r="X318">
            <v>536.38532890673696</v>
          </cell>
        </row>
        <row r="319">
          <cell r="A319" t="str">
            <v>Other Items</v>
          </cell>
        </row>
        <row r="320">
          <cell r="B320" t="str">
            <v>Beta</v>
          </cell>
          <cell r="C320" t="str">
            <v>BETA_ANALYST</v>
          </cell>
        </row>
        <row r="321">
          <cell r="B321" t="str">
            <v>Market equity risk premium</v>
          </cell>
          <cell r="C321" t="str">
            <v>MKT_EQ_RISK_PREM</v>
          </cell>
        </row>
        <row r="322">
          <cell r="B322" t="str">
            <v>Risk-free rate</v>
          </cell>
          <cell r="C322" t="str">
            <v>RISK_FR_RATE</v>
          </cell>
        </row>
      </sheetData>
      <sheetData sheetId="2" refreshError="1">
        <row r="1">
          <cell r="A1" t="str">
            <v>Issuer: Hubei Yihua Chemical Industry</v>
          </cell>
          <cell r="F1">
            <v>1998</v>
          </cell>
          <cell r="G1">
            <v>1999</v>
          </cell>
          <cell r="H1">
            <v>2000</v>
          </cell>
          <cell r="I1">
            <v>2001</v>
          </cell>
          <cell r="J1">
            <v>2002</v>
          </cell>
          <cell r="K1">
            <v>2003</v>
          </cell>
          <cell r="L1">
            <v>2004</v>
          </cell>
          <cell r="M1">
            <v>2005</v>
          </cell>
          <cell r="N1">
            <v>2006</v>
          </cell>
          <cell r="O1">
            <v>2007</v>
          </cell>
          <cell r="P1">
            <v>2008</v>
          </cell>
          <cell r="Q1">
            <v>2009</v>
          </cell>
          <cell r="R1">
            <v>2010</v>
          </cell>
          <cell r="S1">
            <v>2011</v>
          </cell>
          <cell r="T1">
            <v>2012</v>
          </cell>
          <cell r="U1">
            <v>2013</v>
          </cell>
          <cell r="V1">
            <v>2014</v>
          </cell>
          <cell r="W1">
            <v>2015</v>
          </cell>
          <cell r="X1">
            <v>2016</v>
          </cell>
          <cell r="Z1" t="str">
            <v>2002 Q1</v>
          </cell>
          <cell r="AA1" t="str">
            <v>2002 Q2</v>
          </cell>
          <cell r="AB1" t="str">
            <v>2002 Q3</v>
          </cell>
          <cell r="AC1" t="str">
            <v>2002 Q4</v>
          </cell>
          <cell r="AD1" t="str">
            <v>2003 Q1</v>
          </cell>
          <cell r="AE1" t="str">
            <v>2003 Q2</v>
          </cell>
          <cell r="AF1" t="str">
            <v>2003 Q3</v>
          </cell>
          <cell r="AG1" t="str">
            <v>2003 Q4</v>
          </cell>
          <cell r="AH1" t="str">
            <v>2004 Q1</v>
          </cell>
          <cell r="AI1" t="str">
            <v>2004 Q2</v>
          </cell>
          <cell r="AJ1" t="str">
            <v>2004 Q3</v>
          </cell>
          <cell r="AK1" t="str">
            <v>2004 Q4</v>
          </cell>
          <cell r="AL1" t="str">
            <v>2005 Q1</v>
          </cell>
          <cell r="AM1" t="str">
            <v>2005 Q2</v>
          </cell>
          <cell r="AN1" t="str">
            <v>2005 Q3</v>
          </cell>
          <cell r="AO1" t="str">
            <v>2005 Q4</v>
          </cell>
          <cell r="AP1" t="str">
            <v>2006 Q1</v>
          </cell>
          <cell r="AQ1" t="str">
            <v>2006 Q2</v>
          </cell>
          <cell r="AR1" t="str">
            <v>2006 Q3</v>
          </cell>
          <cell r="AS1" t="str">
            <v>2006 Q4</v>
          </cell>
          <cell r="AT1" t="str">
            <v>2007 Q1</v>
          </cell>
          <cell r="AU1" t="str">
            <v>2007 Q2</v>
          </cell>
          <cell r="AV1" t="str">
            <v>2007 Q3</v>
          </cell>
          <cell r="AW1" t="str">
            <v>2007 Q4</v>
          </cell>
          <cell r="AX1" t="str">
            <v>2008 Q1</v>
          </cell>
          <cell r="AY1" t="str">
            <v>2008 Q2</v>
          </cell>
          <cell r="AZ1" t="str">
            <v>2008 Q3</v>
          </cell>
          <cell r="BA1" t="str">
            <v>2008 Q4</v>
          </cell>
          <cell r="BB1" t="str">
            <v>2009 Q1</v>
          </cell>
          <cell r="BC1" t="str">
            <v>2009 Q2</v>
          </cell>
          <cell r="BD1" t="str">
            <v>2009 Q3</v>
          </cell>
          <cell r="BE1" t="str">
            <v>2009 Q4</v>
          </cell>
          <cell r="BF1" t="str">
            <v>2010 Q1</v>
          </cell>
          <cell r="BG1" t="str">
            <v>2010 Q2</v>
          </cell>
          <cell r="BH1" t="str">
            <v>2010 Q3</v>
          </cell>
          <cell r="BI1" t="str">
            <v>2010 Q4</v>
          </cell>
          <cell r="BJ1" t="str">
            <v>2011 Q1</v>
          </cell>
          <cell r="BK1" t="str">
            <v>2011 Q2</v>
          </cell>
          <cell r="BL1" t="str">
            <v>2011 Q3</v>
          </cell>
          <cell r="BM1" t="str">
            <v>2011 Q4</v>
          </cell>
          <cell r="BN1" t="str">
            <v>2012 Q1</v>
          </cell>
          <cell r="BO1" t="str">
            <v>2012 Q2</v>
          </cell>
          <cell r="BP1" t="str">
            <v>2012 Q3</v>
          </cell>
          <cell r="BQ1" t="str">
            <v>2012 Q4</v>
          </cell>
          <cell r="BR1" t="str">
            <v>2013 Q1</v>
          </cell>
          <cell r="BS1" t="str">
            <v>2013 Q2</v>
          </cell>
          <cell r="BT1" t="str">
            <v>2013 Q3</v>
          </cell>
          <cell r="BU1" t="str">
            <v>2013 Q4</v>
          </cell>
          <cell r="BV1" t="str">
            <v>2014 Q1</v>
          </cell>
          <cell r="BW1" t="str">
            <v>2014 Q2</v>
          </cell>
          <cell r="BX1" t="str">
            <v>2014 Q3</v>
          </cell>
          <cell r="BY1" t="str">
            <v>2014 Q4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Estimate</v>
          </cell>
          <cell r="V2" t="str">
            <v>Estimate</v>
          </cell>
          <cell r="W2" t="str">
            <v>Estimate</v>
          </cell>
          <cell r="X2" t="str">
            <v>Estimate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Actual</v>
          </cell>
          <cell r="AY2" t="str">
            <v>Actual</v>
          </cell>
          <cell r="AZ2" t="str">
            <v>Actual</v>
          </cell>
          <cell r="BA2" t="str">
            <v>Actual</v>
          </cell>
          <cell r="BB2" t="str">
            <v>Actual</v>
          </cell>
          <cell r="BC2" t="str">
            <v>Actual</v>
          </cell>
          <cell r="BD2" t="str">
            <v>Actual</v>
          </cell>
          <cell r="BE2" t="str">
            <v>Actual</v>
          </cell>
          <cell r="BF2" t="str">
            <v>Actual</v>
          </cell>
          <cell r="BG2" t="str">
            <v>Actual</v>
          </cell>
          <cell r="BH2" t="str">
            <v>Actual</v>
          </cell>
          <cell r="BI2" t="str">
            <v>Actual</v>
          </cell>
          <cell r="BJ2" t="str">
            <v>Actual</v>
          </cell>
          <cell r="BK2" t="str">
            <v>Actual</v>
          </cell>
          <cell r="BL2" t="str">
            <v>Actual</v>
          </cell>
          <cell r="BM2" t="str">
            <v>Actual</v>
          </cell>
          <cell r="BN2" t="str">
            <v>Actual</v>
          </cell>
          <cell r="BO2" t="str">
            <v>Actual</v>
          </cell>
          <cell r="BP2" t="str">
            <v>Actual</v>
          </cell>
          <cell r="BQ2" t="str">
            <v>Actual</v>
          </cell>
          <cell r="BR2" t="str">
            <v>Actual</v>
          </cell>
          <cell r="BS2" t="str">
            <v>Estimate</v>
          </cell>
          <cell r="BT2" t="str">
            <v>Estimate</v>
          </cell>
          <cell r="BU2" t="str">
            <v>Estimate</v>
          </cell>
          <cell r="BV2" t="str">
            <v>Estimate</v>
          </cell>
          <cell r="BW2" t="str">
            <v>Estimate</v>
          </cell>
          <cell r="BX2" t="str">
            <v>Estimate</v>
          </cell>
          <cell r="BY2" t="str">
            <v>Estimate</v>
          </cell>
        </row>
        <row r="3">
          <cell r="F3" t="e">
            <v>#N/A</v>
          </cell>
          <cell r="G3" t="e">
            <v>#N/A</v>
          </cell>
          <cell r="H3" t="e">
            <v>#N/A</v>
          </cell>
          <cell r="I3" t="e">
            <v>#N/A</v>
          </cell>
          <cell r="J3" t="e">
            <v>#N/A</v>
          </cell>
          <cell r="K3" t="e">
            <v>#N/A</v>
          </cell>
          <cell r="L3" t="e">
            <v>#N/A</v>
          </cell>
          <cell r="M3" t="e">
            <v>#N/A</v>
          </cell>
          <cell r="N3" t="e">
            <v>#N/A</v>
          </cell>
          <cell r="O3" t="e">
            <v>#N/A</v>
          </cell>
          <cell r="P3" t="e">
            <v>#N/A</v>
          </cell>
          <cell r="Q3" t="e">
            <v>#N/A</v>
          </cell>
          <cell r="R3" t="e">
            <v>#N/A</v>
          </cell>
          <cell r="S3" t="e">
            <v>#N/A</v>
          </cell>
          <cell r="T3" t="e">
            <v>#N/A</v>
          </cell>
          <cell r="U3" t="e">
            <v>#N/A</v>
          </cell>
          <cell r="V3" t="e">
            <v>#N/A</v>
          </cell>
          <cell r="W3" t="e">
            <v>#N/A</v>
          </cell>
          <cell r="X3" t="e">
            <v>#N/A</v>
          </cell>
          <cell r="Z3" t="e">
            <v>#N/A</v>
          </cell>
          <cell r="AA3" t="e">
            <v>#N/A</v>
          </cell>
          <cell r="AB3" t="e">
            <v>#N/A</v>
          </cell>
          <cell r="AC3" t="e">
            <v>#N/A</v>
          </cell>
          <cell r="AD3" t="e">
            <v>#N/A</v>
          </cell>
          <cell r="AE3" t="e">
            <v>#N/A</v>
          </cell>
          <cell r="AF3" t="e">
            <v>#N/A</v>
          </cell>
          <cell r="AG3" t="e">
            <v>#N/A</v>
          </cell>
          <cell r="AH3" t="e">
            <v>#N/A</v>
          </cell>
          <cell r="AI3" t="e">
            <v>#N/A</v>
          </cell>
          <cell r="AJ3" t="e">
            <v>#N/A</v>
          </cell>
          <cell r="AK3" t="e">
            <v>#N/A</v>
          </cell>
          <cell r="AL3" t="e">
            <v>#N/A</v>
          </cell>
          <cell r="AM3" t="e">
            <v>#N/A</v>
          </cell>
          <cell r="AN3" t="e">
            <v>#N/A</v>
          </cell>
          <cell r="AO3" t="e">
            <v>#N/A</v>
          </cell>
          <cell r="AP3" t="e">
            <v>#N/A</v>
          </cell>
          <cell r="AQ3" t="e">
            <v>#N/A</v>
          </cell>
          <cell r="AR3" t="e">
            <v>#N/A</v>
          </cell>
          <cell r="AS3" t="e">
            <v>#N/A</v>
          </cell>
          <cell r="AT3" t="e">
            <v>#N/A</v>
          </cell>
          <cell r="AU3" t="e">
            <v>#N/A</v>
          </cell>
          <cell r="AV3" t="e">
            <v>#N/A</v>
          </cell>
          <cell r="AW3" t="e">
            <v>#N/A</v>
          </cell>
          <cell r="AX3" t="e">
            <v>#N/A</v>
          </cell>
          <cell r="AY3" t="e">
            <v>#N/A</v>
          </cell>
          <cell r="AZ3" t="e">
            <v>#N/A</v>
          </cell>
          <cell r="BA3" t="e">
            <v>#N/A</v>
          </cell>
          <cell r="BB3" t="e">
            <v>#N/A</v>
          </cell>
          <cell r="BC3" t="e">
            <v>#N/A</v>
          </cell>
          <cell r="BD3" t="e">
            <v>#N/A</v>
          </cell>
          <cell r="BE3" t="e">
            <v>#N/A</v>
          </cell>
          <cell r="BF3" t="e">
            <v>#N/A</v>
          </cell>
          <cell r="BG3" t="e">
            <v>#N/A</v>
          </cell>
          <cell r="BH3" t="e">
            <v>#N/A</v>
          </cell>
          <cell r="BI3" t="e">
            <v>#N/A</v>
          </cell>
          <cell r="BJ3" t="e">
            <v>#N/A</v>
          </cell>
          <cell r="BK3" t="e">
            <v>#N/A</v>
          </cell>
          <cell r="BL3" t="e">
            <v>#N/A</v>
          </cell>
          <cell r="BM3" t="e">
            <v>#N/A</v>
          </cell>
          <cell r="BN3" t="e">
            <v>#N/A</v>
          </cell>
          <cell r="BO3" t="e">
            <v>#N/A</v>
          </cell>
          <cell r="BP3" t="e">
            <v>#N/A</v>
          </cell>
          <cell r="BQ3" t="e">
            <v>#N/A</v>
          </cell>
          <cell r="BR3" t="e">
            <v>#N/A</v>
          </cell>
          <cell r="BS3" t="e">
            <v>#N/A</v>
          </cell>
          <cell r="BT3" t="e">
            <v>#N/A</v>
          </cell>
          <cell r="BU3" t="e">
            <v>#N/A</v>
          </cell>
          <cell r="BV3" t="e">
            <v>#N/A</v>
          </cell>
          <cell r="BW3" t="e">
            <v>#N/A</v>
          </cell>
          <cell r="BX3" t="e">
            <v>#N/A</v>
          </cell>
          <cell r="BY3" t="e">
            <v>#N/A</v>
          </cell>
        </row>
        <row r="4">
          <cell r="A4" t="str">
            <v>Issuer: Hubei Yihua Chemical Industry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Hubei Yihua Chemical Industry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 t="e">
            <v>#N/A</v>
          </cell>
          <cell r="G9" t="e">
            <v>#N/A</v>
          </cell>
          <cell r="H9" t="e">
            <v>#N/A</v>
          </cell>
          <cell r="I9" t="e">
            <v>#N/A</v>
          </cell>
          <cell r="J9" t="e">
            <v>#N/A</v>
          </cell>
          <cell r="K9" t="e">
            <v>#N/A</v>
          </cell>
          <cell r="L9" t="e">
            <v>#N/A</v>
          </cell>
          <cell r="M9" t="e">
            <v>#N/A</v>
          </cell>
          <cell r="N9" t="e">
            <v>#N/A</v>
          </cell>
          <cell r="O9" t="e">
            <v>#N/A</v>
          </cell>
          <cell r="P9" t="e">
            <v>#N/A</v>
          </cell>
          <cell r="Q9" t="e">
            <v>#N/A</v>
          </cell>
          <cell r="R9" t="e">
            <v>#N/A</v>
          </cell>
          <cell r="S9" t="e">
            <v>#N/A</v>
          </cell>
          <cell r="T9" t="e">
            <v>#N/A</v>
          </cell>
          <cell r="U9" t="e">
            <v>#N/A</v>
          </cell>
          <cell r="V9" t="e">
            <v>#N/A</v>
          </cell>
          <cell r="W9" t="e">
            <v>#N/A</v>
          </cell>
          <cell r="X9" t="e">
            <v>#N/A</v>
          </cell>
          <cell r="Z9" t="e">
            <v>#N/A</v>
          </cell>
          <cell r="AA9" t="e">
            <v>#N/A</v>
          </cell>
          <cell r="AB9" t="e">
            <v>#N/A</v>
          </cell>
          <cell r="AC9" t="e">
            <v>#N/A</v>
          </cell>
          <cell r="AD9" t="e">
            <v>#N/A</v>
          </cell>
          <cell r="AE9" t="e">
            <v>#N/A</v>
          </cell>
          <cell r="AF9" t="e">
            <v>#N/A</v>
          </cell>
          <cell r="AG9" t="e">
            <v>#N/A</v>
          </cell>
          <cell r="AH9" t="e">
            <v>#N/A</v>
          </cell>
          <cell r="AI9" t="e">
            <v>#N/A</v>
          </cell>
          <cell r="AJ9" t="e">
            <v>#N/A</v>
          </cell>
          <cell r="AK9" t="e">
            <v>#N/A</v>
          </cell>
          <cell r="AL9" t="e">
            <v>#N/A</v>
          </cell>
          <cell r="AM9" t="e">
            <v>#N/A</v>
          </cell>
          <cell r="AN9" t="e">
            <v>#N/A</v>
          </cell>
          <cell r="AO9" t="e">
            <v>#N/A</v>
          </cell>
          <cell r="AP9" t="e">
            <v>#N/A</v>
          </cell>
          <cell r="AQ9" t="e">
            <v>#N/A</v>
          </cell>
          <cell r="AR9" t="e">
            <v>#N/A</v>
          </cell>
          <cell r="AS9" t="e">
            <v>#N/A</v>
          </cell>
          <cell r="AT9" t="e">
            <v>#N/A</v>
          </cell>
          <cell r="AU9" t="e">
            <v>#N/A</v>
          </cell>
          <cell r="AV9" t="e">
            <v>#N/A</v>
          </cell>
          <cell r="AW9" t="e">
            <v>#N/A</v>
          </cell>
          <cell r="AX9" t="e">
            <v>#N/A</v>
          </cell>
          <cell r="AY9" t="e">
            <v>#N/A</v>
          </cell>
          <cell r="AZ9" t="e">
            <v>#N/A</v>
          </cell>
          <cell r="BA9" t="e">
            <v>#N/A</v>
          </cell>
          <cell r="BB9" t="e">
            <v>#N/A</v>
          </cell>
          <cell r="BC9" t="e">
            <v>#N/A</v>
          </cell>
          <cell r="BD9" t="e">
            <v>#N/A</v>
          </cell>
          <cell r="BE9" t="e">
            <v>#N/A</v>
          </cell>
          <cell r="BF9" t="e">
            <v>#N/A</v>
          </cell>
          <cell r="BG9" t="e">
            <v>#N/A</v>
          </cell>
          <cell r="BH9" t="e">
            <v>#N/A</v>
          </cell>
          <cell r="BI9" t="e">
            <v>#N/A</v>
          </cell>
          <cell r="BJ9" t="e">
            <v>#N/A</v>
          </cell>
          <cell r="BK9" t="e">
            <v>#N/A</v>
          </cell>
          <cell r="BL9" t="e">
            <v>#N/A</v>
          </cell>
          <cell r="BM9" t="e">
            <v>#N/A</v>
          </cell>
          <cell r="BN9" t="e">
            <v>#N/A</v>
          </cell>
          <cell r="BO9" t="e">
            <v>#N/A</v>
          </cell>
          <cell r="BP9" t="e">
            <v>#N/A</v>
          </cell>
          <cell r="BQ9" t="e">
            <v>#N/A</v>
          </cell>
          <cell r="BR9" t="e">
            <v>#N/A</v>
          </cell>
          <cell r="BS9" t="e">
            <v>#N/A</v>
          </cell>
          <cell r="BT9" t="e">
            <v>#N/A</v>
          </cell>
          <cell r="BU9" t="e">
            <v>#N/A</v>
          </cell>
          <cell r="BV9" t="e">
            <v>#N/A</v>
          </cell>
          <cell r="BW9" t="e">
            <v>#N/A</v>
          </cell>
          <cell r="BX9" t="e">
            <v>#N/A</v>
          </cell>
          <cell r="BY9" t="e">
            <v>#N/A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  <cell r="AV10" t="e">
            <v>#N/A</v>
          </cell>
          <cell r="AW10" t="e">
            <v>#N/A</v>
          </cell>
          <cell r="AX10" t="e">
            <v>#N/A</v>
          </cell>
          <cell r="AY10" t="e">
            <v>#N/A</v>
          </cell>
          <cell r="AZ10" t="e">
            <v>#N/A</v>
          </cell>
          <cell r="BA10" t="e">
            <v>#N/A</v>
          </cell>
          <cell r="BB10" t="e">
            <v>#N/A</v>
          </cell>
          <cell r="BC10" t="e">
            <v>#N/A</v>
          </cell>
          <cell r="BD10" t="e">
            <v>#N/A</v>
          </cell>
          <cell r="BE10" t="e">
            <v>#N/A</v>
          </cell>
          <cell r="BF10" t="e">
            <v>#N/A</v>
          </cell>
          <cell r="BG10" t="e">
            <v>#N/A</v>
          </cell>
          <cell r="BH10" t="e">
            <v>#N/A</v>
          </cell>
          <cell r="BI10" t="e">
            <v>#N/A</v>
          </cell>
          <cell r="BJ10" t="e">
            <v>#N/A</v>
          </cell>
          <cell r="BK10" t="e">
            <v>#N/A</v>
          </cell>
          <cell r="BL10" t="e">
            <v>#N/A</v>
          </cell>
          <cell r="BM10" t="e">
            <v>#N/A</v>
          </cell>
          <cell r="BN10" t="e">
            <v>#N/A</v>
          </cell>
          <cell r="BO10" t="e">
            <v>#N/A</v>
          </cell>
          <cell r="BP10" t="e">
            <v>#N/A</v>
          </cell>
          <cell r="BQ10" t="e">
            <v>#N/A</v>
          </cell>
          <cell r="BR10" t="e">
            <v>#N/A</v>
          </cell>
          <cell r="BS10" t="e">
            <v>#N/A</v>
          </cell>
          <cell r="BT10" t="e">
            <v>#N/A</v>
          </cell>
          <cell r="BU10" t="e">
            <v>#N/A</v>
          </cell>
          <cell r="BV10" t="e">
            <v>#N/A</v>
          </cell>
          <cell r="BW10" t="e">
            <v>#N/A</v>
          </cell>
          <cell r="BX10" t="e">
            <v>#N/A</v>
          </cell>
          <cell r="BY10" t="e">
            <v>#N/A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 t="e">
            <v>#N/A</v>
          </cell>
          <cell r="G11" t="e">
            <v>#N/A</v>
          </cell>
          <cell r="H11" t="e">
            <v>#N/A</v>
          </cell>
          <cell r="I11" t="e">
            <v>#N/A</v>
          </cell>
          <cell r="J11" t="e">
            <v>#N/A</v>
          </cell>
          <cell r="K11" t="e">
            <v>#N/A</v>
          </cell>
          <cell r="L11" t="e">
            <v>#N/A</v>
          </cell>
          <cell r="M11" t="e">
            <v>#N/A</v>
          </cell>
          <cell r="N11" t="e">
            <v>#N/A</v>
          </cell>
          <cell r="O11" t="e">
            <v>#N/A</v>
          </cell>
          <cell r="P11" t="e">
            <v>#N/A</v>
          </cell>
          <cell r="Q11" t="e">
            <v>#N/A</v>
          </cell>
          <cell r="R11" t="e">
            <v>#N/A</v>
          </cell>
          <cell r="S11" t="e">
            <v>#N/A</v>
          </cell>
          <cell r="T11" t="e">
            <v>#N/A</v>
          </cell>
          <cell r="U11" t="e">
            <v>#N/A</v>
          </cell>
          <cell r="V11" t="e">
            <v>#N/A</v>
          </cell>
          <cell r="W11" t="e">
            <v>#N/A</v>
          </cell>
          <cell r="X11" t="e">
            <v>#N/A</v>
          </cell>
          <cell r="Z11" t="e">
            <v>#N/A</v>
          </cell>
          <cell r="AA11" t="e">
            <v>#N/A</v>
          </cell>
          <cell r="AB11" t="e">
            <v>#N/A</v>
          </cell>
          <cell r="AC11" t="e">
            <v>#N/A</v>
          </cell>
          <cell r="AD11" t="e">
            <v>#N/A</v>
          </cell>
          <cell r="AE11" t="e">
            <v>#N/A</v>
          </cell>
          <cell r="AF11" t="e">
            <v>#N/A</v>
          </cell>
          <cell r="AG11" t="e">
            <v>#N/A</v>
          </cell>
          <cell r="AH11" t="e">
            <v>#N/A</v>
          </cell>
          <cell r="AI11" t="e">
            <v>#N/A</v>
          </cell>
          <cell r="AJ11" t="e">
            <v>#N/A</v>
          </cell>
          <cell r="AK11" t="e">
            <v>#N/A</v>
          </cell>
          <cell r="AL11" t="e">
            <v>#N/A</v>
          </cell>
          <cell r="AM11" t="e">
            <v>#N/A</v>
          </cell>
          <cell r="AN11" t="e">
            <v>#N/A</v>
          </cell>
          <cell r="AO11" t="e">
            <v>#N/A</v>
          </cell>
          <cell r="AP11" t="e">
            <v>#N/A</v>
          </cell>
          <cell r="AQ11" t="e">
            <v>#N/A</v>
          </cell>
          <cell r="AR11" t="e">
            <v>#N/A</v>
          </cell>
          <cell r="AS11" t="e">
            <v>#N/A</v>
          </cell>
          <cell r="AT11" t="e">
            <v>#N/A</v>
          </cell>
          <cell r="AU11" t="e">
            <v>#N/A</v>
          </cell>
          <cell r="AV11" t="e">
            <v>#N/A</v>
          </cell>
          <cell r="AW11" t="e">
            <v>#N/A</v>
          </cell>
          <cell r="AX11" t="e">
            <v>#N/A</v>
          </cell>
          <cell r="AY11" t="e">
            <v>#N/A</v>
          </cell>
          <cell r="AZ11" t="e">
            <v>#N/A</v>
          </cell>
          <cell r="BA11" t="e">
            <v>#N/A</v>
          </cell>
          <cell r="BB11" t="e">
            <v>#N/A</v>
          </cell>
          <cell r="BC11" t="e">
            <v>#N/A</v>
          </cell>
          <cell r="BD11" t="e">
            <v>#N/A</v>
          </cell>
          <cell r="BE11" t="e">
            <v>#N/A</v>
          </cell>
          <cell r="BF11" t="e">
            <v>#N/A</v>
          </cell>
          <cell r="BG11" t="e">
            <v>#N/A</v>
          </cell>
          <cell r="BH11" t="e">
            <v>#N/A</v>
          </cell>
          <cell r="BI11" t="e">
            <v>#N/A</v>
          </cell>
          <cell r="BJ11" t="e">
            <v>#N/A</v>
          </cell>
          <cell r="BK11" t="e">
            <v>#N/A</v>
          </cell>
          <cell r="BL11" t="e">
            <v>#N/A</v>
          </cell>
          <cell r="BM11" t="e">
            <v>#N/A</v>
          </cell>
          <cell r="BN11" t="e">
            <v>#N/A</v>
          </cell>
          <cell r="BO11" t="e">
            <v>#N/A</v>
          </cell>
          <cell r="BP11" t="e">
            <v>#N/A</v>
          </cell>
          <cell r="BQ11" t="e">
            <v>#N/A</v>
          </cell>
          <cell r="BR11" t="e">
            <v>#N/A</v>
          </cell>
          <cell r="BS11" t="e">
            <v>#N/A</v>
          </cell>
          <cell r="BT11" t="e">
            <v>#N/A</v>
          </cell>
          <cell r="BU11" t="e">
            <v>#N/A</v>
          </cell>
          <cell r="BV11" t="e">
            <v>#N/A</v>
          </cell>
          <cell r="BW11" t="e">
            <v>#N/A</v>
          </cell>
          <cell r="BX11" t="e">
            <v>#N/A</v>
          </cell>
          <cell r="BY11" t="e">
            <v>#N/A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  <cell r="AV12" t="e">
            <v>#N/A</v>
          </cell>
          <cell r="AW12" t="e">
            <v>#N/A</v>
          </cell>
          <cell r="AX12" t="e">
            <v>#N/A</v>
          </cell>
          <cell r="AY12" t="e">
            <v>#N/A</v>
          </cell>
          <cell r="AZ12" t="e">
            <v>#N/A</v>
          </cell>
          <cell r="BA12" t="e">
            <v>#N/A</v>
          </cell>
          <cell r="BB12" t="e">
            <v>#N/A</v>
          </cell>
          <cell r="BC12" t="e">
            <v>#N/A</v>
          </cell>
          <cell r="BD12" t="e">
            <v>#N/A</v>
          </cell>
          <cell r="BE12" t="e">
            <v>#N/A</v>
          </cell>
          <cell r="BF12" t="e">
            <v>#N/A</v>
          </cell>
          <cell r="BG12" t="e">
            <v>#N/A</v>
          </cell>
          <cell r="BH12" t="e">
            <v>#N/A</v>
          </cell>
          <cell r="BI12" t="e">
            <v>#N/A</v>
          </cell>
          <cell r="BJ12" t="e">
            <v>#N/A</v>
          </cell>
          <cell r="BK12" t="e">
            <v>#N/A</v>
          </cell>
          <cell r="BL12" t="e">
            <v>#N/A</v>
          </cell>
          <cell r="BM12" t="e">
            <v>#N/A</v>
          </cell>
          <cell r="BN12" t="e">
            <v>#N/A</v>
          </cell>
          <cell r="BO12" t="e">
            <v>#N/A</v>
          </cell>
          <cell r="BP12" t="e">
            <v>#N/A</v>
          </cell>
          <cell r="BQ12" t="e">
            <v>#N/A</v>
          </cell>
          <cell r="BR12" t="e">
            <v>#N/A</v>
          </cell>
          <cell r="BS12" t="e">
            <v>#N/A</v>
          </cell>
          <cell r="BT12" t="e">
            <v>#N/A</v>
          </cell>
          <cell r="BU12" t="e">
            <v>#N/A</v>
          </cell>
          <cell r="BV12" t="e">
            <v>#N/A</v>
          </cell>
          <cell r="BW12" t="e">
            <v>#N/A</v>
          </cell>
          <cell r="BX12" t="e">
            <v>#N/A</v>
          </cell>
          <cell r="BY12" t="e">
            <v>#N/A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 t="e">
            <v>#N/A</v>
          </cell>
          <cell r="G13" t="e">
            <v>#N/A</v>
          </cell>
          <cell r="H13" t="e">
            <v>#N/A</v>
          </cell>
          <cell r="I13" t="e">
            <v>#N/A</v>
          </cell>
          <cell r="J13" t="e">
            <v>#N/A</v>
          </cell>
          <cell r="K13" t="e">
            <v>#N/A</v>
          </cell>
          <cell r="L13" t="e">
            <v>#N/A</v>
          </cell>
          <cell r="M13" t="e">
            <v>#N/A</v>
          </cell>
          <cell r="N13" t="e">
            <v>#N/A</v>
          </cell>
          <cell r="O13" t="e">
            <v>#N/A</v>
          </cell>
          <cell r="P13" t="e">
            <v>#N/A</v>
          </cell>
          <cell r="Q13" t="e">
            <v>#N/A</v>
          </cell>
          <cell r="R13" t="e">
            <v>#N/A</v>
          </cell>
          <cell r="S13" t="e">
            <v>#N/A</v>
          </cell>
          <cell r="T13" t="e">
            <v>#N/A</v>
          </cell>
          <cell r="U13" t="e">
            <v>#N/A</v>
          </cell>
          <cell r="V13" t="e">
            <v>#N/A</v>
          </cell>
          <cell r="W13" t="e">
            <v>#N/A</v>
          </cell>
          <cell r="X13" t="e">
            <v>#N/A</v>
          </cell>
          <cell r="Z13" t="e">
            <v>#N/A</v>
          </cell>
          <cell r="AA13" t="e">
            <v>#N/A</v>
          </cell>
          <cell r="AB13" t="e">
            <v>#N/A</v>
          </cell>
          <cell r="AC13" t="e">
            <v>#N/A</v>
          </cell>
          <cell r="AD13" t="e">
            <v>#N/A</v>
          </cell>
          <cell r="AE13" t="e">
            <v>#N/A</v>
          </cell>
          <cell r="AF13" t="e">
            <v>#N/A</v>
          </cell>
          <cell r="AG13" t="e">
            <v>#N/A</v>
          </cell>
          <cell r="AH13" t="e">
            <v>#N/A</v>
          </cell>
          <cell r="AI13" t="e">
            <v>#N/A</v>
          </cell>
          <cell r="AJ13" t="e">
            <v>#N/A</v>
          </cell>
          <cell r="AK13" t="e">
            <v>#N/A</v>
          </cell>
          <cell r="AL13" t="e">
            <v>#N/A</v>
          </cell>
          <cell r="AM13" t="e">
            <v>#N/A</v>
          </cell>
          <cell r="AN13" t="e">
            <v>#N/A</v>
          </cell>
          <cell r="AO13" t="e">
            <v>#N/A</v>
          </cell>
          <cell r="AP13" t="e">
            <v>#N/A</v>
          </cell>
          <cell r="AQ13" t="e">
            <v>#N/A</v>
          </cell>
          <cell r="AR13" t="e">
            <v>#N/A</v>
          </cell>
          <cell r="AS13" t="e">
            <v>#N/A</v>
          </cell>
          <cell r="AT13" t="e">
            <v>#N/A</v>
          </cell>
          <cell r="AU13" t="e">
            <v>#N/A</v>
          </cell>
          <cell r="AV13" t="e">
            <v>#N/A</v>
          </cell>
          <cell r="AW13" t="e">
            <v>#N/A</v>
          </cell>
          <cell r="AX13" t="e">
            <v>#N/A</v>
          </cell>
          <cell r="AY13" t="e">
            <v>#N/A</v>
          </cell>
          <cell r="AZ13" t="e">
            <v>#N/A</v>
          </cell>
          <cell r="BA13" t="e">
            <v>#N/A</v>
          </cell>
          <cell r="BB13" t="e">
            <v>#N/A</v>
          </cell>
          <cell r="BC13" t="e">
            <v>#N/A</v>
          </cell>
          <cell r="BD13" t="e">
            <v>#N/A</v>
          </cell>
          <cell r="BE13" t="e">
            <v>#N/A</v>
          </cell>
          <cell r="BF13" t="e">
            <v>#N/A</v>
          </cell>
          <cell r="BG13" t="e">
            <v>#N/A</v>
          </cell>
          <cell r="BH13" t="e">
            <v>#N/A</v>
          </cell>
          <cell r="BI13" t="e">
            <v>#N/A</v>
          </cell>
          <cell r="BJ13" t="e">
            <v>#N/A</v>
          </cell>
          <cell r="BK13" t="e">
            <v>#N/A</v>
          </cell>
          <cell r="BL13" t="e">
            <v>#N/A</v>
          </cell>
          <cell r="BM13" t="e">
            <v>#N/A</v>
          </cell>
          <cell r="BN13" t="e">
            <v>#N/A</v>
          </cell>
          <cell r="BO13" t="e">
            <v>#N/A</v>
          </cell>
          <cell r="BP13" t="e">
            <v>#N/A</v>
          </cell>
          <cell r="BQ13" t="e">
            <v>#N/A</v>
          </cell>
          <cell r="BR13" t="e">
            <v>#N/A</v>
          </cell>
          <cell r="BS13" t="e">
            <v>#N/A</v>
          </cell>
          <cell r="BT13" t="e">
            <v>#N/A</v>
          </cell>
          <cell r="BU13" t="e">
            <v>#N/A</v>
          </cell>
          <cell r="BV13" t="e">
            <v>#N/A</v>
          </cell>
          <cell r="BW13" t="e">
            <v>#N/A</v>
          </cell>
          <cell r="BX13" t="e">
            <v>#N/A</v>
          </cell>
          <cell r="BY13" t="e">
            <v>#N/A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Z14" t="e">
            <v>#N/A</v>
          </cell>
          <cell r="AA14" t="e">
            <v>#N/A</v>
          </cell>
          <cell r="AB14" t="e">
            <v>#N/A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N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 t="e">
            <v>#N/A</v>
          </cell>
          <cell r="AU14" t="e">
            <v>#N/A</v>
          </cell>
          <cell r="AV14" t="e">
            <v>#N/A</v>
          </cell>
          <cell r="AW14" t="e">
            <v>#N/A</v>
          </cell>
          <cell r="AX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  <cell r="AV15" t="e">
            <v>#N/A</v>
          </cell>
          <cell r="AW15" t="e">
            <v>#N/A</v>
          </cell>
          <cell r="AX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Z16" t="e">
            <v>#N/A</v>
          </cell>
          <cell r="AA16" t="e">
            <v>#N/A</v>
          </cell>
          <cell r="AB16" t="e">
            <v>#N/A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N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 t="e">
            <v>#N/A</v>
          </cell>
          <cell r="AU16" t="e">
            <v>#N/A</v>
          </cell>
          <cell r="AV16" t="e">
            <v>#N/A</v>
          </cell>
          <cell r="AW16" t="e">
            <v>#N/A</v>
          </cell>
          <cell r="AX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  <cell r="AV17" t="e">
            <v>#N/A</v>
          </cell>
          <cell r="AW17" t="e">
            <v>#N/A</v>
          </cell>
          <cell r="AX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Z18" t="e">
            <v>#N/A</v>
          </cell>
          <cell r="AA18" t="e">
            <v>#N/A</v>
          </cell>
          <cell r="AB18" t="e">
            <v>#N/A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N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 t="e">
            <v>#N/A</v>
          </cell>
          <cell r="AU18" t="e">
            <v>#N/A</v>
          </cell>
          <cell r="AV18" t="e">
            <v>#N/A</v>
          </cell>
          <cell r="AW18" t="e">
            <v>#N/A</v>
          </cell>
          <cell r="AX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Z19" t="e">
            <v>#N/A</v>
          </cell>
          <cell r="AA19" t="e">
            <v>#N/A</v>
          </cell>
          <cell r="AB19" t="e">
            <v>#N/A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N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 t="e">
            <v>#N/A</v>
          </cell>
          <cell r="AU19" t="e">
            <v>#N/A</v>
          </cell>
          <cell r="AV19" t="e">
            <v>#N/A</v>
          </cell>
          <cell r="AW19" t="e">
            <v>#N/A</v>
          </cell>
          <cell r="AX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  <cell r="AV20" t="e">
            <v>#N/A</v>
          </cell>
          <cell r="AW20" t="e">
            <v>#N/A</v>
          </cell>
          <cell r="AX20" t="e">
            <v>#N/A</v>
          </cell>
          <cell r="AY20" t="e">
            <v>#N/A</v>
          </cell>
          <cell r="AZ20" t="e">
            <v>#N/A</v>
          </cell>
          <cell r="BA20" t="e">
            <v>#N/A</v>
          </cell>
          <cell r="BB20" t="e">
            <v>#N/A</v>
          </cell>
          <cell r="BC20" t="e">
            <v>#N/A</v>
          </cell>
          <cell r="BD20" t="e">
            <v>#N/A</v>
          </cell>
          <cell r="BE20" t="e">
            <v>#N/A</v>
          </cell>
          <cell r="BF20" t="e">
            <v>#N/A</v>
          </cell>
          <cell r="BG20" t="e">
            <v>#N/A</v>
          </cell>
          <cell r="BH20" t="e">
            <v>#N/A</v>
          </cell>
          <cell r="BI20" t="e">
            <v>#N/A</v>
          </cell>
          <cell r="BJ20" t="e">
            <v>#N/A</v>
          </cell>
          <cell r="BK20" t="e">
            <v>#N/A</v>
          </cell>
          <cell r="BL20" t="e">
            <v>#N/A</v>
          </cell>
          <cell r="BM20" t="e">
            <v>#N/A</v>
          </cell>
          <cell r="BN20" t="e">
            <v>#N/A</v>
          </cell>
          <cell r="BO20" t="e">
            <v>#N/A</v>
          </cell>
          <cell r="BP20" t="e">
            <v>#N/A</v>
          </cell>
          <cell r="BQ20" t="e">
            <v>#N/A</v>
          </cell>
          <cell r="BR20" t="e">
            <v>#N/A</v>
          </cell>
          <cell r="BS20" t="e">
            <v>#N/A</v>
          </cell>
          <cell r="BT20" t="e">
            <v>#N/A</v>
          </cell>
          <cell r="BU20" t="e">
            <v>#N/A</v>
          </cell>
          <cell r="BV20" t="e">
            <v>#N/A</v>
          </cell>
          <cell r="BW20" t="e">
            <v>#N/A</v>
          </cell>
          <cell r="BX20" t="e">
            <v>#N/A</v>
          </cell>
          <cell r="BY20" t="e">
            <v>#N/A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 t="e">
            <v>#N/A</v>
          </cell>
          <cell r="G21" t="e">
            <v>#N/A</v>
          </cell>
          <cell r="H21" t="e">
            <v>#N/A</v>
          </cell>
          <cell r="I21" t="e">
            <v>#N/A</v>
          </cell>
          <cell r="J21" t="e">
            <v>#N/A</v>
          </cell>
          <cell r="K21" t="e">
            <v>#N/A</v>
          </cell>
          <cell r="L21" t="e">
            <v>#N/A</v>
          </cell>
          <cell r="M21" t="e">
            <v>#N/A</v>
          </cell>
          <cell r="N21" t="e">
            <v>#N/A</v>
          </cell>
          <cell r="O21" t="e">
            <v>#N/A</v>
          </cell>
          <cell r="P21" t="e">
            <v>#N/A</v>
          </cell>
          <cell r="Q21" t="e">
            <v>#N/A</v>
          </cell>
          <cell r="R21" t="e">
            <v>#N/A</v>
          </cell>
          <cell r="S21" t="e">
            <v>#N/A</v>
          </cell>
          <cell r="T21" t="e">
            <v>#N/A</v>
          </cell>
          <cell r="U21" t="e">
            <v>#N/A</v>
          </cell>
          <cell r="V21" t="e">
            <v>#N/A</v>
          </cell>
          <cell r="W21" t="e">
            <v>#N/A</v>
          </cell>
          <cell r="X21" t="e">
            <v>#N/A</v>
          </cell>
          <cell r="Z21" t="e">
            <v>#N/A</v>
          </cell>
          <cell r="AA21" t="e">
            <v>#N/A</v>
          </cell>
          <cell r="AB21" t="e">
            <v>#N/A</v>
          </cell>
          <cell r="AC21" t="e">
            <v>#N/A</v>
          </cell>
          <cell r="AD21" t="e">
            <v>#N/A</v>
          </cell>
          <cell r="AE21" t="e">
            <v>#N/A</v>
          </cell>
          <cell r="AF21" t="e">
            <v>#N/A</v>
          </cell>
          <cell r="AG21" t="e">
            <v>#N/A</v>
          </cell>
          <cell r="AH21" t="e">
            <v>#N/A</v>
          </cell>
          <cell r="AI21" t="e">
            <v>#N/A</v>
          </cell>
          <cell r="AJ21" t="e">
            <v>#N/A</v>
          </cell>
          <cell r="AK21" t="e">
            <v>#N/A</v>
          </cell>
          <cell r="AL21" t="e">
            <v>#N/A</v>
          </cell>
          <cell r="AM21" t="e">
            <v>#N/A</v>
          </cell>
          <cell r="AN21" t="e">
            <v>#N/A</v>
          </cell>
          <cell r="AO21" t="e">
            <v>#N/A</v>
          </cell>
          <cell r="AP21" t="e">
            <v>#N/A</v>
          </cell>
          <cell r="AQ21" t="e">
            <v>#N/A</v>
          </cell>
          <cell r="AR21" t="e">
            <v>#N/A</v>
          </cell>
          <cell r="AS21" t="e">
            <v>#N/A</v>
          </cell>
          <cell r="AT21" t="e">
            <v>#N/A</v>
          </cell>
          <cell r="AU21" t="e">
            <v>#N/A</v>
          </cell>
          <cell r="AV21" t="e">
            <v>#N/A</v>
          </cell>
          <cell r="AW21" t="e">
            <v>#N/A</v>
          </cell>
          <cell r="AX21" t="e">
            <v>#N/A</v>
          </cell>
          <cell r="AY21" t="e">
            <v>#N/A</v>
          </cell>
          <cell r="AZ21" t="e">
            <v>#N/A</v>
          </cell>
          <cell r="BA21" t="e">
            <v>#N/A</v>
          </cell>
          <cell r="BB21" t="e">
            <v>#N/A</v>
          </cell>
          <cell r="BC21" t="e">
            <v>#N/A</v>
          </cell>
          <cell r="BD21" t="e">
            <v>#N/A</v>
          </cell>
          <cell r="BE21" t="e">
            <v>#N/A</v>
          </cell>
          <cell r="BF21" t="e">
            <v>#N/A</v>
          </cell>
          <cell r="BG21" t="e">
            <v>#N/A</v>
          </cell>
          <cell r="BH21" t="e">
            <v>#N/A</v>
          </cell>
          <cell r="BI21" t="e">
            <v>#N/A</v>
          </cell>
          <cell r="BJ21" t="e">
            <v>#N/A</v>
          </cell>
          <cell r="BK21" t="e">
            <v>#N/A</v>
          </cell>
          <cell r="BL21" t="e">
            <v>#N/A</v>
          </cell>
          <cell r="BM21" t="e">
            <v>#N/A</v>
          </cell>
          <cell r="BN21" t="e">
            <v>#N/A</v>
          </cell>
          <cell r="BO21" t="e">
            <v>#N/A</v>
          </cell>
          <cell r="BP21" t="e">
            <v>#N/A</v>
          </cell>
          <cell r="BQ21" t="e">
            <v>#N/A</v>
          </cell>
          <cell r="BR21" t="e">
            <v>#N/A</v>
          </cell>
          <cell r="BS21" t="e">
            <v>#N/A</v>
          </cell>
          <cell r="BT21" t="e">
            <v>#N/A</v>
          </cell>
          <cell r="BU21" t="e">
            <v>#N/A</v>
          </cell>
          <cell r="BV21" t="e">
            <v>#N/A</v>
          </cell>
          <cell r="BW21" t="e">
            <v>#N/A</v>
          </cell>
          <cell r="BX21" t="e">
            <v>#N/A</v>
          </cell>
          <cell r="BY21" t="e">
            <v>#N/A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  <cell r="AV22" t="e">
            <v>#N/A</v>
          </cell>
          <cell r="AW22" t="e">
            <v>#N/A</v>
          </cell>
          <cell r="AX22" t="e">
            <v>#N/A</v>
          </cell>
          <cell r="AY22" t="e">
            <v>#N/A</v>
          </cell>
          <cell r="AZ22" t="e">
            <v>#N/A</v>
          </cell>
          <cell r="BA22" t="e">
            <v>#N/A</v>
          </cell>
          <cell r="BB22" t="e">
            <v>#N/A</v>
          </cell>
          <cell r="BC22" t="e">
            <v>#N/A</v>
          </cell>
          <cell r="BD22" t="e">
            <v>#N/A</v>
          </cell>
          <cell r="BE22" t="e">
            <v>#N/A</v>
          </cell>
          <cell r="BF22" t="e">
            <v>#N/A</v>
          </cell>
          <cell r="BG22" t="e">
            <v>#N/A</v>
          </cell>
          <cell r="BH22" t="e">
            <v>#N/A</v>
          </cell>
          <cell r="BI22" t="e">
            <v>#N/A</v>
          </cell>
          <cell r="BJ22" t="e">
            <v>#N/A</v>
          </cell>
          <cell r="BK22" t="e">
            <v>#N/A</v>
          </cell>
          <cell r="BL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  <cell r="BP22" t="e">
            <v>#N/A</v>
          </cell>
          <cell r="BQ22" t="e">
            <v>#N/A</v>
          </cell>
          <cell r="BR22" t="e">
            <v>#N/A</v>
          </cell>
          <cell r="BS22" t="e">
            <v>#N/A</v>
          </cell>
          <cell r="BT22" t="e">
            <v>#N/A</v>
          </cell>
          <cell r="BU22" t="e">
            <v>#N/A</v>
          </cell>
          <cell r="BV22" t="e">
            <v>#N/A</v>
          </cell>
          <cell r="BW22" t="e">
            <v>#N/A</v>
          </cell>
          <cell r="BX22" t="e">
            <v>#N/A</v>
          </cell>
          <cell r="BY22" t="e">
            <v>#N/A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 t="e">
            <v>#N/A</v>
          </cell>
          <cell r="G23" t="e">
            <v>#N/A</v>
          </cell>
          <cell r="H23" t="e">
            <v>#N/A</v>
          </cell>
          <cell r="I23" t="e">
            <v>#N/A</v>
          </cell>
          <cell r="J23" t="e">
            <v>#N/A</v>
          </cell>
          <cell r="K23" t="e">
            <v>#N/A</v>
          </cell>
          <cell r="L23" t="e">
            <v>#N/A</v>
          </cell>
          <cell r="M23" t="e">
            <v>#N/A</v>
          </cell>
          <cell r="N23" t="e">
            <v>#N/A</v>
          </cell>
          <cell r="O23" t="e">
            <v>#N/A</v>
          </cell>
          <cell r="P23" t="e">
            <v>#N/A</v>
          </cell>
          <cell r="Q23" t="e">
            <v>#N/A</v>
          </cell>
          <cell r="R23" t="e">
            <v>#N/A</v>
          </cell>
          <cell r="S23" t="e">
            <v>#N/A</v>
          </cell>
          <cell r="T23" t="e">
            <v>#N/A</v>
          </cell>
          <cell r="U23" t="e">
            <v>#N/A</v>
          </cell>
          <cell r="V23" t="e">
            <v>#N/A</v>
          </cell>
          <cell r="W23" t="e">
            <v>#N/A</v>
          </cell>
          <cell r="X23" t="e">
            <v>#N/A</v>
          </cell>
          <cell r="Z23" t="e">
            <v>#N/A</v>
          </cell>
          <cell r="AA23" t="e">
            <v>#N/A</v>
          </cell>
          <cell r="AB23" t="e">
            <v>#N/A</v>
          </cell>
          <cell r="AC23" t="e">
            <v>#N/A</v>
          </cell>
          <cell r="AD23" t="e">
            <v>#N/A</v>
          </cell>
          <cell r="AE23" t="e">
            <v>#N/A</v>
          </cell>
          <cell r="AF23" t="e">
            <v>#N/A</v>
          </cell>
          <cell r="AG23" t="e">
            <v>#N/A</v>
          </cell>
          <cell r="AH23" t="e">
            <v>#N/A</v>
          </cell>
          <cell r="AI23" t="e">
            <v>#N/A</v>
          </cell>
          <cell r="AJ23" t="e">
            <v>#N/A</v>
          </cell>
          <cell r="AK23" t="e">
            <v>#N/A</v>
          </cell>
          <cell r="AL23" t="e">
            <v>#N/A</v>
          </cell>
          <cell r="AM23" t="e">
            <v>#N/A</v>
          </cell>
          <cell r="AN23" t="e">
            <v>#N/A</v>
          </cell>
          <cell r="AO23" t="e">
            <v>#N/A</v>
          </cell>
          <cell r="AP23" t="e">
            <v>#N/A</v>
          </cell>
          <cell r="AQ23" t="e">
            <v>#N/A</v>
          </cell>
          <cell r="AR23" t="e">
            <v>#N/A</v>
          </cell>
          <cell r="AS23" t="e">
            <v>#N/A</v>
          </cell>
          <cell r="AT23" t="e">
            <v>#N/A</v>
          </cell>
          <cell r="AU23" t="e">
            <v>#N/A</v>
          </cell>
          <cell r="AV23" t="e">
            <v>#N/A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A23" t="e">
            <v>#N/A</v>
          </cell>
          <cell r="BB23" t="e">
            <v>#N/A</v>
          </cell>
          <cell r="BC23" t="e">
            <v>#N/A</v>
          </cell>
          <cell r="BD23" t="e">
            <v>#N/A</v>
          </cell>
          <cell r="BE23" t="e">
            <v>#N/A</v>
          </cell>
          <cell r="BF23" t="e">
            <v>#N/A</v>
          </cell>
          <cell r="BG23" t="e">
            <v>#N/A</v>
          </cell>
          <cell r="BH23" t="e">
            <v>#N/A</v>
          </cell>
          <cell r="BI23" t="e">
            <v>#N/A</v>
          </cell>
          <cell r="BJ23" t="e">
            <v>#N/A</v>
          </cell>
          <cell r="BK23" t="e">
            <v>#N/A</v>
          </cell>
          <cell r="BL23" t="e">
            <v>#N/A</v>
          </cell>
          <cell r="BM23" t="e">
            <v>#N/A</v>
          </cell>
          <cell r="BN23" t="e">
            <v>#N/A</v>
          </cell>
          <cell r="BO23" t="e">
            <v>#N/A</v>
          </cell>
          <cell r="BP23" t="e">
            <v>#N/A</v>
          </cell>
          <cell r="BQ23" t="e">
            <v>#N/A</v>
          </cell>
          <cell r="BR23" t="e">
            <v>#N/A</v>
          </cell>
          <cell r="BS23" t="e">
            <v>#N/A</v>
          </cell>
          <cell r="BT23" t="e">
            <v>#N/A</v>
          </cell>
          <cell r="BU23" t="e">
            <v>#N/A</v>
          </cell>
          <cell r="BV23" t="e">
            <v>#N/A</v>
          </cell>
          <cell r="BW23" t="e">
            <v>#N/A</v>
          </cell>
          <cell r="BX23" t="e">
            <v>#N/A</v>
          </cell>
          <cell r="BY23" t="e">
            <v>#N/A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  <cell r="AV24" t="e">
            <v>#N/A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A24" t="e">
            <v>#N/A</v>
          </cell>
          <cell r="BB24" t="e">
            <v>#N/A</v>
          </cell>
          <cell r="BC24" t="e">
            <v>#N/A</v>
          </cell>
          <cell r="BD24" t="e">
            <v>#N/A</v>
          </cell>
          <cell r="BE24" t="e">
            <v>#N/A</v>
          </cell>
          <cell r="BF24" t="e">
            <v>#N/A</v>
          </cell>
          <cell r="BG24" t="e">
            <v>#N/A</v>
          </cell>
          <cell r="BH24" t="e">
            <v>#N/A</v>
          </cell>
          <cell r="BI24" t="e">
            <v>#N/A</v>
          </cell>
          <cell r="BJ24" t="e">
            <v>#N/A</v>
          </cell>
          <cell r="BK24" t="e">
            <v>#N/A</v>
          </cell>
          <cell r="BL24" t="e">
            <v>#N/A</v>
          </cell>
          <cell r="BM24" t="e">
            <v>#N/A</v>
          </cell>
          <cell r="BN24" t="e">
            <v>#N/A</v>
          </cell>
          <cell r="BO24" t="e">
            <v>#N/A</v>
          </cell>
          <cell r="BP24" t="e">
            <v>#N/A</v>
          </cell>
          <cell r="BQ24" t="e">
            <v>#N/A</v>
          </cell>
          <cell r="BR24" t="e">
            <v>#N/A</v>
          </cell>
          <cell r="BS24" t="e">
            <v>#N/A</v>
          </cell>
          <cell r="BT24" t="e">
            <v>#N/A</v>
          </cell>
          <cell r="BU24" t="e">
            <v>#N/A</v>
          </cell>
          <cell r="BV24" t="e">
            <v>#N/A</v>
          </cell>
          <cell r="BW24" t="e">
            <v>#N/A</v>
          </cell>
          <cell r="BX24" t="e">
            <v>#N/A</v>
          </cell>
          <cell r="BY24" t="e">
            <v>#N/A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 t="e">
            <v>#N/A</v>
          </cell>
          <cell r="G25" t="e">
            <v>#N/A</v>
          </cell>
          <cell r="H25" t="e">
            <v>#N/A</v>
          </cell>
          <cell r="I25" t="e">
            <v>#N/A</v>
          </cell>
          <cell r="J25" t="e">
            <v>#N/A</v>
          </cell>
          <cell r="K25" t="e">
            <v>#N/A</v>
          </cell>
          <cell r="L25" t="e">
            <v>#N/A</v>
          </cell>
          <cell r="M25" t="e">
            <v>#N/A</v>
          </cell>
          <cell r="N25" t="e">
            <v>#N/A</v>
          </cell>
          <cell r="O25" t="e">
            <v>#N/A</v>
          </cell>
          <cell r="P25" t="e">
            <v>#N/A</v>
          </cell>
          <cell r="Q25" t="e">
            <v>#N/A</v>
          </cell>
          <cell r="R25" t="e">
            <v>#N/A</v>
          </cell>
          <cell r="S25" t="e">
            <v>#N/A</v>
          </cell>
          <cell r="T25" t="e">
            <v>#N/A</v>
          </cell>
          <cell r="U25" t="e">
            <v>#N/A</v>
          </cell>
          <cell r="V25" t="e">
            <v>#N/A</v>
          </cell>
          <cell r="W25" t="e">
            <v>#N/A</v>
          </cell>
          <cell r="X25" t="e">
            <v>#N/A</v>
          </cell>
          <cell r="Z25" t="e">
            <v>#N/A</v>
          </cell>
          <cell r="AA25" t="e">
            <v>#N/A</v>
          </cell>
          <cell r="AB25" t="e">
            <v>#N/A</v>
          </cell>
          <cell r="AC25" t="e">
            <v>#N/A</v>
          </cell>
          <cell r="AD25" t="e">
            <v>#N/A</v>
          </cell>
          <cell r="AE25" t="e">
            <v>#N/A</v>
          </cell>
          <cell r="AF25" t="e">
            <v>#N/A</v>
          </cell>
          <cell r="AG25" t="e">
            <v>#N/A</v>
          </cell>
          <cell r="AH25" t="e">
            <v>#N/A</v>
          </cell>
          <cell r="AI25" t="e">
            <v>#N/A</v>
          </cell>
          <cell r="AJ25" t="e">
            <v>#N/A</v>
          </cell>
          <cell r="AK25" t="e">
            <v>#N/A</v>
          </cell>
          <cell r="AL25" t="e">
            <v>#N/A</v>
          </cell>
          <cell r="AM25" t="e">
            <v>#N/A</v>
          </cell>
          <cell r="AN25" t="e">
            <v>#N/A</v>
          </cell>
          <cell r="AO25" t="e">
            <v>#N/A</v>
          </cell>
          <cell r="AP25" t="e">
            <v>#N/A</v>
          </cell>
          <cell r="AQ25" t="e">
            <v>#N/A</v>
          </cell>
          <cell r="AR25" t="e">
            <v>#N/A</v>
          </cell>
          <cell r="AS25" t="e">
            <v>#N/A</v>
          </cell>
          <cell r="AT25" t="e">
            <v>#N/A</v>
          </cell>
          <cell r="AU25" t="e">
            <v>#N/A</v>
          </cell>
          <cell r="AV25" t="e">
            <v>#N/A</v>
          </cell>
          <cell r="AW25" t="e">
            <v>#N/A</v>
          </cell>
          <cell r="AX25" t="e">
            <v>#N/A</v>
          </cell>
          <cell r="AY25" t="e">
            <v>#N/A</v>
          </cell>
          <cell r="AZ25" t="e">
            <v>#N/A</v>
          </cell>
          <cell r="BA25" t="e">
            <v>#N/A</v>
          </cell>
          <cell r="BB25" t="e">
            <v>#N/A</v>
          </cell>
          <cell r="BC25" t="e">
            <v>#N/A</v>
          </cell>
          <cell r="BD25" t="e">
            <v>#N/A</v>
          </cell>
          <cell r="BE25" t="e">
            <v>#N/A</v>
          </cell>
          <cell r="BF25" t="e">
            <v>#N/A</v>
          </cell>
          <cell r="BG25" t="e">
            <v>#N/A</v>
          </cell>
          <cell r="BH25" t="e">
            <v>#N/A</v>
          </cell>
          <cell r="BI25" t="e">
            <v>#N/A</v>
          </cell>
          <cell r="BJ25" t="e">
            <v>#N/A</v>
          </cell>
          <cell r="BK25" t="e">
            <v>#N/A</v>
          </cell>
          <cell r="BL25" t="e">
            <v>#N/A</v>
          </cell>
          <cell r="BM25" t="e">
            <v>#N/A</v>
          </cell>
          <cell r="BN25" t="e">
            <v>#N/A</v>
          </cell>
          <cell r="BO25" t="e">
            <v>#N/A</v>
          </cell>
          <cell r="BP25" t="e">
            <v>#N/A</v>
          </cell>
          <cell r="BQ25" t="e">
            <v>#N/A</v>
          </cell>
          <cell r="BR25" t="e">
            <v>#N/A</v>
          </cell>
          <cell r="BS25" t="e">
            <v>#N/A</v>
          </cell>
          <cell r="BT25" t="e">
            <v>#N/A</v>
          </cell>
          <cell r="BU25" t="e">
            <v>#N/A</v>
          </cell>
          <cell r="BV25" t="e">
            <v>#N/A</v>
          </cell>
          <cell r="BW25" t="e">
            <v>#N/A</v>
          </cell>
          <cell r="BX25" t="e">
            <v>#N/A</v>
          </cell>
          <cell r="BY25" t="e">
            <v>#N/A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  <cell r="AV26" t="e">
            <v>#N/A</v>
          </cell>
          <cell r="AW26" t="e">
            <v>#N/A</v>
          </cell>
          <cell r="AX26" t="e">
            <v>#N/A</v>
          </cell>
          <cell r="AY26" t="e">
            <v>#N/A</v>
          </cell>
          <cell r="AZ26" t="e">
            <v>#N/A</v>
          </cell>
          <cell r="BA26" t="e">
            <v>#N/A</v>
          </cell>
          <cell r="BB26" t="e">
            <v>#N/A</v>
          </cell>
          <cell r="BC26" t="e">
            <v>#N/A</v>
          </cell>
          <cell r="BD26" t="e">
            <v>#N/A</v>
          </cell>
          <cell r="BE26" t="e">
            <v>#N/A</v>
          </cell>
          <cell r="BF26" t="e">
            <v>#N/A</v>
          </cell>
          <cell r="BG26" t="e">
            <v>#N/A</v>
          </cell>
          <cell r="BH26" t="e">
            <v>#N/A</v>
          </cell>
          <cell r="BI26" t="e">
            <v>#N/A</v>
          </cell>
          <cell r="BJ26" t="e">
            <v>#N/A</v>
          </cell>
          <cell r="BK26" t="e">
            <v>#N/A</v>
          </cell>
          <cell r="BL26" t="e">
            <v>#N/A</v>
          </cell>
          <cell r="BM26" t="e">
            <v>#N/A</v>
          </cell>
          <cell r="BN26" t="e">
            <v>#N/A</v>
          </cell>
          <cell r="BO26" t="e">
            <v>#N/A</v>
          </cell>
          <cell r="BP26" t="e">
            <v>#N/A</v>
          </cell>
          <cell r="BQ26" t="e">
            <v>#N/A</v>
          </cell>
          <cell r="BR26" t="e">
            <v>#N/A</v>
          </cell>
          <cell r="BS26" t="e">
            <v>#N/A</v>
          </cell>
          <cell r="BT26" t="e">
            <v>#N/A</v>
          </cell>
          <cell r="BU26" t="e">
            <v>#N/A</v>
          </cell>
          <cell r="BV26" t="e">
            <v>#N/A</v>
          </cell>
          <cell r="BW26" t="e">
            <v>#N/A</v>
          </cell>
          <cell r="BX26" t="e">
            <v>#N/A</v>
          </cell>
          <cell r="BY26" t="e">
            <v>#N/A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 t="e">
            <v>#N/A</v>
          </cell>
          <cell r="G27" t="e">
            <v>#N/A</v>
          </cell>
          <cell r="H27" t="e">
            <v>#N/A</v>
          </cell>
          <cell r="I27" t="e">
            <v>#N/A</v>
          </cell>
          <cell r="J27" t="e">
            <v>#N/A</v>
          </cell>
          <cell r="K27" t="e">
            <v>#N/A</v>
          </cell>
          <cell r="L27" t="e">
            <v>#N/A</v>
          </cell>
          <cell r="M27" t="e">
            <v>#N/A</v>
          </cell>
          <cell r="N27" t="e">
            <v>#N/A</v>
          </cell>
          <cell r="O27" t="e">
            <v>#N/A</v>
          </cell>
          <cell r="P27" t="e">
            <v>#N/A</v>
          </cell>
          <cell r="Q27" t="e">
            <v>#N/A</v>
          </cell>
          <cell r="R27" t="e">
            <v>#N/A</v>
          </cell>
          <cell r="S27" t="e">
            <v>#N/A</v>
          </cell>
          <cell r="T27" t="e">
            <v>#N/A</v>
          </cell>
          <cell r="U27" t="e">
            <v>#N/A</v>
          </cell>
          <cell r="V27" t="e">
            <v>#N/A</v>
          </cell>
          <cell r="W27" t="e">
            <v>#N/A</v>
          </cell>
          <cell r="X27" t="e">
            <v>#N/A</v>
          </cell>
          <cell r="Z27" t="e">
            <v>#N/A</v>
          </cell>
          <cell r="AA27" t="e">
            <v>#N/A</v>
          </cell>
          <cell r="AB27" t="e">
            <v>#N/A</v>
          </cell>
          <cell r="AC27" t="e">
            <v>#N/A</v>
          </cell>
          <cell r="AD27" t="e">
            <v>#N/A</v>
          </cell>
          <cell r="AE27" t="e">
            <v>#N/A</v>
          </cell>
          <cell r="AF27" t="e">
            <v>#N/A</v>
          </cell>
          <cell r="AG27" t="e">
            <v>#N/A</v>
          </cell>
          <cell r="AH27" t="e">
            <v>#N/A</v>
          </cell>
          <cell r="AI27" t="e">
            <v>#N/A</v>
          </cell>
          <cell r="AJ27" t="e">
            <v>#N/A</v>
          </cell>
          <cell r="AK27" t="e">
            <v>#N/A</v>
          </cell>
          <cell r="AL27" t="e">
            <v>#N/A</v>
          </cell>
          <cell r="AM27" t="e">
            <v>#N/A</v>
          </cell>
          <cell r="AN27" t="e">
            <v>#N/A</v>
          </cell>
          <cell r="AO27" t="e">
            <v>#N/A</v>
          </cell>
          <cell r="AP27" t="e">
            <v>#N/A</v>
          </cell>
          <cell r="AQ27" t="e">
            <v>#N/A</v>
          </cell>
          <cell r="AR27" t="e">
            <v>#N/A</v>
          </cell>
          <cell r="AS27" t="e">
            <v>#N/A</v>
          </cell>
          <cell r="AT27" t="e">
            <v>#N/A</v>
          </cell>
          <cell r="AU27" t="e">
            <v>#N/A</v>
          </cell>
          <cell r="AV27" t="e">
            <v>#N/A</v>
          </cell>
          <cell r="AW27" t="e">
            <v>#N/A</v>
          </cell>
          <cell r="AX27" t="e">
            <v>#N/A</v>
          </cell>
          <cell r="AY27" t="e">
            <v>#N/A</v>
          </cell>
          <cell r="AZ27" t="e">
            <v>#N/A</v>
          </cell>
          <cell r="BA27" t="e">
            <v>#N/A</v>
          </cell>
          <cell r="BB27" t="e">
            <v>#N/A</v>
          </cell>
          <cell r="BC27" t="e">
            <v>#N/A</v>
          </cell>
          <cell r="BD27" t="e">
            <v>#N/A</v>
          </cell>
          <cell r="BE27" t="e">
            <v>#N/A</v>
          </cell>
          <cell r="BF27" t="e">
            <v>#N/A</v>
          </cell>
          <cell r="BG27" t="e">
            <v>#N/A</v>
          </cell>
          <cell r="BH27" t="e">
            <v>#N/A</v>
          </cell>
          <cell r="BI27" t="e">
            <v>#N/A</v>
          </cell>
          <cell r="BJ27" t="e">
            <v>#N/A</v>
          </cell>
          <cell r="BK27" t="e">
            <v>#N/A</v>
          </cell>
          <cell r="BL27" t="e">
            <v>#N/A</v>
          </cell>
          <cell r="BM27" t="e">
            <v>#N/A</v>
          </cell>
          <cell r="BN27" t="e">
            <v>#N/A</v>
          </cell>
          <cell r="BO27" t="e">
            <v>#N/A</v>
          </cell>
          <cell r="BP27" t="e">
            <v>#N/A</v>
          </cell>
          <cell r="BQ27" t="e">
            <v>#N/A</v>
          </cell>
          <cell r="BR27" t="e">
            <v>#N/A</v>
          </cell>
          <cell r="BS27" t="e">
            <v>#N/A</v>
          </cell>
          <cell r="BT27" t="e">
            <v>#N/A</v>
          </cell>
          <cell r="BU27" t="e">
            <v>#N/A</v>
          </cell>
          <cell r="BV27" t="e">
            <v>#N/A</v>
          </cell>
          <cell r="BW27" t="e">
            <v>#N/A</v>
          </cell>
          <cell r="BX27" t="e">
            <v>#N/A</v>
          </cell>
          <cell r="BY27" t="e">
            <v>#N/A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  <cell r="AV28" t="e">
            <v>#N/A</v>
          </cell>
          <cell r="AW28" t="e">
            <v>#N/A</v>
          </cell>
          <cell r="AX28" t="e">
            <v>#N/A</v>
          </cell>
          <cell r="AY28" t="e">
            <v>#N/A</v>
          </cell>
          <cell r="AZ28" t="e">
            <v>#N/A</v>
          </cell>
          <cell r="BA28" t="e">
            <v>#N/A</v>
          </cell>
          <cell r="BB28" t="e">
            <v>#N/A</v>
          </cell>
          <cell r="BC28" t="e">
            <v>#N/A</v>
          </cell>
          <cell r="BD28" t="e">
            <v>#N/A</v>
          </cell>
          <cell r="BE28" t="e">
            <v>#N/A</v>
          </cell>
          <cell r="BF28" t="e">
            <v>#N/A</v>
          </cell>
          <cell r="BG28" t="e">
            <v>#N/A</v>
          </cell>
          <cell r="BH28" t="e">
            <v>#N/A</v>
          </cell>
          <cell r="BI28" t="e">
            <v>#N/A</v>
          </cell>
          <cell r="BJ28" t="e">
            <v>#N/A</v>
          </cell>
          <cell r="BK28" t="e">
            <v>#N/A</v>
          </cell>
          <cell r="BL28" t="e">
            <v>#N/A</v>
          </cell>
          <cell r="BM28" t="e">
            <v>#N/A</v>
          </cell>
          <cell r="BN28" t="e">
            <v>#N/A</v>
          </cell>
          <cell r="BO28" t="e">
            <v>#N/A</v>
          </cell>
          <cell r="BP28" t="e">
            <v>#N/A</v>
          </cell>
          <cell r="BQ28" t="e">
            <v>#N/A</v>
          </cell>
          <cell r="BR28" t="e">
            <v>#N/A</v>
          </cell>
          <cell r="BS28" t="e">
            <v>#N/A</v>
          </cell>
          <cell r="BT28" t="e">
            <v>#N/A</v>
          </cell>
          <cell r="BU28" t="e">
            <v>#N/A</v>
          </cell>
          <cell r="BV28" t="e">
            <v>#N/A</v>
          </cell>
          <cell r="BW28" t="e">
            <v>#N/A</v>
          </cell>
          <cell r="BX28" t="e">
            <v>#N/A</v>
          </cell>
          <cell r="BY28" t="e">
            <v>#N/A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  <cell r="AV30" t="e">
            <v>#N/A</v>
          </cell>
          <cell r="AW30" t="e">
            <v>#N/A</v>
          </cell>
          <cell r="AX30" t="e">
            <v>#N/A</v>
          </cell>
          <cell r="AY30" t="e">
            <v>#N/A</v>
          </cell>
          <cell r="AZ30" t="e">
            <v>#N/A</v>
          </cell>
          <cell r="BA30" t="e">
            <v>#N/A</v>
          </cell>
          <cell r="BB30" t="e">
            <v>#N/A</v>
          </cell>
          <cell r="BC30" t="e">
            <v>#N/A</v>
          </cell>
          <cell r="BD30" t="e">
            <v>#N/A</v>
          </cell>
          <cell r="BE30" t="e">
            <v>#N/A</v>
          </cell>
          <cell r="BF30" t="e">
            <v>#N/A</v>
          </cell>
          <cell r="BG30" t="e">
            <v>#N/A</v>
          </cell>
          <cell r="BH30" t="e">
            <v>#N/A</v>
          </cell>
          <cell r="BI30" t="e">
            <v>#N/A</v>
          </cell>
          <cell r="BJ30" t="e">
            <v>#N/A</v>
          </cell>
          <cell r="BK30" t="e">
            <v>#N/A</v>
          </cell>
          <cell r="BL30" t="e">
            <v>#N/A</v>
          </cell>
          <cell r="BM30" t="e">
            <v>#N/A</v>
          </cell>
          <cell r="BN30" t="e">
            <v>#N/A</v>
          </cell>
          <cell r="BO30" t="e">
            <v>#N/A</v>
          </cell>
          <cell r="BP30" t="e">
            <v>#N/A</v>
          </cell>
          <cell r="BQ30" t="e">
            <v>#N/A</v>
          </cell>
          <cell r="BR30" t="e">
            <v>#N/A</v>
          </cell>
          <cell r="BS30" t="e">
            <v>#N/A</v>
          </cell>
          <cell r="BT30" t="e">
            <v>#N/A</v>
          </cell>
          <cell r="BU30" t="e">
            <v>#N/A</v>
          </cell>
          <cell r="BV30" t="e">
            <v>#N/A</v>
          </cell>
          <cell r="BW30" t="e">
            <v>#N/A</v>
          </cell>
          <cell r="BX30" t="e">
            <v>#N/A</v>
          </cell>
          <cell r="BY30" t="e">
            <v>#N/A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 t="e">
            <v>#N/A</v>
          </cell>
          <cell r="G31" t="e">
            <v>#N/A</v>
          </cell>
          <cell r="H31" t="e">
            <v>#N/A</v>
          </cell>
          <cell r="I31" t="e">
            <v>#N/A</v>
          </cell>
          <cell r="J31" t="e">
            <v>#N/A</v>
          </cell>
          <cell r="K31" t="e">
            <v>#N/A</v>
          </cell>
          <cell r="L31" t="e">
            <v>#N/A</v>
          </cell>
          <cell r="M31" t="e">
            <v>#N/A</v>
          </cell>
          <cell r="N31" t="e">
            <v>#N/A</v>
          </cell>
          <cell r="O31" t="e">
            <v>#N/A</v>
          </cell>
          <cell r="P31" t="e">
            <v>#N/A</v>
          </cell>
          <cell r="Q31" t="e">
            <v>#N/A</v>
          </cell>
          <cell r="R31" t="e">
            <v>#N/A</v>
          </cell>
          <cell r="S31" t="e">
            <v>#N/A</v>
          </cell>
          <cell r="T31" t="e">
            <v>#N/A</v>
          </cell>
          <cell r="U31" t="e">
            <v>#N/A</v>
          </cell>
          <cell r="V31" t="e">
            <v>#N/A</v>
          </cell>
          <cell r="W31" t="e">
            <v>#N/A</v>
          </cell>
          <cell r="X31" t="e">
            <v>#N/A</v>
          </cell>
          <cell r="Z31" t="e">
            <v>#N/A</v>
          </cell>
          <cell r="AA31" t="e">
            <v>#N/A</v>
          </cell>
          <cell r="AB31" t="e">
            <v>#N/A</v>
          </cell>
          <cell r="AC31" t="e">
            <v>#N/A</v>
          </cell>
          <cell r="AD31" t="e">
            <v>#N/A</v>
          </cell>
          <cell r="AE31" t="e">
            <v>#N/A</v>
          </cell>
          <cell r="AF31" t="e">
            <v>#N/A</v>
          </cell>
          <cell r="AG31" t="e">
            <v>#N/A</v>
          </cell>
          <cell r="AH31" t="e">
            <v>#N/A</v>
          </cell>
          <cell r="AI31" t="e">
            <v>#N/A</v>
          </cell>
          <cell r="AJ31" t="e">
            <v>#N/A</v>
          </cell>
          <cell r="AK31" t="e">
            <v>#N/A</v>
          </cell>
          <cell r="AL31" t="e">
            <v>#N/A</v>
          </cell>
          <cell r="AM31" t="e">
            <v>#N/A</v>
          </cell>
          <cell r="AN31" t="e">
            <v>#N/A</v>
          </cell>
          <cell r="AO31" t="e">
            <v>#N/A</v>
          </cell>
          <cell r="AP31" t="e">
            <v>#N/A</v>
          </cell>
          <cell r="AQ31" t="e">
            <v>#N/A</v>
          </cell>
          <cell r="AR31" t="e">
            <v>#N/A</v>
          </cell>
          <cell r="AS31" t="e">
            <v>#N/A</v>
          </cell>
          <cell r="AT31" t="e">
            <v>#N/A</v>
          </cell>
          <cell r="AU31" t="e">
            <v>#N/A</v>
          </cell>
          <cell r="AV31" t="e">
            <v>#N/A</v>
          </cell>
          <cell r="AW31" t="e">
            <v>#N/A</v>
          </cell>
          <cell r="AX31" t="e">
            <v>#N/A</v>
          </cell>
          <cell r="AY31" t="e">
            <v>#N/A</v>
          </cell>
          <cell r="AZ31" t="e">
            <v>#N/A</v>
          </cell>
          <cell r="BA31" t="e">
            <v>#N/A</v>
          </cell>
          <cell r="BB31" t="e">
            <v>#N/A</v>
          </cell>
          <cell r="BC31" t="e">
            <v>#N/A</v>
          </cell>
          <cell r="BD31" t="e">
            <v>#N/A</v>
          </cell>
          <cell r="BE31" t="e">
            <v>#N/A</v>
          </cell>
          <cell r="BF31" t="e">
            <v>#N/A</v>
          </cell>
          <cell r="BG31" t="e">
            <v>#N/A</v>
          </cell>
          <cell r="BH31" t="e">
            <v>#N/A</v>
          </cell>
          <cell r="BI31" t="e">
            <v>#N/A</v>
          </cell>
          <cell r="BJ31" t="e">
            <v>#N/A</v>
          </cell>
          <cell r="BK31" t="e">
            <v>#N/A</v>
          </cell>
          <cell r="BL31" t="e">
            <v>#N/A</v>
          </cell>
          <cell r="BM31" t="e">
            <v>#N/A</v>
          </cell>
          <cell r="BN31" t="e">
            <v>#N/A</v>
          </cell>
          <cell r="BO31" t="e">
            <v>#N/A</v>
          </cell>
          <cell r="BP31" t="e">
            <v>#N/A</v>
          </cell>
          <cell r="BQ31" t="e">
            <v>#N/A</v>
          </cell>
          <cell r="BR31" t="e">
            <v>#N/A</v>
          </cell>
          <cell r="BS31" t="e">
            <v>#N/A</v>
          </cell>
          <cell r="BT31" t="e">
            <v>#N/A</v>
          </cell>
          <cell r="BU31" t="e">
            <v>#N/A</v>
          </cell>
          <cell r="BV31" t="e">
            <v>#N/A</v>
          </cell>
          <cell r="BW31" t="e">
            <v>#N/A</v>
          </cell>
          <cell r="BX31" t="e">
            <v>#N/A</v>
          </cell>
          <cell r="BY31" t="e">
            <v>#N/A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  <cell r="AV32" t="e">
            <v>#N/A</v>
          </cell>
          <cell r="AW32" t="e">
            <v>#N/A</v>
          </cell>
          <cell r="AX32" t="e">
            <v>#N/A</v>
          </cell>
          <cell r="AY32" t="e">
            <v>#N/A</v>
          </cell>
          <cell r="AZ32" t="e">
            <v>#N/A</v>
          </cell>
          <cell r="BA32" t="e">
            <v>#N/A</v>
          </cell>
          <cell r="BB32" t="e">
            <v>#N/A</v>
          </cell>
          <cell r="BC32" t="e">
            <v>#N/A</v>
          </cell>
          <cell r="BD32" t="e">
            <v>#N/A</v>
          </cell>
          <cell r="BE32" t="e">
            <v>#N/A</v>
          </cell>
          <cell r="BF32" t="e">
            <v>#N/A</v>
          </cell>
          <cell r="BG32" t="e">
            <v>#N/A</v>
          </cell>
          <cell r="BH32" t="e">
            <v>#N/A</v>
          </cell>
          <cell r="BI32" t="e">
            <v>#N/A</v>
          </cell>
          <cell r="BJ32" t="e">
            <v>#N/A</v>
          </cell>
          <cell r="BK32" t="e">
            <v>#N/A</v>
          </cell>
          <cell r="BL32" t="e">
            <v>#N/A</v>
          </cell>
          <cell r="BM32" t="e">
            <v>#N/A</v>
          </cell>
          <cell r="BN32" t="e">
            <v>#N/A</v>
          </cell>
          <cell r="BO32" t="e">
            <v>#N/A</v>
          </cell>
          <cell r="BP32" t="e">
            <v>#N/A</v>
          </cell>
          <cell r="BQ32" t="e">
            <v>#N/A</v>
          </cell>
          <cell r="BR32" t="e">
            <v>#N/A</v>
          </cell>
          <cell r="BS32" t="e">
            <v>#N/A</v>
          </cell>
          <cell r="BT32" t="e">
            <v>#N/A</v>
          </cell>
          <cell r="BU32" t="e">
            <v>#N/A</v>
          </cell>
          <cell r="BV32" t="e">
            <v>#N/A</v>
          </cell>
          <cell r="BW32" t="e">
            <v>#N/A</v>
          </cell>
          <cell r="BX32" t="e">
            <v>#N/A</v>
          </cell>
          <cell r="BY32" t="e">
            <v>#N/A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  <cell r="X33" t="e">
            <v>#N/A</v>
          </cell>
          <cell r="Z33" t="e">
            <v>#N/A</v>
          </cell>
          <cell r="AA33" t="e">
            <v>#N/A</v>
          </cell>
          <cell r="AB33" t="e">
            <v>#N/A</v>
          </cell>
          <cell r="AC33" t="e">
            <v>#N/A</v>
          </cell>
          <cell r="AD33" t="e">
            <v>#N/A</v>
          </cell>
          <cell r="AE33" t="e">
            <v>#N/A</v>
          </cell>
          <cell r="AF33" t="e">
            <v>#N/A</v>
          </cell>
          <cell r="AG33" t="e">
            <v>#N/A</v>
          </cell>
          <cell r="AH33" t="e">
            <v>#N/A</v>
          </cell>
          <cell r="AI33" t="e">
            <v>#N/A</v>
          </cell>
          <cell r="AJ33" t="e">
            <v>#N/A</v>
          </cell>
          <cell r="AK33" t="e">
            <v>#N/A</v>
          </cell>
          <cell r="AL33" t="e">
            <v>#N/A</v>
          </cell>
          <cell r="AM33" t="e">
            <v>#N/A</v>
          </cell>
          <cell r="AN33" t="e">
            <v>#N/A</v>
          </cell>
          <cell r="AO33" t="e">
            <v>#N/A</v>
          </cell>
          <cell r="AP33" t="e">
            <v>#N/A</v>
          </cell>
          <cell r="AQ33" t="e">
            <v>#N/A</v>
          </cell>
          <cell r="AR33" t="e">
            <v>#N/A</v>
          </cell>
          <cell r="AS33" t="e">
            <v>#N/A</v>
          </cell>
          <cell r="AT33" t="e">
            <v>#N/A</v>
          </cell>
          <cell r="AU33" t="e">
            <v>#N/A</v>
          </cell>
          <cell r="AV33" t="e">
            <v>#N/A</v>
          </cell>
          <cell r="AW33" t="e">
            <v>#N/A</v>
          </cell>
          <cell r="AX33" t="e">
            <v>#N/A</v>
          </cell>
          <cell r="AY33" t="e">
            <v>#N/A</v>
          </cell>
          <cell r="AZ33" t="e">
            <v>#N/A</v>
          </cell>
          <cell r="BA33" t="e">
            <v>#N/A</v>
          </cell>
          <cell r="BB33" t="e">
            <v>#N/A</v>
          </cell>
          <cell r="BC33" t="e">
            <v>#N/A</v>
          </cell>
          <cell r="BD33" t="e">
            <v>#N/A</v>
          </cell>
          <cell r="BE33" t="e">
            <v>#N/A</v>
          </cell>
          <cell r="BF33" t="e">
            <v>#N/A</v>
          </cell>
          <cell r="BG33" t="e">
            <v>#N/A</v>
          </cell>
          <cell r="BH33" t="e">
            <v>#N/A</v>
          </cell>
          <cell r="BI33" t="e">
            <v>#N/A</v>
          </cell>
          <cell r="BJ33" t="e">
            <v>#N/A</v>
          </cell>
          <cell r="BK33" t="e">
            <v>#N/A</v>
          </cell>
          <cell r="BL33" t="e">
            <v>#N/A</v>
          </cell>
          <cell r="BM33" t="e">
            <v>#N/A</v>
          </cell>
          <cell r="BN33" t="e">
            <v>#N/A</v>
          </cell>
          <cell r="BO33" t="e">
            <v>#N/A</v>
          </cell>
          <cell r="BP33" t="e">
            <v>#N/A</v>
          </cell>
          <cell r="BQ33" t="e">
            <v>#N/A</v>
          </cell>
          <cell r="BR33" t="e">
            <v>#N/A</v>
          </cell>
          <cell r="BS33" t="e">
            <v>#N/A</v>
          </cell>
          <cell r="BT33" t="e">
            <v>#N/A</v>
          </cell>
          <cell r="BU33" t="e">
            <v>#N/A</v>
          </cell>
          <cell r="BV33" t="e">
            <v>#N/A</v>
          </cell>
          <cell r="BW33" t="e">
            <v>#N/A</v>
          </cell>
          <cell r="BX33" t="e">
            <v>#N/A</v>
          </cell>
          <cell r="BY33" t="e">
            <v>#N/A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  <cell r="AV34" t="e">
            <v>#N/A</v>
          </cell>
          <cell r="AW34" t="e">
            <v>#N/A</v>
          </cell>
          <cell r="AX34" t="e">
            <v>#N/A</v>
          </cell>
          <cell r="AY34" t="e">
            <v>#N/A</v>
          </cell>
          <cell r="AZ34" t="e">
            <v>#N/A</v>
          </cell>
          <cell r="BA34" t="e">
            <v>#N/A</v>
          </cell>
          <cell r="BB34" t="e">
            <v>#N/A</v>
          </cell>
          <cell r="BC34" t="e">
            <v>#N/A</v>
          </cell>
          <cell r="BD34" t="e">
            <v>#N/A</v>
          </cell>
          <cell r="BE34" t="e">
            <v>#N/A</v>
          </cell>
          <cell r="BF34" t="e">
            <v>#N/A</v>
          </cell>
          <cell r="BG34" t="e">
            <v>#N/A</v>
          </cell>
          <cell r="BH34" t="e">
            <v>#N/A</v>
          </cell>
          <cell r="BI34" t="e">
            <v>#N/A</v>
          </cell>
          <cell r="BJ34" t="e">
            <v>#N/A</v>
          </cell>
          <cell r="BK34" t="e">
            <v>#N/A</v>
          </cell>
          <cell r="BL34" t="e">
            <v>#N/A</v>
          </cell>
          <cell r="BM34" t="e">
            <v>#N/A</v>
          </cell>
          <cell r="BN34" t="e">
            <v>#N/A</v>
          </cell>
          <cell r="BO34" t="e">
            <v>#N/A</v>
          </cell>
          <cell r="BP34" t="e">
            <v>#N/A</v>
          </cell>
          <cell r="BQ34" t="e">
            <v>#N/A</v>
          </cell>
          <cell r="BR34" t="e">
            <v>#N/A</v>
          </cell>
          <cell r="BS34" t="e">
            <v>#N/A</v>
          </cell>
          <cell r="BT34" t="e">
            <v>#N/A</v>
          </cell>
          <cell r="BU34" t="e">
            <v>#N/A</v>
          </cell>
          <cell r="BV34" t="e">
            <v>#N/A</v>
          </cell>
          <cell r="BW34" t="e">
            <v>#N/A</v>
          </cell>
          <cell r="BX34" t="e">
            <v>#N/A</v>
          </cell>
          <cell r="BY34" t="e">
            <v>#N/A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  <cell r="W35" t="e">
            <v>#N/A</v>
          </cell>
          <cell r="X35" t="e">
            <v>#N/A</v>
          </cell>
          <cell r="Z35" t="e">
            <v>#N/A</v>
          </cell>
          <cell r="AA35" t="e">
            <v>#N/A</v>
          </cell>
          <cell r="AB35" t="e">
            <v>#N/A</v>
          </cell>
          <cell r="AC35" t="e">
            <v>#N/A</v>
          </cell>
          <cell r="AD35" t="e">
            <v>#N/A</v>
          </cell>
          <cell r="AE35" t="e">
            <v>#N/A</v>
          </cell>
          <cell r="AF35" t="e">
            <v>#N/A</v>
          </cell>
          <cell r="AG35" t="e">
            <v>#N/A</v>
          </cell>
          <cell r="AH35" t="e">
            <v>#N/A</v>
          </cell>
          <cell r="AI35" t="e">
            <v>#N/A</v>
          </cell>
          <cell r="AJ35" t="e">
            <v>#N/A</v>
          </cell>
          <cell r="AK35" t="e">
            <v>#N/A</v>
          </cell>
          <cell r="AL35" t="e">
            <v>#N/A</v>
          </cell>
          <cell r="AM35" t="e">
            <v>#N/A</v>
          </cell>
          <cell r="AN35" t="e">
            <v>#N/A</v>
          </cell>
          <cell r="AO35" t="e">
            <v>#N/A</v>
          </cell>
          <cell r="AP35" t="e">
            <v>#N/A</v>
          </cell>
          <cell r="AQ35" t="e">
            <v>#N/A</v>
          </cell>
          <cell r="AR35" t="e">
            <v>#N/A</v>
          </cell>
          <cell r="AS35" t="e">
            <v>#N/A</v>
          </cell>
          <cell r="AT35" t="e">
            <v>#N/A</v>
          </cell>
          <cell r="AU35" t="e">
            <v>#N/A</v>
          </cell>
          <cell r="AV35" t="e">
            <v>#N/A</v>
          </cell>
          <cell r="AW35" t="e">
            <v>#N/A</v>
          </cell>
          <cell r="AX35" t="e">
            <v>#N/A</v>
          </cell>
          <cell r="AY35" t="e">
            <v>#N/A</v>
          </cell>
          <cell r="AZ35" t="e">
            <v>#N/A</v>
          </cell>
          <cell r="BA35" t="e">
            <v>#N/A</v>
          </cell>
          <cell r="BB35" t="e">
            <v>#N/A</v>
          </cell>
          <cell r="BC35" t="e">
            <v>#N/A</v>
          </cell>
          <cell r="BD35" t="e">
            <v>#N/A</v>
          </cell>
          <cell r="BE35" t="e">
            <v>#N/A</v>
          </cell>
          <cell r="BF35" t="e">
            <v>#N/A</v>
          </cell>
          <cell r="BG35" t="e">
            <v>#N/A</v>
          </cell>
          <cell r="BH35" t="e">
            <v>#N/A</v>
          </cell>
          <cell r="BI35" t="e">
            <v>#N/A</v>
          </cell>
          <cell r="BJ35" t="e">
            <v>#N/A</v>
          </cell>
          <cell r="BK35" t="e">
            <v>#N/A</v>
          </cell>
          <cell r="BL35" t="e">
            <v>#N/A</v>
          </cell>
          <cell r="BM35" t="e">
            <v>#N/A</v>
          </cell>
          <cell r="BN35" t="e">
            <v>#N/A</v>
          </cell>
          <cell r="BO35" t="e">
            <v>#N/A</v>
          </cell>
          <cell r="BP35" t="e">
            <v>#N/A</v>
          </cell>
          <cell r="BQ35" t="e">
            <v>#N/A</v>
          </cell>
          <cell r="BR35" t="e">
            <v>#N/A</v>
          </cell>
          <cell r="BS35" t="e">
            <v>#N/A</v>
          </cell>
          <cell r="BT35" t="e">
            <v>#N/A</v>
          </cell>
          <cell r="BU35" t="e">
            <v>#N/A</v>
          </cell>
          <cell r="BV35" t="e">
            <v>#N/A</v>
          </cell>
          <cell r="BW35" t="e">
            <v>#N/A</v>
          </cell>
          <cell r="BX35" t="e">
            <v>#N/A</v>
          </cell>
          <cell r="BY35" t="e">
            <v>#N/A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  <cell r="X37" t="e">
            <v>#N/A</v>
          </cell>
          <cell r="Z37" t="e">
            <v>#N/A</v>
          </cell>
          <cell r="AA37" t="e">
            <v>#N/A</v>
          </cell>
          <cell r="AB37" t="e">
            <v>#N/A</v>
          </cell>
          <cell r="AC37" t="e">
            <v>#N/A</v>
          </cell>
          <cell r="AD37" t="e">
            <v>#N/A</v>
          </cell>
          <cell r="AE37" t="e">
            <v>#N/A</v>
          </cell>
          <cell r="AF37" t="e">
            <v>#N/A</v>
          </cell>
          <cell r="AG37" t="e">
            <v>#N/A</v>
          </cell>
          <cell r="AH37" t="e">
            <v>#N/A</v>
          </cell>
          <cell r="AI37" t="e">
            <v>#N/A</v>
          </cell>
          <cell r="AJ37" t="e">
            <v>#N/A</v>
          </cell>
          <cell r="AK37" t="e">
            <v>#N/A</v>
          </cell>
          <cell r="AL37" t="e">
            <v>#N/A</v>
          </cell>
          <cell r="AM37" t="e">
            <v>#N/A</v>
          </cell>
          <cell r="AN37" t="e">
            <v>#N/A</v>
          </cell>
          <cell r="AO37" t="e">
            <v>#N/A</v>
          </cell>
          <cell r="AP37" t="e">
            <v>#N/A</v>
          </cell>
          <cell r="AQ37" t="e">
            <v>#N/A</v>
          </cell>
          <cell r="AR37" t="e">
            <v>#N/A</v>
          </cell>
          <cell r="AS37" t="e">
            <v>#N/A</v>
          </cell>
          <cell r="AT37" t="e">
            <v>#N/A</v>
          </cell>
          <cell r="AU37" t="e">
            <v>#N/A</v>
          </cell>
          <cell r="AV37" t="e">
            <v>#N/A</v>
          </cell>
          <cell r="AW37" t="e">
            <v>#N/A</v>
          </cell>
          <cell r="AX37" t="e">
            <v>#N/A</v>
          </cell>
          <cell r="AY37" t="e">
            <v>#N/A</v>
          </cell>
          <cell r="AZ37" t="e">
            <v>#N/A</v>
          </cell>
          <cell r="BA37" t="e">
            <v>#N/A</v>
          </cell>
          <cell r="BB37" t="e">
            <v>#N/A</v>
          </cell>
          <cell r="BC37" t="e">
            <v>#N/A</v>
          </cell>
          <cell r="BD37" t="e">
            <v>#N/A</v>
          </cell>
          <cell r="BE37" t="e">
            <v>#N/A</v>
          </cell>
          <cell r="BF37" t="e">
            <v>#N/A</v>
          </cell>
          <cell r="BG37" t="e">
            <v>#N/A</v>
          </cell>
          <cell r="BH37" t="e">
            <v>#N/A</v>
          </cell>
          <cell r="BI37" t="e">
            <v>#N/A</v>
          </cell>
          <cell r="BJ37" t="e">
            <v>#N/A</v>
          </cell>
          <cell r="BK37" t="e">
            <v>#N/A</v>
          </cell>
          <cell r="BL37" t="e">
            <v>#N/A</v>
          </cell>
          <cell r="BM37" t="e">
            <v>#N/A</v>
          </cell>
          <cell r="BN37" t="e">
            <v>#N/A</v>
          </cell>
          <cell r="BO37" t="e">
            <v>#N/A</v>
          </cell>
          <cell r="BP37" t="e">
            <v>#N/A</v>
          </cell>
          <cell r="BQ37" t="e">
            <v>#N/A</v>
          </cell>
          <cell r="BR37" t="e">
            <v>#N/A</v>
          </cell>
          <cell r="BS37" t="e">
            <v>#N/A</v>
          </cell>
          <cell r="BT37" t="e">
            <v>#N/A</v>
          </cell>
          <cell r="BU37" t="e">
            <v>#N/A</v>
          </cell>
          <cell r="BV37" t="e">
            <v>#N/A</v>
          </cell>
          <cell r="BW37" t="e">
            <v>#N/A</v>
          </cell>
          <cell r="BX37" t="e">
            <v>#N/A</v>
          </cell>
          <cell r="BY37" t="e">
            <v>#N/A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  <cell r="AV38" t="e">
            <v>#N/A</v>
          </cell>
          <cell r="AW38" t="e">
            <v>#N/A</v>
          </cell>
          <cell r="AX38" t="e">
            <v>#N/A</v>
          </cell>
          <cell r="AY38" t="e">
            <v>#N/A</v>
          </cell>
          <cell r="AZ38" t="e">
            <v>#N/A</v>
          </cell>
          <cell r="BA38" t="e">
            <v>#N/A</v>
          </cell>
          <cell r="BB38" t="e">
            <v>#N/A</v>
          </cell>
          <cell r="BC38" t="e">
            <v>#N/A</v>
          </cell>
          <cell r="BD38" t="e">
            <v>#N/A</v>
          </cell>
          <cell r="BE38" t="e">
            <v>#N/A</v>
          </cell>
          <cell r="BF38" t="e">
            <v>#N/A</v>
          </cell>
          <cell r="BG38" t="e">
            <v>#N/A</v>
          </cell>
          <cell r="BH38" t="e">
            <v>#N/A</v>
          </cell>
          <cell r="BI38" t="e">
            <v>#N/A</v>
          </cell>
          <cell r="BJ38" t="e">
            <v>#N/A</v>
          </cell>
          <cell r="BK38" t="e">
            <v>#N/A</v>
          </cell>
          <cell r="BL38" t="e">
            <v>#N/A</v>
          </cell>
          <cell r="BM38" t="e">
            <v>#N/A</v>
          </cell>
          <cell r="BN38" t="e">
            <v>#N/A</v>
          </cell>
          <cell r="BO38" t="e">
            <v>#N/A</v>
          </cell>
          <cell r="BP38" t="e">
            <v>#N/A</v>
          </cell>
          <cell r="BQ38" t="e">
            <v>#N/A</v>
          </cell>
          <cell r="BR38" t="e">
            <v>#N/A</v>
          </cell>
          <cell r="BS38" t="e">
            <v>#N/A</v>
          </cell>
          <cell r="BT38" t="e">
            <v>#N/A</v>
          </cell>
          <cell r="BU38" t="e">
            <v>#N/A</v>
          </cell>
          <cell r="BV38" t="e">
            <v>#N/A</v>
          </cell>
          <cell r="BW38" t="e">
            <v>#N/A</v>
          </cell>
          <cell r="BX38" t="e">
            <v>#N/A</v>
          </cell>
          <cell r="BY38" t="e">
            <v>#N/A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  <cell r="X39" t="e">
            <v>#N/A</v>
          </cell>
          <cell r="Z39" t="e">
            <v>#N/A</v>
          </cell>
          <cell r="AA39" t="e">
            <v>#N/A</v>
          </cell>
          <cell r="AB39" t="e">
            <v>#N/A</v>
          </cell>
          <cell r="AC39" t="e">
            <v>#N/A</v>
          </cell>
          <cell r="AD39" t="e">
            <v>#N/A</v>
          </cell>
          <cell r="AE39" t="e">
            <v>#N/A</v>
          </cell>
          <cell r="AF39" t="e">
            <v>#N/A</v>
          </cell>
          <cell r="AG39" t="e">
            <v>#N/A</v>
          </cell>
          <cell r="AH39" t="e">
            <v>#N/A</v>
          </cell>
          <cell r="AI39" t="e">
            <v>#N/A</v>
          </cell>
          <cell r="AJ39" t="e">
            <v>#N/A</v>
          </cell>
          <cell r="AK39" t="e">
            <v>#N/A</v>
          </cell>
          <cell r="AL39" t="e">
            <v>#N/A</v>
          </cell>
          <cell r="AM39" t="e">
            <v>#N/A</v>
          </cell>
          <cell r="AN39" t="e">
            <v>#N/A</v>
          </cell>
          <cell r="AO39" t="e">
            <v>#N/A</v>
          </cell>
          <cell r="AP39" t="e">
            <v>#N/A</v>
          </cell>
          <cell r="AQ39" t="e">
            <v>#N/A</v>
          </cell>
          <cell r="AR39" t="e">
            <v>#N/A</v>
          </cell>
          <cell r="AS39" t="e">
            <v>#N/A</v>
          </cell>
          <cell r="AT39" t="e">
            <v>#N/A</v>
          </cell>
          <cell r="AU39" t="e">
            <v>#N/A</v>
          </cell>
          <cell r="AV39" t="e">
            <v>#N/A</v>
          </cell>
          <cell r="AW39" t="e">
            <v>#N/A</v>
          </cell>
          <cell r="AX39" t="e">
            <v>#N/A</v>
          </cell>
          <cell r="AY39" t="e">
            <v>#N/A</v>
          </cell>
          <cell r="AZ39" t="e">
            <v>#N/A</v>
          </cell>
          <cell r="BA39" t="e">
            <v>#N/A</v>
          </cell>
          <cell r="BB39" t="e">
            <v>#N/A</v>
          </cell>
          <cell r="BC39" t="e">
            <v>#N/A</v>
          </cell>
          <cell r="BD39" t="e">
            <v>#N/A</v>
          </cell>
          <cell r="BE39" t="e">
            <v>#N/A</v>
          </cell>
          <cell r="BF39" t="e">
            <v>#N/A</v>
          </cell>
          <cell r="BG39" t="e">
            <v>#N/A</v>
          </cell>
          <cell r="BH39" t="e">
            <v>#N/A</v>
          </cell>
          <cell r="BI39" t="e">
            <v>#N/A</v>
          </cell>
          <cell r="BJ39" t="e">
            <v>#N/A</v>
          </cell>
          <cell r="BK39" t="e">
            <v>#N/A</v>
          </cell>
          <cell r="BL39" t="e">
            <v>#N/A</v>
          </cell>
          <cell r="BM39" t="e">
            <v>#N/A</v>
          </cell>
          <cell r="BN39" t="e">
            <v>#N/A</v>
          </cell>
          <cell r="BO39" t="e">
            <v>#N/A</v>
          </cell>
          <cell r="BP39" t="e">
            <v>#N/A</v>
          </cell>
          <cell r="BQ39" t="e">
            <v>#N/A</v>
          </cell>
          <cell r="BR39" t="e">
            <v>#N/A</v>
          </cell>
          <cell r="BS39" t="e">
            <v>#N/A</v>
          </cell>
          <cell r="BT39" t="e">
            <v>#N/A</v>
          </cell>
          <cell r="BU39" t="e">
            <v>#N/A</v>
          </cell>
          <cell r="BV39" t="e">
            <v>#N/A</v>
          </cell>
          <cell r="BW39" t="e">
            <v>#N/A</v>
          </cell>
          <cell r="BX39" t="e">
            <v>#N/A</v>
          </cell>
          <cell r="BY39" t="e">
            <v>#N/A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  <cell r="AV40" t="e">
            <v>#N/A</v>
          </cell>
          <cell r="AW40" t="e">
            <v>#N/A</v>
          </cell>
          <cell r="AX40" t="e">
            <v>#N/A</v>
          </cell>
          <cell r="AY40" t="e">
            <v>#N/A</v>
          </cell>
          <cell r="AZ40" t="e">
            <v>#N/A</v>
          </cell>
          <cell r="BA40" t="e">
            <v>#N/A</v>
          </cell>
          <cell r="BB40" t="e">
            <v>#N/A</v>
          </cell>
          <cell r="BC40" t="e">
            <v>#N/A</v>
          </cell>
          <cell r="BD40" t="e">
            <v>#N/A</v>
          </cell>
          <cell r="BE40" t="e">
            <v>#N/A</v>
          </cell>
          <cell r="BF40" t="e">
            <v>#N/A</v>
          </cell>
          <cell r="BG40" t="e">
            <v>#N/A</v>
          </cell>
          <cell r="BH40" t="e">
            <v>#N/A</v>
          </cell>
          <cell r="BI40" t="e">
            <v>#N/A</v>
          </cell>
          <cell r="BJ40" t="e">
            <v>#N/A</v>
          </cell>
          <cell r="BK40" t="e">
            <v>#N/A</v>
          </cell>
          <cell r="BL40" t="e">
            <v>#N/A</v>
          </cell>
          <cell r="BM40" t="e">
            <v>#N/A</v>
          </cell>
          <cell r="BN40" t="e">
            <v>#N/A</v>
          </cell>
          <cell r="BO40" t="e">
            <v>#N/A</v>
          </cell>
          <cell r="BP40" t="e">
            <v>#N/A</v>
          </cell>
          <cell r="BQ40" t="e">
            <v>#N/A</v>
          </cell>
          <cell r="BR40" t="e">
            <v>#N/A</v>
          </cell>
          <cell r="BS40" t="e">
            <v>#N/A</v>
          </cell>
          <cell r="BT40" t="e">
            <v>#N/A</v>
          </cell>
          <cell r="BU40" t="e">
            <v>#N/A</v>
          </cell>
          <cell r="BV40" t="e">
            <v>#N/A</v>
          </cell>
          <cell r="BW40" t="e">
            <v>#N/A</v>
          </cell>
          <cell r="BX40" t="e">
            <v>#N/A</v>
          </cell>
          <cell r="BY40" t="e">
            <v>#N/A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  <cell r="X41" t="e">
            <v>#N/A</v>
          </cell>
          <cell r="Z41" t="e">
            <v>#N/A</v>
          </cell>
          <cell r="AA41" t="e">
            <v>#N/A</v>
          </cell>
          <cell r="AB41" t="e">
            <v>#N/A</v>
          </cell>
          <cell r="AC41" t="e">
            <v>#N/A</v>
          </cell>
          <cell r="AD41" t="e">
            <v>#N/A</v>
          </cell>
          <cell r="AE41" t="e">
            <v>#N/A</v>
          </cell>
          <cell r="AF41" t="e">
            <v>#N/A</v>
          </cell>
          <cell r="AG41" t="e">
            <v>#N/A</v>
          </cell>
          <cell r="AH41" t="e">
            <v>#N/A</v>
          </cell>
          <cell r="AI41" t="e">
            <v>#N/A</v>
          </cell>
          <cell r="AJ41" t="e">
            <v>#N/A</v>
          </cell>
          <cell r="AK41" t="e">
            <v>#N/A</v>
          </cell>
          <cell r="AL41" t="e">
            <v>#N/A</v>
          </cell>
          <cell r="AM41" t="e">
            <v>#N/A</v>
          </cell>
          <cell r="AN41" t="e">
            <v>#N/A</v>
          </cell>
          <cell r="AO41" t="e">
            <v>#N/A</v>
          </cell>
          <cell r="AP41" t="e">
            <v>#N/A</v>
          </cell>
          <cell r="AQ41" t="e">
            <v>#N/A</v>
          </cell>
          <cell r="AR41" t="e">
            <v>#N/A</v>
          </cell>
          <cell r="AS41" t="e">
            <v>#N/A</v>
          </cell>
          <cell r="AT41" t="e">
            <v>#N/A</v>
          </cell>
          <cell r="AU41" t="e">
            <v>#N/A</v>
          </cell>
          <cell r="AV41" t="e">
            <v>#N/A</v>
          </cell>
          <cell r="AW41" t="e">
            <v>#N/A</v>
          </cell>
          <cell r="AX41" t="e">
            <v>#N/A</v>
          </cell>
          <cell r="AY41" t="e">
            <v>#N/A</v>
          </cell>
          <cell r="AZ41" t="e">
            <v>#N/A</v>
          </cell>
          <cell r="BA41" t="e">
            <v>#N/A</v>
          </cell>
          <cell r="BB41" t="e">
            <v>#N/A</v>
          </cell>
          <cell r="BC41" t="e">
            <v>#N/A</v>
          </cell>
          <cell r="BD41" t="e">
            <v>#N/A</v>
          </cell>
          <cell r="BE41" t="e">
            <v>#N/A</v>
          </cell>
          <cell r="BF41" t="e">
            <v>#N/A</v>
          </cell>
          <cell r="BG41" t="e">
            <v>#N/A</v>
          </cell>
          <cell r="BH41" t="e">
            <v>#N/A</v>
          </cell>
          <cell r="BI41" t="e">
            <v>#N/A</v>
          </cell>
          <cell r="BJ41" t="e">
            <v>#N/A</v>
          </cell>
          <cell r="BK41" t="e">
            <v>#N/A</v>
          </cell>
          <cell r="BL41" t="e">
            <v>#N/A</v>
          </cell>
          <cell r="BM41" t="e">
            <v>#N/A</v>
          </cell>
          <cell r="BN41" t="e">
            <v>#N/A</v>
          </cell>
          <cell r="BO41" t="e">
            <v>#N/A</v>
          </cell>
          <cell r="BP41" t="e">
            <v>#N/A</v>
          </cell>
          <cell r="BQ41" t="e">
            <v>#N/A</v>
          </cell>
          <cell r="BR41" t="e">
            <v>#N/A</v>
          </cell>
          <cell r="BS41" t="e">
            <v>#N/A</v>
          </cell>
          <cell r="BT41" t="e">
            <v>#N/A</v>
          </cell>
          <cell r="BU41" t="e">
            <v>#N/A</v>
          </cell>
          <cell r="BV41" t="e">
            <v>#N/A</v>
          </cell>
          <cell r="BW41" t="e">
            <v>#N/A</v>
          </cell>
          <cell r="BX41" t="e">
            <v>#N/A</v>
          </cell>
          <cell r="BY41" t="e">
            <v>#N/A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  <cell r="AV42" t="e">
            <v>#N/A</v>
          </cell>
          <cell r="AW42" t="e">
            <v>#N/A</v>
          </cell>
          <cell r="AX42" t="e">
            <v>#N/A</v>
          </cell>
          <cell r="AY42" t="e">
            <v>#N/A</v>
          </cell>
          <cell r="AZ42" t="e">
            <v>#N/A</v>
          </cell>
          <cell r="BA42" t="e">
            <v>#N/A</v>
          </cell>
          <cell r="BB42" t="e">
            <v>#N/A</v>
          </cell>
          <cell r="BC42" t="e">
            <v>#N/A</v>
          </cell>
          <cell r="BD42" t="e">
            <v>#N/A</v>
          </cell>
          <cell r="BE42" t="e">
            <v>#N/A</v>
          </cell>
          <cell r="BF42" t="e">
            <v>#N/A</v>
          </cell>
          <cell r="BG42" t="e">
            <v>#N/A</v>
          </cell>
          <cell r="BH42" t="e">
            <v>#N/A</v>
          </cell>
          <cell r="BI42" t="e">
            <v>#N/A</v>
          </cell>
          <cell r="BJ42" t="e">
            <v>#N/A</v>
          </cell>
          <cell r="BK42" t="e">
            <v>#N/A</v>
          </cell>
          <cell r="BL42" t="e">
            <v>#N/A</v>
          </cell>
          <cell r="BM42" t="e">
            <v>#N/A</v>
          </cell>
          <cell r="BN42" t="e">
            <v>#N/A</v>
          </cell>
          <cell r="BO42" t="e">
            <v>#N/A</v>
          </cell>
          <cell r="BP42" t="e">
            <v>#N/A</v>
          </cell>
          <cell r="BQ42" t="e">
            <v>#N/A</v>
          </cell>
          <cell r="BR42" t="e">
            <v>#N/A</v>
          </cell>
          <cell r="BS42" t="e">
            <v>#N/A</v>
          </cell>
          <cell r="BT42" t="e">
            <v>#N/A</v>
          </cell>
          <cell r="BU42" t="e">
            <v>#N/A</v>
          </cell>
          <cell r="BV42" t="e">
            <v>#N/A</v>
          </cell>
          <cell r="BW42" t="e">
            <v>#N/A</v>
          </cell>
          <cell r="BX42" t="e">
            <v>#N/A</v>
          </cell>
          <cell r="BY42" t="e">
            <v>#N/A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  <cell r="X43" t="e">
            <v>#N/A</v>
          </cell>
          <cell r="Z43" t="e">
            <v>#N/A</v>
          </cell>
          <cell r="AA43" t="e">
            <v>#N/A</v>
          </cell>
          <cell r="AB43" t="e">
            <v>#N/A</v>
          </cell>
          <cell r="AC43" t="e">
            <v>#N/A</v>
          </cell>
          <cell r="AD43" t="e">
            <v>#N/A</v>
          </cell>
          <cell r="AE43" t="e">
            <v>#N/A</v>
          </cell>
          <cell r="AF43" t="e">
            <v>#N/A</v>
          </cell>
          <cell r="AG43" t="e">
            <v>#N/A</v>
          </cell>
          <cell r="AH43" t="e">
            <v>#N/A</v>
          </cell>
          <cell r="AI43" t="e">
            <v>#N/A</v>
          </cell>
          <cell r="AJ43" t="e">
            <v>#N/A</v>
          </cell>
          <cell r="AK43" t="e">
            <v>#N/A</v>
          </cell>
          <cell r="AL43" t="e">
            <v>#N/A</v>
          </cell>
          <cell r="AM43" t="e">
            <v>#N/A</v>
          </cell>
          <cell r="AN43" t="e">
            <v>#N/A</v>
          </cell>
          <cell r="AO43" t="e">
            <v>#N/A</v>
          </cell>
          <cell r="AP43" t="e">
            <v>#N/A</v>
          </cell>
          <cell r="AQ43" t="e">
            <v>#N/A</v>
          </cell>
          <cell r="AR43" t="e">
            <v>#N/A</v>
          </cell>
          <cell r="AS43" t="e">
            <v>#N/A</v>
          </cell>
          <cell r="AT43" t="e">
            <v>#N/A</v>
          </cell>
          <cell r="AU43" t="e">
            <v>#N/A</v>
          </cell>
          <cell r="AV43" t="e">
            <v>#N/A</v>
          </cell>
          <cell r="AW43" t="e">
            <v>#N/A</v>
          </cell>
          <cell r="AX43" t="e">
            <v>#N/A</v>
          </cell>
          <cell r="AY43" t="e">
            <v>#N/A</v>
          </cell>
          <cell r="AZ43" t="e">
            <v>#N/A</v>
          </cell>
          <cell r="BA43" t="e">
            <v>#N/A</v>
          </cell>
          <cell r="BB43" t="e">
            <v>#N/A</v>
          </cell>
          <cell r="BC43" t="e">
            <v>#N/A</v>
          </cell>
          <cell r="BD43" t="e">
            <v>#N/A</v>
          </cell>
          <cell r="BE43" t="e">
            <v>#N/A</v>
          </cell>
          <cell r="BF43" t="e">
            <v>#N/A</v>
          </cell>
          <cell r="BG43" t="e">
            <v>#N/A</v>
          </cell>
          <cell r="BH43" t="e">
            <v>#N/A</v>
          </cell>
          <cell r="BI43" t="e">
            <v>#N/A</v>
          </cell>
          <cell r="BJ43" t="e">
            <v>#N/A</v>
          </cell>
          <cell r="BK43" t="e">
            <v>#N/A</v>
          </cell>
          <cell r="BL43" t="e">
            <v>#N/A</v>
          </cell>
          <cell r="BM43" t="e">
            <v>#N/A</v>
          </cell>
          <cell r="BN43" t="e">
            <v>#N/A</v>
          </cell>
          <cell r="BO43" t="e">
            <v>#N/A</v>
          </cell>
          <cell r="BP43" t="e">
            <v>#N/A</v>
          </cell>
          <cell r="BQ43" t="e">
            <v>#N/A</v>
          </cell>
          <cell r="BR43" t="e">
            <v>#N/A</v>
          </cell>
          <cell r="BS43" t="e">
            <v>#N/A</v>
          </cell>
          <cell r="BT43" t="e">
            <v>#N/A</v>
          </cell>
          <cell r="BU43" t="e">
            <v>#N/A</v>
          </cell>
          <cell r="BV43" t="e">
            <v>#N/A</v>
          </cell>
          <cell r="BW43" t="e">
            <v>#N/A</v>
          </cell>
          <cell r="BX43" t="e">
            <v>#N/A</v>
          </cell>
          <cell r="BY43" t="e">
            <v>#N/A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  <cell r="AV44" t="e">
            <v>#N/A</v>
          </cell>
          <cell r="AW44" t="e">
            <v>#N/A</v>
          </cell>
          <cell r="AX44" t="e">
            <v>#N/A</v>
          </cell>
          <cell r="AY44" t="e">
            <v>#N/A</v>
          </cell>
          <cell r="AZ44" t="e">
            <v>#N/A</v>
          </cell>
          <cell r="BA44" t="e">
            <v>#N/A</v>
          </cell>
          <cell r="BB44" t="e">
            <v>#N/A</v>
          </cell>
          <cell r="BC44" t="e">
            <v>#N/A</v>
          </cell>
          <cell r="BD44" t="e">
            <v>#N/A</v>
          </cell>
          <cell r="BE44" t="e">
            <v>#N/A</v>
          </cell>
          <cell r="BF44" t="e">
            <v>#N/A</v>
          </cell>
          <cell r="BG44" t="e">
            <v>#N/A</v>
          </cell>
          <cell r="BH44" t="e">
            <v>#N/A</v>
          </cell>
          <cell r="BI44" t="e">
            <v>#N/A</v>
          </cell>
          <cell r="BJ44" t="e">
            <v>#N/A</v>
          </cell>
          <cell r="BK44" t="e">
            <v>#N/A</v>
          </cell>
          <cell r="BL44" t="e">
            <v>#N/A</v>
          </cell>
          <cell r="BM44" t="e">
            <v>#N/A</v>
          </cell>
          <cell r="BN44" t="e">
            <v>#N/A</v>
          </cell>
          <cell r="BO44" t="e">
            <v>#N/A</v>
          </cell>
          <cell r="BP44" t="e">
            <v>#N/A</v>
          </cell>
          <cell r="BQ44" t="e">
            <v>#N/A</v>
          </cell>
          <cell r="BR44" t="e">
            <v>#N/A</v>
          </cell>
          <cell r="BS44" t="e">
            <v>#N/A</v>
          </cell>
          <cell r="BT44" t="e">
            <v>#N/A</v>
          </cell>
          <cell r="BU44" t="e">
            <v>#N/A</v>
          </cell>
          <cell r="BV44" t="e">
            <v>#N/A</v>
          </cell>
          <cell r="BW44" t="e">
            <v>#N/A</v>
          </cell>
          <cell r="BX44" t="e">
            <v>#N/A</v>
          </cell>
          <cell r="BY44" t="e">
            <v>#N/A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  <cell r="X45" t="e">
            <v>#N/A</v>
          </cell>
          <cell r="Z45" t="e">
            <v>#N/A</v>
          </cell>
          <cell r="AA45" t="e">
            <v>#N/A</v>
          </cell>
          <cell r="AB45" t="e">
            <v>#N/A</v>
          </cell>
          <cell r="AC45" t="e">
            <v>#N/A</v>
          </cell>
          <cell r="AD45" t="e">
            <v>#N/A</v>
          </cell>
          <cell r="AE45" t="e">
            <v>#N/A</v>
          </cell>
          <cell r="AF45" t="e">
            <v>#N/A</v>
          </cell>
          <cell r="AG45" t="e">
            <v>#N/A</v>
          </cell>
          <cell r="AH45" t="e">
            <v>#N/A</v>
          </cell>
          <cell r="AI45" t="e">
            <v>#N/A</v>
          </cell>
          <cell r="AJ45" t="e">
            <v>#N/A</v>
          </cell>
          <cell r="AK45" t="e">
            <v>#N/A</v>
          </cell>
          <cell r="AL45" t="e">
            <v>#N/A</v>
          </cell>
          <cell r="AM45" t="e">
            <v>#N/A</v>
          </cell>
          <cell r="AN45" t="e">
            <v>#N/A</v>
          </cell>
          <cell r="AO45" t="e">
            <v>#N/A</v>
          </cell>
          <cell r="AP45" t="e">
            <v>#N/A</v>
          </cell>
          <cell r="AQ45" t="e">
            <v>#N/A</v>
          </cell>
          <cell r="AR45" t="e">
            <v>#N/A</v>
          </cell>
          <cell r="AS45" t="e">
            <v>#N/A</v>
          </cell>
          <cell r="AT45" t="e">
            <v>#N/A</v>
          </cell>
          <cell r="AU45" t="e">
            <v>#N/A</v>
          </cell>
          <cell r="AV45" t="e">
            <v>#N/A</v>
          </cell>
          <cell r="AW45" t="e">
            <v>#N/A</v>
          </cell>
          <cell r="AX45" t="e">
            <v>#N/A</v>
          </cell>
          <cell r="AY45" t="e">
            <v>#N/A</v>
          </cell>
          <cell r="AZ45" t="e">
            <v>#N/A</v>
          </cell>
          <cell r="BA45" t="e">
            <v>#N/A</v>
          </cell>
          <cell r="BB45" t="e">
            <v>#N/A</v>
          </cell>
          <cell r="BC45" t="e">
            <v>#N/A</v>
          </cell>
          <cell r="BD45" t="e">
            <v>#N/A</v>
          </cell>
          <cell r="BE45" t="e">
            <v>#N/A</v>
          </cell>
          <cell r="BF45" t="e">
            <v>#N/A</v>
          </cell>
          <cell r="BG45" t="e">
            <v>#N/A</v>
          </cell>
          <cell r="BH45" t="e">
            <v>#N/A</v>
          </cell>
          <cell r="BI45" t="e">
            <v>#N/A</v>
          </cell>
          <cell r="BJ45" t="e">
            <v>#N/A</v>
          </cell>
          <cell r="BK45" t="e">
            <v>#N/A</v>
          </cell>
          <cell r="BL45" t="e">
            <v>#N/A</v>
          </cell>
          <cell r="BM45" t="e">
            <v>#N/A</v>
          </cell>
          <cell r="BN45" t="e">
            <v>#N/A</v>
          </cell>
          <cell r="BO45" t="e">
            <v>#N/A</v>
          </cell>
          <cell r="BP45" t="e">
            <v>#N/A</v>
          </cell>
          <cell r="BQ45" t="e">
            <v>#N/A</v>
          </cell>
          <cell r="BR45" t="e">
            <v>#N/A</v>
          </cell>
          <cell r="BS45" t="e">
            <v>#N/A</v>
          </cell>
          <cell r="BT45" t="e">
            <v>#N/A</v>
          </cell>
          <cell r="BU45" t="e">
            <v>#N/A</v>
          </cell>
          <cell r="BV45" t="e">
            <v>#N/A</v>
          </cell>
          <cell r="BW45" t="e">
            <v>#N/A</v>
          </cell>
          <cell r="BX45" t="e">
            <v>#N/A</v>
          </cell>
          <cell r="BY45" t="e">
            <v>#N/A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  <cell r="AV46" t="e">
            <v>#N/A</v>
          </cell>
          <cell r="AW46" t="e">
            <v>#N/A</v>
          </cell>
          <cell r="AX46" t="e">
            <v>#N/A</v>
          </cell>
          <cell r="AY46" t="e">
            <v>#N/A</v>
          </cell>
          <cell r="AZ46" t="e">
            <v>#N/A</v>
          </cell>
          <cell r="BA46" t="e">
            <v>#N/A</v>
          </cell>
          <cell r="BB46" t="e">
            <v>#N/A</v>
          </cell>
          <cell r="BC46" t="e">
            <v>#N/A</v>
          </cell>
          <cell r="BD46" t="e">
            <v>#N/A</v>
          </cell>
          <cell r="BE46" t="e">
            <v>#N/A</v>
          </cell>
          <cell r="BF46" t="e">
            <v>#N/A</v>
          </cell>
          <cell r="BG46" t="e">
            <v>#N/A</v>
          </cell>
          <cell r="BH46" t="e">
            <v>#N/A</v>
          </cell>
          <cell r="BI46" t="e">
            <v>#N/A</v>
          </cell>
          <cell r="BJ46" t="e">
            <v>#N/A</v>
          </cell>
          <cell r="BK46" t="e">
            <v>#N/A</v>
          </cell>
          <cell r="BL46" t="e">
            <v>#N/A</v>
          </cell>
          <cell r="BM46" t="e">
            <v>#N/A</v>
          </cell>
          <cell r="BN46" t="e">
            <v>#N/A</v>
          </cell>
          <cell r="BO46" t="e">
            <v>#N/A</v>
          </cell>
          <cell r="BP46" t="e">
            <v>#N/A</v>
          </cell>
          <cell r="BQ46" t="e">
            <v>#N/A</v>
          </cell>
          <cell r="BR46" t="e">
            <v>#N/A</v>
          </cell>
          <cell r="BS46" t="e">
            <v>#N/A</v>
          </cell>
          <cell r="BT46" t="e">
            <v>#N/A</v>
          </cell>
          <cell r="BU46" t="e">
            <v>#N/A</v>
          </cell>
          <cell r="BV46" t="e">
            <v>#N/A</v>
          </cell>
          <cell r="BW46" t="e">
            <v>#N/A</v>
          </cell>
          <cell r="BX46" t="e">
            <v>#N/A</v>
          </cell>
          <cell r="BY46" t="e">
            <v>#N/A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  <cell r="X47" t="e">
            <v>#N/A</v>
          </cell>
          <cell r="Z47" t="e">
            <v>#N/A</v>
          </cell>
          <cell r="AA47" t="e">
            <v>#N/A</v>
          </cell>
          <cell r="AB47" t="e">
            <v>#N/A</v>
          </cell>
          <cell r="AC47" t="e">
            <v>#N/A</v>
          </cell>
          <cell r="AD47" t="e">
            <v>#N/A</v>
          </cell>
          <cell r="AE47" t="e">
            <v>#N/A</v>
          </cell>
          <cell r="AF47" t="e">
            <v>#N/A</v>
          </cell>
          <cell r="AG47" t="e">
            <v>#N/A</v>
          </cell>
          <cell r="AH47" t="e">
            <v>#N/A</v>
          </cell>
          <cell r="AI47" t="e">
            <v>#N/A</v>
          </cell>
          <cell r="AJ47" t="e">
            <v>#N/A</v>
          </cell>
          <cell r="AK47" t="e">
            <v>#N/A</v>
          </cell>
          <cell r="AL47" t="e">
            <v>#N/A</v>
          </cell>
          <cell r="AM47" t="e">
            <v>#N/A</v>
          </cell>
          <cell r="AN47" t="e">
            <v>#N/A</v>
          </cell>
          <cell r="AO47" t="e">
            <v>#N/A</v>
          </cell>
          <cell r="AP47" t="e">
            <v>#N/A</v>
          </cell>
          <cell r="AQ47" t="e">
            <v>#N/A</v>
          </cell>
          <cell r="AR47" t="e">
            <v>#N/A</v>
          </cell>
          <cell r="AS47" t="e">
            <v>#N/A</v>
          </cell>
          <cell r="AT47" t="e">
            <v>#N/A</v>
          </cell>
          <cell r="AU47" t="e">
            <v>#N/A</v>
          </cell>
          <cell r="AV47" t="e">
            <v>#N/A</v>
          </cell>
          <cell r="AW47" t="e">
            <v>#N/A</v>
          </cell>
          <cell r="AX47" t="e">
            <v>#N/A</v>
          </cell>
          <cell r="AY47" t="e">
            <v>#N/A</v>
          </cell>
          <cell r="AZ47" t="e">
            <v>#N/A</v>
          </cell>
          <cell r="BA47" t="e">
            <v>#N/A</v>
          </cell>
          <cell r="BB47" t="e">
            <v>#N/A</v>
          </cell>
          <cell r="BC47" t="e">
            <v>#N/A</v>
          </cell>
          <cell r="BD47" t="e">
            <v>#N/A</v>
          </cell>
          <cell r="BE47" t="e">
            <v>#N/A</v>
          </cell>
          <cell r="BF47" t="e">
            <v>#N/A</v>
          </cell>
          <cell r="BG47" t="e">
            <v>#N/A</v>
          </cell>
          <cell r="BH47" t="e">
            <v>#N/A</v>
          </cell>
          <cell r="BI47" t="e">
            <v>#N/A</v>
          </cell>
          <cell r="BJ47" t="e">
            <v>#N/A</v>
          </cell>
          <cell r="BK47" t="e">
            <v>#N/A</v>
          </cell>
          <cell r="BL47" t="e">
            <v>#N/A</v>
          </cell>
          <cell r="BM47" t="e">
            <v>#N/A</v>
          </cell>
          <cell r="BN47" t="e">
            <v>#N/A</v>
          </cell>
          <cell r="BO47" t="e">
            <v>#N/A</v>
          </cell>
          <cell r="BP47" t="e">
            <v>#N/A</v>
          </cell>
          <cell r="BQ47" t="e">
            <v>#N/A</v>
          </cell>
          <cell r="BR47" t="e">
            <v>#N/A</v>
          </cell>
          <cell r="BS47" t="e">
            <v>#N/A</v>
          </cell>
          <cell r="BT47" t="e">
            <v>#N/A</v>
          </cell>
          <cell r="BU47" t="e">
            <v>#N/A</v>
          </cell>
          <cell r="BV47" t="e">
            <v>#N/A</v>
          </cell>
          <cell r="BW47" t="e">
            <v>#N/A</v>
          </cell>
          <cell r="BX47" t="e">
            <v>#N/A</v>
          </cell>
          <cell r="BY47" t="e">
            <v>#N/A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  <cell r="X48" t="e">
            <v>#N/A</v>
          </cell>
          <cell r="Z48" t="e">
            <v>#N/A</v>
          </cell>
          <cell r="AA48" t="e">
            <v>#N/A</v>
          </cell>
          <cell r="AB48" t="e">
            <v>#N/A</v>
          </cell>
          <cell r="AC48" t="e">
            <v>#N/A</v>
          </cell>
          <cell r="AD48" t="e">
            <v>#N/A</v>
          </cell>
          <cell r="AE48" t="e">
            <v>#N/A</v>
          </cell>
          <cell r="AF48" t="e">
            <v>#N/A</v>
          </cell>
          <cell r="AG48" t="e">
            <v>#N/A</v>
          </cell>
          <cell r="AH48" t="e">
            <v>#N/A</v>
          </cell>
          <cell r="AI48" t="e">
            <v>#N/A</v>
          </cell>
          <cell r="AJ48" t="e">
            <v>#N/A</v>
          </cell>
          <cell r="AK48" t="e">
            <v>#N/A</v>
          </cell>
          <cell r="AL48" t="e">
            <v>#N/A</v>
          </cell>
          <cell r="AM48" t="e">
            <v>#N/A</v>
          </cell>
          <cell r="AN48" t="e">
            <v>#N/A</v>
          </cell>
          <cell r="AO48" t="e">
            <v>#N/A</v>
          </cell>
          <cell r="AP48" t="e">
            <v>#N/A</v>
          </cell>
          <cell r="AQ48" t="e">
            <v>#N/A</v>
          </cell>
          <cell r="AR48" t="e">
            <v>#N/A</v>
          </cell>
          <cell r="AS48" t="e">
            <v>#N/A</v>
          </cell>
          <cell r="AT48" t="e">
            <v>#N/A</v>
          </cell>
          <cell r="AU48" t="e">
            <v>#N/A</v>
          </cell>
          <cell r="AV48" t="e">
            <v>#N/A</v>
          </cell>
          <cell r="AW48" t="e">
            <v>#N/A</v>
          </cell>
          <cell r="AX48" t="e">
            <v>#N/A</v>
          </cell>
          <cell r="AY48" t="e">
            <v>#N/A</v>
          </cell>
          <cell r="AZ48" t="e">
            <v>#N/A</v>
          </cell>
          <cell r="BA48" t="e">
            <v>#N/A</v>
          </cell>
          <cell r="BB48" t="e">
            <v>#N/A</v>
          </cell>
          <cell r="BC48" t="e">
            <v>#N/A</v>
          </cell>
          <cell r="BD48" t="e">
            <v>#N/A</v>
          </cell>
          <cell r="BE48" t="e">
            <v>#N/A</v>
          </cell>
          <cell r="BF48" t="e">
            <v>#N/A</v>
          </cell>
          <cell r="BG48" t="e">
            <v>#N/A</v>
          </cell>
          <cell r="BH48" t="e">
            <v>#N/A</v>
          </cell>
          <cell r="BI48" t="e">
            <v>#N/A</v>
          </cell>
          <cell r="BJ48" t="e">
            <v>#N/A</v>
          </cell>
          <cell r="BK48" t="e">
            <v>#N/A</v>
          </cell>
          <cell r="BL48" t="e">
            <v>#N/A</v>
          </cell>
          <cell r="BM48" t="e">
            <v>#N/A</v>
          </cell>
          <cell r="BN48" t="e">
            <v>#N/A</v>
          </cell>
          <cell r="BO48" t="e">
            <v>#N/A</v>
          </cell>
          <cell r="BP48" t="e">
            <v>#N/A</v>
          </cell>
          <cell r="BQ48" t="e">
            <v>#N/A</v>
          </cell>
          <cell r="BR48" t="e">
            <v>#N/A</v>
          </cell>
          <cell r="BS48" t="e">
            <v>#N/A</v>
          </cell>
          <cell r="BT48" t="e">
            <v>#N/A</v>
          </cell>
          <cell r="BU48" t="e">
            <v>#N/A</v>
          </cell>
          <cell r="BV48" t="e">
            <v>#N/A</v>
          </cell>
          <cell r="BW48" t="e">
            <v>#N/A</v>
          </cell>
          <cell r="BX48" t="e">
            <v>#N/A</v>
          </cell>
          <cell r="BY48" t="e">
            <v>#N/A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  <cell r="AV49" t="e">
            <v>#N/A</v>
          </cell>
          <cell r="AW49" t="e">
            <v>#N/A</v>
          </cell>
          <cell r="AX49" t="e">
            <v>#N/A</v>
          </cell>
          <cell r="AY49" t="e">
            <v>#N/A</v>
          </cell>
          <cell r="AZ49" t="e">
            <v>#N/A</v>
          </cell>
          <cell r="BA49" t="e">
            <v>#N/A</v>
          </cell>
          <cell r="BB49" t="e">
            <v>#N/A</v>
          </cell>
          <cell r="BC49" t="e">
            <v>#N/A</v>
          </cell>
          <cell r="BD49" t="e">
            <v>#N/A</v>
          </cell>
          <cell r="BE49" t="e">
            <v>#N/A</v>
          </cell>
          <cell r="BF49" t="e">
            <v>#N/A</v>
          </cell>
          <cell r="BG49" t="e">
            <v>#N/A</v>
          </cell>
          <cell r="BH49" t="e">
            <v>#N/A</v>
          </cell>
          <cell r="BI49" t="e">
            <v>#N/A</v>
          </cell>
          <cell r="BJ49" t="e">
            <v>#N/A</v>
          </cell>
          <cell r="BK49" t="e">
            <v>#N/A</v>
          </cell>
          <cell r="BL49" t="e">
            <v>#N/A</v>
          </cell>
          <cell r="BM49" t="e">
            <v>#N/A</v>
          </cell>
          <cell r="BN49" t="e">
            <v>#N/A</v>
          </cell>
          <cell r="BO49" t="e">
            <v>#N/A</v>
          </cell>
          <cell r="BP49" t="e">
            <v>#N/A</v>
          </cell>
          <cell r="BQ49" t="e">
            <v>#N/A</v>
          </cell>
          <cell r="BR49" t="e">
            <v>#N/A</v>
          </cell>
          <cell r="BS49" t="e">
            <v>#N/A</v>
          </cell>
          <cell r="BT49" t="e">
            <v>#N/A</v>
          </cell>
          <cell r="BU49" t="e">
            <v>#N/A</v>
          </cell>
          <cell r="BV49" t="e">
            <v>#N/A</v>
          </cell>
          <cell r="BW49" t="e">
            <v>#N/A</v>
          </cell>
          <cell r="BX49" t="e">
            <v>#N/A</v>
          </cell>
          <cell r="BY49" t="e">
            <v>#N/A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  <cell r="X50" t="e">
            <v>#N/A</v>
          </cell>
          <cell r="Z50" t="e">
            <v>#N/A</v>
          </cell>
          <cell r="AA50" t="e">
            <v>#N/A</v>
          </cell>
          <cell r="AB50" t="e">
            <v>#N/A</v>
          </cell>
          <cell r="AC50" t="e">
            <v>#N/A</v>
          </cell>
          <cell r="AD50" t="e">
            <v>#N/A</v>
          </cell>
          <cell r="AE50" t="e">
            <v>#N/A</v>
          </cell>
          <cell r="AF50" t="e">
            <v>#N/A</v>
          </cell>
          <cell r="AG50" t="e">
            <v>#N/A</v>
          </cell>
          <cell r="AH50" t="e">
            <v>#N/A</v>
          </cell>
          <cell r="AI50" t="e">
            <v>#N/A</v>
          </cell>
          <cell r="AJ50" t="e">
            <v>#N/A</v>
          </cell>
          <cell r="AK50" t="e">
            <v>#N/A</v>
          </cell>
          <cell r="AL50" t="e">
            <v>#N/A</v>
          </cell>
          <cell r="AM50" t="e">
            <v>#N/A</v>
          </cell>
          <cell r="AN50" t="e">
            <v>#N/A</v>
          </cell>
          <cell r="AO50" t="e">
            <v>#N/A</v>
          </cell>
          <cell r="AP50" t="e">
            <v>#N/A</v>
          </cell>
          <cell r="AQ50" t="e">
            <v>#N/A</v>
          </cell>
          <cell r="AR50" t="e">
            <v>#N/A</v>
          </cell>
          <cell r="AS50" t="e">
            <v>#N/A</v>
          </cell>
          <cell r="AT50" t="e">
            <v>#N/A</v>
          </cell>
          <cell r="AU50" t="e">
            <v>#N/A</v>
          </cell>
          <cell r="AV50" t="e">
            <v>#N/A</v>
          </cell>
          <cell r="AW50" t="e">
            <v>#N/A</v>
          </cell>
          <cell r="AX50" t="e">
            <v>#N/A</v>
          </cell>
          <cell r="AY50" t="e">
            <v>#N/A</v>
          </cell>
          <cell r="AZ50" t="e">
            <v>#N/A</v>
          </cell>
          <cell r="BA50" t="e">
            <v>#N/A</v>
          </cell>
          <cell r="BB50" t="e">
            <v>#N/A</v>
          </cell>
          <cell r="BC50" t="e">
            <v>#N/A</v>
          </cell>
          <cell r="BD50" t="e">
            <v>#N/A</v>
          </cell>
          <cell r="BE50" t="e">
            <v>#N/A</v>
          </cell>
          <cell r="BF50" t="e">
            <v>#N/A</v>
          </cell>
          <cell r="BG50" t="e">
            <v>#N/A</v>
          </cell>
          <cell r="BH50" t="e">
            <v>#N/A</v>
          </cell>
          <cell r="BI50" t="e">
            <v>#N/A</v>
          </cell>
          <cell r="BJ50" t="e">
            <v>#N/A</v>
          </cell>
          <cell r="BK50" t="e">
            <v>#N/A</v>
          </cell>
          <cell r="BL50" t="e">
            <v>#N/A</v>
          </cell>
          <cell r="BM50" t="e">
            <v>#N/A</v>
          </cell>
          <cell r="BN50" t="e">
            <v>#N/A</v>
          </cell>
          <cell r="BO50" t="e">
            <v>#N/A</v>
          </cell>
          <cell r="BP50" t="e">
            <v>#N/A</v>
          </cell>
          <cell r="BQ50" t="e">
            <v>#N/A</v>
          </cell>
          <cell r="BR50" t="e">
            <v>#N/A</v>
          </cell>
          <cell r="BS50" t="e">
            <v>#N/A</v>
          </cell>
          <cell r="BT50" t="e">
            <v>#N/A</v>
          </cell>
          <cell r="BU50" t="e">
            <v>#N/A</v>
          </cell>
          <cell r="BV50" t="e">
            <v>#N/A</v>
          </cell>
          <cell r="BW50" t="e">
            <v>#N/A</v>
          </cell>
          <cell r="BX50" t="e">
            <v>#N/A</v>
          </cell>
          <cell r="BY50" t="e">
            <v>#N/A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  <cell r="AV51" t="e">
            <v>#N/A</v>
          </cell>
          <cell r="AW51" t="e">
            <v>#N/A</v>
          </cell>
          <cell r="AX51" t="e">
            <v>#N/A</v>
          </cell>
          <cell r="AY51" t="e">
            <v>#N/A</v>
          </cell>
          <cell r="AZ51" t="e">
            <v>#N/A</v>
          </cell>
          <cell r="BA51" t="e">
            <v>#N/A</v>
          </cell>
          <cell r="BB51" t="e">
            <v>#N/A</v>
          </cell>
          <cell r="BC51" t="e">
            <v>#N/A</v>
          </cell>
          <cell r="BD51" t="e">
            <v>#N/A</v>
          </cell>
          <cell r="BE51" t="e">
            <v>#N/A</v>
          </cell>
          <cell r="BF51" t="e">
            <v>#N/A</v>
          </cell>
          <cell r="BG51" t="e">
            <v>#N/A</v>
          </cell>
          <cell r="BH51" t="e">
            <v>#N/A</v>
          </cell>
          <cell r="BI51" t="e">
            <v>#N/A</v>
          </cell>
          <cell r="BJ51" t="e">
            <v>#N/A</v>
          </cell>
          <cell r="BK51" t="e">
            <v>#N/A</v>
          </cell>
          <cell r="BL51" t="e">
            <v>#N/A</v>
          </cell>
          <cell r="BM51" t="e">
            <v>#N/A</v>
          </cell>
          <cell r="BN51" t="e">
            <v>#N/A</v>
          </cell>
          <cell r="BO51" t="e">
            <v>#N/A</v>
          </cell>
          <cell r="BP51" t="e">
            <v>#N/A</v>
          </cell>
          <cell r="BQ51" t="e">
            <v>#N/A</v>
          </cell>
          <cell r="BR51" t="e">
            <v>#N/A</v>
          </cell>
          <cell r="BS51" t="e">
            <v>#N/A</v>
          </cell>
          <cell r="BT51" t="e">
            <v>#N/A</v>
          </cell>
          <cell r="BU51" t="e">
            <v>#N/A</v>
          </cell>
          <cell r="BV51" t="e">
            <v>#N/A</v>
          </cell>
          <cell r="BW51" t="e">
            <v>#N/A</v>
          </cell>
          <cell r="BX51" t="e">
            <v>#N/A</v>
          </cell>
          <cell r="BY51" t="e">
            <v>#N/A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  <cell r="X52" t="e">
            <v>#N/A</v>
          </cell>
          <cell r="Z52" t="e">
            <v>#N/A</v>
          </cell>
          <cell r="AA52" t="e">
            <v>#N/A</v>
          </cell>
          <cell r="AB52" t="e">
            <v>#N/A</v>
          </cell>
          <cell r="AC52" t="e">
            <v>#N/A</v>
          </cell>
          <cell r="AD52" t="e">
            <v>#N/A</v>
          </cell>
          <cell r="AE52" t="e">
            <v>#N/A</v>
          </cell>
          <cell r="AF52" t="e">
            <v>#N/A</v>
          </cell>
          <cell r="AG52" t="e">
            <v>#N/A</v>
          </cell>
          <cell r="AH52" t="e">
            <v>#N/A</v>
          </cell>
          <cell r="AI52" t="e">
            <v>#N/A</v>
          </cell>
          <cell r="AJ52" t="e">
            <v>#N/A</v>
          </cell>
          <cell r="AK52" t="e">
            <v>#N/A</v>
          </cell>
          <cell r="AL52" t="e">
            <v>#N/A</v>
          </cell>
          <cell r="AM52" t="e">
            <v>#N/A</v>
          </cell>
          <cell r="AN52" t="e">
            <v>#N/A</v>
          </cell>
          <cell r="AO52" t="e">
            <v>#N/A</v>
          </cell>
          <cell r="AP52" t="e">
            <v>#N/A</v>
          </cell>
          <cell r="AQ52" t="e">
            <v>#N/A</v>
          </cell>
          <cell r="AR52" t="e">
            <v>#N/A</v>
          </cell>
          <cell r="AS52" t="e">
            <v>#N/A</v>
          </cell>
          <cell r="AT52" t="e">
            <v>#N/A</v>
          </cell>
          <cell r="AU52" t="e">
            <v>#N/A</v>
          </cell>
          <cell r="AV52" t="e">
            <v>#N/A</v>
          </cell>
          <cell r="AW52" t="e">
            <v>#N/A</v>
          </cell>
          <cell r="AX52" t="e">
            <v>#N/A</v>
          </cell>
          <cell r="AY52" t="e">
            <v>#N/A</v>
          </cell>
          <cell r="AZ52" t="e">
            <v>#N/A</v>
          </cell>
          <cell r="BA52" t="e">
            <v>#N/A</v>
          </cell>
          <cell r="BB52" t="e">
            <v>#N/A</v>
          </cell>
          <cell r="BC52" t="e">
            <v>#N/A</v>
          </cell>
          <cell r="BD52" t="e">
            <v>#N/A</v>
          </cell>
          <cell r="BE52" t="e">
            <v>#N/A</v>
          </cell>
          <cell r="BF52" t="e">
            <v>#N/A</v>
          </cell>
          <cell r="BG52" t="e">
            <v>#N/A</v>
          </cell>
          <cell r="BH52" t="e">
            <v>#N/A</v>
          </cell>
          <cell r="BI52" t="e">
            <v>#N/A</v>
          </cell>
          <cell r="BJ52" t="e">
            <v>#N/A</v>
          </cell>
          <cell r="BK52" t="e">
            <v>#N/A</v>
          </cell>
          <cell r="BL52" t="e">
            <v>#N/A</v>
          </cell>
          <cell r="BM52" t="e">
            <v>#N/A</v>
          </cell>
          <cell r="BN52" t="e">
            <v>#N/A</v>
          </cell>
          <cell r="BO52" t="e">
            <v>#N/A</v>
          </cell>
          <cell r="BP52" t="e">
            <v>#N/A</v>
          </cell>
          <cell r="BQ52" t="e">
            <v>#N/A</v>
          </cell>
          <cell r="BR52" t="e">
            <v>#N/A</v>
          </cell>
          <cell r="BS52" t="e">
            <v>#N/A</v>
          </cell>
          <cell r="BT52" t="e">
            <v>#N/A</v>
          </cell>
          <cell r="BU52" t="e">
            <v>#N/A</v>
          </cell>
          <cell r="BV52" t="e">
            <v>#N/A</v>
          </cell>
          <cell r="BW52" t="e">
            <v>#N/A</v>
          </cell>
          <cell r="BX52" t="e">
            <v>#N/A</v>
          </cell>
          <cell r="BY52" t="e">
            <v>#N/A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  <cell r="AV53" t="e">
            <v>#N/A</v>
          </cell>
          <cell r="AW53" t="e">
            <v>#N/A</v>
          </cell>
          <cell r="AX53" t="e">
            <v>#N/A</v>
          </cell>
          <cell r="AY53" t="e">
            <v>#N/A</v>
          </cell>
          <cell r="AZ53" t="e">
            <v>#N/A</v>
          </cell>
          <cell r="BA53" t="e">
            <v>#N/A</v>
          </cell>
          <cell r="BB53" t="e">
            <v>#N/A</v>
          </cell>
          <cell r="BC53" t="e">
            <v>#N/A</v>
          </cell>
          <cell r="BD53" t="e">
            <v>#N/A</v>
          </cell>
          <cell r="BE53" t="e">
            <v>#N/A</v>
          </cell>
          <cell r="BF53" t="e">
            <v>#N/A</v>
          </cell>
          <cell r="BG53" t="e">
            <v>#N/A</v>
          </cell>
          <cell r="BH53" t="e">
            <v>#N/A</v>
          </cell>
          <cell r="BI53" t="e">
            <v>#N/A</v>
          </cell>
          <cell r="BJ53" t="e">
            <v>#N/A</v>
          </cell>
          <cell r="BK53" t="e">
            <v>#N/A</v>
          </cell>
          <cell r="BL53" t="e">
            <v>#N/A</v>
          </cell>
          <cell r="BM53" t="e">
            <v>#N/A</v>
          </cell>
          <cell r="BN53" t="e">
            <v>#N/A</v>
          </cell>
          <cell r="BO53" t="e">
            <v>#N/A</v>
          </cell>
          <cell r="BP53" t="e">
            <v>#N/A</v>
          </cell>
          <cell r="BQ53" t="e">
            <v>#N/A</v>
          </cell>
          <cell r="BR53" t="e">
            <v>#N/A</v>
          </cell>
          <cell r="BS53" t="e">
            <v>#N/A</v>
          </cell>
          <cell r="BT53" t="e">
            <v>#N/A</v>
          </cell>
          <cell r="BU53" t="e">
            <v>#N/A</v>
          </cell>
          <cell r="BV53" t="e">
            <v>#N/A</v>
          </cell>
          <cell r="BW53" t="e">
            <v>#N/A</v>
          </cell>
          <cell r="BX53" t="e">
            <v>#N/A</v>
          </cell>
          <cell r="BY53" t="e">
            <v>#N/A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  <cell r="AX54" t="e">
            <v>#N/A</v>
          </cell>
          <cell r="AY54" t="e">
            <v>#N/A</v>
          </cell>
          <cell r="AZ54" t="e">
            <v>#N/A</v>
          </cell>
          <cell r="BA54" t="e">
            <v>#N/A</v>
          </cell>
          <cell r="BB54" t="e">
            <v>#N/A</v>
          </cell>
          <cell r="BC54" t="e">
            <v>#N/A</v>
          </cell>
          <cell r="BD54" t="e">
            <v>#N/A</v>
          </cell>
          <cell r="BE54" t="e">
            <v>#N/A</v>
          </cell>
          <cell r="BF54" t="e">
            <v>#N/A</v>
          </cell>
          <cell r="BG54" t="e">
            <v>#N/A</v>
          </cell>
          <cell r="BH54" t="e">
            <v>#N/A</v>
          </cell>
          <cell r="BI54" t="e">
            <v>#N/A</v>
          </cell>
          <cell r="BJ54" t="e">
            <v>#N/A</v>
          </cell>
          <cell r="BK54" t="e">
            <v>#N/A</v>
          </cell>
          <cell r="BL54" t="e">
            <v>#N/A</v>
          </cell>
          <cell r="BM54" t="e">
            <v>#N/A</v>
          </cell>
          <cell r="BN54" t="e">
            <v>#N/A</v>
          </cell>
          <cell r="BO54" t="e">
            <v>#N/A</v>
          </cell>
          <cell r="BP54" t="e">
            <v>#N/A</v>
          </cell>
          <cell r="BQ54" t="e">
            <v>#N/A</v>
          </cell>
          <cell r="BR54" t="e">
            <v>#N/A</v>
          </cell>
          <cell r="BS54" t="e">
            <v>#N/A</v>
          </cell>
          <cell r="BT54" t="e">
            <v>#N/A</v>
          </cell>
          <cell r="BU54" t="e">
            <v>#N/A</v>
          </cell>
          <cell r="BV54" t="e">
            <v>#N/A</v>
          </cell>
          <cell r="BW54" t="e">
            <v>#N/A</v>
          </cell>
          <cell r="BX54" t="e">
            <v>#N/A</v>
          </cell>
          <cell r="BY54" t="e">
            <v>#N/A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 t="e">
            <v>#N/A</v>
          </cell>
          <cell r="G55" t="e">
            <v>#N/A</v>
          </cell>
          <cell r="H55" t="e">
            <v>#N/A</v>
          </cell>
          <cell r="I55" t="e">
            <v>#N/A</v>
          </cell>
          <cell r="J55" t="e">
            <v>#N/A</v>
          </cell>
          <cell r="K55" t="e">
            <v>#N/A</v>
          </cell>
          <cell r="L55" t="e">
            <v>#N/A</v>
          </cell>
          <cell r="M55" t="e">
            <v>#N/A</v>
          </cell>
          <cell r="N55" t="e">
            <v>#N/A</v>
          </cell>
          <cell r="O55" t="e">
            <v>#N/A</v>
          </cell>
          <cell r="P55" t="e">
            <v>#N/A</v>
          </cell>
          <cell r="Q55" t="e">
            <v>#N/A</v>
          </cell>
          <cell r="R55" t="e">
            <v>#N/A</v>
          </cell>
          <cell r="S55" t="e">
            <v>#N/A</v>
          </cell>
          <cell r="T55" t="e">
            <v>#N/A</v>
          </cell>
          <cell r="U55" t="e">
            <v>#N/A</v>
          </cell>
          <cell r="V55" t="e">
            <v>#N/A</v>
          </cell>
          <cell r="W55" t="e">
            <v>#N/A</v>
          </cell>
          <cell r="X55" t="e">
            <v>#N/A</v>
          </cell>
          <cell r="Z55" t="e">
            <v>#N/A</v>
          </cell>
          <cell r="AA55" t="e">
            <v>#N/A</v>
          </cell>
          <cell r="AB55" t="e">
            <v>#N/A</v>
          </cell>
          <cell r="AC55" t="e">
            <v>#N/A</v>
          </cell>
          <cell r="AD55" t="e">
            <v>#N/A</v>
          </cell>
          <cell r="AE55" t="e">
            <v>#N/A</v>
          </cell>
          <cell r="AF55" t="e">
            <v>#N/A</v>
          </cell>
          <cell r="AG55" t="e">
            <v>#N/A</v>
          </cell>
          <cell r="AH55" t="e">
            <v>#N/A</v>
          </cell>
          <cell r="AI55" t="e">
            <v>#N/A</v>
          </cell>
          <cell r="AJ55" t="e">
            <v>#N/A</v>
          </cell>
          <cell r="AK55" t="e">
            <v>#N/A</v>
          </cell>
          <cell r="AL55" t="e">
            <v>#N/A</v>
          </cell>
          <cell r="AM55" t="e">
            <v>#N/A</v>
          </cell>
          <cell r="AN55" t="e">
            <v>#N/A</v>
          </cell>
          <cell r="AO55" t="e">
            <v>#N/A</v>
          </cell>
          <cell r="AP55" t="e">
            <v>#N/A</v>
          </cell>
          <cell r="AQ55" t="e">
            <v>#N/A</v>
          </cell>
          <cell r="AR55" t="e">
            <v>#N/A</v>
          </cell>
          <cell r="AS55" t="e">
            <v>#N/A</v>
          </cell>
          <cell r="AT55" t="e">
            <v>#N/A</v>
          </cell>
          <cell r="AU55" t="e">
            <v>#N/A</v>
          </cell>
          <cell r="AV55" t="e">
            <v>#N/A</v>
          </cell>
          <cell r="AW55" t="e">
            <v>#N/A</v>
          </cell>
          <cell r="AX55" t="e">
            <v>#N/A</v>
          </cell>
          <cell r="AY55" t="e">
            <v>#N/A</v>
          </cell>
          <cell r="AZ55" t="e">
            <v>#N/A</v>
          </cell>
          <cell r="BA55" t="e">
            <v>#N/A</v>
          </cell>
          <cell r="BB55" t="e">
            <v>#N/A</v>
          </cell>
          <cell r="BC55" t="e">
            <v>#N/A</v>
          </cell>
          <cell r="BD55" t="e">
            <v>#N/A</v>
          </cell>
          <cell r="BE55" t="e">
            <v>#N/A</v>
          </cell>
          <cell r="BF55" t="e">
            <v>#N/A</v>
          </cell>
          <cell r="BG55" t="e">
            <v>#N/A</v>
          </cell>
          <cell r="BH55" t="e">
            <v>#N/A</v>
          </cell>
          <cell r="BI55" t="e">
            <v>#N/A</v>
          </cell>
          <cell r="BJ55" t="e">
            <v>#N/A</v>
          </cell>
          <cell r="BK55" t="e">
            <v>#N/A</v>
          </cell>
          <cell r="BL55" t="e">
            <v>#N/A</v>
          </cell>
          <cell r="BM55" t="e">
            <v>#N/A</v>
          </cell>
          <cell r="BN55" t="e">
            <v>#N/A</v>
          </cell>
          <cell r="BO55" t="e">
            <v>#N/A</v>
          </cell>
          <cell r="BP55" t="e">
            <v>#N/A</v>
          </cell>
          <cell r="BQ55" t="e">
            <v>#N/A</v>
          </cell>
          <cell r="BR55" t="e">
            <v>#N/A</v>
          </cell>
          <cell r="BS55" t="e">
            <v>#N/A</v>
          </cell>
          <cell r="BT55" t="e">
            <v>#N/A</v>
          </cell>
          <cell r="BU55" t="e">
            <v>#N/A</v>
          </cell>
          <cell r="BV55" t="e">
            <v>#N/A</v>
          </cell>
          <cell r="BW55" t="e">
            <v>#N/A</v>
          </cell>
          <cell r="BX55" t="e">
            <v>#N/A</v>
          </cell>
          <cell r="BY55" t="e">
            <v>#N/A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  <cell r="AV56" t="e">
            <v>#N/A</v>
          </cell>
          <cell r="AW56" t="e">
            <v>#N/A</v>
          </cell>
          <cell r="AX56" t="e">
            <v>#N/A</v>
          </cell>
          <cell r="AY56" t="e">
            <v>#N/A</v>
          </cell>
          <cell r="AZ56" t="e">
            <v>#N/A</v>
          </cell>
          <cell r="BA56" t="e">
            <v>#N/A</v>
          </cell>
          <cell r="BB56" t="e">
            <v>#N/A</v>
          </cell>
          <cell r="BC56" t="e">
            <v>#N/A</v>
          </cell>
          <cell r="BD56" t="e">
            <v>#N/A</v>
          </cell>
          <cell r="BE56" t="e">
            <v>#N/A</v>
          </cell>
          <cell r="BF56" t="e">
            <v>#N/A</v>
          </cell>
          <cell r="BG56" t="e">
            <v>#N/A</v>
          </cell>
          <cell r="BH56" t="e">
            <v>#N/A</v>
          </cell>
          <cell r="BI56" t="e">
            <v>#N/A</v>
          </cell>
          <cell r="BJ56" t="e">
            <v>#N/A</v>
          </cell>
          <cell r="BK56" t="e">
            <v>#N/A</v>
          </cell>
          <cell r="BL56" t="e">
            <v>#N/A</v>
          </cell>
          <cell r="BM56" t="e">
            <v>#N/A</v>
          </cell>
          <cell r="BN56" t="e">
            <v>#N/A</v>
          </cell>
          <cell r="BO56" t="e">
            <v>#N/A</v>
          </cell>
          <cell r="BP56" t="e">
            <v>#N/A</v>
          </cell>
          <cell r="BQ56" t="e">
            <v>#N/A</v>
          </cell>
          <cell r="BR56" t="e">
            <v>#N/A</v>
          </cell>
          <cell r="BS56" t="e">
            <v>#N/A</v>
          </cell>
          <cell r="BT56" t="e">
            <v>#N/A</v>
          </cell>
          <cell r="BU56" t="e">
            <v>#N/A</v>
          </cell>
          <cell r="BV56" t="e">
            <v>#N/A</v>
          </cell>
          <cell r="BW56" t="e">
            <v>#N/A</v>
          </cell>
          <cell r="BX56" t="e">
            <v>#N/A</v>
          </cell>
          <cell r="BY56" t="e">
            <v>#N/A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 t="e">
            <v>#N/A</v>
          </cell>
          <cell r="G57" t="e">
            <v>#N/A</v>
          </cell>
          <cell r="H57" t="e">
            <v>#N/A</v>
          </cell>
          <cell r="I57" t="e">
            <v>#N/A</v>
          </cell>
          <cell r="J57" t="e">
            <v>#N/A</v>
          </cell>
          <cell r="K57" t="e">
            <v>#N/A</v>
          </cell>
          <cell r="L57" t="e">
            <v>#N/A</v>
          </cell>
          <cell r="M57" t="e">
            <v>#N/A</v>
          </cell>
          <cell r="N57" t="e">
            <v>#N/A</v>
          </cell>
          <cell r="O57" t="e">
            <v>#N/A</v>
          </cell>
          <cell r="P57" t="e">
            <v>#N/A</v>
          </cell>
          <cell r="Q57" t="e">
            <v>#N/A</v>
          </cell>
          <cell r="R57" t="e">
            <v>#N/A</v>
          </cell>
          <cell r="S57" t="e">
            <v>#N/A</v>
          </cell>
          <cell r="T57" t="e">
            <v>#N/A</v>
          </cell>
          <cell r="U57" t="e">
            <v>#N/A</v>
          </cell>
          <cell r="V57" t="e">
            <v>#N/A</v>
          </cell>
          <cell r="W57" t="e">
            <v>#N/A</v>
          </cell>
          <cell r="X57" t="e">
            <v>#N/A</v>
          </cell>
          <cell r="Z57" t="e">
            <v>#N/A</v>
          </cell>
          <cell r="AA57" t="e">
            <v>#N/A</v>
          </cell>
          <cell r="AB57" t="e">
            <v>#N/A</v>
          </cell>
          <cell r="AC57" t="e">
            <v>#N/A</v>
          </cell>
          <cell r="AD57" t="e">
            <v>#N/A</v>
          </cell>
          <cell r="AE57" t="e">
            <v>#N/A</v>
          </cell>
          <cell r="AF57" t="e">
            <v>#N/A</v>
          </cell>
          <cell r="AG57" t="e">
            <v>#N/A</v>
          </cell>
          <cell r="AH57" t="e">
            <v>#N/A</v>
          </cell>
          <cell r="AI57" t="e">
            <v>#N/A</v>
          </cell>
          <cell r="AJ57" t="e">
            <v>#N/A</v>
          </cell>
          <cell r="AK57" t="e">
            <v>#N/A</v>
          </cell>
          <cell r="AL57" t="e">
            <v>#N/A</v>
          </cell>
          <cell r="AM57" t="e">
            <v>#N/A</v>
          </cell>
          <cell r="AN57" t="e">
            <v>#N/A</v>
          </cell>
          <cell r="AO57" t="e">
            <v>#N/A</v>
          </cell>
          <cell r="AP57" t="e">
            <v>#N/A</v>
          </cell>
          <cell r="AQ57" t="e">
            <v>#N/A</v>
          </cell>
          <cell r="AR57" t="e">
            <v>#N/A</v>
          </cell>
          <cell r="AS57" t="e">
            <v>#N/A</v>
          </cell>
          <cell r="AT57" t="e">
            <v>#N/A</v>
          </cell>
          <cell r="AU57" t="e">
            <v>#N/A</v>
          </cell>
          <cell r="AV57" t="e">
            <v>#N/A</v>
          </cell>
          <cell r="AW57" t="e">
            <v>#N/A</v>
          </cell>
          <cell r="AX57" t="e">
            <v>#N/A</v>
          </cell>
          <cell r="AY57" t="e">
            <v>#N/A</v>
          </cell>
          <cell r="AZ57" t="e">
            <v>#N/A</v>
          </cell>
          <cell r="BA57" t="e">
            <v>#N/A</v>
          </cell>
          <cell r="BB57" t="e">
            <v>#N/A</v>
          </cell>
          <cell r="BC57" t="e">
            <v>#N/A</v>
          </cell>
          <cell r="BD57" t="e">
            <v>#N/A</v>
          </cell>
          <cell r="BE57" t="e">
            <v>#N/A</v>
          </cell>
          <cell r="BF57" t="e">
            <v>#N/A</v>
          </cell>
          <cell r="BG57" t="e">
            <v>#N/A</v>
          </cell>
          <cell r="BH57" t="e">
            <v>#N/A</v>
          </cell>
          <cell r="BI57" t="e">
            <v>#N/A</v>
          </cell>
          <cell r="BJ57" t="e">
            <v>#N/A</v>
          </cell>
          <cell r="BK57" t="e">
            <v>#N/A</v>
          </cell>
          <cell r="BL57" t="e">
            <v>#N/A</v>
          </cell>
          <cell r="BM57" t="e">
            <v>#N/A</v>
          </cell>
          <cell r="BN57" t="e">
            <v>#N/A</v>
          </cell>
          <cell r="BO57" t="e">
            <v>#N/A</v>
          </cell>
          <cell r="BP57" t="e">
            <v>#N/A</v>
          </cell>
          <cell r="BQ57" t="e">
            <v>#N/A</v>
          </cell>
          <cell r="BR57" t="e">
            <v>#N/A</v>
          </cell>
          <cell r="BS57" t="e">
            <v>#N/A</v>
          </cell>
          <cell r="BT57" t="e">
            <v>#N/A</v>
          </cell>
          <cell r="BU57" t="e">
            <v>#N/A</v>
          </cell>
          <cell r="BV57" t="e">
            <v>#N/A</v>
          </cell>
          <cell r="BW57" t="e">
            <v>#N/A</v>
          </cell>
          <cell r="BX57" t="e">
            <v>#N/A</v>
          </cell>
          <cell r="BY57" t="e">
            <v>#N/A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  <cell r="AV58" t="e">
            <v>#N/A</v>
          </cell>
          <cell r="AW58" t="e">
            <v>#N/A</v>
          </cell>
          <cell r="AX58" t="e">
            <v>#N/A</v>
          </cell>
          <cell r="AY58" t="e">
            <v>#N/A</v>
          </cell>
          <cell r="AZ58" t="e">
            <v>#N/A</v>
          </cell>
          <cell r="BA58" t="e">
            <v>#N/A</v>
          </cell>
          <cell r="BB58" t="e">
            <v>#N/A</v>
          </cell>
          <cell r="BC58" t="e">
            <v>#N/A</v>
          </cell>
          <cell r="BD58" t="e">
            <v>#N/A</v>
          </cell>
          <cell r="BE58" t="e">
            <v>#N/A</v>
          </cell>
          <cell r="BF58" t="e">
            <v>#N/A</v>
          </cell>
          <cell r="BG58" t="e">
            <v>#N/A</v>
          </cell>
          <cell r="BH58" t="e">
            <v>#N/A</v>
          </cell>
          <cell r="BI58" t="e">
            <v>#N/A</v>
          </cell>
          <cell r="BJ58" t="e">
            <v>#N/A</v>
          </cell>
          <cell r="BK58" t="e">
            <v>#N/A</v>
          </cell>
          <cell r="BL58" t="e">
            <v>#N/A</v>
          </cell>
          <cell r="BM58" t="e">
            <v>#N/A</v>
          </cell>
          <cell r="BN58" t="e">
            <v>#N/A</v>
          </cell>
          <cell r="BO58" t="e">
            <v>#N/A</v>
          </cell>
          <cell r="BP58" t="e">
            <v>#N/A</v>
          </cell>
          <cell r="BQ58" t="e">
            <v>#N/A</v>
          </cell>
          <cell r="BR58" t="e">
            <v>#N/A</v>
          </cell>
          <cell r="BS58" t="e">
            <v>#N/A</v>
          </cell>
          <cell r="BT58" t="e">
            <v>#N/A</v>
          </cell>
          <cell r="BU58" t="e">
            <v>#N/A</v>
          </cell>
          <cell r="BV58" t="e">
            <v>#N/A</v>
          </cell>
          <cell r="BW58" t="e">
            <v>#N/A</v>
          </cell>
          <cell r="BX58" t="e">
            <v>#N/A</v>
          </cell>
          <cell r="BY58" t="e">
            <v>#N/A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 t="e">
            <v>#N/A</v>
          </cell>
          <cell r="G59" t="e">
            <v>#N/A</v>
          </cell>
          <cell r="H59" t="e">
            <v>#N/A</v>
          </cell>
          <cell r="I59" t="e">
            <v>#N/A</v>
          </cell>
          <cell r="J59" t="e">
            <v>#N/A</v>
          </cell>
          <cell r="K59" t="e">
            <v>#N/A</v>
          </cell>
          <cell r="L59" t="e">
            <v>#N/A</v>
          </cell>
          <cell r="M59" t="e">
            <v>#N/A</v>
          </cell>
          <cell r="N59" t="e">
            <v>#N/A</v>
          </cell>
          <cell r="O59" t="e">
            <v>#N/A</v>
          </cell>
          <cell r="P59" t="e">
            <v>#N/A</v>
          </cell>
          <cell r="Q59" t="e">
            <v>#N/A</v>
          </cell>
          <cell r="R59" t="e">
            <v>#N/A</v>
          </cell>
          <cell r="S59" t="e">
            <v>#N/A</v>
          </cell>
          <cell r="T59" t="e">
            <v>#N/A</v>
          </cell>
          <cell r="U59" t="e">
            <v>#N/A</v>
          </cell>
          <cell r="V59" t="e">
            <v>#N/A</v>
          </cell>
          <cell r="W59" t="e">
            <v>#N/A</v>
          </cell>
          <cell r="X59" t="e">
            <v>#N/A</v>
          </cell>
          <cell r="Z59" t="e">
            <v>#N/A</v>
          </cell>
          <cell r="AA59" t="e">
            <v>#N/A</v>
          </cell>
          <cell r="AB59" t="e">
            <v>#N/A</v>
          </cell>
          <cell r="AC59" t="e">
            <v>#N/A</v>
          </cell>
          <cell r="AD59" t="e">
            <v>#N/A</v>
          </cell>
          <cell r="AE59" t="e">
            <v>#N/A</v>
          </cell>
          <cell r="AF59" t="e">
            <v>#N/A</v>
          </cell>
          <cell r="AG59" t="e">
            <v>#N/A</v>
          </cell>
          <cell r="AH59" t="e">
            <v>#N/A</v>
          </cell>
          <cell r="AI59" t="e">
            <v>#N/A</v>
          </cell>
          <cell r="AJ59" t="e">
            <v>#N/A</v>
          </cell>
          <cell r="AK59" t="e">
            <v>#N/A</v>
          </cell>
          <cell r="AL59" t="e">
            <v>#N/A</v>
          </cell>
          <cell r="AM59" t="e">
            <v>#N/A</v>
          </cell>
          <cell r="AN59" t="e">
            <v>#N/A</v>
          </cell>
          <cell r="AO59" t="e">
            <v>#N/A</v>
          </cell>
          <cell r="AP59" t="e">
            <v>#N/A</v>
          </cell>
          <cell r="AQ59" t="e">
            <v>#N/A</v>
          </cell>
          <cell r="AR59" t="e">
            <v>#N/A</v>
          </cell>
          <cell r="AS59" t="e">
            <v>#N/A</v>
          </cell>
          <cell r="AT59" t="e">
            <v>#N/A</v>
          </cell>
          <cell r="AU59" t="e">
            <v>#N/A</v>
          </cell>
          <cell r="AV59" t="e">
            <v>#N/A</v>
          </cell>
          <cell r="AW59" t="e">
            <v>#N/A</v>
          </cell>
          <cell r="AX59" t="e">
            <v>#N/A</v>
          </cell>
          <cell r="AY59" t="e">
            <v>#N/A</v>
          </cell>
          <cell r="AZ59" t="e">
            <v>#N/A</v>
          </cell>
          <cell r="BA59" t="e">
            <v>#N/A</v>
          </cell>
          <cell r="BB59" t="e">
            <v>#N/A</v>
          </cell>
          <cell r="BC59" t="e">
            <v>#N/A</v>
          </cell>
          <cell r="BD59" t="e">
            <v>#N/A</v>
          </cell>
          <cell r="BE59" t="e">
            <v>#N/A</v>
          </cell>
          <cell r="BF59" t="e">
            <v>#N/A</v>
          </cell>
          <cell r="BG59" t="e">
            <v>#N/A</v>
          </cell>
          <cell r="BH59" t="e">
            <v>#N/A</v>
          </cell>
          <cell r="BI59" t="e">
            <v>#N/A</v>
          </cell>
          <cell r="BJ59" t="e">
            <v>#N/A</v>
          </cell>
          <cell r="BK59" t="e">
            <v>#N/A</v>
          </cell>
          <cell r="BL59" t="e">
            <v>#N/A</v>
          </cell>
          <cell r="BM59" t="e">
            <v>#N/A</v>
          </cell>
          <cell r="BN59" t="e">
            <v>#N/A</v>
          </cell>
          <cell r="BO59" t="e">
            <v>#N/A</v>
          </cell>
          <cell r="BP59" t="e">
            <v>#N/A</v>
          </cell>
          <cell r="BQ59" t="e">
            <v>#N/A</v>
          </cell>
          <cell r="BR59" t="e">
            <v>#N/A</v>
          </cell>
          <cell r="BS59" t="e">
            <v>#N/A</v>
          </cell>
          <cell r="BT59" t="e">
            <v>#N/A</v>
          </cell>
          <cell r="BU59" t="e">
            <v>#N/A</v>
          </cell>
          <cell r="BV59" t="e">
            <v>#N/A</v>
          </cell>
          <cell r="BW59" t="e">
            <v>#N/A</v>
          </cell>
          <cell r="BX59" t="e">
            <v>#N/A</v>
          </cell>
          <cell r="BY59" t="e">
            <v>#N/A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  <cell r="AV60" t="e">
            <v>#N/A</v>
          </cell>
          <cell r="AW60" t="e">
            <v>#N/A</v>
          </cell>
          <cell r="AX60" t="e">
            <v>#N/A</v>
          </cell>
          <cell r="AY60" t="e">
            <v>#N/A</v>
          </cell>
          <cell r="AZ60" t="e">
            <v>#N/A</v>
          </cell>
          <cell r="BA60" t="e">
            <v>#N/A</v>
          </cell>
          <cell r="BB60" t="e">
            <v>#N/A</v>
          </cell>
          <cell r="BC60" t="e">
            <v>#N/A</v>
          </cell>
          <cell r="BD60" t="e">
            <v>#N/A</v>
          </cell>
          <cell r="BE60" t="e">
            <v>#N/A</v>
          </cell>
          <cell r="BF60" t="e">
            <v>#N/A</v>
          </cell>
          <cell r="BG60" t="e">
            <v>#N/A</v>
          </cell>
          <cell r="BH60" t="e">
            <v>#N/A</v>
          </cell>
          <cell r="BI60" t="e">
            <v>#N/A</v>
          </cell>
          <cell r="BJ60" t="e">
            <v>#N/A</v>
          </cell>
          <cell r="BK60" t="e">
            <v>#N/A</v>
          </cell>
          <cell r="BL60" t="e">
            <v>#N/A</v>
          </cell>
          <cell r="BM60" t="e">
            <v>#N/A</v>
          </cell>
          <cell r="BN60" t="e">
            <v>#N/A</v>
          </cell>
          <cell r="BO60" t="e">
            <v>#N/A</v>
          </cell>
          <cell r="BP60" t="e">
            <v>#N/A</v>
          </cell>
          <cell r="BQ60" t="e">
            <v>#N/A</v>
          </cell>
          <cell r="BR60" t="e">
            <v>#N/A</v>
          </cell>
          <cell r="BS60" t="e">
            <v>#N/A</v>
          </cell>
          <cell r="BT60" t="e">
            <v>#N/A</v>
          </cell>
          <cell r="BU60" t="e">
            <v>#N/A</v>
          </cell>
          <cell r="BV60" t="e">
            <v>#N/A</v>
          </cell>
          <cell r="BW60" t="e">
            <v>#N/A</v>
          </cell>
          <cell r="BX60" t="e">
            <v>#N/A</v>
          </cell>
          <cell r="BY60" t="e">
            <v>#N/A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 t="e">
            <v>#N/A</v>
          </cell>
          <cell r="M61" t="e">
            <v>#N/A</v>
          </cell>
          <cell r="N61" t="e">
            <v>#N/A</v>
          </cell>
          <cell r="O61" t="e">
            <v>#N/A</v>
          </cell>
          <cell r="P61" t="e">
            <v>#N/A</v>
          </cell>
          <cell r="Q61" t="e">
            <v>#N/A</v>
          </cell>
          <cell r="R61" t="e">
            <v>#N/A</v>
          </cell>
          <cell r="S61" t="e">
            <v>#N/A</v>
          </cell>
          <cell r="T61" t="e">
            <v>#N/A</v>
          </cell>
          <cell r="U61" t="e">
            <v>#N/A</v>
          </cell>
          <cell r="V61" t="e">
            <v>#N/A</v>
          </cell>
          <cell r="W61" t="e">
            <v>#N/A</v>
          </cell>
          <cell r="X61" t="e">
            <v>#N/A</v>
          </cell>
          <cell r="Z61" t="e">
            <v>#N/A</v>
          </cell>
          <cell r="AA61" t="e">
            <v>#N/A</v>
          </cell>
          <cell r="AB61" t="e">
            <v>#N/A</v>
          </cell>
          <cell r="AC61" t="e">
            <v>#N/A</v>
          </cell>
          <cell r="AD61" t="e">
            <v>#N/A</v>
          </cell>
          <cell r="AE61" t="e">
            <v>#N/A</v>
          </cell>
          <cell r="AF61" t="e">
            <v>#N/A</v>
          </cell>
          <cell r="AG61" t="e">
            <v>#N/A</v>
          </cell>
          <cell r="AH61" t="e">
            <v>#N/A</v>
          </cell>
          <cell r="AI61" t="e">
            <v>#N/A</v>
          </cell>
          <cell r="AJ61" t="e">
            <v>#N/A</v>
          </cell>
          <cell r="AK61" t="e">
            <v>#N/A</v>
          </cell>
          <cell r="AL61" t="e">
            <v>#N/A</v>
          </cell>
          <cell r="AM61" t="e">
            <v>#N/A</v>
          </cell>
          <cell r="AN61" t="e">
            <v>#N/A</v>
          </cell>
          <cell r="AO61" t="e">
            <v>#N/A</v>
          </cell>
          <cell r="AP61" t="e">
            <v>#N/A</v>
          </cell>
          <cell r="AQ61" t="e">
            <v>#N/A</v>
          </cell>
          <cell r="AR61" t="e">
            <v>#N/A</v>
          </cell>
          <cell r="AS61" t="e">
            <v>#N/A</v>
          </cell>
          <cell r="AT61" t="e">
            <v>#N/A</v>
          </cell>
          <cell r="AU61" t="e">
            <v>#N/A</v>
          </cell>
          <cell r="AV61" t="e">
            <v>#N/A</v>
          </cell>
          <cell r="AW61" t="e">
            <v>#N/A</v>
          </cell>
          <cell r="AX61" t="e">
            <v>#N/A</v>
          </cell>
          <cell r="AY61" t="e">
            <v>#N/A</v>
          </cell>
          <cell r="AZ61" t="e">
            <v>#N/A</v>
          </cell>
          <cell r="BA61" t="e">
            <v>#N/A</v>
          </cell>
          <cell r="BB61" t="e">
            <v>#N/A</v>
          </cell>
          <cell r="BC61" t="e">
            <v>#N/A</v>
          </cell>
          <cell r="BD61" t="e">
            <v>#N/A</v>
          </cell>
          <cell r="BE61" t="e">
            <v>#N/A</v>
          </cell>
          <cell r="BF61" t="e">
            <v>#N/A</v>
          </cell>
          <cell r="BG61" t="e">
            <v>#N/A</v>
          </cell>
          <cell r="BH61" t="e">
            <v>#N/A</v>
          </cell>
          <cell r="BI61" t="e">
            <v>#N/A</v>
          </cell>
          <cell r="BJ61" t="e">
            <v>#N/A</v>
          </cell>
          <cell r="BK61" t="e">
            <v>#N/A</v>
          </cell>
          <cell r="BL61" t="e">
            <v>#N/A</v>
          </cell>
          <cell r="BM61" t="e">
            <v>#N/A</v>
          </cell>
          <cell r="BN61" t="e">
            <v>#N/A</v>
          </cell>
          <cell r="BO61" t="e">
            <v>#N/A</v>
          </cell>
          <cell r="BP61" t="e">
            <v>#N/A</v>
          </cell>
          <cell r="BQ61" t="e">
            <v>#N/A</v>
          </cell>
          <cell r="BR61" t="e">
            <v>#N/A</v>
          </cell>
          <cell r="BS61" t="e">
            <v>#N/A</v>
          </cell>
          <cell r="BT61" t="e">
            <v>#N/A</v>
          </cell>
          <cell r="BU61" t="e">
            <v>#N/A</v>
          </cell>
          <cell r="BV61" t="e">
            <v>#N/A</v>
          </cell>
          <cell r="BW61" t="e">
            <v>#N/A</v>
          </cell>
          <cell r="BX61" t="e">
            <v>#N/A</v>
          </cell>
          <cell r="BY61" t="e">
            <v>#N/A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  <cell r="AV62" t="e">
            <v>#N/A</v>
          </cell>
          <cell r="AW62" t="e">
            <v>#N/A</v>
          </cell>
          <cell r="AX62" t="e">
            <v>#N/A</v>
          </cell>
          <cell r="AY62" t="e">
            <v>#N/A</v>
          </cell>
          <cell r="AZ62" t="e">
            <v>#N/A</v>
          </cell>
          <cell r="BA62" t="e">
            <v>#N/A</v>
          </cell>
          <cell r="BB62" t="e">
            <v>#N/A</v>
          </cell>
          <cell r="BC62" t="e">
            <v>#N/A</v>
          </cell>
          <cell r="BD62" t="e">
            <v>#N/A</v>
          </cell>
          <cell r="BE62" t="e">
            <v>#N/A</v>
          </cell>
          <cell r="BF62" t="e">
            <v>#N/A</v>
          </cell>
          <cell r="BG62" t="e">
            <v>#N/A</v>
          </cell>
          <cell r="BH62" t="e">
            <v>#N/A</v>
          </cell>
          <cell r="BI62" t="e">
            <v>#N/A</v>
          </cell>
          <cell r="BJ62" t="e">
            <v>#N/A</v>
          </cell>
          <cell r="BK62" t="e">
            <v>#N/A</v>
          </cell>
          <cell r="BL62" t="e">
            <v>#N/A</v>
          </cell>
          <cell r="BM62" t="e">
            <v>#N/A</v>
          </cell>
          <cell r="BN62" t="e">
            <v>#N/A</v>
          </cell>
          <cell r="BO62" t="e">
            <v>#N/A</v>
          </cell>
          <cell r="BP62" t="e">
            <v>#N/A</v>
          </cell>
          <cell r="BQ62" t="e">
            <v>#N/A</v>
          </cell>
          <cell r="BR62" t="e">
            <v>#N/A</v>
          </cell>
          <cell r="BS62" t="e">
            <v>#N/A</v>
          </cell>
          <cell r="BT62" t="e">
            <v>#N/A</v>
          </cell>
          <cell r="BU62" t="e">
            <v>#N/A</v>
          </cell>
          <cell r="BV62" t="e">
            <v>#N/A</v>
          </cell>
          <cell r="BW62" t="e">
            <v>#N/A</v>
          </cell>
          <cell r="BX62" t="e">
            <v>#N/A</v>
          </cell>
          <cell r="BY62" t="e">
            <v>#N/A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 t="e">
            <v>#N/A</v>
          </cell>
          <cell r="G63" t="e">
            <v>#N/A</v>
          </cell>
          <cell r="H63" t="e">
            <v>#N/A</v>
          </cell>
          <cell r="I63" t="e">
            <v>#N/A</v>
          </cell>
          <cell r="J63" t="e">
            <v>#N/A</v>
          </cell>
          <cell r="K63" t="e">
            <v>#N/A</v>
          </cell>
          <cell r="L63" t="e">
            <v>#N/A</v>
          </cell>
          <cell r="M63" t="e">
            <v>#N/A</v>
          </cell>
          <cell r="N63" t="e">
            <v>#N/A</v>
          </cell>
          <cell r="O63" t="e">
            <v>#N/A</v>
          </cell>
          <cell r="P63" t="e">
            <v>#N/A</v>
          </cell>
          <cell r="Q63" t="e">
            <v>#N/A</v>
          </cell>
          <cell r="R63" t="e">
            <v>#N/A</v>
          </cell>
          <cell r="S63" t="e">
            <v>#N/A</v>
          </cell>
          <cell r="T63" t="e">
            <v>#N/A</v>
          </cell>
          <cell r="U63" t="e">
            <v>#N/A</v>
          </cell>
          <cell r="V63" t="e">
            <v>#N/A</v>
          </cell>
          <cell r="W63" t="e">
            <v>#N/A</v>
          </cell>
          <cell r="X63" t="e">
            <v>#N/A</v>
          </cell>
          <cell r="Z63" t="e">
            <v>#N/A</v>
          </cell>
          <cell r="AA63" t="e">
            <v>#N/A</v>
          </cell>
          <cell r="AB63" t="e">
            <v>#N/A</v>
          </cell>
          <cell r="AC63" t="e">
            <v>#N/A</v>
          </cell>
          <cell r="AD63" t="e">
            <v>#N/A</v>
          </cell>
          <cell r="AE63" t="e">
            <v>#N/A</v>
          </cell>
          <cell r="AF63" t="e">
            <v>#N/A</v>
          </cell>
          <cell r="AG63" t="e">
            <v>#N/A</v>
          </cell>
          <cell r="AH63" t="e">
            <v>#N/A</v>
          </cell>
          <cell r="AI63" t="e">
            <v>#N/A</v>
          </cell>
          <cell r="AJ63" t="e">
            <v>#N/A</v>
          </cell>
          <cell r="AK63" t="e">
            <v>#N/A</v>
          </cell>
          <cell r="AL63" t="e">
            <v>#N/A</v>
          </cell>
          <cell r="AM63" t="e">
            <v>#N/A</v>
          </cell>
          <cell r="AN63" t="e">
            <v>#N/A</v>
          </cell>
          <cell r="AO63" t="e">
            <v>#N/A</v>
          </cell>
          <cell r="AP63" t="e">
            <v>#N/A</v>
          </cell>
          <cell r="AQ63" t="e">
            <v>#N/A</v>
          </cell>
          <cell r="AR63" t="e">
            <v>#N/A</v>
          </cell>
          <cell r="AS63" t="e">
            <v>#N/A</v>
          </cell>
          <cell r="AT63" t="e">
            <v>#N/A</v>
          </cell>
          <cell r="AU63" t="e">
            <v>#N/A</v>
          </cell>
          <cell r="AV63" t="e">
            <v>#N/A</v>
          </cell>
          <cell r="AW63" t="e">
            <v>#N/A</v>
          </cell>
          <cell r="AX63" t="e">
            <v>#N/A</v>
          </cell>
          <cell r="AY63" t="e">
            <v>#N/A</v>
          </cell>
          <cell r="AZ63" t="e">
            <v>#N/A</v>
          </cell>
          <cell r="BA63" t="e">
            <v>#N/A</v>
          </cell>
          <cell r="BB63" t="e">
            <v>#N/A</v>
          </cell>
          <cell r="BC63" t="e">
            <v>#N/A</v>
          </cell>
          <cell r="BD63" t="e">
            <v>#N/A</v>
          </cell>
          <cell r="BE63" t="e">
            <v>#N/A</v>
          </cell>
          <cell r="BF63" t="e">
            <v>#N/A</v>
          </cell>
          <cell r="BG63" t="e">
            <v>#N/A</v>
          </cell>
          <cell r="BH63" t="e">
            <v>#N/A</v>
          </cell>
          <cell r="BI63" t="e">
            <v>#N/A</v>
          </cell>
          <cell r="BJ63" t="e">
            <v>#N/A</v>
          </cell>
          <cell r="BK63" t="e">
            <v>#N/A</v>
          </cell>
          <cell r="BL63" t="e">
            <v>#N/A</v>
          </cell>
          <cell r="BM63" t="e">
            <v>#N/A</v>
          </cell>
          <cell r="BN63" t="e">
            <v>#N/A</v>
          </cell>
          <cell r="BO63" t="e">
            <v>#N/A</v>
          </cell>
          <cell r="BP63" t="e">
            <v>#N/A</v>
          </cell>
          <cell r="BQ63" t="e">
            <v>#N/A</v>
          </cell>
          <cell r="BR63" t="e">
            <v>#N/A</v>
          </cell>
          <cell r="BS63" t="e">
            <v>#N/A</v>
          </cell>
          <cell r="BT63" t="e">
            <v>#N/A</v>
          </cell>
          <cell r="BU63" t="e">
            <v>#N/A</v>
          </cell>
          <cell r="BV63" t="e">
            <v>#N/A</v>
          </cell>
          <cell r="BW63" t="e">
            <v>#N/A</v>
          </cell>
          <cell r="BX63" t="e">
            <v>#N/A</v>
          </cell>
          <cell r="BY63" t="e">
            <v>#N/A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  <cell r="AV64" t="e">
            <v>#N/A</v>
          </cell>
          <cell r="AW64" t="e">
            <v>#N/A</v>
          </cell>
          <cell r="AX64" t="e">
            <v>#N/A</v>
          </cell>
          <cell r="AY64" t="e">
            <v>#N/A</v>
          </cell>
          <cell r="AZ64" t="e">
            <v>#N/A</v>
          </cell>
          <cell r="BA64" t="e">
            <v>#N/A</v>
          </cell>
          <cell r="BB64" t="e">
            <v>#N/A</v>
          </cell>
          <cell r="BC64" t="e">
            <v>#N/A</v>
          </cell>
          <cell r="BD64" t="e">
            <v>#N/A</v>
          </cell>
          <cell r="BE64" t="e">
            <v>#N/A</v>
          </cell>
          <cell r="BF64" t="e">
            <v>#N/A</v>
          </cell>
          <cell r="BG64" t="e">
            <v>#N/A</v>
          </cell>
          <cell r="BH64" t="e">
            <v>#N/A</v>
          </cell>
          <cell r="BI64" t="e">
            <v>#N/A</v>
          </cell>
          <cell r="BJ64" t="e">
            <v>#N/A</v>
          </cell>
          <cell r="BK64" t="e">
            <v>#N/A</v>
          </cell>
          <cell r="BL64" t="e">
            <v>#N/A</v>
          </cell>
          <cell r="BM64" t="e">
            <v>#N/A</v>
          </cell>
          <cell r="BN64" t="e">
            <v>#N/A</v>
          </cell>
          <cell r="BO64" t="e">
            <v>#N/A</v>
          </cell>
          <cell r="BP64" t="e">
            <v>#N/A</v>
          </cell>
          <cell r="BQ64" t="e">
            <v>#N/A</v>
          </cell>
          <cell r="BR64" t="e">
            <v>#N/A</v>
          </cell>
          <cell r="BS64" t="e">
            <v>#N/A</v>
          </cell>
          <cell r="BT64" t="e">
            <v>#N/A</v>
          </cell>
          <cell r="BU64" t="e">
            <v>#N/A</v>
          </cell>
          <cell r="BV64" t="e">
            <v>#N/A</v>
          </cell>
          <cell r="BW64" t="e">
            <v>#N/A</v>
          </cell>
          <cell r="BX64" t="e">
            <v>#N/A</v>
          </cell>
          <cell r="BY64" t="e">
            <v>#N/A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  <cell r="AV66" t="e">
            <v>#N/A</v>
          </cell>
          <cell r="AW66" t="e">
            <v>#N/A</v>
          </cell>
          <cell r="AX66" t="e">
            <v>#N/A</v>
          </cell>
          <cell r="AY66" t="e">
            <v>#N/A</v>
          </cell>
          <cell r="AZ66" t="e">
            <v>#N/A</v>
          </cell>
          <cell r="BA66" t="e">
            <v>#N/A</v>
          </cell>
          <cell r="BB66" t="e">
            <v>#N/A</v>
          </cell>
          <cell r="BC66" t="e">
            <v>#N/A</v>
          </cell>
          <cell r="BD66" t="e">
            <v>#N/A</v>
          </cell>
          <cell r="BE66" t="e">
            <v>#N/A</v>
          </cell>
          <cell r="BF66" t="e">
            <v>#N/A</v>
          </cell>
          <cell r="BG66" t="e">
            <v>#N/A</v>
          </cell>
          <cell r="BH66" t="e">
            <v>#N/A</v>
          </cell>
          <cell r="BI66" t="e">
            <v>#N/A</v>
          </cell>
          <cell r="BJ66" t="e">
            <v>#N/A</v>
          </cell>
          <cell r="BK66" t="e">
            <v>#N/A</v>
          </cell>
          <cell r="BL66" t="e">
            <v>#N/A</v>
          </cell>
          <cell r="BM66" t="e">
            <v>#N/A</v>
          </cell>
          <cell r="BN66" t="e">
            <v>#N/A</v>
          </cell>
          <cell r="BO66" t="e">
            <v>#N/A</v>
          </cell>
          <cell r="BP66" t="e">
            <v>#N/A</v>
          </cell>
          <cell r="BQ66" t="e">
            <v>#N/A</v>
          </cell>
          <cell r="BR66" t="e">
            <v>#N/A</v>
          </cell>
          <cell r="BS66" t="e">
            <v>#N/A</v>
          </cell>
          <cell r="BT66" t="e">
            <v>#N/A</v>
          </cell>
          <cell r="BU66" t="e">
            <v>#N/A</v>
          </cell>
          <cell r="BV66" t="e">
            <v>#N/A</v>
          </cell>
          <cell r="BW66" t="e">
            <v>#N/A</v>
          </cell>
          <cell r="BX66" t="e">
            <v>#N/A</v>
          </cell>
          <cell r="BY66" t="e">
            <v>#N/A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 t="e">
            <v>#N/A</v>
          </cell>
          <cell r="G67" t="e">
            <v>#N/A</v>
          </cell>
          <cell r="H67" t="e">
            <v>#N/A</v>
          </cell>
          <cell r="I67" t="e">
            <v>#N/A</v>
          </cell>
          <cell r="J67" t="e">
            <v>#N/A</v>
          </cell>
          <cell r="K67" t="e">
            <v>#N/A</v>
          </cell>
          <cell r="L67" t="e">
            <v>#N/A</v>
          </cell>
          <cell r="M67" t="e">
            <v>#N/A</v>
          </cell>
          <cell r="N67" t="e">
            <v>#N/A</v>
          </cell>
          <cell r="O67" t="e">
            <v>#N/A</v>
          </cell>
          <cell r="P67" t="e">
            <v>#N/A</v>
          </cell>
          <cell r="Q67" t="e">
            <v>#N/A</v>
          </cell>
          <cell r="R67" t="e">
            <v>#N/A</v>
          </cell>
          <cell r="S67" t="e">
            <v>#N/A</v>
          </cell>
          <cell r="T67" t="e">
            <v>#N/A</v>
          </cell>
          <cell r="U67" t="e">
            <v>#N/A</v>
          </cell>
          <cell r="V67" t="e">
            <v>#N/A</v>
          </cell>
          <cell r="W67" t="e">
            <v>#N/A</v>
          </cell>
          <cell r="X67" t="e">
            <v>#N/A</v>
          </cell>
          <cell r="Z67" t="e">
            <v>#N/A</v>
          </cell>
          <cell r="AA67" t="e">
            <v>#N/A</v>
          </cell>
          <cell r="AB67" t="e">
            <v>#N/A</v>
          </cell>
          <cell r="AC67" t="e">
            <v>#N/A</v>
          </cell>
          <cell r="AD67" t="e">
            <v>#N/A</v>
          </cell>
          <cell r="AE67" t="e">
            <v>#N/A</v>
          </cell>
          <cell r="AF67" t="e">
            <v>#N/A</v>
          </cell>
          <cell r="AG67" t="e">
            <v>#N/A</v>
          </cell>
          <cell r="AH67" t="e">
            <v>#N/A</v>
          </cell>
          <cell r="AI67" t="e">
            <v>#N/A</v>
          </cell>
          <cell r="AJ67" t="e">
            <v>#N/A</v>
          </cell>
          <cell r="AK67" t="e">
            <v>#N/A</v>
          </cell>
          <cell r="AL67" t="e">
            <v>#N/A</v>
          </cell>
          <cell r="AM67" t="e">
            <v>#N/A</v>
          </cell>
          <cell r="AN67" t="e">
            <v>#N/A</v>
          </cell>
          <cell r="AO67" t="e">
            <v>#N/A</v>
          </cell>
          <cell r="AP67" t="e">
            <v>#N/A</v>
          </cell>
          <cell r="AQ67" t="e">
            <v>#N/A</v>
          </cell>
          <cell r="AR67" t="e">
            <v>#N/A</v>
          </cell>
          <cell r="AS67" t="e">
            <v>#N/A</v>
          </cell>
          <cell r="AT67" t="e">
            <v>#N/A</v>
          </cell>
          <cell r="AU67" t="e">
            <v>#N/A</v>
          </cell>
          <cell r="AV67" t="e">
            <v>#N/A</v>
          </cell>
          <cell r="AW67" t="e">
            <v>#N/A</v>
          </cell>
          <cell r="AX67" t="e">
            <v>#N/A</v>
          </cell>
          <cell r="AY67" t="e">
            <v>#N/A</v>
          </cell>
          <cell r="AZ67" t="e">
            <v>#N/A</v>
          </cell>
          <cell r="BA67" t="e">
            <v>#N/A</v>
          </cell>
          <cell r="BB67" t="e">
            <v>#N/A</v>
          </cell>
          <cell r="BC67" t="e">
            <v>#N/A</v>
          </cell>
          <cell r="BD67" t="e">
            <v>#N/A</v>
          </cell>
          <cell r="BE67" t="e">
            <v>#N/A</v>
          </cell>
          <cell r="BF67" t="e">
            <v>#N/A</v>
          </cell>
          <cell r="BG67" t="e">
            <v>#N/A</v>
          </cell>
          <cell r="BH67" t="e">
            <v>#N/A</v>
          </cell>
          <cell r="BI67" t="e">
            <v>#N/A</v>
          </cell>
          <cell r="BJ67" t="e">
            <v>#N/A</v>
          </cell>
          <cell r="BK67" t="e">
            <v>#N/A</v>
          </cell>
          <cell r="BL67" t="e">
            <v>#N/A</v>
          </cell>
          <cell r="BM67" t="e">
            <v>#N/A</v>
          </cell>
          <cell r="BN67" t="e">
            <v>#N/A</v>
          </cell>
          <cell r="BO67" t="e">
            <v>#N/A</v>
          </cell>
          <cell r="BP67" t="e">
            <v>#N/A</v>
          </cell>
          <cell r="BQ67" t="e">
            <v>#N/A</v>
          </cell>
          <cell r="BR67" t="e">
            <v>#N/A</v>
          </cell>
          <cell r="BS67" t="e">
            <v>#N/A</v>
          </cell>
          <cell r="BT67" t="e">
            <v>#N/A</v>
          </cell>
          <cell r="BU67" t="e">
            <v>#N/A</v>
          </cell>
          <cell r="BV67" t="e">
            <v>#N/A</v>
          </cell>
          <cell r="BW67" t="e">
            <v>#N/A</v>
          </cell>
          <cell r="BX67" t="e">
            <v>#N/A</v>
          </cell>
          <cell r="BY67" t="e">
            <v>#N/A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  <cell r="AV68" t="e">
            <v>#N/A</v>
          </cell>
          <cell r="AW68" t="e">
            <v>#N/A</v>
          </cell>
          <cell r="AX68" t="e">
            <v>#N/A</v>
          </cell>
          <cell r="AY68" t="e">
            <v>#N/A</v>
          </cell>
          <cell r="AZ68" t="e">
            <v>#N/A</v>
          </cell>
          <cell r="BA68" t="e">
            <v>#N/A</v>
          </cell>
          <cell r="BB68" t="e">
            <v>#N/A</v>
          </cell>
          <cell r="BC68" t="e">
            <v>#N/A</v>
          </cell>
          <cell r="BD68" t="e">
            <v>#N/A</v>
          </cell>
          <cell r="BE68" t="e">
            <v>#N/A</v>
          </cell>
          <cell r="BF68" t="e">
            <v>#N/A</v>
          </cell>
          <cell r="BG68" t="e">
            <v>#N/A</v>
          </cell>
          <cell r="BH68" t="e">
            <v>#N/A</v>
          </cell>
          <cell r="BI68" t="e">
            <v>#N/A</v>
          </cell>
          <cell r="BJ68" t="e">
            <v>#N/A</v>
          </cell>
          <cell r="BK68" t="e">
            <v>#N/A</v>
          </cell>
          <cell r="BL68" t="e">
            <v>#N/A</v>
          </cell>
          <cell r="BM68" t="e">
            <v>#N/A</v>
          </cell>
          <cell r="BN68" t="e">
            <v>#N/A</v>
          </cell>
          <cell r="BO68" t="e">
            <v>#N/A</v>
          </cell>
          <cell r="BP68" t="e">
            <v>#N/A</v>
          </cell>
          <cell r="BQ68" t="e">
            <v>#N/A</v>
          </cell>
          <cell r="BR68" t="e">
            <v>#N/A</v>
          </cell>
          <cell r="BS68" t="e">
            <v>#N/A</v>
          </cell>
          <cell r="BT68" t="e">
            <v>#N/A</v>
          </cell>
          <cell r="BU68" t="e">
            <v>#N/A</v>
          </cell>
          <cell r="BV68" t="e">
            <v>#N/A</v>
          </cell>
          <cell r="BW68" t="e">
            <v>#N/A</v>
          </cell>
          <cell r="BX68" t="e">
            <v>#N/A</v>
          </cell>
          <cell r="BY68" t="e">
            <v>#N/A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 t="e">
            <v>#N/A</v>
          </cell>
          <cell r="G69" t="e">
            <v>#N/A</v>
          </cell>
          <cell r="H69" t="e">
            <v>#N/A</v>
          </cell>
          <cell r="I69" t="e">
            <v>#N/A</v>
          </cell>
          <cell r="J69" t="e">
            <v>#N/A</v>
          </cell>
          <cell r="K69" t="e">
            <v>#N/A</v>
          </cell>
          <cell r="L69" t="e">
            <v>#N/A</v>
          </cell>
          <cell r="M69" t="e">
            <v>#N/A</v>
          </cell>
          <cell r="N69" t="e">
            <v>#N/A</v>
          </cell>
          <cell r="O69" t="e">
            <v>#N/A</v>
          </cell>
          <cell r="P69" t="e">
            <v>#N/A</v>
          </cell>
          <cell r="Q69" t="e">
            <v>#N/A</v>
          </cell>
          <cell r="R69" t="e">
            <v>#N/A</v>
          </cell>
          <cell r="S69" t="e">
            <v>#N/A</v>
          </cell>
          <cell r="T69" t="e">
            <v>#N/A</v>
          </cell>
          <cell r="U69" t="e">
            <v>#N/A</v>
          </cell>
          <cell r="V69" t="e">
            <v>#N/A</v>
          </cell>
          <cell r="W69" t="e">
            <v>#N/A</v>
          </cell>
          <cell r="X69" t="e">
            <v>#N/A</v>
          </cell>
          <cell r="Z69" t="e">
            <v>#N/A</v>
          </cell>
          <cell r="AA69" t="e">
            <v>#N/A</v>
          </cell>
          <cell r="AB69" t="e">
            <v>#N/A</v>
          </cell>
          <cell r="AC69" t="e">
            <v>#N/A</v>
          </cell>
          <cell r="AD69" t="e">
            <v>#N/A</v>
          </cell>
          <cell r="AE69" t="e">
            <v>#N/A</v>
          </cell>
          <cell r="AF69" t="e">
            <v>#N/A</v>
          </cell>
          <cell r="AG69" t="e">
            <v>#N/A</v>
          </cell>
          <cell r="AH69" t="e">
            <v>#N/A</v>
          </cell>
          <cell r="AI69" t="e">
            <v>#N/A</v>
          </cell>
          <cell r="AJ69" t="e">
            <v>#N/A</v>
          </cell>
          <cell r="AK69" t="e">
            <v>#N/A</v>
          </cell>
          <cell r="AL69" t="e">
            <v>#N/A</v>
          </cell>
          <cell r="AM69" t="e">
            <v>#N/A</v>
          </cell>
          <cell r="AN69" t="e">
            <v>#N/A</v>
          </cell>
          <cell r="AO69" t="e">
            <v>#N/A</v>
          </cell>
          <cell r="AP69" t="e">
            <v>#N/A</v>
          </cell>
          <cell r="AQ69" t="e">
            <v>#N/A</v>
          </cell>
          <cell r="AR69" t="e">
            <v>#N/A</v>
          </cell>
          <cell r="AS69" t="e">
            <v>#N/A</v>
          </cell>
          <cell r="AT69" t="e">
            <v>#N/A</v>
          </cell>
          <cell r="AU69" t="e">
            <v>#N/A</v>
          </cell>
          <cell r="AV69" t="e">
            <v>#N/A</v>
          </cell>
          <cell r="AW69" t="e">
            <v>#N/A</v>
          </cell>
          <cell r="AX69" t="e">
            <v>#N/A</v>
          </cell>
          <cell r="AY69" t="e">
            <v>#N/A</v>
          </cell>
          <cell r="AZ69" t="e">
            <v>#N/A</v>
          </cell>
          <cell r="BA69" t="e">
            <v>#N/A</v>
          </cell>
          <cell r="BB69" t="e">
            <v>#N/A</v>
          </cell>
          <cell r="BC69" t="e">
            <v>#N/A</v>
          </cell>
          <cell r="BD69" t="e">
            <v>#N/A</v>
          </cell>
          <cell r="BE69" t="e">
            <v>#N/A</v>
          </cell>
          <cell r="BF69" t="e">
            <v>#N/A</v>
          </cell>
          <cell r="BG69" t="e">
            <v>#N/A</v>
          </cell>
          <cell r="BH69" t="e">
            <v>#N/A</v>
          </cell>
          <cell r="BI69" t="e">
            <v>#N/A</v>
          </cell>
          <cell r="BJ69" t="e">
            <v>#N/A</v>
          </cell>
          <cell r="BK69" t="e">
            <v>#N/A</v>
          </cell>
          <cell r="BL69" t="e">
            <v>#N/A</v>
          </cell>
          <cell r="BM69" t="e">
            <v>#N/A</v>
          </cell>
          <cell r="BN69" t="e">
            <v>#N/A</v>
          </cell>
          <cell r="BO69" t="e">
            <v>#N/A</v>
          </cell>
          <cell r="BP69" t="e">
            <v>#N/A</v>
          </cell>
          <cell r="BQ69" t="e">
            <v>#N/A</v>
          </cell>
          <cell r="BR69" t="e">
            <v>#N/A</v>
          </cell>
          <cell r="BS69" t="e">
            <v>#N/A</v>
          </cell>
          <cell r="BT69" t="e">
            <v>#N/A</v>
          </cell>
          <cell r="BU69" t="e">
            <v>#N/A</v>
          </cell>
          <cell r="BV69" t="e">
            <v>#N/A</v>
          </cell>
          <cell r="BW69" t="e">
            <v>#N/A</v>
          </cell>
          <cell r="BX69" t="e">
            <v>#N/A</v>
          </cell>
          <cell r="BY69" t="e">
            <v>#N/A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  <cell r="F70" t="e">
            <v>#N/A</v>
          </cell>
          <cell r="G70" t="e">
            <v>#N/A</v>
          </cell>
          <cell r="H70" t="e">
            <v>#N/A</v>
          </cell>
          <cell r="I70" t="e">
            <v>#N/A</v>
          </cell>
          <cell r="J70" t="e">
            <v>#N/A</v>
          </cell>
          <cell r="K70" t="e">
            <v>#N/A</v>
          </cell>
          <cell r="L70" t="e">
            <v>#N/A</v>
          </cell>
          <cell r="M70" t="e">
            <v>#N/A</v>
          </cell>
          <cell r="N70" t="e">
            <v>#N/A</v>
          </cell>
          <cell r="O70" t="e">
            <v>#N/A</v>
          </cell>
          <cell r="P70" t="e">
            <v>#N/A</v>
          </cell>
          <cell r="Q70" t="e">
            <v>#N/A</v>
          </cell>
          <cell r="R70" t="e">
            <v>#N/A</v>
          </cell>
          <cell r="S70" t="e">
            <v>#N/A</v>
          </cell>
          <cell r="T70" t="e">
            <v>#N/A</v>
          </cell>
          <cell r="U70" t="e">
            <v>#N/A</v>
          </cell>
          <cell r="V70" t="e">
            <v>#N/A</v>
          </cell>
          <cell r="W70" t="e">
            <v>#N/A</v>
          </cell>
          <cell r="X70" t="e">
            <v>#N/A</v>
          </cell>
          <cell r="Z70" t="e">
            <v>#N/A</v>
          </cell>
          <cell r="AA70" t="e">
            <v>#N/A</v>
          </cell>
          <cell r="AB70" t="e">
            <v>#N/A</v>
          </cell>
          <cell r="AC70" t="e">
            <v>#N/A</v>
          </cell>
          <cell r="AD70" t="e">
            <v>#N/A</v>
          </cell>
          <cell r="AE70" t="e">
            <v>#N/A</v>
          </cell>
          <cell r="AF70" t="e">
            <v>#N/A</v>
          </cell>
          <cell r="AG70" t="e">
            <v>#N/A</v>
          </cell>
          <cell r="AH70" t="e">
            <v>#N/A</v>
          </cell>
          <cell r="AI70" t="e">
            <v>#N/A</v>
          </cell>
          <cell r="AJ70" t="e">
            <v>#N/A</v>
          </cell>
          <cell r="AK70" t="e">
            <v>#N/A</v>
          </cell>
          <cell r="AL70" t="e">
            <v>#N/A</v>
          </cell>
          <cell r="AM70" t="e">
            <v>#N/A</v>
          </cell>
          <cell r="AN70" t="e">
            <v>#N/A</v>
          </cell>
          <cell r="AO70" t="e">
            <v>#N/A</v>
          </cell>
          <cell r="AP70" t="e">
            <v>#N/A</v>
          </cell>
          <cell r="AQ70" t="e">
            <v>#N/A</v>
          </cell>
          <cell r="AR70" t="e">
            <v>#N/A</v>
          </cell>
          <cell r="AS70" t="e">
            <v>#N/A</v>
          </cell>
          <cell r="AT70" t="e">
            <v>#N/A</v>
          </cell>
          <cell r="AU70" t="e">
            <v>#N/A</v>
          </cell>
          <cell r="AV70" t="e">
            <v>#N/A</v>
          </cell>
          <cell r="AW70" t="e">
            <v>#N/A</v>
          </cell>
          <cell r="AX70" t="e">
            <v>#N/A</v>
          </cell>
          <cell r="AY70" t="e">
            <v>#N/A</v>
          </cell>
          <cell r="AZ70" t="e">
            <v>#N/A</v>
          </cell>
          <cell r="BA70" t="e">
            <v>#N/A</v>
          </cell>
          <cell r="BB70" t="e">
            <v>#N/A</v>
          </cell>
          <cell r="BC70" t="e">
            <v>#N/A</v>
          </cell>
          <cell r="BD70" t="e">
            <v>#N/A</v>
          </cell>
          <cell r="BE70" t="e">
            <v>#N/A</v>
          </cell>
          <cell r="BF70" t="e">
            <v>#N/A</v>
          </cell>
          <cell r="BG70" t="e">
            <v>#N/A</v>
          </cell>
          <cell r="BH70" t="e">
            <v>#N/A</v>
          </cell>
          <cell r="BI70" t="e">
            <v>#N/A</v>
          </cell>
          <cell r="BJ70" t="e">
            <v>#N/A</v>
          </cell>
          <cell r="BK70" t="e">
            <v>#N/A</v>
          </cell>
          <cell r="BL70" t="e">
            <v>#N/A</v>
          </cell>
          <cell r="BM70" t="e">
            <v>#N/A</v>
          </cell>
          <cell r="BN70" t="e">
            <v>#N/A</v>
          </cell>
          <cell r="BO70" t="e">
            <v>#N/A</v>
          </cell>
          <cell r="BP70" t="e">
            <v>#N/A</v>
          </cell>
          <cell r="BQ70" t="e">
            <v>#N/A</v>
          </cell>
          <cell r="BR70" t="e">
            <v>#N/A</v>
          </cell>
          <cell r="BS70" t="e">
            <v>#N/A</v>
          </cell>
          <cell r="BT70" t="e">
            <v>#N/A</v>
          </cell>
          <cell r="BU70" t="e">
            <v>#N/A</v>
          </cell>
          <cell r="BV70" t="e">
            <v>#N/A</v>
          </cell>
          <cell r="BW70" t="e">
            <v>#N/A</v>
          </cell>
          <cell r="BX70" t="e">
            <v>#N/A</v>
          </cell>
          <cell r="BY70" t="e">
            <v>#N/A</v>
          </cell>
        </row>
        <row r="71">
          <cell r="B71" t="str">
            <v>Company borrowing margin</v>
          </cell>
          <cell r="C71" t="str">
            <v>CO_BOR_MARGIN</v>
          </cell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  <cell r="AV71" t="e">
            <v>#N/A</v>
          </cell>
          <cell r="AW71" t="e">
            <v>#N/A</v>
          </cell>
          <cell r="AX71" t="e">
            <v>#N/A</v>
          </cell>
          <cell r="AY71" t="e">
            <v>#N/A</v>
          </cell>
          <cell r="AZ71" t="e">
            <v>#N/A</v>
          </cell>
          <cell r="BA71" t="e">
            <v>#N/A</v>
          </cell>
          <cell r="BB71" t="e">
            <v>#N/A</v>
          </cell>
          <cell r="BC71" t="e">
            <v>#N/A</v>
          </cell>
          <cell r="BD71" t="e">
            <v>#N/A</v>
          </cell>
          <cell r="BE71" t="e">
            <v>#N/A</v>
          </cell>
          <cell r="BF71" t="e">
            <v>#N/A</v>
          </cell>
          <cell r="BG71" t="e">
            <v>#N/A</v>
          </cell>
          <cell r="BH71" t="e">
            <v>#N/A</v>
          </cell>
          <cell r="BI71" t="e">
            <v>#N/A</v>
          </cell>
          <cell r="BJ71" t="e">
            <v>#N/A</v>
          </cell>
          <cell r="BK71" t="e">
            <v>#N/A</v>
          </cell>
          <cell r="BL71" t="e">
            <v>#N/A</v>
          </cell>
          <cell r="BM71" t="e">
            <v>#N/A</v>
          </cell>
          <cell r="BN71" t="e">
            <v>#N/A</v>
          </cell>
          <cell r="BO71" t="e">
            <v>#N/A</v>
          </cell>
          <cell r="BP71" t="e">
            <v>#N/A</v>
          </cell>
          <cell r="BQ71" t="e">
            <v>#N/A</v>
          </cell>
          <cell r="BR71" t="e">
            <v>#N/A</v>
          </cell>
          <cell r="BS71" t="e">
            <v>#N/A</v>
          </cell>
          <cell r="BT71" t="e">
            <v>#N/A</v>
          </cell>
          <cell r="BU71" t="e">
            <v>#N/A</v>
          </cell>
          <cell r="BV71" t="e">
            <v>#N/A</v>
          </cell>
          <cell r="BW71" t="e">
            <v>#N/A</v>
          </cell>
          <cell r="BX71" t="e">
            <v>#N/A</v>
          </cell>
          <cell r="BY71" t="e">
            <v>#N/A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 t="e">
            <v>#N/A</v>
          </cell>
          <cell r="G72" t="e">
            <v>#N/A</v>
          </cell>
          <cell r="H72" t="e">
            <v>#N/A</v>
          </cell>
          <cell r="I72" t="e">
            <v>#N/A</v>
          </cell>
          <cell r="J72" t="e">
            <v>#N/A</v>
          </cell>
          <cell r="K72" t="e">
            <v>#N/A</v>
          </cell>
          <cell r="L72" t="e">
            <v>#N/A</v>
          </cell>
          <cell r="M72" t="e">
            <v>#N/A</v>
          </cell>
          <cell r="N72" t="e">
            <v>#N/A</v>
          </cell>
          <cell r="O72" t="e">
            <v>#N/A</v>
          </cell>
          <cell r="P72" t="e">
            <v>#N/A</v>
          </cell>
          <cell r="Q72" t="e">
            <v>#N/A</v>
          </cell>
          <cell r="R72" t="e">
            <v>#N/A</v>
          </cell>
          <cell r="S72" t="e">
            <v>#N/A</v>
          </cell>
          <cell r="T72" t="e">
            <v>#N/A</v>
          </cell>
          <cell r="U72" t="e">
            <v>#N/A</v>
          </cell>
          <cell r="V72" t="e">
            <v>#N/A</v>
          </cell>
          <cell r="W72" t="e">
            <v>#N/A</v>
          </cell>
          <cell r="X72" t="e">
            <v>#N/A</v>
          </cell>
          <cell r="Z72" t="e">
            <v>#N/A</v>
          </cell>
          <cell r="AA72" t="e">
            <v>#N/A</v>
          </cell>
          <cell r="AB72" t="e">
            <v>#N/A</v>
          </cell>
          <cell r="AC72" t="e">
            <v>#N/A</v>
          </cell>
          <cell r="AD72" t="e">
            <v>#N/A</v>
          </cell>
          <cell r="AE72" t="e">
            <v>#N/A</v>
          </cell>
          <cell r="AF72" t="e">
            <v>#N/A</v>
          </cell>
          <cell r="AG72" t="e">
            <v>#N/A</v>
          </cell>
          <cell r="AH72" t="e">
            <v>#N/A</v>
          </cell>
          <cell r="AI72" t="e">
            <v>#N/A</v>
          </cell>
          <cell r="AJ72" t="e">
            <v>#N/A</v>
          </cell>
          <cell r="AK72" t="e">
            <v>#N/A</v>
          </cell>
          <cell r="AL72" t="e">
            <v>#N/A</v>
          </cell>
          <cell r="AM72" t="e">
            <v>#N/A</v>
          </cell>
          <cell r="AN72" t="e">
            <v>#N/A</v>
          </cell>
          <cell r="AO72" t="e">
            <v>#N/A</v>
          </cell>
          <cell r="AP72" t="e">
            <v>#N/A</v>
          </cell>
          <cell r="AQ72" t="e">
            <v>#N/A</v>
          </cell>
          <cell r="AR72" t="e">
            <v>#N/A</v>
          </cell>
          <cell r="AS72" t="e">
            <v>#N/A</v>
          </cell>
          <cell r="AT72" t="e">
            <v>#N/A</v>
          </cell>
          <cell r="AU72" t="e">
            <v>#N/A</v>
          </cell>
          <cell r="AV72" t="e">
            <v>#N/A</v>
          </cell>
          <cell r="AW72" t="e">
            <v>#N/A</v>
          </cell>
          <cell r="AX72" t="e">
            <v>#N/A</v>
          </cell>
          <cell r="AY72" t="e">
            <v>#N/A</v>
          </cell>
          <cell r="AZ72" t="e">
            <v>#N/A</v>
          </cell>
          <cell r="BA72" t="e">
            <v>#N/A</v>
          </cell>
          <cell r="BB72" t="e">
            <v>#N/A</v>
          </cell>
          <cell r="BC72" t="e">
            <v>#N/A</v>
          </cell>
          <cell r="BD72" t="e">
            <v>#N/A</v>
          </cell>
          <cell r="BE72" t="e">
            <v>#N/A</v>
          </cell>
          <cell r="BF72" t="e">
            <v>#N/A</v>
          </cell>
          <cell r="BG72" t="e">
            <v>#N/A</v>
          </cell>
          <cell r="BH72" t="e">
            <v>#N/A</v>
          </cell>
          <cell r="BI72" t="e">
            <v>#N/A</v>
          </cell>
          <cell r="BJ72" t="e">
            <v>#N/A</v>
          </cell>
          <cell r="BK72" t="e">
            <v>#N/A</v>
          </cell>
          <cell r="BL72" t="e">
            <v>#N/A</v>
          </cell>
          <cell r="BM72" t="e">
            <v>#N/A</v>
          </cell>
          <cell r="BN72" t="e">
            <v>#N/A</v>
          </cell>
          <cell r="BO72" t="e">
            <v>#N/A</v>
          </cell>
          <cell r="BP72" t="e">
            <v>#N/A</v>
          </cell>
          <cell r="BQ72" t="e">
            <v>#N/A</v>
          </cell>
          <cell r="BR72" t="e">
            <v>#N/A</v>
          </cell>
          <cell r="BS72" t="e">
            <v>#N/A</v>
          </cell>
          <cell r="BT72" t="e">
            <v>#N/A</v>
          </cell>
          <cell r="BU72" t="e">
            <v>#N/A</v>
          </cell>
          <cell r="BV72" t="e">
            <v>#N/A</v>
          </cell>
          <cell r="BW72" t="e">
            <v>#N/A</v>
          </cell>
          <cell r="BX72" t="e">
            <v>#N/A</v>
          </cell>
          <cell r="BY72" t="e">
            <v>#N/A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  <cell r="AV73" t="e">
            <v>#N/A</v>
          </cell>
          <cell r="AW73" t="e">
            <v>#N/A</v>
          </cell>
          <cell r="AX73" t="e">
            <v>#N/A</v>
          </cell>
          <cell r="AY73" t="e">
            <v>#N/A</v>
          </cell>
          <cell r="AZ73" t="e">
            <v>#N/A</v>
          </cell>
          <cell r="BA73" t="e">
            <v>#N/A</v>
          </cell>
          <cell r="BB73" t="e">
            <v>#N/A</v>
          </cell>
          <cell r="BC73" t="e">
            <v>#N/A</v>
          </cell>
          <cell r="BD73" t="e">
            <v>#N/A</v>
          </cell>
          <cell r="BE73" t="e">
            <v>#N/A</v>
          </cell>
          <cell r="BF73" t="e">
            <v>#N/A</v>
          </cell>
          <cell r="BG73" t="e">
            <v>#N/A</v>
          </cell>
          <cell r="BH73" t="e">
            <v>#N/A</v>
          </cell>
          <cell r="BI73" t="e">
            <v>#N/A</v>
          </cell>
          <cell r="BJ73" t="e">
            <v>#N/A</v>
          </cell>
          <cell r="BK73" t="e">
            <v>#N/A</v>
          </cell>
          <cell r="BL73" t="e">
            <v>#N/A</v>
          </cell>
          <cell r="BM73" t="e">
            <v>#N/A</v>
          </cell>
          <cell r="BN73" t="e">
            <v>#N/A</v>
          </cell>
          <cell r="BO73" t="e">
            <v>#N/A</v>
          </cell>
          <cell r="BP73" t="e">
            <v>#N/A</v>
          </cell>
          <cell r="BQ73" t="e">
            <v>#N/A</v>
          </cell>
          <cell r="BR73" t="e">
            <v>#N/A</v>
          </cell>
          <cell r="BS73" t="e">
            <v>#N/A</v>
          </cell>
          <cell r="BT73" t="e">
            <v>#N/A</v>
          </cell>
          <cell r="BU73" t="e">
            <v>#N/A</v>
          </cell>
          <cell r="BV73" t="e">
            <v>#N/A</v>
          </cell>
          <cell r="BW73" t="e">
            <v>#N/A</v>
          </cell>
          <cell r="BX73" t="e">
            <v>#N/A</v>
          </cell>
          <cell r="BY73" t="e">
            <v>#N/A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 t="e">
            <v>#N/A</v>
          </cell>
          <cell r="G74" t="e">
            <v>#N/A</v>
          </cell>
          <cell r="H74" t="e">
            <v>#N/A</v>
          </cell>
          <cell r="I74" t="e">
            <v>#N/A</v>
          </cell>
          <cell r="J74" t="e">
            <v>#N/A</v>
          </cell>
          <cell r="K74" t="e">
            <v>#N/A</v>
          </cell>
          <cell r="L74" t="e">
            <v>#N/A</v>
          </cell>
          <cell r="M74" t="e">
            <v>#N/A</v>
          </cell>
          <cell r="N74" t="e">
            <v>#N/A</v>
          </cell>
          <cell r="O74" t="e">
            <v>#N/A</v>
          </cell>
          <cell r="P74" t="e">
            <v>#N/A</v>
          </cell>
          <cell r="Q74" t="e">
            <v>#N/A</v>
          </cell>
          <cell r="R74" t="e">
            <v>#N/A</v>
          </cell>
          <cell r="S74" t="e">
            <v>#N/A</v>
          </cell>
          <cell r="T74" t="e">
            <v>#N/A</v>
          </cell>
          <cell r="U74" t="e">
            <v>#N/A</v>
          </cell>
          <cell r="V74" t="e">
            <v>#N/A</v>
          </cell>
          <cell r="W74" t="e">
            <v>#N/A</v>
          </cell>
          <cell r="X74" t="e">
            <v>#N/A</v>
          </cell>
          <cell r="Z74" t="e">
            <v>#N/A</v>
          </cell>
          <cell r="AA74" t="e">
            <v>#N/A</v>
          </cell>
          <cell r="AB74" t="e">
            <v>#N/A</v>
          </cell>
          <cell r="AC74" t="e">
            <v>#N/A</v>
          </cell>
          <cell r="AD74" t="e">
            <v>#N/A</v>
          </cell>
          <cell r="AE74" t="e">
            <v>#N/A</v>
          </cell>
          <cell r="AF74" t="e">
            <v>#N/A</v>
          </cell>
          <cell r="AG74" t="e">
            <v>#N/A</v>
          </cell>
          <cell r="AH74" t="e">
            <v>#N/A</v>
          </cell>
          <cell r="AI74" t="e">
            <v>#N/A</v>
          </cell>
          <cell r="AJ74" t="e">
            <v>#N/A</v>
          </cell>
          <cell r="AK74" t="e">
            <v>#N/A</v>
          </cell>
          <cell r="AL74" t="e">
            <v>#N/A</v>
          </cell>
          <cell r="AM74" t="e">
            <v>#N/A</v>
          </cell>
          <cell r="AN74" t="e">
            <v>#N/A</v>
          </cell>
          <cell r="AO74" t="e">
            <v>#N/A</v>
          </cell>
          <cell r="AP74" t="e">
            <v>#N/A</v>
          </cell>
          <cell r="AQ74" t="e">
            <v>#N/A</v>
          </cell>
          <cell r="AR74" t="e">
            <v>#N/A</v>
          </cell>
          <cell r="AS74" t="e">
            <v>#N/A</v>
          </cell>
          <cell r="AT74" t="e">
            <v>#N/A</v>
          </cell>
          <cell r="AU74" t="e">
            <v>#N/A</v>
          </cell>
          <cell r="AV74" t="e">
            <v>#N/A</v>
          </cell>
          <cell r="AW74" t="e">
            <v>#N/A</v>
          </cell>
          <cell r="AX74" t="e">
            <v>#N/A</v>
          </cell>
          <cell r="AY74" t="e">
            <v>#N/A</v>
          </cell>
          <cell r="AZ74" t="e">
            <v>#N/A</v>
          </cell>
          <cell r="BA74" t="e">
            <v>#N/A</v>
          </cell>
          <cell r="BB74" t="e">
            <v>#N/A</v>
          </cell>
          <cell r="BC74" t="e">
            <v>#N/A</v>
          </cell>
          <cell r="BD74" t="e">
            <v>#N/A</v>
          </cell>
          <cell r="BE74" t="e">
            <v>#N/A</v>
          </cell>
          <cell r="BF74" t="e">
            <v>#N/A</v>
          </cell>
          <cell r="BG74" t="e">
            <v>#N/A</v>
          </cell>
          <cell r="BH74" t="e">
            <v>#N/A</v>
          </cell>
          <cell r="BI74" t="e">
            <v>#N/A</v>
          </cell>
          <cell r="BJ74" t="e">
            <v>#N/A</v>
          </cell>
          <cell r="BK74" t="e">
            <v>#N/A</v>
          </cell>
          <cell r="BL74" t="e">
            <v>#N/A</v>
          </cell>
          <cell r="BM74" t="e">
            <v>#N/A</v>
          </cell>
          <cell r="BN74" t="e">
            <v>#N/A</v>
          </cell>
          <cell r="BO74" t="e">
            <v>#N/A</v>
          </cell>
          <cell r="BP74" t="e">
            <v>#N/A</v>
          </cell>
          <cell r="BQ74" t="e">
            <v>#N/A</v>
          </cell>
          <cell r="BR74" t="e">
            <v>#N/A</v>
          </cell>
          <cell r="BS74" t="e">
            <v>#N/A</v>
          </cell>
          <cell r="BT74" t="e">
            <v>#N/A</v>
          </cell>
          <cell r="BU74" t="e">
            <v>#N/A</v>
          </cell>
          <cell r="BV74" t="e">
            <v>#N/A</v>
          </cell>
          <cell r="BW74" t="e">
            <v>#N/A</v>
          </cell>
          <cell r="BX74" t="e">
            <v>#N/A</v>
          </cell>
          <cell r="BY74" t="e">
            <v>#N/A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  <cell r="AV75" t="e">
            <v>#N/A</v>
          </cell>
          <cell r="AW75" t="e">
            <v>#N/A</v>
          </cell>
          <cell r="AX75" t="e">
            <v>#N/A</v>
          </cell>
          <cell r="AY75" t="e">
            <v>#N/A</v>
          </cell>
          <cell r="AZ75" t="e">
            <v>#N/A</v>
          </cell>
          <cell r="BA75" t="e">
            <v>#N/A</v>
          </cell>
          <cell r="BB75" t="e">
            <v>#N/A</v>
          </cell>
          <cell r="BC75" t="e">
            <v>#N/A</v>
          </cell>
          <cell r="BD75" t="e">
            <v>#N/A</v>
          </cell>
          <cell r="BE75" t="e">
            <v>#N/A</v>
          </cell>
          <cell r="BF75" t="e">
            <v>#N/A</v>
          </cell>
          <cell r="BG75" t="e">
            <v>#N/A</v>
          </cell>
          <cell r="BH75" t="e">
            <v>#N/A</v>
          </cell>
          <cell r="BI75" t="e">
            <v>#N/A</v>
          </cell>
          <cell r="BJ75" t="e">
            <v>#N/A</v>
          </cell>
          <cell r="BK75" t="e">
            <v>#N/A</v>
          </cell>
          <cell r="BL75" t="e">
            <v>#N/A</v>
          </cell>
          <cell r="BM75" t="e">
            <v>#N/A</v>
          </cell>
          <cell r="BN75" t="e">
            <v>#N/A</v>
          </cell>
          <cell r="BO75" t="e">
            <v>#N/A</v>
          </cell>
          <cell r="BP75" t="e">
            <v>#N/A</v>
          </cell>
          <cell r="BQ75" t="e">
            <v>#N/A</v>
          </cell>
          <cell r="BR75" t="e">
            <v>#N/A</v>
          </cell>
          <cell r="BS75" t="e">
            <v>#N/A</v>
          </cell>
          <cell r="BT75" t="e">
            <v>#N/A</v>
          </cell>
          <cell r="BU75" t="e">
            <v>#N/A</v>
          </cell>
          <cell r="BV75" t="e">
            <v>#N/A</v>
          </cell>
          <cell r="BW75" t="e">
            <v>#N/A</v>
          </cell>
          <cell r="BX75" t="e">
            <v>#N/A</v>
          </cell>
          <cell r="BY75" t="e">
            <v>#N/A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F76" t="e">
            <v>#N/A</v>
          </cell>
          <cell r="G76" t="e">
            <v>#N/A</v>
          </cell>
          <cell r="H76" t="e">
            <v>#N/A</v>
          </cell>
          <cell r="I76" t="e">
            <v>#N/A</v>
          </cell>
          <cell r="J76" t="e">
            <v>#N/A</v>
          </cell>
          <cell r="K76" t="e">
            <v>#N/A</v>
          </cell>
          <cell r="L76" t="e">
            <v>#N/A</v>
          </cell>
          <cell r="M76" t="e">
            <v>#N/A</v>
          </cell>
          <cell r="N76" t="e">
            <v>#N/A</v>
          </cell>
          <cell r="O76" t="e">
            <v>#N/A</v>
          </cell>
          <cell r="P76" t="e">
            <v>#N/A</v>
          </cell>
          <cell r="Q76" t="e">
            <v>#N/A</v>
          </cell>
          <cell r="R76" t="e">
            <v>#N/A</v>
          </cell>
          <cell r="S76" t="e">
            <v>#N/A</v>
          </cell>
          <cell r="T76" t="e">
            <v>#N/A</v>
          </cell>
          <cell r="U76" t="e">
            <v>#N/A</v>
          </cell>
          <cell r="V76" t="e">
            <v>#N/A</v>
          </cell>
          <cell r="W76" t="e">
            <v>#N/A</v>
          </cell>
          <cell r="X76" t="e">
            <v>#N/A</v>
          </cell>
          <cell r="Z76" t="e">
            <v>#N/A</v>
          </cell>
          <cell r="AA76" t="e">
            <v>#N/A</v>
          </cell>
          <cell r="AB76" t="e">
            <v>#N/A</v>
          </cell>
          <cell r="AC76" t="e">
            <v>#N/A</v>
          </cell>
          <cell r="AD76" t="e">
            <v>#N/A</v>
          </cell>
          <cell r="AE76" t="e">
            <v>#N/A</v>
          </cell>
          <cell r="AF76" t="e">
            <v>#N/A</v>
          </cell>
          <cell r="AG76" t="e">
            <v>#N/A</v>
          </cell>
          <cell r="AH76" t="e">
            <v>#N/A</v>
          </cell>
          <cell r="AI76" t="e">
            <v>#N/A</v>
          </cell>
          <cell r="AJ76" t="e">
            <v>#N/A</v>
          </cell>
          <cell r="AK76" t="e">
            <v>#N/A</v>
          </cell>
          <cell r="AL76" t="e">
            <v>#N/A</v>
          </cell>
          <cell r="AM76" t="e">
            <v>#N/A</v>
          </cell>
          <cell r="AN76" t="e">
            <v>#N/A</v>
          </cell>
          <cell r="AO76" t="e">
            <v>#N/A</v>
          </cell>
          <cell r="AP76" t="e">
            <v>#N/A</v>
          </cell>
          <cell r="AQ76" t="e">
            <v>#N/A</v>
          </cell>
          <cell r="AR76" t="e">
            <v>#N/A</v>
          </cell>
          <cell r="AS76" t="e">
            <v>#N/A</v>
          </cell>
          <cell r="AT76" t="e">
            <v>#N/A</v>
          </cell>
          <cell r="AU76" t="e">
            <v>#N/A</v>
          </cell>
          <cell r="AV76" t="e">
            <v>#N/A</v>
          </cell>
          <cell r="AW76" t="e">
            <v>#N/A</v>
          </cell>
          <cell r="AX76" t="e">
            <v>#N/A</v>
          </cell>
          <cell r="AY76" t="e">
            <v>#N/A</v>
          </cell>
          <cell r="AZ76" t="e">
            <v>#N/A</v>
          </cell>
          <cell r="BA76" t="e">
            <v>#N/A</v>
          </cell>
          <cell r="BB76" t="e">
            <v>#N/A</v>
          </cell>
          <cell r="BC76" t="e">
            <v>#N/A</v>
          </cell>
          <cell r="BD76" t="e">
            <v>#N/A</v>
          </cell>
          <cell r="BE76" t="e">
            <v>#N/A</v>
          </cell>
          <cell r="BF76" t="e">
            <v>#N/A</v>
          </cell>
          <cell r="BG76" t="e">
            <v>#N/A</v>
          </cell>
          <cell r="BH76" t="e">
            <v>#N/A</v>
          </cell>
          <cell r="BI76" t="e">
            <v>#N/A</v>
          </cell>
          <cell r="BJ76" t="e">
            <v>#N/A</v>
          </cell>
          <cell r="BK76" t="e">
            <v>#N/A</v>
          </cell>
          <cell r="BL76" t="e">
            <v>#N/A</v>
          </cell>
          <cell r="BM76" t="e">
            <v>#N/A</v>
          </cell>
          <cell r="BN76" t="e">
            <v>#N/A</v>
          </cell>
          <cell r="BO76" t="e">
            <v>#N/A</v>
          </cell>
          <cell r="BP76" t="e">
            <v>#N/A</v>
          </cell>
          <cell r="BQ76" t="e">
            <v>#N/A</v>
          </cell>
          <cell r="BR76" t="e">
            <v>#N/A</v>
          </cell>
          <cell r="BS76" t="e">
            <v>#N/A</v>
          </cell>
          <cell r="BT76" t="e">
            <v>#N/A</v>
          </cell>
          <cell r="BU76" t="e">
            <v>#N/A</v>
          </cell>
          <cell r="BV76" t="e">
            <v>#N/A</v>
          </cell>
          <cell r="BW76" t="e">
            <v>#N/A</v>
          </cell>
          <cell r="BX76" t="e">
            <v>#N/A</v>
          </cell>
          <cell r="BY76" t="e">
            <v>#N/A</v>
          </cell>
        </row>
        <row r="77">
          <cell r="B77" t="str">
            <v>GCI inflator</v>
          </cell>
          <cell r="C77" t="str">
            <v>GCI_INFL</v>
          </cell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  <cell r="AV77" t="e">
            <v>#N/A</v>
          </cell>
          <cell r="AW77" t="e">
            <v>#N/A</v>
          </cell>
          <cell r="AX77" t="e">
            <v>#N/A</v>
          </cell>
          <cell r="AY77" t="e">
            <v>#N/A</v>
          </cell>
          <cell r="AZ77" t="e">
            <v>#N/A</v>
          </cell>
          <cell r="BA77" t="e">
            <v>#N/A</v>
          </cell>
          <cell r="BB77" t="e">
            <v>#N/A</v>
          </cell>
          <cell r="BC77" t="e">
            <v>#N/A</v>
          </cell>
          <cell r="BD77" t="e">
            <v>#N/A</v>
          </cell>
          <cell r="BE77" t="e">
            <v>#N/A</v>
          </cell>
          <cell r="BF77" t="e">
            <v>#N/A</v>
          </cell>
          <cell r="BG77" t="e">
            <v>#N/A</v>
          </cell>
          <cell r="BH77" t="e">
            <v>#N/A</v>
          </cell>
          <cell r="BI77" t="e">
            <v>#N/A</v>
          </cell>
          <cell r="BJ77" t="e">
            <v>#N/A</v>
          </cell>
          <cell r="BK77" t="e">
            <v>#N/A</v>
          </cell>
          <cell r="BL77" t="e">
            <v>#N/A</v>
          </cell>
          <cell r="BM77" t="e">
            <v>#N/A</v>
          </cell>
          <cell r="BN77" t="e">
            <v>#N/A</v>
          </cell>
          <cell r="BO77" t="e">
            <v>#N/A</v>
          </cell>
          <cell r="BP77" t="e">
            <v>#N/A</v>
          </cell>
          <cell r="BQ77" t="e">
            <v>#N/A</v>
          </cell>
          <cell r="BR77" t="e">
            <v>#N/A</v>
          </cell>
          <cell r="BS77" t="e">
            <v>#N/A</v>
          </cell>
          <cell r="BT77" t="e">
            <v>#N/A</v>
          </cell>
          <cell r="BU77" t="e">
            <v>#N/A</v>
          </cell>
          <cell r="BV77" t="e">
            <v>#N/A</v>
          </cell>
          <cell r="BW77" t="e">
            <v>#N/A</v>
          </cell>
          <cell r="BX77" t="e">
            <v>#N/A</v>
          </cell>
          <cell r="BY77" t="e">
            <v>#N/A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 t="e">
            <v>#N/A</v>
          </cell>
          <cell r="G78" t="e">
            <v>#N/A</v>
          </cell>
          <cell r="H78" t="e">
            <v>#N/A</v>
          </cell>
          <cell r="I78" t="e">
            <v>#N/A</v>
          </cell>
          <cell r="J78" t="e">
            <v>#N/A</v>
          </cell>
          <cell r="K78" t="e">
            <v>#N/A</v>
          </cell>
          <cell r="L78" t="e">
            <v>#N/A</v>
          </cell>
          <cell r="M78" t="e">
            <v>#N/A</v>
          </cell>
          <cell r="N78" t="e">
            <v>#N/A</v>
          </cell>
          <cell r="O78" t="e">
            <v>#N/A</v>
          </cell>
          <cell r="P78" t="e">
            <v>#N/A</v>
          </cell>
          <cell r="Q78" t="e">
            <v>#N/A</v>
          </cell>
          <cell r="R78" t="e">
            <v>#N/A</v>
          </cell>
          <cell r="S78" t="e">
            <v>#N/A</v>
          </cell>
          <cell r="T78" t="e">
            <v>#N/A</v>
          </cell>
          <cell r="U78" t="e">
            <v>#N/A</v>
          </cell>
          <cell r="V78" t="e">
            <v>#N/A</v>
          </cell>
          <cell r="W78" t="e">
            <v>#N/A</v>
          </cell>
          <cell r="X78" t="e">
            <v>#N/A</v>
          </cell>
          <cell r="Z78" t="e">
            <v>#N/A</v>
          </cell>
          <cell r="AA78" t="e">
            <v>#N/A</v>
          </cell>
          <cell r="AB78" t="e">
            <v>#N/A</v>
          </cell>
          <cell r="AC78" t="e">
            <v>#N/A</v>
          </cell>
          <cell r="AD78" t="e">
            <v>#N/A</v>
          </cell>
          <cell r="AE78" t="e">
            <v>#N/A</v>
          </cell>
          <cell r="AF78" t="e">
            <v>#N/A</v>
          </cell>
          <cell r="AG78" t="e">
            <v>#N/A</v>
          </cell>
          <cell r="AH78" t="e">
            <v>#N/A</v>
          </cell>
          <cell r="AI78" t="e">
            <v>#N/A</v>
          </cell>
          <cell r="AJ78" t="e">
            <v>#N/A</v>
          </cell>
          <cell r="AK78" t="e">
            <v>#N/A</v>
          </cell>
          <cell r="AL78" t="e">
            <v>#N/A</v>
          </cell>
          <cell r="AM78" t="e">
            <v>#N/A</v>
          </cell>
          <cell r="AN78" t="e">
            <v>#N/A</v>
          </cell>
          <cell r="AO78" t="e">
            <v>#N/A</v>
          </cell>
          <cell r="AP78" t="e">
            <v>#N/A</v>
          </cell>
          <cell r="AQ78" t="e">
            <v>#N/A</v>
          </cell>
          <cell r="AR78" t="e">
            <v>#N/A</v>
          </cell>
          <cell r="AS78" t="e">
            <v>#N/A</v>
          </cell>
          <cell r="AT78" t="e">
            <v>#N/A</v>
          </cell>
          <cell r="AU78" t="e">
            <v>#N/A</v>
          </cell>
          <cell r="AV78" t="e">
            <v>#N/A</v>
          </cell>
          <cell r="AW78" t="e">
            <v>#N/A</v>
          </cell>
          <cell r="AX78" t="e">
            <v>#N/A</v>
          </cell>
          <cell r="AY78" t="e">
            <v>#N/A</v>
          </cell>
          <cell r="AZ78" t="e">
            <v>#N/A</v>
          </cell>
          <cell r="BA78" t="e">
            <v>#N/A</v>
          </cell>
          <cell r="BB78" t="e">
            <v>#N/A</v>
          </cell>
          <cell r="BC78" t="e">
            <v>#N/A</v>
          </cell>
          <cell r="BD78" t="e">
            <v>#N/A</v>
          </cell>
          <cell r="BE78" t="e">
            <v>#N/A</v>
          </cell>
          <cell r="BF78" t="e">
            <v>#N/A</v>
          </cell>
          <cell r="BG78" t="e">
            <v>#N/A</v>
          </cell>
          <cell r="BH78" t="e">
            <v>#N/A</v>
          </cell>
          <cell r="BI78" t="e">
            <v>#N/A</v>
          </cell>
          <cell r="BJ78" t="e">
            <v>#N/A</v>
          </cell>
          <cell r="BK78" t="e">
            <v>#N/A</v>
          </cell>
          <cell r="BL78" t="e">
            <v>#N/A</v>
          </cell>
          <cell r="BM78" t="e">
            <v>#N/A</v>
          </cell>
          <cell r="BN78" t="e">
            <v>#N/A</v>
          </cell>
          <cell r="BO78" t="e">
            <v>#N/A</v>
          </cell>
          <cell r="BP78" t="e">
            <v>#N/A</v>
          </cell>
          <cell r="BQ78" t="e">
            <v>#N/A</v>
          </cell>
          <cell r="BR78" t="e">
            <v>#N/A</v>
          </cell>
          <cell r="BS78" t="e">
            <v>#N/A</v>
          </cell>
          <cell r="BT78" t="e">
            <v>#N/A</v>
          </cell>
          <cell r="BU78" t="e">
            <v>#N/A</v>
          </cell>
          <cell r="BV78" t="e">
            <v>#N/A</v>
          </cell>
          <cell r="BW78" t="e">
            <v>#N/A</v>
          </cell>
          <cell r="BX78" t="e">
            <v>#N/A</v>
          </cell>
          <cell r="BY78" t="e">
            <v>#N/A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 t="e">
            <v>#N/A</v>
          </cell>
          <cell r="G80" t="e">
            <v>#N/A</v>
          </cell>
          <cell r="H80" t="e">
            <v>#N/A</v>
          </cell>
          <cell r="I80" t="e">
            <v>#N/A</v>
          </cell>
          <cell r="J80" t="e">
            <v>#N/A</v>
          </cell>
          <cell r="K80" t="e">
            <v>#N/A</v>
          </cell>
          <cell r="L80" t="e">
            <v>#N/A</v>
          </cell>
          <cell r="M80" t="e">
            <v>#N/A</v>
          </cell>
          <cell r="N80" t="e">
            <v>#N/A</v>
          </cell>
          <cell r="O80" t="e">
            <v>#N/A</v>
          </cell>
          <cell r="P80" t="e">
            <v>#N/A</v>
          </cell>
          <cell r="Q80" t="e">
            <v>#N/A</v>
          </cell>
          <cell r="R80" t="e">
            <v>#N/A</v>
          </cell>
          <cell r="S80" t="e">
            <v>#N/A</v>
          </cell>
          <cell r="T80" t="e">
            <v>#N/A</v>
          </cell>
          <cell r="U80" t="e">
            <v>#N/A</v>
          </cell>
          <cell r="V80" t="e">
            <v>#N/A</v>
          </cell>
          <cell r="W80" t="e">
            <v>#N/A</v>
          </cell>
          <cell r="X80" t="e">
            <v>#N/A</v>
          </cell>
          <cell r="Z80" t="e">
            <v>#N/A</v>
          </cell>
          <cell r="AA80" t="e">
            <v>#N/A</v>
          </cell>
          <cell r="AB80" t="e">
            <v>#N/A</v>
          </cell>
          <cell r="AC80" t="e">
            <v>#N/A</v>
          </cell>
          <cell r="AD80" t="e">
            <v>#N/A</v>
          </cell>
          <cell r="AE80" t="e">
            <v>#N/A</v>
          </cell>
          <cell r="AF80" t="e">
            <v>#N/A</v>
          </cell>
          <cell r="AG80" t="e">
            <v>#N/A</v>
          </cell>
          <cell r="AH80" t="e">
            <v>#N/A</v>
          </cell>
          <cell r="AI80" t="e">
            <v>#N/A</v>
          </cell>
          <cell r="AJ80" t="e">
            <v>#N/A</v>
          </cell>
          <cell r="AK80" t="e">
            <v>#N/A</v>
          </cell>
          <cell r="AL80" t="e">
            <v>#N/A</v>
          </cell>
          <cell r="AM80" t="e">
            <v>#N/A</v>
          </cell>
          <cell r="AN80" t="e">
            <v>#N/A</v>
          </cell>
          <cell r="AO80" t="e">
            <v>#N/A</v>
          </cell>
          <cell r="AP80" t="e">
            <v>#N/A</v>
          </cell>
          <cell r="AQ80" t="e">
            <v>#N/A</v>
          </cell>
          <cell r="AR80" t="e">
            <v>#N/A</v>
          </cell>
          <cell r="AS80" t="e">
            <v>#N/A</v>
          </cell>
          <cell r="AT80" t="e">
            <v>#N/A</v>
          </cell>
          <cell r="AU80" t="e">
            <v>#N/A</v>
          </cell>
          <cell r="AV80" t="e">
            <v>#N/A</v>
          </cell>
          <cell r="AW80" t="e">
            <v>#N/A</v>
          </cell>
          <cell r="AX80" t="e">
            <v>#N/A</v>
          </cell>
          <cell r="AY80" t="e">
            <v>#N/A</v>
          </cell>
          <cell r="AZ80" t="e">
            <v>#N/A</v>
          </cell>
          <cell r="BA80" t="e">
            <v>#N/A</v>
          </cell>
          <cell r="BB80" t="e">
            <v>#N/A</v>
          </cell>
          <cell r="BC80" t="e">
            <v>#N/A</v>
          </cell>
          <cell r="BD80" t="e">
            <v>#N/A</v>
          </cell>
          <cell r="BE80" t="e">
            <v>#N/A</v>
          </cell>
          <cell r="BF80" t="e">
            <v>#N/A</v>
          </cell>
          <cell r="BG80" t="e">
            <v>#N/A</v>
          </cell>
          <cell r="BH80" t="e">
            <v>#N/A</v>
          </cell>
          <cell r="BI80" t="e">
            <v>#N/A</v>
          </cell>
          <cell r="BJ80" t="e">
            <v>#N/A</v>
          </cell>
          <cell r="BK80" t="e">
            <v>#N/A</v>
          </cell>
          <cell r="BL80" t="e">
            <v>#N/A</v>
          </cell>
          <cell r="BM80" t="e">
            <v>#N/A</v>
          </cell>
          <cell r="BN80" t="e">
            <v>#N/A</v>
          </cell>
          <cell r="BO80" t="e">
            <v>#N/A</v>
          </cell>
          <cell r="BP80" t="e">
            <v>#N/A</v>
          </cell>
          <cell r="BQ80" t="e">
            <v>#N/A</v>
          </cell>
          <cell r="BR80" t="e">
            <v>#N/A</v>
          </cell>
          <cell r="BS80" t="e">
            <v>#N/A</v>
          </cell>
          <cell r="BT80" t="e">
            <v>#N/A</v>
          </cell>
          <cell r="BU80" t="e">
            <v>#N/A</v>
          </cell>
          <cell r="BV80" t="e">
            <v>#N/A</v>
          </cell>
          <cell r="BW80" t="e">
            <v>#N/A</v>
          </cell>
          <cell r="BX80" t="e">
            <v>#N/A</v>
          </cell>
          <cell r="BY80" t="e">
            <v>#N/A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  <cell r="AV81" t="e">
            <v>#N/A</v>
          </cell>
          <cell r="AW81" t="e">
            <v>#N/A</v>
          </cell>
          <cell r="AX81" t="e">
            <v>#N/A</v>
          </cell>
          <cell r="AY81" t="e">
            <v>#N/A</v>
          </cell>
          <cell r="AZ81" t="e">
            <v>#N/A</v>
          </cell>
          <cell r="BA81" t="e">
            <v>#N/A</v>
          </cell>
          <cell r="BB81" t="e">
            <v>#N/A</v>
          </cell>
          <cell r="BC81" t="e">
            <v>#N/A</v>
          </cell>
          <cell r="BD81" t="e">
            <v>#N/A</v>
          </cell>
          <cell r="BE81" t="e">
            <v>#N/A</v>
          </cell>
          <cell r="BF81" t="e">
            <v>#N/A</v>
          </cell>
          <cell r="BG81" t="e">
            <v>#N/A</v>
          </cell>
          <cell r="BH81" t="e">
            <v>#N/A</v>
          </cell>
          <cell r="BI81" t="e">
            <v>#N/A</v>
          </cell>
          <cell r="BJ81" t="e">
            <v>#N/A</v>
          </cell>
          <cell r="BK81" t="e">
            <v>#N/A</v>
          </cell>
          <cell r="BL81" t="e">
            <v>#N/A</v>
          </cell>
          <cell r="BM81" t="e">
            <v>#N/A</v>
          </cell>
          <cell r="BN81" t="e">
            <v>#N/A</v>
          </cell>
          <cell r="BO81" t="e">
            <v>#N/A</v>
          </cell>
          <cell r="BP81" t="e">
            <v>#N/A</v>
          </cell>
          <cell r="BQ81" t="e">
            <v>#N/A</v>
          </cell>
          <cell r="BR81" t="e">
            <v>#N/A</v>
          </cell>
          <cell r="BS81" t="e">
            <v>#N/A</v>
          </cell>
          <cell r="BT81" t="e">
            <v>#N/A</v>
          </cell>
          <cell r="BU81" t="e">
            <v>#N/A</v>
          </cell>
          <cell r="BV81" t="e">
            <v>#N/A</v>
          </cell>
          <cell r="BW81" t="e">
            <v>#N/A</v>
          </cell>
          <cell r="BX81" t="e">
            <v>#N/A</v>
          </cell>
          <cell r="BY81" t="e">
            <v>#N/A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 t="e">
            <v>#N/A</v>
          </cell>
          <cell r="G82" t="e">
            <v>#N/A</v>
          </cell>
          <cell r="H82" t="e">
            <v>#N/A</v>
          </cell>
          <cell r="I82" t="e">
            <v>#N/A</v>
          </cell>
          <cell r="J82" t="e">
            <v>#N/A</v>
          </cell>
          <cell r="K82" t="e">
            <v>#N/A</v>
          </cell>
          <cell r="L82" t="e">
            <v>#N/A</v>
          </cell>
          <cell r="M82" t="e">
            <v>#N/A</v>
          </cell>
          <cell r="N82" t="e">
            <v>#N/A</v>
          </cell>
          <cell r="O82" t="e">
            <v>#N/A</v>
          </cell>
          <cell r="P82" t="e">
            <v>#N/A</v>
          </cell>
          <cell r="Q82" t="e">
            <v>#N/A</v>
          </cell>
          <cell r="R82" t="e">
            <v>#N/A</v>
          </cell>
          <cell r="S82" t="e">
            <v>#N/A</v>
          </cell>
          <cell r="T82" t="e">
            <v>#N/A</v>
          </cell>
          <cell r="U82" t="e">
            <v>#N/A</v>
          </cell>
          <cell r="V82" t="e">
            <v>#N/A</v>
          </cell>
          <cell r="W82" t="e">
            <v>#N/A</v>
          </cell>
          <cell r="X82" t="e">
            <v>#N/A</v>
          </cell>
          <cell r="Z82" t="e">
            <v>#N/A</v>
          </cell>
          <cell r="AA82" t="e">
            <v>#N/A</v>
          </cell>
          <cell r="AB82" t="e">
            <v>#N/A</v>
          </cell>
          <cell r="AC82" t="e">
            <v>#N/A</v>
          </cell>
          <cell r="AD82" t="e">
            <v>#N/A</v>
          </cell>
          <cell r="AE82" t="e">
            <v>#N/A</v>
          </cell>
          <cell r="AF82" t="e">
            <v>#N/A</v>
          </cell>
          <cell r="AG82" t="e">
            <v>#N/A</v>
          </cell>
          <cell r="AH82" t="e">
            <v>#N/A</v>
          </cell>
          <cell r="AI82" t="e">
            <v>#N/A</v>
          </cell>
          <cell r="AJ82" t="e">
            <v>#N/A</v>
          </cell>
          <cell r="AK82" t="e">
            <v>#N/A</v>
          </cell>
          <cell r="AL82" t="e">
            <v>#N/A</v>
          </cell>
          <cell r="AM82" t="e">
            <v>#N/A</v>
          </cell>
          <cell r="AN82" t="e">
            <v>#N/A</v>
          </cell>
          <cell r="AO82" t="e">
            <v>#N/A</v>
          </cell>
          <cell r="AP82" t="e">
            <v>#N/A</v>
          </cell>
          <cell r="AQ82" t="e">
            <v>#N/A</v>
          </cell>
          <cell r="AR82" t="e">
            <v>#N/A</v>
          </cell>
          <cell r="AS82" t="e">
            <v>#N/A</v>
          </cell>
          <cell r="AT82" t="e">
            <v>#N/A</v>
          </cell>
          <cell r="AU82" t="e">
            <v>#N/A</v>
          </cell>
          <cell r="AV82" t="e">
            <v>#N/A</v>
          </cell>
          <cell r="AW82" t="e">
            <v>#N/A</v>
          </cell>
          <cell r="AX82" t="e">
            <v>#N/A</v>
          </cell>
          <cell r="AY82" t="e">
            <v>#N/A</v>
          </cell>
          <cell r="AZ82" t="e">
            <v>#N/A</v>
          </cell>
          <cell r="BA82" t="e">
            <v>#N/A</v>
          </cell>
          <cell r="BB82" t="e">
            <v>#N/A</v>
          </cell>
          <cell r="BC82" t="e">
            <v>#N/A</v>
          </cell>
          <cell r="BD82" t="e">
            <v>#N/A</v>
          </cell>
          <cell r="BE82" t="e">
            <v>#N/A</v>
          </cell>
          <cell r="BF82" t="e">
            <v>#N/A</v>
          </cell>
          <cell r="BG82" t="e">
            <v>#N/A</v>
          </cell>
          <cell r="BH82" t="e">
            <v>#N/A</v>
          </cell>
          <cell r="BI82" t="e">
            <v>#N/A</v>
          </cell>
          <cell r="BJ82" t="e">
            <v>#N/A</v>
          </cell>
          <cell r="BK82" t="e">
            <v>#N/A</v>
          </cell>
          <cell r="BL82" t="e">
            <v>#N/A</v>
          </cell>
          <cell r="BM82" t="e">
            <v>#N/A</v>
          </cell>
          <cell r="BN82" t="e">
            <v>#N/A</v>
          </cell>
          <cell r="BO82" t="e">
            <v>#N/A</v>
          </cell>
          <cell r="BP82" t="e">
            <v>#N/A</v>
          </cell>
          <cell r="BQ82" t="e">
            <v>#N/A</v>
          </cell>
          <cell r="BR82" t="e">
            <v>#N/A</v>
          </cell>
          <cell r="BS82" t="e">
            <v>#N/A</v>
          </cell>
          <cell r="BT82" t="e">
            <v>#N/A</v>
          </cell>
          <cell r="BU82" t="e">
            <v>#N/A</v>
          </cell>
          <cell r="BV82" t="e">
            <v>#N/A</v>
          </cell>
          <cell r="BW82" t="e">
            <v>#N/A</v>
          </cell>
          <cell r="BX82" t="e">
            <v>#N/A</v>
          </cell>
          <cell r="BY82" t="e">
            <v>#N/A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  <cell r="AV83" t="e">
            <v>#N/A</v>
          </cell>
          <cell r="AW83" t="e">
            <v>#N/A</v>
          </cell>
          <cell r="AX83" t="e">
            <v>#N/A</v>
          </cell>
          <cell r="AY83" t="e">
            <v>#N/A</v>
          </cell>
          <cell r="AZ83" t="e">
            <v>#N/A</v>
          </cell>
          <cell r="BA83" t="e">
            <v>#N/A</v>
          </cell>
          <cell r="BB83" t="e">
            <v>#N/A</v>
          </cell>
          <cell r="BC83" t="e">
            <v>#N/A</v>
          </cell>
          <cell r="BD83" t="e">
            <v>#N/A</v>
          </cell>
          <cell r="BE83" t="e">
            <v>#N/A</v>
          </cell>
          <cell r="BF83" t="e">
            <v>#N/A</v>
          </cell>
          <cell r="BG83" t="e">
            <v>#N/A</v>
          </cell>
          <cell r="BH83" t="e">
            <v>#N/A</v>
          </cell>
          <cell r="BI83" t="e">
            <v>#N/A</v>
          </cell>
          <cell r="BJ83" t="e">
            <v>#N/A</v>
          </cell>
          <cell r="BK83" t="e">
            <v>#N/A</v>
          </cell>
          <cell r="BL83" t="e">
            <v>#N/A</v>
          </cell>
          <cell r="BM83" t="e">
            <v>#N/A</v>
          </cell>
          <cell r="BN83" t="e">
            <v>#N/A</v>
          </cell>
          <cell r="BO83" t="e">
            <v>#N/A</v>
          </cell>
          <cell r="BP83" t="e">
            <v>#N/A</v>
          </cell>
          <cell r="BQ83" t="e">
            <v>#N/A</v>
          </cell>
          <cell r="BR83" t="e">
            <v>#N/A</v>
          </cell>
          <cell r="BS83" t="e">
            <v>#N/A</v>
          </cell>
          <cell r="BT83" t="e">
            <v>#N/A</v>
          </cell>
          <cell r="BU83" t="e">
            <v>#N/A</v>
          </cell>
          <cell r="BV83" t="e">
            <v>#N/A</v>
          </cell>
          <cell r="BW83" t="e">
            <v>#N/A</v>
          </cell>
          <cell r="BX83" t="e">
            <v>#N/A</v>
          </cell>
          <cell r="BY83" t="e">
            <v>#N/A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 t="e">
            <v>#N/A</v>
          </cell>
          <cell r="G84" t="e">
            <v>#N/A</v>
          </cell>
          <cell r="H84" t="e">
            <v>#N/A</v>
          </cell>
          <cell r="I84" t="e">
            <v>#N/A</v>
          </cell>
          <cell r="J84" t="e">
            <v>#N/A</v>
          </cell>
          <cell r="K84" t="e">
            <v>#N/A</v>
          </cell>
          <cell r="L84" t="e">
            <v>#N/A</v>
          </cell>
          <cell r="M84" t="e">
            <v>#N/A</v>
          </cell>
          <cell r="N84" t="e">
            <v>#N/A</v>
          </cell>
          <cell r="O84" t="e">
            <v>#N/A</v>
          </cell>
          <cell r="P84" t="e">
            <v>#N/A</v>
          </cell>
          <cell r="Q84" t="e">
            <v>#N/A</v>
          </cell>
          <cell r="R84" t="e">
            <v>#N/A</v>
          </cell>
          <cell r="S84" t="e">
            <v>#N/A</v>
          </cell>
          <cell r="T84" t="e">
            <v>#N/A</v>
          </cell>
          <cell r="U84" t="e">
            <v>#N/A</v>
          </cell>
          <cell r="V84" t="e">
            <v>#N/A</v>
          </cell>
          <cell r="W84" t="e">
            <v>#N/A</v>
          </cell>
          <cell r="X84" t="e">
            <v>#N/A</v>
          </cell>
          <cell r="Z84" t="e">
            <v>#N/A</v>
          </cell>
          <cell r="AA84" t="e">
            <v>#N/A</v>
          </cell>
          <cell r="AB84" t="e">
            <v>#N/A</v>
          </cell>
          <cell r="AC84" t="e">
            <v>#N/A</v>
          </cell>
          <cell r="AD84" t="e">
            <v>#N/A</v>
          </cell>
          <cell r="AE84" t="e">
            <v>#N/A</v>
          </cell>
          <cell r="AF84" t="e">
            <v>#N/A</v>
          </cell>
          <cell r="AG84" t="e">
            <v>#N/A</v>
          </cell>
          <cell r="AH84" t="e">
            <v>#N/A</v>
          </cell>
          <cell r="AI84" t="e">
            <v>#N/A</v>
          </cell>
          <cell r="AJ84" t="e">
            <v>#N/A</v>
          </cell>
          <cell r="AK84" t="e">
            <v>#N/A</v>
          </cell>
          <cell r="AL84" t="e">
            <v>#N/A</v>
          </cell>
          <cell r="AM84" t="e">
            <v>#N/A</v>
          </cell>
          <cell r="AN84" t="e">
            <v>#N/A</v>
          </cell>
          <cell r="AO84" t="e">
            <v>#N/A</v>
          </cell>
          <cell r="AP84" t="e">
            <v>#N/A</v>
          </cell>
          <cell r="AQ84" t="e">
            <v>#N/A</v>
          </cell>
          <cell r="AR84" t="e">
            <v>#N/A</v>
          </cell>
          <cell r="AS84" t="e">
            <v>#N/A</v>
          </cell>
          <cell r="AT84" t="e">
            <v>#N/A</v>
          </cell>
          <cell r="AU84" t="e">
            <v>#N/A</v>
          </cell>
          <cell r="AV84" t="e">
            <v>#N/A</v>
          </cell>
          <cell r="AW84" t="e">
            <v>#N/A</v>
          </cell>
          <cell r="AX84" t="e">
            <v>#N/A</v>
          </cell>
          <cell r="AY84" t="e">
            <v>#N/A</v>
          </cell>
          <cell r="AZ84" t="e">
            <v>#N/A</v>
          </cell>
          <cell r="BA84" t="e">
            <v>#N/A</v>
          </cell>
          <cell r="BB84" t="e">
            <v>#N/A</v>
          </cell>
          <cell r="BC84" t="e">
            <v>#N/A</v>
          </cell>
          <cell r="BD84" t="e">
            <v>#N/A</v>
          </cell>
          <cell r="BE84" t="e">
            <v>#N/A</v>
          </cell>
          <cell r="BF84" t="e">
            <v>#N/A</v>
          </cell>
          <cell r="BG84" t="e">
            <v>#N/A</v>
          </cell>
          <cell r="BH84" t="e">
            <v>#N/A</v>
          </cell>
          <cell r="BI84" t="e">
            <v>#N/A</v>
          </cell>
          <cell r="BJ84" t="e">
            <v>#N/A</v>
          </cell>
          <cell r="BK84" t="e">
            <v>#N/A</v>
          </cell>
          <cell r="BL84" t="e">
            <v>#N/A</v>
          </cell>
          <cell r="BM84" t="e">
            <v>#N/A</v>
          </cell>
          <cell r="BN84" t="e">
            <v>#N/A</v>
          </cell>
          <cell r="BO84" t="e">
            <v>#N/A</v>
          </cell>
          <cell r="BP84" t="e">
            <v>#N/A</v>
          </cell>
          <cell r="BQ84" t="e">
            <v>#N/A</v>
          </cell>
          <cell r="BR84" t="e">
            <v>#N/A</v>
          </cell>
          <cell r="BS84" t="e">
            <v>#N/A</v>
          </cell>
          <cell r="BT84" t="e">
            <v>#N/A</v>
          </cell>
          <cell r="BU84" t="e">
            <v>#N/A</v>
          </cell>
          <cell r="BV84" t="e">
            <v>#N/A</v>
          </cell>
          <cell r="BW84" t="e">
            <v>#N/A</v>
          </cell>
          <cell r="BX84" t="e">
            <v>#N/A</v>
          </cell>
          <cell r="BY84" t="e">
            <v>#N/A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  <cell r="AV85" t="e">
            <v>#N/A</v>
          </cell>
          <cell r="AW85" t="e">
            <v>#N/A</v>
          </cell>
          <cell r="AX85" t="e">
            <v>#N/A</v>
          </cell>
          <cell r="AY85" t="e">
            <v>#N/A</v>
          </cell>
          <cell r="AZ85" t="e">
            <v>#N/A</v>
          </cell>
          <cell r="BA85" t="e">
            <v>#N/A</v>
          </cell>
          <cell r="BB85" t="e">
            <v>#N/A</v>
          </cell>
          <cell r="BC85" t="e">
            <v>#N/A</v>
          </cell>
          <cell r="BD85" t="e">
            <v>#N/A</v>
          </cell>
          <cell r="BE85" t="e">
            <v>#N/A</v>
          </cell>
          <cell r="BF85" t="e">
            <v>#N/A</v>
          </cell>
          <cell r="BG85" t="e">
            <v>#N/A</v>
          </cell>
          <cell r="BH85" t="e">
            <v>#N/A</v>
          </cell>
          <cell r="BI85" t="e">
            <v>#N/A</v>
          </cell>
          <cell r="BJ85" t="e">
            <v>#N/A</v>
          </cell>
          <cell r="BK85" t="e">
            <v>#N/A</v>
          </cell>
          <cell r="BL85" t="e">
            <v>#N/A</v>
          </cell>
          <cell r="BM85" t="e">
            <v>#N/A</v>
          </cell>
          <cell r="BN85" t="e">
            <v>#N/A</v>
          </cell>
          <cell r="BO85" t="e">
            <v>#N/A</v>
          </cell>
          <cell r="BP85" t="e">
            <v>#N/A</v>
          </cell>
          <cell r="BQ85" t="e">
            <v>#N/A</v>
          </cell>
          <cell r="BR85" t="e">
            <v>#N/A</v>
          </cell>
          <cell r="BS85" t="e">
            <v>#N/A</v>
          </cell>
          <cell r="BT85" t="e">
            <v>#N/A</v>
          </cell>
          <cell r="BU85" t="e">
            <v>#N/A</v>
          </cell>
          <cell r="BV85" t="e">
            <v>#N/A</v>
          </cell>
          <cell r="BW85" t="e">
            <v>#N/A</v>
          </cell>
          <cell r="BX85" t="e">
            <v>#N/A</v>
          </cell>
          <cell r="BY85" t="e">
            <v>#N/A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 t="e">
            <v>#N/A</v>
          </cell>
          <cell r="G86" t="e">
            <v>#N/A</v>
          </cell>
          <cell r="H86" t="e">
            <v>#N/A</v>
          </cell>
          <cell r="I86" t="e">
            <v>#N/A</v>
          </cell>
          <cell r="J86" t="e">
            <v>#N/A</v>
          </cell>
          <cell r="K86" t="e">
            <v>#N/A</v>
          </cell>
          <cell r="L86" t="e">
            <v>#N/A</v>
          </cell>
          <cell r="M86" t="e">
            <v>#N/A</v>
          </cell>
          <cell r="N86" t="e">
            <v>#N/A</v>
          </cell>
          <cell r="O86" t="e">
            <v>#N/A</v>
          </cell>
          <cell r="P86" t="e">
            <v>#N/A</v>
          </cell>
          <cell r="Q86" t="e">
            <v>#N/A</v>
          </cell>
          <cell r="R86" t="e">
            <v>#N/A</v>
          </cell>
          <cell r="S86" t="e">
            <v>#N/A</v>
          </cell>
          <cell r="T86" t="e">
            <v>#N/A</v>
          </cell>
          <cell r="U86" t="e">
            <v>#N/A</v>
          </cell>
          <cell r="V86" t="e">
            <v>#N/A</v>
          </cell>
          <cell r="W86" t="e">
            <v>#N/A</v>
          </cell>
          <cell r="X86" t="e">
            <v>#N/A</v>
          </cell>
          <cell r="Z86" t="e">
            <v>#N/A</v>
          </cell>
          <cell r="AA86" t="e">
            <v>#N/A</v>
          </cell>
          <cell r="AB86" t="e">
            <v>#N/A</v>
          </cell>
          <cell r="AC86" t="e">
            <v>#N/A</v>
          </cell>
          <cell r="AD86" t="e">
            <v>#N/A</v>
          </cell>
          <cell r="AE86" t="e">
            <v>#N/A</v>
          </cell>
          <cell r="AF86" t="e">
            <v>#N/A</v>
          </cell>
          <cell r="AG86" t="e">
            <v>#N/A</v>
          </cell>
          <cell r="AH86" t="e">
            <v>#N/A</v>
          </cell>
          <cell r="AI86" t="e">
            <v>#N/A</v>
          </cell>
          <cell r="AJ86" t="e">
            <v>#N/A</v>
          </cell>
          <cell r="AK86" t="e">
            <v>#N/A</v>
          </cell>
          <cell r="AL86" t="e">
            <v>#N/A</v>
          </cell>
          <cell r="AM86" t="e">
            <v>#N/A</v>
          </cell>
          <cell r="AN86" t="e">
            <v>#N/A</v>
          </cell>
          <cell r="AO86" t="e">
            <v>#N/A</v>
          </cell>
          <cell r="AP86" t="e">
            <v>#N/A</v>
          </cell>
          <cell r="AQ86" t="e">
            <v>#N/A</v>
          </cell>
          <cell r="AR86" t="e">
            <v>#N/A</v>
          </cell>
          <cell r="AS86" t="e">
            <v>#N/A</v>
          </cell>
          <cell r="AT86" t="e">
            <v>#N/A</v>
          </cell>
          <cell r="AU86" t="e">
            <v>#N/A</v>
          </cell>
          <cell r="AV86" t="e">
            <v>#N/A</v>
          </cell>
          <cell r="AW86" t="e">
            <v>#N/A</v>
          </cell>
          <cell r="AX86" t="e">
            <v>#N/A</v>
          </cell>
          <cell r="AY86" t="e">
            <v>#N/A</v>
          </cell>
          <cell r="AZ86" t="e">
            <v>#N/A</v>
          </cell>
          <cell r="BA86" t="e">
            <v>#N/A</v>
          </cell>
          <cell r="BB86" t="e">
            <v>#N/A</v>
          </cell>
          <cell r="BC86" t="e">
            <v>#N/A</v>
          </cell>
          <cell r="BD86" t="e">
            <v>#N/A</v>
          </cell>
          <cell r="BE86" t="e">
            <v>#N/A</v>
          </cell>
          <cell r="BF86" t="e">
            <v>#N/A</v>
          </cell>
          <cell r="BG86" t="e">
            <v>#N/A</v>
          </cell>
          <cell r="BH86" t="e">
            <v>#N/A</v>
          </cell>
          <cell r="BI86" t="e">
            <v>#N/A</v>
          </cell>
          <cell r="BJ86" t="e">
            <v>#N/A</v>
          </cell>
          <cell r="BK86" t="e">
            <v>#N/A</v>
          </cell>
          <cell r="BL86" t="e">
            <v>#N/A</v>
          </cell>
          <cell r="BM86" t="e">
            <v>#N/A</v>
          </cell>
          <cell r="BN86" t="e">
            <v>#N/A</v>
          </cell>
          <cell r="BO86" t="e">
            <v>#N/A</v>
          </cell>
          <cell r="BP86" t="e">
            <v>#N/A</v>
          </cell>
          <cell r="BQ86" t="e">
            <v>#N/A</v>
          </cell>
          <cell r="BR86" t="e">
            <v>#N/A</v>
          </cell>
          <cell r="BS86" t="e">
            <v>#N/A</v>
          </cell>
          <cell r="BT86" t="e">
            <v>#N/A</v>
          </cell>
          <cell r="BU86" t="e">
            <v>#N/A</v>
          </cell>
          <cell r="BV86" t="e">
            <v>#N/A</v>
          </cell>
          <cell r="BW86" t="e">
            <v>#N/A</v>
          </cell>
          <cell r="BX86" t="e">
            <v>#N/A</v>
          </cell>
          <cell r="BY86" t="e">
            <v>#N/A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 t="e">
            <v>#N/A</v>
          </cell>
          <cell r="G87" t="e">
            <v>#N/A</v>
          </cell>
          <cell r="H87" t="e">
            <v>#N/A</v>
          </cell>
          <cell r="I87" t="e">
            <v>#N/A</v>
          </cell>
          <cell r="J87" t="e">
            <v>#N/A</v>
          </cell>
          <cell r="K87" t="e">
            <v>#N/A</v>
          </cell>
          <cell r="L87" t="e">
            <v>#N/A</v>
          </cell>
          <cell r="M87" t="e">
            <v>#N/A</v>
          </cell>
          <cell r="N87" t="e">
            <v>#N/A</v>
          </cell>
          <cell r="O87" t="e">
            <v>#N/A</v>
          </cell>
          <cell r="P87" t="e">
            <v>#N/A</v>
          </cell>
          <cell r="Q87" t="e">
            <v>#N/A</v>
          </cell>
          <cell r="R87" t="e">
            <v>#N/A</v>
          </cell>
          <cell r="S87" t="e">
            <v>#N/A</v>
          </cell>
          <cell r="T87" t="e">
            <v>#N/A</v>
          </cell>
          <cell r="U87" t="e">
            <v>#N/A</v>
          </cell>
          <cell r="V87" t="e">
            <v>#N/A</v>
          </cell>
          <cell r="W87" t="e">
            <v>#N/A</v>
          </cell>
          <cell r="X87" t="e">
            <v>#N/A</v>
          </cell>
          <cell r="Z87" t="e">
            <v>#N/A</v>
          </cell>
          <cell r="AA87" t="e">
            <v>#N/A</v>
          </cell>
          <cell r="AB87" t="e">
            <v>#N/A</v>
          </cell>
          <cell r="AC87" t="e">
            <v>#N/A</v>
          </cell>
          <cell r="AD87" t="e">
            <v>#N/A</v>
          </cell>
          <cell r="AE87" t="e">
            <v>#N/A</v>
          </cell>
          <cell r="AF87" t="e">
            <v>#N/A</v>
          </cell>
          <cell r="AG87" t="e">
            <v>#N/A</v>
          </cell>
          <cell r="AH87" t="e">
            <v>#N/A</v>
          </cell>
          <cell r="AI87" t="e">
            <v>#N/A</v>
          </cell>
          <cell r="AJ87" t="e">
            <v>#N/A</v>
          </cell>
          <cell r="AK87" t="e">
            <v>#N/A</v>
          </cell>
          <cell r="AL87" t="e">
            <v>#N/A</v>
          </cell>
          <cell r="AM87" t="e">
            <v>#N/A</v>
          </cell>
          <cell r="AN87" t="e">
            <v>#N/A</v>
          </cell>
          <cell r="AO87" t="e">
            <v>#N/A</v>
          </cell>
          <cell r="AP87" t="e">
            <v>#N/A</v>
          </cell>
          <cell r="AQ87" t="e">
            <v>#N/A</v>
          </cell>
          <cell r="AR87" t="e">
            <v>#N/A</v>
          </cell>
          <cell r="AS87" t="e">
            <v>#N/A</v>
          </cell>
          <cell r="AT87" t="e">
            <v>#N/A</v>
          </cell>
          <cell r="AU87" t="e">
            <v>#N/A</v>
          </cell>
          <cell r="AV87" t="e">
            <v>#N/A</v>
          </cell>
          <cell r="AW87" t="e">
            <v>#N/A</v>
          </cell>
          <cell r="AX87" t="e">
            <v>#N/A</v>
          </cell>
          <cell r="AY87" t="e">
            <v>#N/A</v>
          </cell>
          <cell r="AZ87" t="e">
            <v>#N/A</v>
          </cell>
          <cell r="BA87" t="e">
            <v>#N/A</v>
          </cell>
          <cell r="BB87" t="e">
            <v>#N/A</v>
          </cell>
          <cell r="BC87" t="e">
            <v>#N/A</v>
          </cell>
          <cell r="BD87" t="e">
            <v>#N/A</v>
          </cell>
          <cell r="BE87" t="e">
            <v>#N/A</v>
          </cell>
          <cell r="BF87" t="e">
            <v>#N/A</v>
          </cell>
          <cell r="BG87" t="e">
            <v>#N/A</v>
          </cell>
          <cell r="BH87" t="e">
            <v>#N/A</v>
          </cell>
          <cell r="BI87" t="e">
            <v>#N/A</v>
          </cell>
          <cell r="BJ87" t="e">
            <v>#N/A</v>
          </cell>
          <cell r="BK87" t="e">
            <v>#N/A</v>
          </cell>
          <cell r="BL87" t="e">
            <v>#N/A</v>
          </cell>
          <cell r="BM87" t="e">
            <v>#N/A</v>
          </cell>
          <cell r="BN87" t="e">
            <v>#N/A</v>
          </cell>
          <cell r="BO87" t="e">
            <v>#N/A</v>
          </cell>
          <cell r="BP87" t="e">
            <v>#N/A</v>
          </cell>
          <cell r="BQ87" t="e">
            <v>#N/A</v>
          </cell>
          <cell r="BR87" t="e">
            <v>#N/A</v>
          </cell>
          <cell r="BS87" t="e">
            <v>#N/A</v>
          </cell>
          <cell r="BT87" t="e">
            <v>#N/A</v>
          </cell>
          <cell r="BU87" t="e">
            <v>#N/A</v>
          </cell>
          <cell r="BV87" t="e">
            <v>#N/A</v>
          </cell>
          <cell r="BW87" t="e">
            <v>#N/A</v>
          </cell>
          <cell r="BX87" t="e">
            <v>#N/A</v>
          </cell>
          <cell r="BY87" t="e">
            <v>#N/A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  <cell r="AV88" t="e">
            <v>#N/A</v>
          </cell>
          <cell r="AW88" t="e">
            <v>#N/A</v>
          </cell>
          <cell r="AX88" t="e">
            <v>#N/A</v>
          </cell>
          <cell r="AY88" t="e">
            <v>#N/A</v>
          </cell>
          <cell r="AZ88" t="e">
            <v>#N/A</v>
          </cell>
          <cell r="BA88" t="e">
            <v>#N/A</v>
          </cell>
          <cell r="BB88" t="e">
            <v>#N/A</v>
          </cell>
          <cell r="BC88" t="e">
            <v>#N/A</v>
          </cell>
          <cell r="BD88" t="e">
            <v>#N/A</v>
          </cell>
          <cell r="BE88" t="e">
            <v>#N/A</v>
          </cell>
          <cell r="BF88" t="e">
            <v>#N/A</v>
          </cell>
          <cell r="BG88" t="e">
            <v>#N/A</v>
          </cell>
          <cell r="BH88" t="e">
            <v>#N/A</v>
          </cell>
          <cell r="BI88" t="e">
            <v>#N/A</v>
          </cell>
          <cell r="BJ88" t="e">
            <v>#N/A</v>
          </cell>
          <cell r="BK88" t="e">
            <v>#N/A</v>
          </cell>
          <cell r="BL88" t="e">
            <v>#N/A</v>
          </cell>
          <cell r="BM88" t="e">
            <v>#N/A</v>
          </cell>
          <cell r="BN88" t="e">
            <v>#N/A</v>
          </cell>
          <cell r="BO88" t="e">
            <v>#N/A</v>
          </cell>
          <cell r="BP88" t="e">
            <v>#N/A</v>
          </cell>
          <cell r="BQ88" t="e">
            <v>#N/A</v>
          </cell>
          <cell r="BR88" t="e">
            <v>#N/A</v>
          </cell>
          <cell r="BS88" t="e">
            <v>#N/A</v>
          </cell>
          <cell r="BT88" t="e">
            <v>#N/A</v>
          </cell>
          <cell r="BU88" t="e">
            <v>#N/A</v>
          </cell>
          <cell r="BV88" t="e">
            <v>#N/A</v>
          </cell>
          <cell r="BW88" t="e">
            <v>#N/A</v>
          </cell>
          <cell r="BX88" t="e">
            <v>#N/A</v>
          </cell>
          <cell r="BY88" t="e">
            <v>#N/A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 t="e">
            <v>#N/A</v>
          </cell>
          <cell r="G89" t="e">
            <v>#N/A</v>
          </cell>
          <cell r="H89" t="e">
            <v>#N/A</v>
          </cell>
          <cell r="I89" t="e">
            <v>#N/A</v>
          </cell>
          <cell r="J89" t="e">
            <v>#N/A</v>
          </cell>
          <cell r="K89" t="e">
            <v>#N/A</v>
          </cell>
          <cell r="L89" t="e">
            <v>#N/A</v>
          </cell>
          <cell r="M89" t="e">
            <v>#N/A</v>
          </cell>
          <cell r="N89" t="e">
            <v>#N/A</v>
          </cell>
          <cell r="O89" t="e">
            <v>#N/A</v>
          </cell>
          <cell r="P89" t="e">
            <v>#N/A</v>
          </cell>
          <cell r="Q89" t="e">
            <v>#N/A</v>
          </cell>
          <cell r="R89" t="e">
            <v>#N/A</v>
          </cell>
          <cell r="S89" t="e">
            <v>#N/A</v>
          </cell>
          <cell r="T89" t="e">
            <v>#N/A</v>
          </cell>
          <cell r="U89" t="e">
            <v>#N/A</v>
          </cell>
          <cell r="V89" t="e">
            <v>#N/A</v>
          </cell>
          <cell r="W89" t="e">
            <v>#N/A</v>
          </cell>
          <cell r="X89" t="e">
            <v>#N/A</v>
          </cell>
          <cell r="Z89" t="e">
            <v>#N/A</v>
          </cell>
          <cell r="AA89" t="e">
            <v>#N/A</v>
          </cell>
          <cell r="AB89" t="e">
            <v>#N/A</v>
          </cell>
          <cell r="AC89" t="e">
            <v>#N/A</v>
          </cell>
          <cell r="AD89" t="e">
            <v>#N/A</v>
          </cell>
          <cell r="AE89" t="e">
            <v>#N/A</v>
          </cell>
          <cell r="AF89" t="e">
            <v>#N/A</v>
          </cell>
          <cell r="AG89" t="e">
            <v>#N/A</v>
          </cell>
          <cell r="AH89" t="e">
            <v>#N/A</v>
          </cell>
          <cell r="AI89" t="e">
            <v>#N/A</v>
          </cell>
          <cell r="AJ89" t="e">
            <v>#N/A</v>
          </cell>
          <cell r="AK89" t="e">
            <v>#N/A</v>
          </cell>
          <cell r="AL89" t="e">
            <v>#N/A</v>
          </cell>
          <cell r="AM89" t="e">
            <v>#N/A</v>
          </cell>
          <cell r="AN89" t="e">
            <v>#N/A</v>
          </cell>
          <cell r="AO89" t="e">
            <v>#N/A</v>
          </cell>
          <cell r="AP89" t="e">
            <v>#N/A</v>
          </cell>
          <cell r="AQ89" t="e">
            <v>#N/A</v>
          </cell>
          <cell r="AR89" t="e">
            <v>#N/A</v>
          </cell>
          <cell r="AS89" t="e">
            <v>#N/A</v>
          </cell>
          <cell r="AT89" t="e">
            <v>#N/A</v>
          </cell>
          <cell r="AU89" t="e">
            <v>#N/A</v>
          </cell>
          <cell r="AV89" t="e">
            <v>#N/A</v>
          </cell>
          <cell r="AW89" t="e">
            <v>#N/A</v>
          </cell>
          <cell r="AX89" t="e">
            <v>#N/A</v>
          </cell>
          <cell r="AY89" t="e">
            <v>#N/A</v>
          </cell>
          <cell r="AZ89" t="e">
            <v>#N/A</v>
          </cell>
          <cell r="BA89" t="e">
            <v>#N/A</v>
          </cell>
          <cell r="BB89" t="e">
            <v>#N/A</v>
          </cell>
          <cell r="BC89" t="e">
            <v>#N/A</v>
          </cell>
          <cell r="BD89" t="e">
            <v>#N/A</v>
          </cell>
          <cell r="BE89" t="e">
            <v>#N/A</v>
          </cell>
          <cell r="BF89" t="e">
            <v>#N/A</v>
          </cell>
          <cell r="BG89" t="e">
            <v>#N/A</v>
          </cell>
          <cell r="BH89" t="e">
            <v>#N/A</v>
          </cell>
          <cell r="BI89" t="e">
            <v>#N/A</v>
          </cell>
          <cell r="BJ89" t="e">
            <v>#N/A</v>
          </cell>
          <cell r="BK89" t="e">
            <v>#N/A</v>
          </cell>
          <cell r="BL89" t="e">
            <v>#N/A</v>
          </cell>
          <cell r="BM89" t="e">
            <v>#N/A</v>
          </cell>
          <cell r="BN89" t="e">
            <v>#N/A</v>
          </cell>
          <cell r="BO89" t="e">
            <v>#N/A</v>
          </cell>
          <cell r="BP89" t="e">
            <v>#N/A</v>
          </cell>
          <cell r="BQ89" t="e">
            <v>#N/A</v>
          </cell>
          <cell r="BR89" t="e">
            <v>#N/A</v>
          </cell>
          <cell r="BS89" t="e">
            <v>#N/A</v>
          </cell>
          <cell r="BT89" t="e">
            <v>#N/A</v>
          </cell>
          <cell r="BU89" t="e">
            <v>#N/A</v>
          </cell>
          <cell r="BV89" t="e">
            <v>#N/A</v>
          </cell>
          <cell r="BW89" t="e">
            <v>#N/A</v>
          </cell>
          <cell r="BX89" t="e">
            <v>#N/A</v>
          </cell>
          <cell r="BY89" t="e">
            <v>#N/A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  <cell r="AV90" t="e">
            <v>#N/A</v>
          </cell>
          <cell r="AW90" t="e">
            <v>#N/A</v>
          </cell>
          <cell r="AX90" t="e">
            <v>#N/A</v>
          </cell>
          <cell r="AY90" t="e">
            <v>#N/A</v>
          </cell>
          <cell r="AZ90" t="e">
            <v>#N/A</v>
          </cell>
          <cell r="BA90" t="e">
            <v>#N/A</v>
          </cell>
          <cell r="BB90" t="e">
            <v>#N/A</v>
          </cell>
          <cell r="BC90" t="e">
            <v>#N/A</v>
          </cell>
          <cell r="BD90" t="e">
            <v>#N/A</v>
          </cell>
          <cell r="BE90" t="e">
            <v>#N/A</v>
          </cell>
          <cell r="BF90" t="e">
            <v>#N/A</v>
          </cell>
          <cell r="BG90" t="e">
            <v>#N/A</v>
          </cell>
          <cell r="BH90" t="e">
            <v>#N/A</v>
          </cell>
          <cell r="BI90" t="e">
            <v>#N/A</v>
          </cell>
          <cell r="BJ90" t="e">
            <v>#N/A</v>
          </cell>
          <cell r="BK90" t="e">
            <v>#N/A</v>
          </cell>
          <cell r="BL90" t="e">
            <v>#N/A</v>
          </cell>
          <cell r="BM90" t="e">
            <v>#N/A</v>
          </cell>
          <cell r="BN90" t="e">
            <v>#N/A</v>
          </cell>
          <cell r="BO90" t="e">
            <v>#N/A</v>
          </cell>
          <cell r="BP90" t="e">
            <v>#N/A</v>
          </cell>
          <cell r="BQ90" t="e">
            <v>#N/A</v>
          </cell>
          <cell r="BR90" t="e">
            <v>#N/A</v>
          </cell>
          <cell r="BS90" t="e">
            <v>#N/A</v>
          </cell>
          <cell r="BT90" t="e">
            <v>#N/A</v>
          </cell>
          <cell r="BU90" t="e">
            <v>#N/A</v>
          </cell>
          <cell r="BV90" t="e">
            <v>#N/A</v>
          </cell>
          <cell r="BW90" t="e">
            <v>#N/A</v>
          </cell>
          <cell r="BX90" t="e">
            <v>#N/A</v>
          </cell>
          <cell r="BY90" t="e">
            <v>#N/A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 t="e">
            <v>#N/A</v>
          </cell>
          <cell r="G91" t="e">
            <v>#N/A</v>
          </cell>
          <cell r="H91" t="e">
            <v>#N/A</v>
          </cell>
          <cell r="I91" t="e">
            <v>#N/A</v>
          </cell>
          <cell r="J91" t="e">
            <v>#N/A</v>
          </cell>
          <cell r="K91" t="e">
            <v>#N/A</v>
          </cell>
          <cell r="L91" t="e">
            <v>#N/A</v>
          </cell>
          <cell r="M91" t="e">
            <v>#N/A</v>
          </cell>
          <cell r="N91" t="e">
            <v>#N/A</v>
          </cell>
          <cell r="O91" t="e">
            <v>#N/A</v>
          </cell>
          <cell r="P91" t="e">
            <v>#N/A</v>
          </cell>
          <cell r="Q91" t="e">
            <v>#N/A</v>
          </cell>
          <cell r="R91" t="e">
            <v>#N/A</v>
          </cell>
          <cell r="S91" t="e">
            <v>#N/A</v>
          </cell>
          <cell r="T91" t="e">
            <v>#N/A</v>
          </cell>
          <cell r="U91" t="e">
            <v>#N/A</v>
          </cell>
          <cell r="V91" t="e">
            <v>#N/A</v>
          </cell>
          <cell r="W91" t="e">
            <v>#N/A</v>
          </cell>
          <cell r="X91" t="e">
            <v>#N/A</v>
          </cell>
          <cell r="Z91" t="e">
            <v>#N/A</v>
          </cell>
          <cell r="AA91" t="e">
            <v>#N/A</v>
          </cell>
          <cell r="AB91" t="e">
            <v>#N/A</v>
          </cell>
          <cell r="AC91" t="e">
            <v>#N/A</v>
          </cell>
          <cell r="AD91" t="e">
            <v>#N/A</v>
          </cell>
          <cell r="AE91" t="e">
            <v>#N/A</v>
          </cell>
          <cell r="AF91" t="e">
            <v>#N/A</v>
          </cell>
          <cell r="AG91" t="e">
            <v>#N/A</v>
          </cell>
          <cell r="AH91" t="e">
            <v>#N/A</v>
          </cell>
          <cell r="AI91" t="e">
            <v>#N/A</v>
          </cell>
          <cell r="AJ91" t="e">
            <v>#N/A</v>
          </cell>
          <cell r="AK91" t="e">
            <v>#N/A</v>
          </cell>
          <cell r="AL91" t="e">
            <v>#N/A</v>
          </cell>
          <cell r="AM91" t="e">
            <v>#N/A</v>
          </cell>
          <cell r="AN91" t="e">
            <v>#N/A</v>
          </cell>
          <cell r="AO91" t="e">
            <v>#N/A</v>
          </cell>
          <cell r="AP91" t="e">
            <v>#N/A</v>
          </cell>
          <cell r="AQ91" t="e">
            <v>#N/A</v>
          </cell>
          <cell r="AR91" t="e">
            <v>#N/A</v>
          </cell>
          <cell r="AS91" t="e">
            <v>#N/A</v>
          </cell>
          <cell r="AT91" t="e">
            <v>#N/A</v>
          </cell>
          <cell r="AU91" t="e">
            <v>#N/A</v>
          </cell>
          <cell r="AV91" t="e">
            <v>#N/A</v>
          </cell>
          <cell r="AW91" t="e">
            <v>#N/A</v>
          </cell>
          <cell r="AX91" t="e">
            <v>#N/A</v>
          </cell>
          <cell r="AY91" t="e">
            <v>#N/A</v>
          </cell>
          <cell r="AZ91" t="e">
            <v>#N/A</v>
          </cell>
          <cell r="BA91" t="e">
            <v>#N/A</v>
          </cell>
          <cell r="BB91" t="e">
            <v>#N/A</v>
          </cell>
          <cell r="BC91" t="e">
            <v>#N/A</v>
          </cell>
          <cell r="BD91" t="e">
            <v>#N/A</v>
          </cell>
          <cell r="BE91" t="e">
            <v>#N/A</v>
          </cell>
          <cell r="BF91" t="e">
            <v>#N/A</v>
          </cell>
          <cell r="BG91" t="e">
            <v>#N/A</v>
          </cell>
          <cell r="BH91" t="e">
            <v>#N/A</v>
          </cell>
          <cell r="BI91" t="e">
            <v>#N/A</v>
          </cell>
          <cell r="BJ91" t="e">
            <v>#N/A</v>
          </cell>
          <cell r="BK91" t="e">
            <v>#N/A</v>
          </cell>
          <cell r="BL91" t="e">
            <v>#N/A</v>
          </cell>
          <cell r="BM91" t="e">
            <v>#N/A</v>
          </cell>
          <cell r="BN91" t="e">
            <v>#N/A</v>
          </cell>
          <cell r="BO91" t="e">
            <v>#N/A</v>
          </cell>
          <cell r="BP91" t="e">
            <v>#N/A</v>
          </cell>
          <cell r="BQ91" t="e">
            <v>#N/A</v>
          </cell>
          <cell r="BR91" t="e">
            <v>#N/A</v>
          </cell>
          <cell r="BS91" t="e">
            <v>#N/A</v>
          </cell>
          <cell r="BT91" t="e">
            <v>#N/A</v>
          </cell>
          <cell r="BU91" t="e">
            <v>#N/A</v>
          </cell>
          <cell r="BV91" t="e">
            <v>#N/A</v>
          </cell>
          <cell r="BW91" t="e">
            <v>#N/A</v>
          </cell>
          <cell r="BX91" t="e">
            <v>#N/A</v>
          </cell>
          <cell r="BY91" t="e">
            <v>#N/A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  <cell r="AV92" t="e">
            <v>#N/A</v>
          </cell>
          <cell r="AW92" t="e">
            <v>#N/A</v>
          </cell>
          <cell r="AX92" t="e">
            <v>#N/A</v>
          </cell>
          <cell r="AY92" t="e">
            <v>#N/A</v>
          </cell>
          <cell r="AZ92" t="e">
            <v>#N/A</v>
          </cell>
          <cell r="BA92" t="e">
            <v>#N/A</v>
          </cell>
          <cell r="BB92" t="e">
            <v>#N/A</v>
          </cell>
          <cell r="BC92" t="e">
            <v>#N/A</v>
          </cell>
          <cell r="BD92" t="e">
            <v>#N/A</v>
          </cell>
          <cell r="BE92" t="e">
            <v>#N/A</v>
          </cell>
          <cell r="BF92" t="e">
            <v>#N/A</v>
          </cell>
          <cell r="BG92" t="e">
            <v>#N/A</v>
          </cell>
          <cell r="BH92" t="e">
            <v>#N/A</v>
          </cell>
          <cell r="BI92" t="e">
            <v>#N/A</v>
          </cell>
          <cell r="BJ92" t="e">
            <v>#N/A</v>
          </cell>
          <cell r="BK92" t="e">
            <v>#N/A</v>
          </cell>
          <cell r="BL92" t="e">
            <v>#N/A</v>
          </cell>
          <cell r="BM92" t="e">
            <v>#N/A</v>
          </cell>
          <cell r="BN92" t="e">
            <v>#N/A</v>
          </cell>
          <cell r="BO92" t="e">
            <v>#N/A</v>
          </cell>
          <cell r="BP92" t="e">
            <v>#N/A</v>
          </cell>
          <cell r="BQ92" t="e">
            <v>#N/A</v>
          </cell>
          <cell r="BR92" t="e">
            <v>#N/A</v>
          </cell>
          <cell r="BS92" t="e">
            <v>#N/A</v>
          </cell>
          <cell r="BT92" t="e">
            <v>#N/A</v>
          </cell>
          <cell r="BU92" t="e">
            <v>#N/A</v>
          </cell>
          <cell r="BV92" t="e">
            <v>#N/A</v>
          </cell>
          <cell r="BW92" t="e">
            <v>#N/A</v>
          </cell>
          <cell r="BX92" t="e">
            <v>#N/A</v>
          </cell>
          <cell r="BY92" t="e">
            <v>#N/A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 t="e">
            <v>#N/A</v>
          </cell>
          <cell r="G93" t="e">
            <v>#N/A</v>
          </cell>
          <cell r="H93" t="e">
            <v>#N/A</v>
          </cell>
          <cell r="I93" t="e">
            <v>#N/A</v>
          </cell>
          <cell r="J93" t="e">
            <v>#N/A</v>
          </cell>
          <cell r="K93" t="e">
            <v>#N/A</v>
          </cell>
          <cell r="L93" t="e">
            <v>#N/A</v>
          </cell>
          <cell r="M93" t="e">
            <v>#N/A</v>
          </cell>
          <cell r="N93" t="e">
            <v>#N/A</v>
          </cell>
          <cell r="O93" t="e">
            <v>#N/A</v>
          </cell>
          <cell r="P93" t="e">
            <v>#N/A</v>
          </cell>
          <cell r="Q93" t="e">
            <v>#N/A</v>
          </cell>
          <cell r="R93" t="e">
            <v>#N/A</v>
          </cell>
          <cell r="S93" t="e">
            <v>#N/A</v>
          </cell>
          <cell r="T93" t="e">
            <v>#N/A</v>
          </cell>
          <cell r="U93" t="e">
            <v>#N/A</v>
          </cell>
          <cell r="V93" t="e">
            <v>#N/A</v>
          </cell>
          <cell r="W93" t="e">
            <v>#N/A</v>
          </cell>
          <cell r="X93" t="e">
            <v>#N/A</v>
          </cell>
          <cell r="Z93" t="e">
            <v>#N/A</v>
          </cell>
          <cell r="AA93" t="e">
            <v>#N/A</v>
          </cell>
          <cell r="AB93" t="e">
            <v>#N/A</v>
          </cell>
          <cell r="AC93" t="e">
            <v>#N/A</v>
          </cell>
          <cell r="AD93" t="e">
            <v>#N/A</v>
          </cell>
          <cell r="AE93" t="e">
            <v>#N/A</v>
          </cell>
          <cell r="AF93" t="e">
            <v>#N/A</v>
          </cell>
          <cell r="AG93" t="e">
            <v>#N/A</v>
          </cell>
          <cell r="AH93" t="e">
            <v>#N/A</v>
          </cell>
          <cell r="AI93" t="e">
            <v>#N/A</v>
          </cell>
          <cell r="AJ93" t="e">
            <v>#N/A</v>
          </cell>
          <cell r="AK93" t="e">
            <v>#N/A</v>
          </cell>
          <cell r="AL93" t="e">
            <v>#N/A</v>
          </cell>
          <cell r="AM93" t="e">
            <v>#N/A</v>
          </cell>
          <cell r="AN93" t="e">
            <v>#N/A</v>
          </cell>
          <cell r="AO93" t="e">
            <v>#N/A</v>
          </cell>
          <cell r="AP93" t="e">
            <v>#N/A</v>
          </cell>
          <cell r="AQ93" t="e">
            <v>#N/A</v>
          </cell>
          <cell r="AR93" t="e">
            <v>#N/A</v>
          </cell>
          <cell r="AS93" t="e">
            <v>#N/A</v>
          </cell>
          <cell r="AT93" t="e">
            <v>#N/A</v>
          </cell>
          <cell r="AU93" t="e">
            <v>#N/A</v>
          </cell>
          <cell r="AV93" t="e">
            <v>#N/A</v>
          </cell>
          <cell r="AW93" t="e">
            <v>#N/A</v>
          </cell>
          <cell r="AX93" t="e">
            <v>#N/A</v>
          </cell>
          <cell r="AY93" t="e">
            <v>#N/A</v>
          </cell>
          <cell r="AZ93" t="e">
            <v>#N/A</v>
          </cell>
          <cell r="BA93" t="e">
            <v>#N/A</v>
          </cell>
          <cell r="BB93" t="e">
            <v>#N/A</v>
          </cell>
          <cell r="BC93" t="e">
            <v>#N/A</v>
          </cell>
          <cell r="BD93" t="e">
            <v>#N/A</v>
          </cell>
          <cell r="BE93" t="e">
            <v>#N/A</v>
          </cell>
          <cell r="BF93" t="e">
            <v>#N/A</v>
          </cell>
          <cell r="BG93" t="e">
            <v>#N/A</v>
          </cell>
          <cell r="BH93" t="e">
            <v>#N/A</v>
          </cell>
          <cell r="BI93" t="e">
            <v>#N/A</v>
          </cell>
          <cell r="BJ93" t="e">
            <v>#N/A</v>
          </cell>
          <cell r="BK93" t="e">
            <v>#N/A</v>
          </cell>
          <cell r="BL93" t="e">
            <v>#N/A</v>
          </cell>
          <cell r="BM93" t="e">
            <v>#N/A</v>
          </cell>
          <cell r="BN93" t="e">
            <v>#N/A</v>
          </cell>
          <cell r="BO93" t="e">
            <v>#N/A</v>
          </cell>
          <cell r="BP93" t="e">
            <v>#N/A</v>
          </cell>
          <cell r="BQ93" t="e">
            <v>#N/A</v>
          </cell>
          <cell r="BR93" t="e">
            <v>#N/A</v>
          </cell>
          <cell r="BS93" t="e">
            <v>#N/A</v>
          </cell>
          <cell r="BT93" t="e">
            <v>#N/A</v>
          </cell>
          <cell r="BU93" t="e">
            <v>#N/A</v>
          </cell>
          <cell r="BV93" t="e">
            <v>#N/A</v>
          </cell>
          <cell r="BW93" t="e">
            <v>#N/A</v>
          </cell>
          <cell r="BX93" t="e">
            <v>#N/A</v>
          </cell>
          <cell r="BY93" t="e">
            <v>#N/A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  <cell r="AV94" t="e">
            <v>#N/A</v>
          </cell>
          <cell r="AW94" t="e">
            <v>#N/A</v>
          </cell>
          <cell r="AX94" t="e">
            <v>#N/A</v>
          </cell>
          <cell r="AY94" t="e">
            <v>#N/A</v>
          </cell>
          <cell r="AZ94" t="e">
            <v>#N/A</v>
          </cell>
          <cell r="BA94" t="e">
            <v>#N/A</v>
          </cell>
          <cell r="BB94" t="e">
            <v>#N/A</v>
          </cell>
          <cell r="BC94" t="e">
            <v>#N/A</v>
          </cell>
          <cell r="BD94" t="e">
            <v>#N/A</v>
          </cell>
          <cell r="BE94" t="e">
            <v>#N/A</v>
          </cell>
          <cell r="BF94" t="e">
            <v>#N/A</v>
          </cell>
          <cell r="BG94" t="e">
            <v>#N/A</v>
          </cell>
          <cell r="BH94" t="e">
            <v>#N/A</v>
          </cell>
          <cell r="BI94" t="e">
            <v>#N/A</v>
          </cell>
          <cell r="BJ94" t="e">
            <v>#N/A</v>
          </cell>
          <cell r="BK94" t="e">
            <v>#N/A</v>
          </cell>
          <cell r="BL94" t="e">
            <v>#N/A</v>
          </cell>
          <cell r="BM94" t="e">
            <v>#N/A</v>
          </cell>
          <cell r="BN94" t="e">
            <v>#N/A</v>
          </cell>
          <cell r="BO94" t="e">
            <v>#N/A</v>
          </cell>
          <cell r="BP94" t="e">
            <v>#N/A</v>
          </cell>
          <cell r="BQ94" t="e">
            <v>#N/A</v>
          </cell>
          <cell r="BR94" t="e">
            <v>#N/A</v>
          </cell>
          <cell r="BS94" t="e">
            <v>#N/A</v>
          </cell>
          <cell r="BT94" t="e">
            <v>#N/A</v>
          </cell>
          <cell r="BU94" t="e">
            <v>#N/A</v>
          </cell>
          <cell r="BV94" t="e">
            <v>#N/A</v>
          </cell>
          <cell r="BW94" t="e">
            <v>#N/A</v>
          </cell>
          <cell r="BX94" t="e">
            <v>#N/A</v>
          </cell>
          <cell r="BY94" t="e">
            <v>#N/A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 t="e">
            <v>#N/A</v>
          </cell>
          <cell r="G95" t="e">
            <v>#N/A</v>
          </cell>
          <cell r="H95" t="e">
            <v>#N/A</v>
          </cell>
          <cell r="I95" t="e">
            <v>#N/A</v>
          </cell>
          <cell r="J95" t="e">
            <v>#N/A</v>
          </cell>
          <cell r="K95" t="e">
            <v>#N/A</v>
          </cell>
          <cell r="L95" t="e">
            <v>#N/A</v>
          </cell>
          <cell r="M95" t="e">
            <v>#N/A</v>
          </cell>
          <cell r="N95" t="e">
            <v>#N/A</v>
          </cell>
          <cell r="O95" t="e">
            <v>#N/A</v>
          </cell>
          <cell r="P95" t="e">
            <v>#N/A</v>
          </cell>
          <cell r="Q95" t="e">
            <v>#N/A</v>
          </cell>
          <cell r="R95" t="e">
            <v>#N/A</v>
          </cell>
          <cell r="S95" t="e">
            <v>#N/A</v>
          </cell>
          <cell r="T95" t="e">
            <v>#N/A</v>
          </cell>
          <cell r="U95" t="e">
            <v>#N/A</v>
          </cell>
          <cell r="V95" t="e">
            <v>#N/A</v>
          </cell>
          <cell r="W95" t="e">
            <v>#N/A</v>
          </cell>
          <cell r="X95" t="e">
            <v>#N/A</v>
          </cell>
          <cell r="Z95" t="e">
            <v>#N/A</v>
          </cell>
          <cell r="AA95" t="e">
            <v>#N/A</v>
          </cell>
          <cell r="AB95" t="e">
            <v>#N/A</v>
          </cell>
          <cell r="AC95" t="e">
            <v>#N/A</v>
          </cell>
          <cell r="AD95" t="e">
            <v>#N/A</v>
          </cell>
          <cell r="AE95" t="e">
            <v>#N/A</v>
          </cell>
          <cell r="AF95" t="e">
            <v>#N/A</v>
          </cell>
          <cell r="AG95" t="e">
            <v>#N/A</v>
          </cell>
          <cell r="AH95" t="e">
            <v>#N/A</v>
          </cell>
          <cell r="AI95" t="e">
            <v>#N/A</v>
          </cell>
          <cell r="AJ95" t="e">
            <v>#N/A</v>
          </cell>
          <cell r="AK95" t="e">
            <v>#N/A</v>
          </cell>
          <cell r="AL95" t="e">
            <v>#N/A</v>
          </cell>
          <cell r="AM95" t="e">
            <v>#N/A</v>
          </cell>
          <cell r="AN95" t="e">
            <v>#N/A</v>
          </cell>
          <cell r="AO95" t="e">
            <v>#N/A</v>
          </cell>
          <cell r="AP95" t="e">
            <v>#N/A</v>
          </cell>
          <cell r="AQ95" t="e">
            <v>#N/A</v>
          </cell>
          <cell r="AR95" t="e">
            <v>#N/A</v>
          </cell>
          <cell r="AS95" t="e">
            <v>#N/A</v>
          </cell>
          <cell r="AT95" t="e">
            <v>#N/A</v>
          </cell>
          <cell r="AU95" t="e">
            <v>#N/A</v>
          </cell>
          <cell r="AV95" t="e">
            <v>#N/A</v>
          </cell>
          <cell r="AW95" t="e">
            <v>#N/A</v>
          </cell>
          <cell r="AX95" t="e">
            <v>#N/A</v>
          </cell>
          <cell r="AY95" t="e">
            <v>#N/A</v>
          </cell>
          <cell r="AZ95" t="e">
            <v>#N/A</v>
          </cell>
          <cell r="BA95" t="e">
            <v>#N/A</v>
          </cell>
          <cell r="BB95" t="e">
            <v>#N/A</v>
          </cell>
          <cell r="BC95" t="e">
            <v>#N/A</v>
          </cell>
          <cell r="BD95" t="e">
            <v>#N/A</v>
          </cell>
          <cell r="BE95" t="e">
            <v>#N/A</v>
          </cell>
          <cell r="BF95" t="e">
            <v>#N/A</v>
          </cell>
          <cell r="BG95" t="e">
            <v>#N/A</v>
          </cell>
          <cell r="BH95" t="e">
            <v>#N/A</v>
          </cell>
          <cell r="BI95" t="e">
            <v>#N/A</v>
          </cell>
          <cell r="BJ95" t="e">
            <v>#N/A</v>
          </cell>
          <cell r="BK95" t="e">
            <v>#N/A</v>
          </cell>
          <cell r="BL95" t="e">
            <v>#N/A</v>
          </cell>
          <cell r="BM95" t="e">
            <v>#N/A</v>
          </cell>
          <cell r="BN95" t="e">
            <v>#N/A</v>
          </cell>
          <cell r="BO95" t="e">
            <v>#N/A</v>
          </cell>
          <cell r="BP95" t="e">
            <v>#N/A</v>
          </cell>
          <cell r="BQ95" t="e">
            <v>#N/A</v>
          </cell>
          <cell r="BR95" t="e">
            <v>#N/A</v>
          </cell>
          <cell r="BS95" t="e">
            <v>#N/A</v>
          </cell>
          <cell r="BT95" t="e">
            <v>#N/A</v>
          </cell>
          <cell r="BU95" t="e">
            <v>#N/A</v>
          </cell>
          <cell r="BV95" t="e">
            <v>#N/A</v>
          </cell>
          <cell r="BW95" t="e">
            <v>#N/A</v>
          </cell>
          <cell r="BX95" t="e">
            <v>#N/A</v>
          </cell>
          <cell r="BY95" t="e">
            <v>#N/A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  <cell r="F97" t="e">
            <v>#N/A</v>
          </cell>
          <cell r="G97" t="e">
            <v>#N/A</v>
          </cell>
          <cell r="H97" t="e">
            <v>#N/A</v>
          </cell>
          <cell r="I97" t="e">
            <v>#N/A</v>
          </cell>
          <cell r="J97" t="e">
            <v>#N/A</v>
          </cell>
          <cell r="K97" t="e">
            <v>#N/A</v>
          </cell>
          <cell r="L97" t="e">
            <v>#N/A</v>
          </cell>
          <cell r="M97" t="e">
            <v>#N/A</v>
          </cell>
          <cell r="N97" t="e">
            <v>#N/A</v>
          </cell>
          <cell r="O97" t="e">
            <v>#N/A</v>
          </cell>
          <cell r="P97" t="e">
            <v>#N/A</v>
          </cell>
          <cell r="Q97" t="e">
            <v>#N/A</v>
          </cell>
          <cell r="R97" t="e">
            <v>#N/A</v>
          </cell>
          <cell r="S97" t="e">
            <v>#N/A</v>
          </cell>
          <cell r="T97" t="e">
            <v>#N/A</v>
          </cell>
          <cell r="U97" t="e">
            <v>#N/A</v>
          </cell>
          <cell r="V97" t="e">
            <v>#N/A</v>
          </cell>
          <cell r="W97" t="e">
            <v>#N/A</v>
          </cell>
          <cell r="X97" t="e">
            <v>#N/A</v>
          </cell>
          <cell r="Z97" t="e">
            <v>#N/A</v>
          </cell>
          <cell r="AA97" t="e">
            <v>#N/A</v>
          </cell>
          <cell r="AB97" t="e">
            <v>#N/A</v>
          </cell>
          <cell r="AC97" t="e">
            <v>#N/A</v>
          </cell>
          <cell r="AD97" t="e">
            <v>#N/A</v>
          </cell>
          <cell r="AE97" t="e">
            <v>#N/A</v>
          </cell>
          <cell r="AF97" t="e">
            <v>#N/A</v>
          </cell>
          <cell r="AG97" t="e">
            <v>#N/A</v>
          </cell>
          <cell r="AH97" t="e">
            <v>#N/A</v>
          </cell>
          <cell r="AI97" t="e">
            <v>#N/A</v>
          </cell>
          <cell r="AJ97" t="e">
            <v>#N/A</v>
          </cell>
          <cell r="AK97" t="e">
            <v>#N/A</v>
          </cell>
          <cell r="AL97" t="e">
            <v>#N/A</v>
          </cell>
          <cell r="AM97" t="e">
            <v>#N/A</v>
          </cell>
          <cell r="AN97" t="e">
            <v>#N/A</v>
          </cell>
          <cell r="AO97" t="e">
            <v>#N/A</v>
          </cell>
          <cell r="AP97" t="e">
            <v>#N/A</v>
          </cell>
          <cell r="AQ97" t="e">
            <v>#N/A</v>
          </cell>
          <cell r="AR97" t="e">
            <v>#N/A</v>
          </cell>
          <cell r="AS97" t="e">
            <v>#N/A</v>
          </cell>
          <cell r="AT97" t="e">
            <v>#N/A</v>
          </cell>
          <cell r="AU97" t="e">
            <v>#N/A</v>
          </cell>
          <cell r="AV97" t="e">
            <v>#N/A</v>
          </cell>
          <cell r="AW97" t="e">
            <v>#N/A</v>
          </cell>
          <cell r="AX97" t="e">
            <v>#N/A</v>
          </cell>
          <cell r="AY97" t="e">
            <v>#N/A</v>
          </cell>
          <cell r="AZ97" t="e">
            <v>#N/A</v>
          </cell>
          <cell r="BA97" t="e">
            <v>#N/A</v>
          </cell>
          <cell r="BB97" t="e">
            <v>#N/A</v>
          </cell>
          <cell r="BC97" t="e">
            <v>#N/A</v>
          </cell>
          <cell r="BD97" t="e">
            <v>#N/A</v>
          </cell>
          <cell r="BE97" t="e">
            <v>#N/A</v>
          </cell>
          <cell r="BF97" t="e">
            <v>#N/A</v>
          </cell>
          <cell r="BG97" t="e">
            <v>#N/A</v>
          </cell>
          <cell r="BH97" t="e">
            <v>#N/A</v>
          </cell>
          <cell r="BI97" t="e">
            <v>#N/A</v>
          </cell>
          <cell r="BJ97" t="e">
            <v>#N/A</v>
          </cell>
          <cell r="BK97" t="e">
            <v>#N/A</v>
          </cell>
          <cell r="BL97" t="e">
            <v>#N/A</v>
          </cell>
          <cell r="BM97" t="e">
            <v>#N/A</v>
          </cell>
          <cell r="BN97" t="e">
            <v>#N/A</v>
          </cell>
          <cell r="BO97" t="e">
            <v>#N/A</v>
          </cell>
          <cell r="BP97" t="e">
            <v>#N/A</v>
          </cell>
          <cell r="BQ97" t="e">
            <v>#N/A</v>
          </cell>
          <cell r="BR97" t="e">
            <v>#N/A</v>
          </cell>
          <cell r="BS97" t="e">
            <v>#N/A</v>
          </cell>
          <cell r="BT97" t="e">
            <v>#N/A</v>
          </cell>
          <cell r="BU97" t="e">
            <v>#N/A</v>
          </cell>
          <cell r="BV97" t="e">
            <v>#N/A</v>
          </cell>
          <cell r="BW97" t="e">
            <v>#N/A</v>
          </cell>
          <cell r="BX97" t="e">
            <v>#N/A</v>
          </cell>
          <cell r="BY97" t="e">
            <v>#N/A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  <cell r="AV98" t="e">
            <v>#N/A</v>
          </cell>
          <cell r="AW98" t="e">
            <v>#N/A</v>
          </cell>
          <cell r="AX98" t="e">
            <v>#N/A</v>
          </cell>
          <cell r="AY98" t="e">
            <v>#N/A</v>
          </cell>
          <cell r="AZ98" t="e">
            <v>#N/A</v>
          </cell>
          <cell r="BA98" t="e">
            <v>#N/A</v>
          </cell>
          <cell r="BB98" t="e">
            <v>#N/A</v>
          </cell>
          <cell r="BC98" t="e">
            <v>#N/A</v>
          </cell>
          <cell r="BD98" t="e">
            <v>#N/A</v>
          </cell>
          <cell r="BE98" t="e">
            <v>#N/A</v>
          </cell>
          <cell r="BF98" t="e">
            <v>#N/A</v>
          </cell>
          <cell r="BG98" t="e">
            <v>#N/A</v>
          </cell>
          <cell r="BH98" t="e">
            <v>#N/A</v>
          </cell>
          <cell r="BI98" t="e">
            <v>#N/A</v>
          </cell>
          <cell r="BJ98" t="e">
            <v>#N/A</v>
          </cell>
          <cell r="BK98" t="e">
            <v>#N/A</v>
          </cell>
          <cell r="BL98" t="e">
            <v>#N/A</v>
          </cell>
          <cell r="BM98" t="e">
            <v>#N/A</v>
          </cell>
          <cell r="BN98" t="e">
            <v>#N/A</v>
          </cell>
          <cell r="BO98" t="e">
            <v>#N/A</v>
          </cell>
          <cell r="BP98" t="e">
            <v>#N/A</v>
          </cell>
          <cell r="BQ98" t="e">
            <v>#N/A</v>
          </cell>
          <cell r="BR98" t="e">
            <v>#N/A</v>
          </cell>
          <cell r="BS98" t="e">
            <v>#N/A</v>
          </cell>
          <cell r="BT98" t="e">
            <v>#N/A</v>
          </cell>
          <cell r="BU98" t="e">
            <v>#N/A</v>
          </cell>
          <cell r="BV98" t="e">
            <v>#N/A</v>
          </cell>
          <cell r="BW98" t="e">
            <v>#N/A</v>
          </cell>
          <cell r="BX98" t="e">
            <v>#N/A</v>
          </cell>
          <cell r="BY98" t="e">
            <v>#N/A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  <cell r="F99" t="e">
            <v>#N/A</v>
          </cell>
          <cell r="G99" t="e">
            <v>#N/A</v>
          </cell>
          <cell r="H99" t="e">
            <v>#N/A</v>
          </cell>
          <cell r="I99" t="e">
            <v>#N/A</v>
          </cell>
          <cell r="J99" t="e">
            <v>#N/A</v>
          </cell>
          <cell r="K99" t="e">
            <v>#N/A</v>
          </cell>
          <cell r="L99" t="e">
            <v>#N/A</v>
          </cell>
          <cell r="M99" t="e">
            <v>#N/A</v>
          </cell>
          <cell r="N99" t="e">
            <v>#N/A</v>
          </cell>
          <cell r="O99" t="e">
            <v>#N/A</v>
          </cell>
          <cell r="P99" t="e">
            <v>#N/A</v>
          </cell>
          <cell r="Q99" t="e">
            <v>#N/A</v>
          </cell>
          <cell r="R99" t="e">
            <v>#N/A</v>
          </cell>
          <cell r="S99" t="e">
            <v>#N/A</v>
          </cell>
          <cell r="T99" t="e">
            <v>#N/A</v>
          </cell>
          <cell r="U99" t="e">
            <v>#N/A</v>
          </cell>
          <cell r="V99" t="e">
            <v>#N/A</v>
          </cell>
          <cell r="W99" t="e">
            <v>#N/A</v>
          </cell>
          <cell r="X99" t="e">
            <v>#N/A</v>
          </cell>
          <cell r="Z99" t="e">
            <v>#N/A</v>
          </cell>
          <cell r="AA99" t="e">
            <v>#N/A</v>
          </cell>
          <cell r="AB99" t="e">
            <v>#N/A</v>
          </cell>
          <cell r="AC99" t="e">
            <v>#N/A</v>
          </cell>
          <cell r="AD99" t="e">
            <v>#N/A</v>
          </cell>
          <cell r="AE99" t="e">
            <v>#N/A</v>
          </cell>
          <cell r="AF99" t="e">
            <v>#N/A</v>
          </cell>
          <cell r="AG99" t="e">
            <v>#N/A</v>
          </cell>
          <cell r="AH99" t="e">
            <v>#N/A</v>
          </cell>
          <cell r="AI99" t="e">
            <v>#N/A</v>
          </cell>
          <cell r="AJ99" t="e">
            <v>#N/A</v>
          </cell>
          <cell r="AK99" t="e">
            <v>#N/A</v>
          </cell>
          <cell r="AL99" t="e">
            <v>#N/A</v>
          </cell>
          <cell r="AM99" t="e">
            <v>#N/A</v>
          </cell>
          <cell r="AN99" t="e">
            <v>#N/A</v>
          </cell>
          <cell r="AO99" t="e">
            <v>#N/A</v>
          </cell>
          <cell r="AP99" t="e">
            <v>#N/A</v>
          </cell>
          <cell r="AQ99" t="e">
            <v>#N/A</v>
          </cell>
          <cell r="AR99" t="e">
            <v>#N/A</v>
          </cell>
          <cell r="AS99" t="e">
            <v>#N/A</v>
          </cell>
          <cell r="AT99" t="e">
            <v>#N/A</v>
          </cell>
          <cell r="AU99" t="e">
            <v>#N/A</v>
          </cell>
          <cell r="AV99" t="e">
            <v>#N/A</v>
          </cell>
          <cell r="AW99" t="e">
            <v>#N/A</v>
          </cell>
          <cell r="AX99" t="e">
            <v>#N/A</v>
          </cell>
          <cell r="AY99" t="e">
            <v>#N/A</v>
          </cell>
          <cell r="AZ99" t="e">
            <v>#N/A</v>
          </cell>
          <cell r="BA99" t="e">
            <v>#N/A</v>
          </cell>
          <cell r="BB99" t="e">
            <v>#N/A</v>
          </cell>
          <cell r="BC99" t="e">
            <v>#N/A</v>
          </cell>
          <cell r="BD99" t="e">
            <v>#N/A</v>
          </cell>
          <cell r="BE99" t="e">
            <v>#N/A</v>
          </cell>
          <cell r="BF99" t="e">
            <v>#N/A</v>
          </cell>
          <cell r="BG99" t="e">
            <v>#N/A</v>
          </cell>
          <cell r="BH99" t="e">
            <v>#N/A</v>
          </cell>
          <cell r="BI99" t="e">
            <v>#N/A</v>
          </cell>
          <cell r="BJ99" t="e">
            <v>#N/A</v>
          </cell>
          <cell r="BK99" t="e">
            <v>#N/A</v>
          </cell>
          <cell r="BL99" t="e">
            <v>#N/A</v>
          </cell>
          <cell r="BM99" t="e">
            <v>#N/A</v>
          </cell>
          <cell r="BN99" t="e">
            <v>#N/A</v>
          </cell>
          <cell r="BO99" t="e">
            <v>#N/A</v>
          </cell>
          <cell r="BP99" t="e">
            <v>#N/A</v>
          </cell>
          <cell r="BQ99" t="e">
            <v>#N/A</v>
          </cell>
          <cell r="BR99" t="e">
            <v>#N/A</v>
          </cell>
          <cell r="BS99" t="e">
            <v>#N/A</v>
          </cell>
          <cell r="BT99" t="e">
            <v>#N/A</v>
          </cell>
          <cell r="BU99" t="e">
            <v>#N/A</v>
          </cell>
          <cell r="BV99" t="e">
            <v>#N/A</v>
          </cell>
          <cell r="BW99" t="e">
            <v>#N/A</v>
          </cell>
          <cell r="BX99" t="e">
            <v>#N/A</v>
          </cell>
          <cell r="BY99" t="e">
            <v>#N/A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  <cell r="AV100" t="e">
            <v>#N/A</v>
          </cell>
          <cell r="AW100" t="e">
            <v>#N/A</v>
          </cell>
          <cell r="AX100" t="e">
            <v>#N/A</v>
          </cell>
          <cell r="AY100" t="e">
            <v>#N/A</v>
          </cell>
          <cell r="AZ100" t="e">
            <v>#N/A</v>
          </cell>
          <cell r="BA100" t="e">
            <v>#N/A</v>
          </cell>
          <cell r="BB100" t="e">
            <v>#N/A</v>
          </cell>
          <cell r="BC100" t="e">
            <v>#N/A</v>
          </cell>
          <cell r="BD100" t="e">
            <v>#N/A</v>
          </cell>
          <cell r="BE100" t="e">
            <v>#N/A</v>
          </cell>
          <cell r="BF100" t="e">
            <v>#N/A</v>
          </cell>
          <cell r="BG100" t="e">
            <v>#N/A</v>
          </cell>
          <cell r="BH100" t="e">
            <v>#N/A</v>
          </cell>
          <cell r="BI100" t="e">
            <v>#N/A</v>
          </cell>
          <cell r="BJ100" t="e">
            <v>#N/A</v>
          </cell>
          <cell r="BK100" t="e">
            <v>#N/A</v>
          </cell>
          <cell r="BL100" t="e">
            <v>#N/A</v>
          </cell>
          <cell r="BM100" t="e">
            <v>#N/A</v>
          </cell>
          <cell r="BN100" t="e">
            <v>#N/A</v>
          </cell>
          <cell r="BO100" t="e">
            <v>#N/A</v>
          </cell>
          <cell r="BP100" t="e">
            <v>#N/A</v>
          </cell>
          <cell r="BQ100" t="e">
            <v>#N/A</v>
          </cell>
          <cell r="BR100" t="e">
            <v>#N/A</v>
          </cell>
          <cell r="BS100" t="e">
            <v>#N/A</v>
          </cell>
          <cell r="BT100" t="e">
            <v>#N/A</v>
          </cell>
          <cell r="BU100" t="e">
            <v>#N/A</v>
          </cell>
          <cell r="BV100" t="e">
            <v>#N/A</v>
          </cell>
          <cell r="BW100" t="e">
            <v>#N/A</v>
          </cell>
          <cell r="BX100" t="e">
            <v>#N/A</v>
          </cell>
          <cell r="BY100" t="e">
            <v>#N/A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  <cell r="F101" t="e">
            <v>#N/A</v>
          </cell>
          <cell r="G101" t="e">
            <v>#N/A</v>
          </cell>
          <cell r="H101" t="e">
            <v>#N/A</v>
          </cell>
          <cell r="I101" t="e">
            <v>#N/A</v>
          </cell>
          <cell r="J101" t="e">
            <v>#N/A</v>
          </cell>
          <cell r="K101" t="e">
            <v>#N/A</v>
          </cell>
          <cell r="L101" t="e">
            <v>#N/A</v>
          </cell>
          <cell r="M101" t="e">
            <v>#N/A</v>
          </cell>
          <cell r="N101" t="e">
            <v>#N/A</v>
          </cell>
          <cell r="O101" t="e">
            <v>#N/A</v>
          </cell>
          <cell r="P101" t="e">
            <v>#N/A</v>
          </cell>
          <cell r="Q101" t="e">
            <v>#N/A</v>
          </cell>
          <cell r="R101" t="e">
            <v>#N/A</v>
          </cell>
          <cell r="S101" t="e">
            <v>#N/A</v>
          </cell>
          <cell r="T101" t="e">
            <v>#N/A</v>
          </cell>
          <cell r="U101" t="e">
            <v>#N/A</v>
          </cell>
          <cell r="V101" t="e">
            <v>#N/A</v>
          </cell>
          <cell r="W101" t="e">
            <v>#N/A</v>
          </cell>
          <cell r="X101" t="e">
            <v>#N/A</v>
          </cell>
          <cell r="Z101" t="e">
            <v>#N/A</v>
          </cell>
          <cell r="AA101" t="e">
            <v>#N/A</v>
          </cell>
          <cell r="AB101" t="e">
            <v>#N/A</v>
          </cell>
          <cell r="AC101" t="e">
            <v>#N/A</v>
          </cell>
          <cell r="AD101" t="e">
            <v>#N/A</v>
          </cell>
          <cell r="AE101" t="e">
            <v>#N/A</v>
          </cell>
          <cell r="AF101" t="e">
            <v>#N/A</v>
          </cell>
          <cell r="AG101" t="e">
            <v>#N/A</v>
          </cell>
          <cell r="AH101" t="e">
            <v>#N/A</v>
          </cell>
          <cell r="AI101" t="e">
            <v>#N/A</v>
          </cell>
          <cell r="AJ101" t="e">
            <v>#N/A</v>
          </cell>
          <cell r="AK101" t="e">
            <v>#N/A</v>
          </cell>
          <cell r="AL101" t="e">
            <v>#N/A</v>
          </cell>
          <cell r="AM101" t="e">
            <v>#N/A</v>
          </cell>
          <cell r="AN101" t="e">
            <v>#N/A</v>
          </cell>
          <cell r="AO101" t="e">
            <v>#N/A</v>
          </cell>
          <cell r="AP101" t="e">
            <v>#N/A</v>
          </cell>
          <cell r="AQ101" t="e">
            <v>#N/A</v>
          </cell>
          <cell r="AR101" t="e">
            <v>#N/A</v>
          </cell>
          <cell r="AS101" t="e">
            <v>#N/A</v>
          </cell>
          <cell r="AT101" t="e">
            <v>#N/A</v>
          </cell>
          <cell r="AU101" t="e">
            <v>#N/A</v>
          </cell>
          <cell r="AV101" t="e">
            <v>#N/A</v>
          </cell>
          <cell r="AW101" t="e">
            <v>#N/A</v>
          </cell>
          <cell r="AX101" t="e">
            <v>#N/A</v>
          </cell>
          <cell r="AY101" t="e">
            <v>#N/A</v>
          </cell>
          <cell r="AZ101" t="e">
            <v>#N/A</v>
          </cell>
          <cell r="BA101" t="e">
            <v>#N/A</v>
          </cell>
          <cell r="BB101" t="e">
            <v>#N/A</v>
          </cell>
          <cell r="BC101" t="e">
            <v>#N/A</v>
          </cell>
          <cell r="BD101" t="e">
            <v>#N/A</v>
          </cell>
          <cell r="BE101" t="e">
            <v>#N/A</v>
          </cell>
          <cell r="BF101" t="e">
            <v>#N/A</v>
          </cell>
          <cell r="BG101" t="e">
            <v>#N/A</v>
          </cell>
          <cell r="BH101" t="e">
            <v>#N/A</v>
          </cell>
          <cell r="BI101" t="e">
            <v>#N/A</v>
          </cell>
          <cell r="BJ101" t="e">
            <v>#N/A</v>
          </cell>
          <cell r="BK101" t="e">
            <v>#N/A</v>
          </cell>
          <cell r="BL101" t="e">
            <v>#N/A</v>
          </cell>
          <cell r="BM101" t="e">
            <v>#N/A</v>
          </cell>
          <cell r="BN101" t="e">
            <v>#N/A</v>
          </cell>
          <cell r="BO101" t="e">
            <v>#N/A</v>
          </cell>
          <cell r="BP101" t="e">
            <v>#N/A</v>
          </cell>
          <cell r="BQ101" t="e">
            <v>#N/A</v>
          </cell>
          <cell r="BR101" t="e">
            <v>#N/A</v>
          </cell>
          <cell r="BS101" t="e">
            <v>#N/A</v>
          </cell>
          <cell r="BT101" t="e">
            <v>#N/A</v>
          </cell>
          <cell r="BU101" t="e">
            <v>#N/A</v>
          </cell>
          <cell r="BV101" t="e">
            <v>#N/A</v>
          </cell>
          <cell r="BW101" t="e">
            <v>#N/A</v>
          </cell>
          <cell r="BX101" t="e">
            <v>#N/A</v>
          </cell>
          <cell r="BY101" t="e">
            <v>#N/A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  <cell r="AV102" t="e">
            <v>#N/A</v>
          </cell>
          <cell r="AW102" t="e">
            <v>#N/A</v>
          </cell>
          <cell r="AX102" t="e">
            <v>#N/A</v>
          </cell>
          <cell r="AY102" t="e">
            <v>#N/A</v>
          </cell>
          <cell r="AZ102" t="e">
            <v>#N/A</v>
          </cell>
          <cell r="BA102" t="e">
            <v>#N/A</v>
          </cell>
          <cell r="BB102" t="e">
            <v>#N/A</v>
          </cell>
          <cell r="BC102" t="e">
            <v>#N/A</v>
          </cell>
          <cell r="BD102" t="e">
            <v>#N/A</v>
          </cell>
          <cell r="BE102" t="e">
            <v>#N/A</v>
          </cell>
          <cell r="BF102" t="e">
            <v>#N/A</v>
          </cell>
          <cell r="BG102" t="e">
            <v>#N/A</v>
          </cell>
          <cell r="BH102" t="e">
            <v>#N/A</v>
          </cell>
          <cell r="BI102" t="e">
            <v>#N/A</v>
          </cell>
          <cell r="BJ102" t="e">
            <v>#N/A</v>
          </cell>
          <cell r="BK102" t="e">
            <v>#N/A</v>
          </cell>
          <cell r="BL102" t="e">
            <v>#N/A</v>
          </cell>
          <cell r="BM102" t="e">
            <v>#N/A</v>
          </cell>
          <cell r="BN102" t="e">
            <v>#N/A</v>
          </cell>
          <cell r="BO102" t="e">
            <v>#N/A</v>
          </cell>
          <cell r="BP102" t="e">
            <v>#N/A</v>
          </cell>
          <cell r="BQ102" t="e">
            <v>#N/A</v>
          </cell>
          <cell r="BR102" t="e">
            <v>#N/A</v>
          </cell>
          <cell r="BS102" t="e">
            <v>#N/A</v>
          </cell>
          <cell r="BT102" t="e">
            <v>#N/A</v>
          </cell>
          <cell r="BU102" t="e">
            <v>#N/A</v>
          </cell>
          <cell r="BV102" t="e">
            <v>#N/A</v>
          </cell>
          <cell r="BW102" t="e">
            <v>#N/A</v>
          </cell>
          <cell r="BX102" t="e">
            <v>#N/A</v>
          </cell>
          <cell r="BY102" t="e">
            <v>#N/A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  <cell r="F103" t="e">
            <v>#N/A</v>
          </cell>
          <cell r="G103" t="e">
            <v>#N/A</v>
          </cell>
          <cell r="H103" t="e">
            <v>#N/A</v>
          </cell>
          <cell r="I103" t="e">
            <v>#N/A</v>
          </cell>
          <cell r="J103" t="e">
            <v>#N/A</v>
          </cell>
          <cell r="K103" t="e">
            <v>#N/A</v>
          </cell>
          <cell r="L103" t="e">
            <v>#N/A</v>
          </cell>
          <cell r="M103" t="e">
            <v>#N/A</v>
          </cell>
          <cell r="N103" t="e">
            <v>#N/A</v>
          </cell>
          <cell r="O103" t="e">
            <v>#N/A</v>
          </cell>
          <cell r="P103" t="e">
            <v>#N/A</v>
          </cell>
          <cell r="Q103" t="e">
            <v>#N/A</v>
          </cell>
          <cell r="R103" t="e">
            <v>#N/A</v>
          </cell>
          <cell r="S103" t="e">
            <v>#N/A</v>
          </cell>
          <cell r="T103" t="e">
            <v>#N/A</v>
          </cell>
          <cell r="U103" t="e">
            <v>#N/A</v>
          </cell>
          <cell r="V103" t="e">
            <v>#N/A</v>
          </cell>
          <cell r="W103" t="e">
            <v>#N/A</v>
          </cell>
          <cell r="X103" t="e">
            <v>#N/A</v>
          </cell>
          <cell r="Z103" t="e">
            <v>#N/A</v>
          </cell>
          <cell r="AA103" t="e">
            <v>#N/A</v>
          </cell>
          <cell r="AB103" t="e">
            <v>#N/A</v>
          </cell>
          <cell r="AC103" t="e">
            <v>#N/A</v>
          </cell>
          <cell r="AD103" t="e">
            <v>#N/A</v>
          </cell>
          <cell r="AE103" t="e">
            <v>#N/A</v>
          </cell>
          <cell r="AF103" t="e">
            <v>#N/A</v>
          </cell>
          <cell r="AG103" t="e">
            <v>#N/A</v>
          </cell>
          <cell r="AH103" t="e">
            <v>#N/A</v>
          </cell>
          <cell r="AI103" t="e">
            <v>#N/A</v>
          </cell>
          <cell r="AJ103" t="e">
            <v>#N/A</v>
          </cell>
          <cell r="AK103" t="e">
            <v>#N/A</v>
          </cell>
          <cell r="AL103" t="e">
            <v>#N/A</v>
          </cell>
          <cell r="AM103" t="e">
            <v>#N/A</v>
          </cell>
          <cell r="AN103" t="e">
            <v>#N/A</v>
          </cell>
          <cell r="AO103" t="e">
            <v>#N/A</v>
          </cell>
          <cell r="AP103" t="e">
            <v>#N/A</v>
          </cell>
          <cell r="AQ103" t="e">
            <v>#N/A</v>
          </cell>
          <cell r="AR103" t="e">
            <v>#N/A</v>
          </cell>
          <cell r="AS103" t="e">
            <v>#N/A</v>
          </cell>
          <cell r="AT103" t="e">
            <v>#N/A</v>
          </cell>
          <cell r="AU103" t="e">
            <v>#N/A</v>
          </cell>
          <cell r="AV103" t="e">
            <v>#N/A</v>
          </cell>
          <cell r="AW103" t="e">
            <v>#N/A</v>
          </cell>
          <cell r="AX103" t="e">
            <v>#N/A</v>
          </cell>
          <cell r="AY103" t="e">
            <v>#N/A</v>
          </cell>
          <cell r="AZ103" t="e">
            <v>#N/A</v>
          </cell>
          <cell r="BA103" t="e">
            <v>#N/A</v>
          </cell>
          <cell r="BB103" t="e">
            <v>#N/A</v>
          </cell>
          <cell r="BC103" t="e">
            <v>#N/A</v>
          </cell>
          <cell r="BD103" t="e">
            <v>#N/A</v>
          </cell>
          <cell r="BE103" t="e">
            <v>#N/A</v>
          </cell>
          <cell r="BF103" t="e">
            <v>#N/A</v>
          </cell>
          <cell r="BG103" t="e">
            <v>#N/A</v>
          </cell>
          <cell r="BH103" t="e">
            <v>#N/A</v>
          </cell>
          <cell r="BI103" t="e">
            <v>#N/A</v>
          </cell>
          <cell r="BJ103" t="e">
            <v>#N/A</v>
          </cell>
          <cell r="BK103" t="e">
            <v>#N/A</v>
          </cell>
          <cell r="BL103" t="e">
            <v>#N/A</v>
          </cell>
          <cell r="BM103" t="e">
            <v>#N/A</v>
          </cell>
          <cell r="BN103" t="e">
            <v>#N/A</v>
          </cell>
          <cell r="BO103" t="e">
            <v>#N/A</v>
          </cell>
          <cell r="BP103" t="e">
            <v>#N/A</v>
          </cell>
          <cell r="BQ103" t="e">
            <v>#N/A</v>
          </cell>
          <cell r="BR103" t="e">
            <v>#N/A</v>
          </cell>
          <cell r="BS103" t="e">
            <v>#N/A</v>
          </cell>
          <cell r="BT103" t="e">
            <v>#N/A</v>
          </cell>
          <cell r="BU103" t="e">
            <v>#N/A</v>
          </cell>
          <cell r="BV103" t="e">
            <v>#N/A</v>
          </cell>
          <cell r="BW103" t="e">
            <v>#N/A</v>
          </cell>
          <cell r="BX103" t="e">
            <v>#N/A</v>
          </cell>
          <cell r="BY103" t="e">
            <v>#N/A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  <cell r="AV104" t="e">
            <v>#N/A</v>
          </cell>
          <cell r="AW104" t="e">
            <v>#N/A</v>
          </cell>
          <cell r="AX104" t="e">
            <v>#N/A</v>
          </cell>
          <cell r="AY104" t="e">
            <v>#N/A</v>
          </cell>
          <cell r="AZ104" t="e">
            <v>#N/A</v>
          </cell>
          <cell r="BA104" t="e">
            <v>#N/A</v>
          </cell>
          <cell r="BB104" t="e">
            <v>#N/A</v>
          </cell>
          <cell r="BC104" t="e">
            <v>#N/A</v>
          </cell>
          <cell r="BD104" t="e">
            <v>#N/A</v>
          </cell>
          <cell r="BE104" t="e">
            <v>#N/A</v>
          </cell>
          <cell r="BF104" t="e">
            <v>#N/A</v>
          </cell>
          <cell r="BG104" t="e">
            <v>#N/A</v>
          </cell>
          <cell r="BH104" t="e">
            <v>#N/A</v>
          </cell>
          <cell r="BI104" t="e">
            <v>#N/A</v>
          </cell>
          <cell r="BJ104" t="e">
            <v>#N/A</v>
          </cell>
          <cell r="BK104" t="e">
            <v>#N/A</v>
          </cell>
          <cell r="BL104" t="e">
            <v>#N/A</v>
          </cell>
          <cell r="BM104" t="e">
            <v>#N/A</v>
          </cell>
          <cell r="BN104" t="e">
            <v>#N/A</v>
          </cell>
          <cell r="BO104" t="e">
            <v>#N/A</v>
          </cell>
          <cell r="BP104" t="e">
            <v>#N/A</v>
          </cell>
          <cell r="BQ104" t="e">
            <v>#N/A</v>
          </cell>
          <cell r="BR104" t="e">
            <v>#N/A</v>
          </cell>
          <cell r="BS104" t="e">
            <v>#N/A</v>
          </cell>
          <cell r="BT104" t="e">
            <v>#N/A</v>
          </cell>
          <cell r="BU104" t="e">
            <v>#N/A</v>
          </cell>
          <cell r="BV104" t="e">
            <v>#N/A</v>
          </cell>
          <cell r="BW104" t="e">
            <v>#N/A</v>
          </cell>
          <cell r="BX104" t="e">
            <v>#N/A</v>
          </cell>
          <cell r="BY104" t="e">
            <v>#N/A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  <cell r="F105" t="e">
            <v>#N/A</v>
          </cell>
          <cell r="G105" t="e">
            <v>#N/A</v>
          </cell>
          <cell r="H105" t="e">
            <v>#N/A</v>
          </cell>
          <cell r="I105" t="e">
            <v>#N/A</v>
          </cell>
          <cell r="J105" t="e">
            <v>#N/A</v>
          </cell>
          <cell r="K105" t="e">
            <v>#N/A</v>
          </cell>
          <cell r="L105" t="e">
            <v>#N/A</v>
          </cell>
          <cell r="M105" t="e">
            <v>#N/A</v>
          </cell>
          <cell r="N105" t="e">
            <v>#N/A</v>
          </cell>
          <cell r="O105" t="e">
            <v>#N/A</v>
          </cell>
          <cell r="P105" t="e">
            <v>#N/A</v>
          </cell>
          <cell r="Q105" t="e">
            <v>#N/A</v>
          </cell>
          <cell r="R105" t="e">
            <v>#N/A</v>
          </cell>
          <cell r="S105" t="e">
            <v>#N/A</v>
          </cell>
          <cell r="T105" t="e">
            <v>#N/A</v>
          </cell>
          <cell r="U105" t="e">
            <v>#N/A</v>
          </cell>
          <cell r="V105" t="e">
            <v>#N/A</v>
          </cell>
          <cell r="W105" t="e">
            <v>#N/A</v>
          </cell>
          <cell r="X105" t="e">
            <v>#N/A</v>
          </cell>
          <cell r="Z105" t="e">
            <v>#N/A</v>
          </cell>
          <cell r="AA105" t="e">
            <v>#N/A</v>
          </cell>
          <cell r="AB105" t="e">
            <v>#N/A</v>
          </cell>
          <cell r="AC105" t="e">
            <v>#N/A</v>
          </cell>
          <cell r="AD105" t="e">
            <v>#N/A</v>
          </cell>
          <cell r="AE105" t="e">
            <v>#N/A</v>
          </cell>
          <cell r="AF105" t="e">
            <v>#N/A</v>
          </cell>
          <cell r="AG105" t="e">
            <v>#N/A</v>
          </cell>
          <cell r="AH105" t="e">
            <v>#N/A</v>
          </cell>
          <cell r="AI105" t="e">
            <v>#N/A</v>
          </cell>
          <cell r="AJ105" t="e">
            <v>#N/A</v>
          </cell>
          <cell r="AK105" t="e">
            <v>#N/A</v>
          </cell>
          <cell r="AL105" t="e">
            <v>#N/A</v>
          </cell>
          <cell r="AM105" t="e">
            <v>#N/A</v>
          </cell>
          <cell r="AN105" t="e">
            <v>#N/A</v>
          </cell>
          <cell r="AO105" t="e">
            <v>#N/A</v>
          </cell>
          <cell r="AP105" t="e">
            <v>#N/A</v>
          </cell>
          <cell r="AQ105" t="e">
            <v>#N/A</v>
          </cell>
          <cell r="AR105" t="e">
            <v>#N/A</v>
          </cell>
          <cell r="AS105" t="e">
            <v>#N/A</v>
          </cell>
          <cell r="AT105" t="e">
            <v>#N/A</v>
          </cell>
          <cell r="AU105" t="e">
            <v>#N/A</v>
          </cell>
          <cell r="AV105" t="e">
            <v>#N/A</v>
          </cell>
          <cell r="AW105" t="e">
            <v>#N/A</v>
          </cell>
          <cell r="AX105" t="e">
            <v>#N/A</v>
          </cell>
          <cell r="AY105" t="e">
            <v>#N/A</v>
          </cell>
          <cell r="AZ105" t="e">
            <v>#N/A</v>
          </cell>
          <cell r="BA105" t="e">
            <v>#N/A</v>
          </cell>
          <cell r="BB105" t="e">
            <v>#N/A</v>
          </cell>
          <cell r="BC105" t="e">
            <v>#N/A</v>
          </cell>
          <cell r="BD105" t="e">
            <v>#N/A</v>
          </cell>
          <cell r="BE105" t="e">
            <v>#N/A</v>
          </cell>
          <cell r="BF105" t="e">
            <v>#N/A</v>
          </cell>
          <cell r="BG105" t="e">
            <v>#N/A</v>
          </cell>
          <cell r="BH105" t="e">
            <v>#N/A</v>
          </cell>
          <cell r="BI105" t="e">
            <v>#N/A</v>
          </cell>
          <cell r="BJ105" t="e">
            <v>#N/A</v>
          </cell>
          <cell r="BK105" t="e">
            <v>#N/A</v>
          </cell>
          <cell r="BL105" t="e">
            <v>#N/A</v>
          </cell>
          <cell r="BM105" t="e">
            <v>#N/A</v>
          </cell>
          <cell r="BN105" t="e">
            <v>#N/A</v>
          </cell>
          <cell r="BO105" t="e">
            <v>#N/A</v>
          </cell>
          <cell r="BP105" t="e">
            <v>#N/A</v>
          </cell>
          <cell r="BQ105" t="e">
            <v>#N/A</v>
          </cell>
          <cell r="BR105" t="e">
            <v>#N/A</v>
          </cell>
          <cell r="BS105" t="e">
            <v>#N/A</v>
          </cell>
          <cell r="BT105" t="e">
            <v>#N/A</v>
          </cell>
          <cell r="BU105" t="e">
            <v>#N/A</v>
          </cell>
          <cell r="BV105" t="e">
            <v>#N/A</v>
          </cell>
          <cell r="BW105" t="e">
            <v>#N/A</v>
          </cell>
          <cell r="BX105" t="e">
            <v>#N/A</v>
          </cell>
          <cell r="BY105" t="e">
            <v>#N/A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  <cell r="F106" t="e">
            <v>#N/A</v>
          </cell>
          <cell r="G106" t="e">
            <v>#N/A</v>
          </cell>
          <cell r="H106" t="e">
            <v>#N/A</v>
          </cell>
          <cell r="I106" t="e">
            <v>#N/A</v>
          </cell>
          <cell r="J106" t="e">
            <v>#N/A</v>
          </cell>
          <cell r="K106" t="e">
            <v>#N/A</v>
          </cell>
          <cell r="L106" t="e">
            <v>#N/A</v>
          </cell>
          <cell r="M106" t="e">
            <v>#N/A</v>
          </cell>
          <cell r="N106" t="e">
            <v>#N/A</v>
          </cell>
          <cell r="O106" t="e">
            <v>#N/A</v>
          </cell>
          <cell r="P106" t="e">
            <v>#N/A</v>
          </cell>
          <cell r="Q106" t="e">
            <v>#N/A</v>
          </cell>
          <cell r="R106" t="e">
            <v>#N/A</v>
          </cell>
          <cell r="S106" t="e">
            <v>#N/A</v>
          </cell>
          <cell r="T106" t="e">
            <v>#N/A</v>
          </cell>
          <cell r="U106" t="e">
            <v>#N/A</v>
          </cell>
          <cell r="V106" t="e">
            <v>#N/A</v>
          </cell>
          <cell r="W106" t="e">
            <v>#N/A</v>
          </cell>
          <cell r="X106" t="e">
            <v>#N/A</v>
          </cell>
          <cell r="Z106" t="e">
            <v>#N/A</v>
          </cell>
          <cell r="AA106" t="e">
            <v>#N/A</v>
          </cell>
          <cell r="AB106" t="e">
            <v>#N/A</v>
          </cell>
          <cell r="AC106" t="e">
            <v>#N/A</v>
          </cell>
          <cell r="AD106" t="e">
            <v>#N/A</v>
          </cell>
          <cell r="AE106" t="e">
            <v>#N/A</v>
          </cell>
          <cell r="AF106" t="e">
            <v>#N/A</v>
          </cell>
          <cell r="AG106" t="e">
            <v>#N/A</v>
          </cell>
          <cell r="AH106" t="e">
            <v>#N/A</v>
          </cell>
          <cell r="AI106" t="e">
            <v>#N/A</v>
          </cell>
          <cell r="AJ106" t="e">
            <v>#N/A</v>
          </cell>
          <cell r="AK106" t="e">
            <v>#N/A</v>
          </cell>
          <cell r="AL106" t="e">
            <v>#N/A</v>
          </cell>
          <cell r="AM106" t="e">
            <v>#N/A</v>
          </cell>
          <cell r="AN106" t="e">
            <v>#N/A</v>
          </cell>
          <cell r="AO106" t="e">
            <v>#N/A</v>
          </cell>
          <cell r="AP106" t="e">
            <v>#N/A</v>
          </cell>
          <cell r="AQ106" t="e">
            <v>#N/A</v>
          </cell>
          <cell r="AR106" t="e">
            <v>#N/A</v>
          </cell>
          <cell r="AS106" t="e">
            <v>#N/A</v>
          </cell>
          <cell r="AT106" t="e">
            <v>#N/A</v>
          </cell>
          <cell r="AU106" t="e">
            <v>#N/A</v>
          </cell>
          <cell r="AV106" t="e">
            <v>#N/A</v>
          </cell>
          <cell r="AW106" t="e">
            <v>#N/A</v>
          </cell>
          <cell r="AX106" t="e">
            <v>#N/A</v>
          </cell>
          <cell r="AY106" t="e">
            <v>#N/A</v>
          </cell>
          <cell r="AZ106" t="e">
            <v>#N/A</v>
          </cell>
          <cell r="BA106" t="e">
            <v>#N/A</v>
          </cell>
          <cell r="BB106" t="e">
            <v>#N/A</v>
          </cell>
          <cell r="BC106" t="e">
            <v>#N/A</v>
          </cell>
          <cell r="BD106" t="e">
            <v>#N/A</v>
          </cell>
          <cell r="BE106" t="e">
            <v>#N/A</v>
          </cell>
          <cell r="BF106" t="e">
            <v>#N/A</v>
          </cell>
          <cell r="BG106" t="e">
            <v>#N/A</v>
          </cell>
          <cell r="BH106" t="e">
            <v>#N/A</v>
          </cell>
          <cell r="BI106" t="e">
            <v>#N/A</v>
          </cell>
          <cell r="BJ106" t="e">
            <v>#N/A</v>
          </cell>
          <cell r="BK106" t="e">
            <v>#N/A</v>
          </cell>
          <cell r="BL106" t="e">
            <v>#N/A</v>
          </cell>
          <cell r="BM106" t="e">
            <v>#N/A</v>
          </cell>
          <cell r="BN106" t="e">
            <v>#N/A</v>
          </cell>
          <cell r="BO106" t="e">
            <v>#N/A</v>
          </cell>
          <cell r="BP106" t="e">
            <v>#N/A</v>
          </cell>
          <cell r="BQ106" t="e">
            <v>#N/A</v>
          </cell>
          <cell r="BR106" t="e">
            <v>#N/A</v>
          </cell>
          <cell r="BS106" t="e">
            <v>#N/A</v>
          </cell>
          <cell r="BT106" t="e">
            <v>#N/A</v>
          </cell>
          <cell r="BU106" t="e">
            <v>#N/A</v>
          </cell>
          <cell r="BV106" t="e">
            <v>#N/A</v>
          </cell>
          <cell r="BW106" t="e">
            <v>#N/A</v>
          </cell>
          <cell r="BX106" t="e">
            <v>#N/A</v>
          </cell>
          <cell r="BY106" t="e">
            <v>#N/A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  <cell r="AV107" t="e">
            <v>#N/A</v>
          </cell>
          <cell r="AW107" t="e">
            <v>#N/A</v>
          </cell>
          <cell r="AX107" t="e">
            <v>#N/A</v>
          </cell>
          <cell r="AY107" t="e">
            <v>#N/A</v>
          </cell>
          <cell r="AZ107" t="e">
            <v>#N/A</v>
          </cell>
          <cell r="BA107" t="e">
            <v>#N/A</v>
          </cell>
          <cell r="BB107" t="e">
            <v>#N/A</v>
          </cell>
          <cell r="BC107" t="e">
            <v>#N/A</v>
          </cell>
          <cell r="BD107" t="e">
            <v>#N/A</v>
          </cell>
          <cell r="BE107" t="e">
            <v>#N/A</v>
          </cell>
          <cell r="BF107" t="e">
            <v>#N/A</v>
          </cell>
          <cell r="BG107" t="e">
            <v>#N/A</v>
          </cell>
          <cell r="BH107" t="e">
            <v>#N/A</v>
          </cell>
          <cell r="BI107" t="e">
            <v>#N/A</v>
          </cell>
          <cell r="BJ107" t="e">
            <v>#N/A</v>
          </cell>
          <cell r="BK107" t="e">
            <v>#N/A</v>
          </cell>
          <cell r="BL107" t="e">
            <v>#N/A</v>
          </cell>
          <cell r="BM107" t="e">
            <v>#N/A</v>
          </cell>
          <cell r="BN107" t="e">
            <v>#N/A</v>
          </cell>
          <cell r="BO107" t="e">
            <v>#N/A</v>
          </cell>
          <cell r="BP107" t="e">
            <v>#N/A</v>
          </cell>
          <cell r="BQ107" t="e">
            <v>#N/A</v>
          </cell>
          <cell r="BR107" t="e">
            <v>#N/A</v>
          </cell>
          <cell r="BS107" t="e">
            <v>#N/A</v>
          </cell>
          <cell r="BT107" t="e">
            <v>#N/A</v>
          </cell>
          <cell r="BU107" t="e">
            <v>#N/A</v>
          </cell>
          <cell r="BV107" t="e">
            <v>#N/A</v>
          </cell>
          <cell r="BW107" t="e">
            <v>#N/A</v>
          </cell>
          <cell r="BX107" t="e">
            <v>#N/A</v>
          </cell>
          <cell r="BY107" t="e">
            <v>#N/A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  <cell r="AV109" t="e">
            <v>#N/A</v>
          </cell>
          <cell r="AW109" t="e">
            <v>#N/A</v>
          </cell>
          <cell r="AX109" t="e">
            <v>#N/A</v>
          </cell>
          <cell r="AY109" t="e">
            <v>#N/A</v>
          </cell>
          <cell r="AZ109" t="e">
            <v>#N/A</v>
          </cell>
          <cell r="BA109" t="e">
            <v>#N/A</v>
          </cell>
          <cell r="BB109" t="e">
            <v>#N/A</v>
          </cell>
          <cell r="BC109" t="e">
            <v>#N/A</v>
          </cell>
          <cell r="BD109" t="e">
            <v>#N/A</v>
          </cell>
          <cell r="BE109" t="e">
            <v>#N/A</v>
          </cell>
          <cell r="BF109" t="e">
            <v>#N/A</v>
          </cell>
          <cell r="BG109" t="e">
            <v>#N/A</v>
          </cell>
          <cell r="BH109" t="e">
            <v>#N/A</v>
          </cell>
          <cell r="BI109" t="e">
            <v>#N/A</v>
          </cell>
          <cell r="BJ109" t="e">
            <v>#N/A</v>
          </cell>
          <cell r="BK109" t="e">
            <v>#N/A</v>
          </cell>
          <cell r="BL109" t="e">
            <v>#N/A</v>
          </cell>
          <cell r="BM109" t="e">
            <v>#N/A</v>
          </cell>
          <cell r="BN109" t="e">
            <v>#N/A</v>
          </cell>
          <cell r="BO109" t="e">
            <v>#N/A</v>
          </cell>
          <cell r="BP109" t="e">
            <v>#N/A</v>
          </cell>
          <cell r="BQ109" t="e">
            <v>#N/A</v>
          </cell>
          <cell r="BR109" t="e">
            <v>#N/A</v>
          </cell>
          <cell r="BS109" t="e">
            <v>#N/A</v>
          </cell>
          <cell r="BT109" t="e">
            <v>#N/A</v>
          </cell>
          <cell r="BU109" t="e">
            <v>#N/A</v>
          </cell>
          <cell r="BV109" t="e">
            <v>#N/A</v>
          </cell>
          <cell r="BW109" t="e">
            <v>#N/A</v>
          </cell>
          <cell r="BX109" t="e">
            <v>#N/A</v>
          </cell>
          <cell r="BY109" t="e">
            <v>#N/A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F111" t="e">
            <v>#N/A</v>
          </cell>
          <cell r="G111" t="e">
            <v>#N/A</v>
          </cell>
          <cell r="H111" t="e">
            <v>#N/A</v>
          </cell>
          <cell r="I111" t="e">
            <v>#N/A</v>
          </cell>
          <cell r="J111" t="e">
            <v>#N/A</v>
          </cell>
          <cell r="K111" t="e">
            <v>#N/A</v>
          </cell>
          <cell r="L111" t="e">
            <v>#N/A</v>
          </cell>
          <cell r="M111" t="e">
            <v>#N/A</v>
          </cell>
          <cell r="N111" t="e">
            <v>#N/A</v>
          </cell>
          <cell r="O111" t="e">
            <v>#N/A</v>
          </cell>
          <cell r="P111" t="e">
            <v>#N/A</v>
          </cell>
          <cell r="Q111" t="e">
            <v>#N/A</v>
          </cell>
          <cell r="R111" t="e">
            <v>#N/A</v>
          </cell>
          <cell r="S111" t="e">
            <v>#N/A</v>
          </cell>
          <cell r="T111" t="e">
            <v>#N/A</v>
          </cell>
          <cell r="U111" t="e">
            <v>#N/A</v>
          </cell>
          <cell r="V111" t="e">
            <v>#N/A</v>
          </cell>
          <cell r="W111" t="e">
            <v>#N/A</v>
          </cell>
          <cell r="X111" t="e">
            <v>#N/A</v>
          </cell>
          <cell r="Z111" t="e">
            <v>#N/A</v>
          </cell>
          <cell r="AA111" t="e">
            <v>#N/A</v>
          </cell>
          <cell r="AB111" t="e">
            <v>#N/A</v>
          </cell>
          <cell r="AC111" t="e">
            <v>#N/A</v>
          </cell>
          <cell r="AD111" t="e">
            <v>#N/A</v>
          </cell>
          <cell r="AE111" t="e">
            <v>#N/A</v>
          </cell>
          <cell r="AF111" t="e">
            <v>#N/A</v>
          </cell>
          <cell r="AG111" t="e">
            <v>#N/A</v>
          </cell>
          <cell r="AH111" t="e">
            <v>#N/A</v>
          </cell>
          <cell r="AI111" t="e">
            <v>#N/A</v>
          </cell>
          <cell r="AJ111" t="e">
            <v>#N/A</v>
          </cell>
          <cell r="AK111" t="e">
            <v>#N/A</v>
          </cell>
          <cell r="AL111" t="e">
            <v>#N/A</v>
          </cell>
          <cell r="AM111" t="e">
            <v>#N/A</v>
          </cell>
          <cell r="AN111" t="e">
            <v>#N/A</v>
          </cell>
          <cell r="AO111" t="e">
            <v>#N/A</v>
          </cell>
          <cell r="AP111" t="e">
            <v>#N/A</v>
          </cell>
          <cell r="AQ111" t="e">
            <v>#N/A</v>
          </cell>
          <cell r="AR111" t="e">
            <v>#N/A</v>
          </cell>
          <cell r="AS111" t="e">
            <v>#N/A</v>
          </cell>
          <cell r="AT111" t="e">
            <v>#N/A</v>
          </cell>
          <cell r="AU111" t="e">
            <v>#N/A</v>
          </cell>
          <cell r="AV111" t="e">
            <v>#N/A</v>
          </cell>
          <cell r="AW111" t="e">
            <v>#N/A</v>
          </cell>
          <cell r="AX111" t="e">
            <v>#N/A</v>
          </cell>
          <cell r="AY111" t="e">
            <v>#N/A</v>
          </cell>
          <cell r="AZ111" t="e">
            <v>#N/A</v>
          </cell>
          <cell r="BA111" t="e">
            <v>#N/A</v>
          </cell>
          <cell r="BB111" t="e">
            <v>#N/A</v>
          </cell>
          <cell r="BC111" t="e">
            <v>#N/A</v>
          </cell>
          <cell r="BD111" t="e">
            <v>#N/A</v>
          </cell>
          <cell r="BE111" t="e">
            <v>#N/A</v>
          </cell>
          <cell r="BF111" t="e">
            <v>#N/A</v>
          </cell>
          <cell r="BG111" t="e">
            <v>#N/A</v>
          </cell>
          <cell r="BH111" t="e">
            <v>#N/A</v>
          </cell>
          <cell r="BI111" t="e">
            <v>#N/A</v>
          </cell>
          <cell r="BJ111" t="e">
            <v>#N/A</v>
          </cell>
          <cell r="BK111" t="e">
            <v>#N/A</v>
          </cell>
          <cell r="BL111" t="e">
            <v>#N/A</v>
          </cell>
          <cell r="BM111" t="e">
            <v>#N/A</v>
          </cell>
          <cell r="BN111" t="e">
            <v>#N/A</v>
          </cell>
          <cell r="BO111" t="e">
            <v>#N/A</v>
          </cell>
          <cell r="BP111" t="e">
            <v>#N/A</v>
          </cell>
          <cell r="BQ111" t="e">
            <v>#N/A</v>
          </cell>
          <cell r="BR111" t="e">
            <v>#N/A</v>
          </cell>
          <cell r="BS111" t="e">
            <v>#N/A</v>
          </cell>
          <cell r="BT111" t="e">
            <v>#N/A</v>
          </cell>
          <cell r="BU111" t="e">
            <v>#N/A</v>
          </cell>
          <cell r="BV111" t="e">
            <v>#N/A</v>
          </cell>
          <cell r="BW111" t="e">
            <v>#N/A</v>
          </cell>
          <cell r="BX111" t="e">
            <v>#N/A</v>
          </cell>
          <cell r="BY111" t="e">
            <v>#N/A</v>
          </cell>
        </row>
        <row r="112">
          <cell r="B112" t="str">
            <v>Sales - % United States</v>
          </cell>
          <cell r="C112" t="str">
            <v>SALES_US</v>
          </cell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  <cell r="AV112" t="e">
            <v>#N/A</v>
          </cell>
          <cell r="AW112" t="e">
            <v>#N/A</v>
          </cell>
          <cell r="AX112" t="e">
            <v>#N/A</v>
          </cell>
          <cell r="AY112" t="e">
            <v>#N/A</v>
          </cell>
          <cell r="AZ112" t="e">
            <v>#N/A</v>
          </cell>
          <cell r="BA112" t="e">
            <v>#N/A</v>
          </cell>
          <cell r="BB112" t="e">
            <v>#N/A</v>
          </cell>
          <cell r="BC112" t="e">
            <v>#N/A</v>
          </cell>
          <cell r="BD112" t="e">
            <v>#N/A</v>
          </cell>
          <cell r="BE112" t="e">
            <v>#N/A</v>
          </cell>
          <cell r="BF112" t="e">
            <v>#N/A</v>
          </cell>
          <cell r="BG112" t="e">
            <v>#N/A</v>
          </cell>
          <cell r="BH112" t="e">
            <v>#N/A</v>
          </cell>
          <cell r="BI112" t="e">
            <v>#N/A</v>
          </cell>
          <cell r="BJ112" t="e">
            <v>#N/A</v>
          </cell>
          <cell r="BK112" t="e">
            <v>#N/A</v>
          </cell>
          <cell r="BL112" t="e">
            <v>#N/A</v>
          </cell>
          <cell r="BM112" t="e">
            <v>#N/A</v>
          </cell>
          <cell r="BN112" t="e">
            <v>#N/A</v>
          </cell>
          <cell r="BO112" t="e">
            <v>#N/A</v>
          </cell>
          <cell r="BP112" t="e">
            <v>#N/A</v>
          </cell>
          <cell r="BQ112" t="e">
            <v>#N/A</v>
          </cell>
          <cell r="BR112" t="e">
            <v>#N/A</v>
          </cell>
          <cell r="BS112" t="e">
            <v>#N/A</v>
          </cell>
          <cell r="BT112" t="e">
            <v>#N/A</v>
          </cell>
          <cell r="BU112" t="e">
            <v>#N/A</v>
          </cell>
          <cell r="BV112" t="e">
            <v>#N/A</v>
          </cell>
          <cell r="BW112" t="e">
            <v>#N/A</v>
          </cell>
          <cell r="BX112" t="e">
            <v>#N/A</v>
          </cell>
          <cell r="BY112" t="e">
            <v>#N/A</v>
          </cell>
        </row>
        <row r="114">
          <cell r="B114" t="str">
            <v>Sales - % Brazil</v>
          </cell>
          <cell r="C114" t="str">
            <v>SALES_BRAZIL</v>
          </cell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  <cell r="AV114" t="e">
            <v>#N/A</v>
          </cell>
          <cell r="AW114" t="e">
            <v>#N/A</v>
          </cell>
          <cell r="AX114" t="e">
            <v>#N/A</v>
          </cell>
          <cell r="AY114" t="e">
            <v>#N/A</v>
          </cell>
          <cell r="AZ114" t="e">
            <v>#N/A</v>
          </cell>
          <cell r="BA114" t="e">
            <v>#N/A</v>
          </cell>
          <cell r="BB114" t="e">
            <v>#N/A</v>
          </cell>
          <cell r="BC114" t="e">
            <v>#N/A</v>
          </cell>
          <cell r="BD114" t="e">
            <v>#N/A</v>
          </cell>
          <cell r="BE114" t="e">
            <v>#N/A</v>
          </cell>
          <cell r="BF114" t="e">
            <v>#N/A</v>
          </cell>
          <cell r="BG114" t="e">
            <v>#N/A</v>
          </cell>
          <cell r="BH114" t="e">
            <v>#N/A</v>
          </cell>
          <cell r="BI114" t="e">
            <v>#N/A</v>
          </cell>
          <cell r="BJ114" t="e">
            <v>#N/A</v>
          </cell>
          <cell r="BK114" t="e">
            <v>#N/A</v>
          </cell>
          <cell r="BL114" t="e">
            <v>#N/A</v>
          </cell>
          <cell r="BM114" t="e">
            <v>#N/A</v>
          </cell>
          <cell r="BN114" t="e">
            <v>#N/A</v>
          </cell>
          <cell r="BO114" t="e">
            <v>#N/A</v>
          </cell>
          <cell r="BP114" t="e">
            <v>#N/A</v>
          </cell>
          <cell r="BQ114" t="e">
            <v>#N/A</v>
          </cell>
          <cell r="BR114" t="e">
            <v>#N/A</v>
          </cell>
          <cell r="BS114" t="e">
            <v>#N/A</v>
          </cell>
          <cell r="BT114" t="e">
            <v>#N/A</v>
          </cell>
          <cell r="BU114" t="e">
            <v>#N/A</v>
          </cell>
          <cell r="BV114" t="e">
            <v>#N/A</v>
          </cell>
          <cell r="BW114" t="e">
            <v>#N/A</v>
          </cell>
          <cell r="BX114" t="e">
            <v>#N/A</v>
          </cell>
          <cell r="BY114" t="e">
            <v>#N/A</v>
          </cell>
        </row>
        <row r="115">
          <cell r="B115" t="str">
            <v>Sales - % Other Americas</v>
          </cell>
          <cell r="C115" t="str">
            <v>SALES_OTH_AM</v>
          </cell>
          <cell r="F115" t="e">
            <v>#N/A</v>
          </cell>
          <cell r="G115" t="e">
            <v>#N/A</v>
          </cell>
          <cell r="H115" t="e">
            <v>#N/A</v>
          </cell>
          <cell r="I115" t="e">
            <v>#N/A</v>
          </cell>
          <cell r="J115" t="e">
            <v>#N/A</v>
          </cell>
          <cell r="K115" t="e">
            <v>#N/A</v>
          </cell>
          <cell r="L115" t="e">
            <v>#N/A</v>
          </cell>
          <cell r="M115" t="e">
            <v>#N/A</v>
          </cell>
          <cell r="N115" t="e">
            <v>#N/A</v>
          </cell>
          <cell r="O115" t="e">
            <v>#N/A</v>
          </cell>
          <cell r="P115" t="e">
            <v>#N/A</v>
          </cell>
          <cell r="Q115" t="e">
            <v>#N/A</v>
          </cell>
          <cell r="R115" t="e">
            <v>#N/A</v>
          </cell>
          <cell r="S115" t="e">
            <v>#N/A</v>
          </cell>
          <cell r="T115" t="e">
            <v>#N/A</v>
          </cell>
          <cell r="U115" t="e">
            <v>#N/A</v>
          </cell>
          <cell r="V115" t="e">
            <v>#N/A</v>
          </cell>
          <cell r="W115" t="e">
            <v>#N/A</v>
          </cell>
          <cell r="X115" t="e">
            <v>#N/A</v>
          </cell>
          <cell r="Z115" t="e">
            <v>#N/A</v>
          </cell>
          <cell r="AA115" t="e">
            <v>#N/A</v>
          </cell>
          <cell r="AB115" t="e">
            <v>#N/A</v>
          </cell>
          <cell r="AC115" t="e">
            <v>#N/A</v>
          </cell>
          <cell r="AD115" t="e">
            <v>#N/A</v>
          </cell>
          <cell r="AE115" t="e">
            <v>#N/A</v>
          </cell>
          <cell r="AF115" t="e">
            <v>#N/A</v>
          </cell>
          <cell r="AG115" t="e">
            <v>#N/A</v>
          </cell>
          <cell r="AH115" t="e">
            <v>#N/A</v>
          </cell>
          <cell r="AI115" t="e">
            <v>#N/A</v>
          </cell>
          <cell r="AJ115" t="e">
            <v>#N/A</v>
          </cell>
          <cell r="AK115" t="e">
            <v>#N/A</v>
          </cell>
          <cell r="AL115" t="e">
            <v>#N/A</v>
          </cell>
          <cell r="AM115" t="e">
            <v>#N/A</v>
          </cell>
          <cell r="AN115" t="e">
            <v>#N/A</v>
          </cell>
          <cell r="AO115" t="e">
            <v>#N/A</v>
          </cell>
          <cell r="AP115" t="e">
            <v>#N/A</v>
          </cell>
          <cell r="AQ115" t="e">
            <v>#N/A</v>
          </cell>
          <cell r="AR115" t="e">
            <v>#N/A</v>
          </cell>
          <cell r="AS115" t="e">
            <v>#N/A</v>
          </cell>
          <cell r="AT115" t="e">
            <v>#N/A</v>
          </cell>
          <cell r="AU115" t="e">
            <v>#N/A</v>
          </cell>
          <cell r="AV115" t="e">
            <v>#N/A</v>
          </cell>
          <cell r="AW115" t="e">
            <v>#N/A</v>
          </cell>
          <cell r="AX115" t="e">
            <v>#N/A</v>
          </cell>
          <cell r="AY115" t="e">
            <v>#N/A</v>
          </cell>
          <cell r="AZ115" t="e">
            <v>#N/A</v>
          </cell>
          <cell r="BA115" t="e">
            <v>#N/A</v>
          </cell>
          <cell r="BB115" t="e">
            <v>#N/A</v>
          </cell>
          <cell r="BC115" t="e">
            <v>#N/A</v>
          </cell>
          <cell r="BD115" t="e">
            <v>#N/A</v>
          </cell>
          <cell r="BE115" t="e">
            <v>#N/A</v>
          </cell>
          <cell r="BF115" t="e">
            <v>#N/A</v>
          </cell>
          <cell r="BG115" t="e">
            <v>#N/A</v>
          </cell>
          <cell r="BH115" t="e">
            <v>#N/A</v>
          </cell>
          <cell r="BI115" t="e">
            <v>#N/A</v>
          </cell>
          <cell r="BJ115" t="e">
            <v>#N/A</v>
          </cell>
          <cell r="BK115" t="e">
            <v>#N/A</v>
          </cell>
          <cell r="BL115" t="e">
            <v>#N/A</v>
          </cell>
          <cell r="BM115" t="e">
            <v>#N/A</v>
          </cell>
          <cell r="BN115" t="e">
            <v>#N/A</v>
          </cell>
          <cell r="BO115" t="e">
            <v>#N/A</v>
          </cell>
          <cell r="BP115" t="e">
            <v>#N/A</v>
          </cell>
          <cell r="BQ115" t="e">
            <v>#N/A</v>
          </cell>
          <cell r="BR115" t="e">
            <v>#N/A</v>
          </cell>
          <cell r="BS115" t="e">
            <v>#N/A</v>
          </cell>
          <cell r="BT115" t="e">
            <v>#N/A</v>
          </cell>
          <cell r="BU115" t="e">
            <v>#N/A</v>
          </cell>
          <cell r="BV115" t="e">
            <v>#N/A</v>
          </cell>
          <cell r="BW115" t="e">
            <v>#N/A</v>
          </cell>
          <cell r="BX115" t="e">
            <v>#N/A</v>
          </cell>
          <cell r="BY115" t="e">
            <v>#N/A</v>
          </cell>
        </row>
        <row r="116">
          <cell r="B116" t="str">
            <v>Sales - Total % EMEA</v>
          </cell>
          <cell r="C116" t="str">
            <v>SALES_TOT_EMEA</v>
          </cell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  <cell r="AV116" t="e">
            <v>#N/A</v>
          </cell>
          <cell r="AW116" t="e">
            <v>#N/A</v>
          </cell>
          <cell r="AX116" t="e">
            <v>#N/A</v>
          </cell>
          <cell r="AY116" t="e">
            <v>#N/A</v>
          </cell>
          <cell r="AZ116" t="e">
            <v>#N/A</v>
          </cell>
          <cell r="BA116" t="e">
            <v>#N/A</v>
          </cell>
          <cell r="BB116" t="e">
            <v>#N/A</v>
          </cell>
          <cell r="BC116" t="e">
            <v>#N/A</v>
          </cell>
          <cell r="BD116" t="e">
            <v>#N/A</v>
          </cell>
          <cell r="BE116" t="e">
            <v>#N/A</v>
          </cell>
          <cell r="BF116" t="e">
            <v>#N/A</v>
          </cell>
          <cell r="BG116" t="e">
            <v>#N/A</v>
          </cell>
          <cell r="BH116" t="e">
            <v>#N/A</v>
          </cell>
          <cell r="BI116" t="e">
            <v>#N/A</v>
          </cell>
          <cell r="BJ116" t="e">
            <v>#N/A</v>
          </cell>
          <cell r="BK116" t="e">
            <v>#N/A</v>
          </cell>
          <cell r="BL116" t="e">
            <v>#N/A</v>
          </cell>
          <cell r="BM116" t="e">
            <v>#N/A</v>
          </cell>
          <cell r="BN116" t="e">
            <v>#N/A</v>
          </cell>
          <cell r="BO116" t="e">
            <v>#N/A</v>
          </cell>
          <cell r="BP116" t="e">
            <v>#N/A</v>
          </cell>
          <cell r="BQ116" t="e">
            <v>#N/A</v>
          </cell>
          <cell r="BR116" t="e">
            <v>#N/A</v>
          </cell>
          <cell r="BS116" t="e">
            <v>#N/A</v>
          </cell>
          <cell r="BT116" t="e">
            <v>#N/A</v>
          </cell>
          <cell r="BU116" t="e">
            <v>#N/A</v>
          </cell>
          <cell r="BV116" t="e">
            <v>#N/A</v>
          </cell>
          <cell r="BW116" t="e">
            <v>#N/A</v>
          </cell>
          <cell r="BX116" t="e">
            <v>#N/A</v>
          </cell>
          <cell r="BY116" t="e">
            <v>#N/A</v>
          </cell>
        </row>
        <row r="117">
          <cell r="B117" t="str">
            <v>Sales - % UK</v>
          </cell>
          <cell r="C117" t="str">
            <v>SALES_UK</v>
          </cell>
          <cell r="F117" t="e">
            <v>#N/A</v>
          </cell>
          <cell r="G117" t="e">
            <v>#N/A</v>
          </cell>
          <cell r="H117" t="e">
            <v>#N/A</v>
          </cell>
          <cell r="I117" t="e">
            <v>#N/A</v>
          </cell>
          <cell r="J117" t="e">
            <v>#N/A</v>
          </cell>
          <cell r="K117" t="e">
            <v>#N/A</v>
          </cell>
          <cell r="L117" t="e">
            <v>#N/A</v>
          </cell>
          <cell r="M117" t="e">
            <v>#N/A</v>
          </cell>
          <cell r="N117" t="e">
            <v>#N/A</v>
          </cell>
          <cell r="O117" t="e">
            <v>#N/A</v>
          </cell>
          <cell r="P117" t="e">
            <v>#N/A</v>
          </cell>
          <cell r="Q117" t="e">
            <v>#N/A</v>
          </cell>
          <cell r="R117" t="e">
            <v>#N/A</v>
          </cell>
          <cell r="S117" t="e">
            <v>#N/A</v>
          </cell>
          <cell r="T117" t="e">
            <v>#N/A</v>
          </cell>
          <cell r="U117" t="e">
            <v>#N/A</v>
          </cell>
          <cell r="V117" t="e">
            <v>#N/A</v>
          </cell>
          <cell r="W117" t="e">
            <v>#N/A</v>
          </cell>
          <cell r="X117" t="e">
            <v>#N/A</v>
          </cell>
          <cell r="Z117" t="e">
            <v>#N/A</v>
          </cell>
          <cell r="AA117" t="e">
            <v>#N/A</v>
          </cell>
          <cell r="AB117" t="e">
            <v>#N/A</v>
          </cell>
          <cell r="AC117" t="e">
            <v>#N/A</v>
          </cell>
          <cell r="AD117" t="e">
            <v>#N/A</v>
          </cell>
          <cell r="AE117" t="e">
            <v>#N/A</v>
          </cell>
          <cell r="AF117" t="e">
            <v>#N/A</v>
          </cell>
          <cell r="AG117" t="e">
            <v>#N/A</v>
          </cell>
          <cell r="AH117" t="e">
            <v>#N/A</v>
          </cell>
          <cell r="AI117" t="e">
            <v>#N/A</v>
          </cell>
          <cell r="AJ117" t="e">
            <v>#N/A</v>
          </cell>
          <cell r="AK117" t="e">
            <v>#N/A</v>
          </cell>
          <cell r="AL117" t="e">
            <v>#N/A</v>
          </cell>
          <cell r="AM117" t="e">
            <v>#N/A</v>
          </cell>
          <cell r="AN117" t="e">
            <v>#N/A</v>
          </cell>
          <cell r="AO117" t="e">
            <v>#N/A</v>
          </cell>
          <cell r="AP117" t="e">
            <v>#N/A</v>
          </cell>
          <cell r="AQ117" t="e">
            <v>#N/A</v>
          </cell>
          <cell r="AR117" t="e">
            <v>#N/A</v>
          </cell>
          <cell r="AS117" t="e">
            <v>#N/A</v>
          </cell>
          <cell r="AT117" t="e">
            <v>#N/A</v>
          </cell>
          <cell r="AU117" t="e">
            <v>#N/A</v>
          </cell>
          <cell r="AV117" t="e">
            <v>#N/A</v>
          </cell>
          <cell r="AW117" t="e">
            <v>#N/A</v>
          </cell>
          <cell r="AX117" t="e">
            <v>#N/A</v>
          </cell>
          <cell r="AY117" t="e">
            <v>#N/A</v>
          </cell>
          <cell r="AZ117" t="e">
            <v>#N/A</v>
          </cell>
          <cell r="BA117" t="e">
            <v>#N/A</v>
          </cell>
          <cell r="BB117" t="e">
            <v>#N/A</v>
          </cell>
          <cell r="BC117" t="e">
            <v>#N/A</v>
          </cell>
          <cell r="BD117" t="e">
            <v>#N/A</v>
          </cell>
          <cell r="BE117" t="e">
            <v>#N/A</v>
          </cell>
          <cell r="BF117" t="e">
            <v>#N/A</v>
          </cell>
          <cell r="BG117" t="e">
            <v>#N/A</v>
          </cell>
          <cell r="BH117" t="e">
            <v>#N/A</v>
          </cell>
          <cell r="BI117" t="e">
            <v>#N/A</v>
          </cell>
          <cell r="BJ117" t="e">
            <v>#N/A</v>
          </cell>
          <cell r="BK117" t="e">
            <v>#N/A</v>
          </cell>
          <cell r="BL117" t="e">
            <v>#N/A</v>
          </cell>
          <cell r="BM117" t="e">
            <v>#N/A</v>
          </cell>
          <cell r="BN117" t="e">
            <v>#N/A</v>
          </cell>
          <cell r="BO117" t="e">
            <v>#N/A</v>
          </cell>
          <cell r="BP117" t="e">
            <v>#N/A</v>
          </cell>
          <cell r="BQ117" t="e">
            <v>#N/A</v>
          </cell>
          <cell r="BR117" t="e">
            <v>#N/A</v>
          </cell>
          <cell r="BS117" t="e">
            <v>#N/A</v>
          </cell>
          <cell r="BT117" t="e">
            <v>#N/A</v>
          </cell>
          <cell r="BU117" t="e">
            <v>#N/A</v>
          </cell>
          <cell r="BV117" t="e">
            <v>#N/A</v>
          </cell>
          <cell r="BW117" t="e">
            <v>#N/A</v>
          </cell>
          <cell r="BX117" t="e">
            <v>#N/A</v>
          </cell>
          <cell r="BY117" t="e">
            <v>#N/A</v>
          </cell>
        </row>
        <row r="118">
          <cell r="B118" t="str">
            <v>Sales - % Western Europe-Ex UK</v>
          </cell>
          <cell r="C118" t="str">
            <v>SALES_EU_EX_UK</v>
          </cell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  <cell r="AV118" t="e">
            <v>#N/A</v>
          </cell>
          <cell r="AW118" t="e">
            <v>#N/A</v>
          </cell>
          <cell r="AX118" t="e">
            <v>#N/A</v>
          </cell>
          <cell r="AY118" t="e">
            <v>#N/A</v>
          </cell>
          <cell r="AZ118" t="e">
            <v>#N/A</v>
          </cell>
          <cell r="BA118" t="e">
            <v>#N/A</v>
          </cell>
          <cell r="BB118" t="e">
            <v>#N/A</v>
          </cell>
          <cell r="BC118" t="e">
            <v>#N/A</v>
          </cell>
          <cell r="BD118" t="e">
            <v>#N/A</v>
          </cell>
          <cell r="BE118" t="e">
            <v>#N/A</v>
          </cell>
          <cell r="BF118" t="e">
            <v>#N/A</v>
          </cell>
          <cell r="BG118" t="e">
            <v>#N/A</v>
          </cell>
          <cell r="BH118" t="e">
            <v>#N/A</v>
          </cell>
          <cell r="BI118" t="e">
            <v>#N/A</v>
          </cell>
          <cell r="BJ118" t="e">
            <v>#N/A</v>
          </cell>
          <cell r="BK118" t="e">
            <v>#N/A</v>
          </cell>
          <cell r="BL118" t="e">
            <v>#N/A</v>
          </cell>
          <cell r="BM118" t="e">
            <v>#N/A</v>
          </cell>
          <cell r="BN118" t="e">
            <v>#N/A</v>
          </cell>
          <cell r="BO118" t="e">
            <v>#N/A</v>
          </cell>
          <cell r="BP118" t="e">
            <v>#N/A</v>
          </cell>
          <cell r="BQ118" t="e">
            <v>#N/A</v>
          </cell>
          <cell r="BR118" t="e">
            <v>#N/A</v>
          </cell>
          <cell r="BS118" t="e">
            <v>#N/A</v>
          </cell>
          <cell r="BT118" t="e">
            <v>#N/A</v>
          </cell>
          <cell r="BU118" t="e">
            <v>#N/A</v>
          </cell>
          <cell r="BV118" t="e">
            <v>#N/A</v>
          </cell>
          <cell r="BW118" t="e">
            <v>#N/A</v>
          </cell>
          <cell r="BX118" t="e">
            <v>#N/A</v>
          </cell>
          <cell r="BY118" t="e">
            <v>#N/A</v>
          </cell>
        </row>
        <row r="135">
          <cell r="B135" t="str">
            <v>Sales - % Central &amp; Eastern Europe</v>
          </cell>
          <cell r="C135" t="str">
            <v>SALES_CEE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  <cell r="AV135" t="e">
            <v>#N/A</v>
          </cell>
          <cell r="AW135" t="e">
            <v>#N/A</v>
          </cell>
          <cell r="AX135" t="e">
            <v>#N/A</v>
          </cell>
          <cell r="AY135" t="e">
            <v>#N/A</v>
          </cell>
          <cell r="AZ135" t="e">
            <v>#N/A</v>
          </cell>
          <cell r="BA135" t="e">
            <v>#N/A</v>
          </cell>
          <cell r="BB135" t="e">
            <v>#N/A</v>
          </cell>
          <cell r="BC135" t="e">
            <v>#N/A</v>
          </cell>
          <cell r="BD135" t="e">
            <v>#N/A</v>
          </cell>
          <cell r="BE135" t="e">
            <v>#N/A</v>
          </cell>
          <cell r="BF135" t="e">
            <v>#N/A</v>
          </cell>
          <cell r="BG135" t="e">
            <v>#N/A</v>
          </cell>
          <cell r="BH135" t="e">
            <v>#N/A</v>
          </cell>
          <cell r="BI135" t="e">
            <v>#N/A</v>
          </cell>
          <cell r="BJ135" t="e">
            <v>#N/A</v>
          </cell>
          <cell r="BK135" t="e">
            <v>#N/A</v>
          </cell>
          <cell r="BL135" t="e">
            <v>#N/A</v>
          </cell>
          <cell r="BM135" t="e">
            <v>#N/A</v>
          </cell>
          <cell r="BN135" t="e">
            <v>#N/A</v>
          </cell>
          <cell r="BO135" t="e">
            <v>#N/A</v>
          </cell>
          <cell r="BP135" t="e">
            <v>#N/A</v>
          </cell>
          <cell r="BQ135" t="e">
            <v>#N/A</v>
          </cell>
          <cell r="BR135" t="e">
            <v>#N/A</v>
          </cell>
          <cell r="BS135" t="e">
            <v>#N/A</v>
          </cell>
          <cell r="BT135" t="e">
            <v>#N/A</v>
          </cell>
          <cell r="BU135" t="e">
            <v>#N/A</v>
          </cell>
          <cell r="BV135" t="e">
            <v>#N/A</v>
          </cell>
          <cell r="BW135" t="e">
            <v>#N/A</v>
          </cell>
          <cell r="BX135" t="e">
            <v>#N/A</v>
          </cell>
          <cell r="BY135" t="e">
            <v>#N/A</v>
          </cell>
        </row>
        <row r="136">
          <cell r="B136" t="str">
            <v>Sales - % Middle East</v>
          </cell>
          <cell r="C136" t="str">
            <v>SALES_ME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 t="e">
            <v>#N/A</v>
          </cell>
          <cell r="K136" t="e">
            <v>#N/A</v>
          </cell>
          <cell r="L136" t="e">
            <v>#N/A</v>
          </cell>
          <cell r="M136" t="e">
            <v>#N/A</v>
          </cell>
          <cell r="N136" t="e">
            <v>#N/A</v>
          </cell>
          <cell r="O136" t="e">
            <v>#N/A</v>
          </cell>
          <cell r="P136" t="e">
            <v>#N/A</v>
          </cell>
          <cell r="Q136" t="e">
            <v>#N/A</v>
          </cell>
          <cell r="R136" t="e">
            <v>#N/A</v>
          </cell>
          <cell r="S136" t="e">
            <v>#N/A</v>
          </cell>
          <cell r="T136" t="e">
            <v>#N/A</v>
          </cell>
          <cell r="U136" t="e">
            <v>#N/A</v>
          </cell>
          <cell r="V136" t="e">
            <v>#N/A</v>
          </cell>
          <cell r="W136" t="e">
            <v>#N/A</v>
          </cell>
          <cell r="X136" t="e">
            <v>#N/A</v>
          </cell>
          <cell r="Z136" t="e">
            <v>#N/A</v>
          </cell>
          <cell r="AA136" t="e">
            <v>#N/A</v>
          </cell>
          <cell r="AB136" t="e">
            <v>#N/A</v>
          </cell>
          <cell r="AC136" t="e">
            <v>#N/A</v>
          </cell>
          <cell r="AD136" t="e">
            <v>#N/A</v>
          </cell>
          <cell r="AE136" t="e">
            <v>#N/A</v>
          </cell>
          <cell r="AF136" t="e">
            <v>#N/A</v>
          </cell>
          <cell r="AG136" t="e">
            <v>#N/A</v>
          </cell>
          <cell r="AH136" t="e">
            <v>#N/A</v>
          </cell>
          <cell r="AI136" t="e">
            <v>#N/A</v>
          </cell>
          <cell r="AJ136" t="e">
            <v>#N/A</v>
          </cell>
          <cell r="AK136" t="e">
            <v>#N/A</v>
          </cell>
          <cell r="AL136" t="e">
            <v>#N/A</v>
          </cell>
          <cell r="AM136" t="e">
            <v>#N/A</v>
          </cell>
          <cell r="AN136" t="e">
            <v>#N/A</v>
          </cell>
          <cell r="AO136" t="e">
            <v>#N/A</v>
          </cell>
          <cell r="AP136" t="e">
            <v>#N/A</v>
          </cell>
          <cell r="AQ136" t="e">
            <v>#N/A</v>
          </cell>
          <cell r="AR136" t="e">
            <v>#N/A</v>
          </cell>
          <cell r="AS136" t="e">
            <v>#N/A</v>
          </cell>
          <cell r="AT136" t="e">
            <v>#N/A</v>
          </cell>
          <cell r="AU136" t="e">
            <v>#N/A</v>
          </cell>
          <cell r="AV136" t="e">
            <v>#N/A</v>
          </cell>
          <cell r="AW136" t="e">
            <v>#N/A</v>
          </cell>
          <cell r="AX136" t="e">
            <v>#N/A</v>
          </cell>
          <cell r="AY136" t="e">
            <v>#N/A</v>
          </cell>
          <cell r="AZ136" t="e">
            <v>#N/A</v>
          </cell>
          <cell r="BA136" t="e">
            <v>#N/A</v>
          </cell>
          <cell r="BB136" t="e">
            <v>#N/A</v>
          </cell>
          <cell r="BC136" t="e">
            <v>#N/A</v>
          </cell>
          <cell r="BD136" t="e">
            <v>#N/A</v>
          </cell>
          <cell r="BE136" t="e">
            <v>#N/A</v>
          </cell>
          <cell r="BF136" t="e">
            <v>#N/A</v>
          </cell>
          <cell r="BG136" t="e">
            <v>#N/A</v>
          </cell>
          <cell r="BH136" t="e">
            <v>#N/A</v>
          </cell>
          <cell r="BI136" t="e">
            <v>#N/A</v>
          </cell>
          <cell r="BJ136" t="e">
            <v>#N/A</v>
          </cell>
          <cell r="BK136" t="e">
            <v>#N/A</v>
          </cell>
          <cell r="BL136" t="e">
            <v>#N/A</v>
          </cell>
          <cell r="BM136" t="e">
            <v>#N/A</v>
          </cell>
          <cell r="BN136" t="e">
            <v>#N/A</v>
          </cell>
          <cell r="BO136" t="e">
            <v>#N/A</v>
          </cell>
          <cell r="BP136" t="e">
            <v>#N/A</v>
          </cell>
          <cell r="BQ136" t="e">
            <v>#N/A</v>
          </cell>
          <cell r="BR136" t="e">
            <v>#N/A</v>
          </cell>
          <cell r="BS136" t="e">
            <v>#N/A</v>
          </cell>
          <cell r="BT136" t="e">
            <v>#N/A</v>
          </cell>
          <cell r="BU136" t="e">
            <v>#N/A</v>
          </cell>
          <cell r="BV136" t="e">
            <v>#N/A</v>
          </cell>
          <cell r="BW136" t="e">
            <v>#N/A</v>
          </cell>
          <cell r="BX136" t="e">
            <v>#N/A</v>
          </cell>
          <cell r="BY136" t="e">
            <v>#N/A</v>
          </cell>
        </row>
        <row r="137">
          <cell r="B137" t="str">
            <v>Sales - % Total Africa</v>
          </cell>
          <cell r="C137" t="str">
            <v>SALES_TOT_AFRICA</v>
          </cell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  <cell r="AV137" t="e">
            <v>#N/A</v>
          </cell>
          <cell r="AW137" t="e">
            <v>#N/A</v>
          </cell>
          <cell r="AX137" t="e">
            <v>#N/A</v>
          </cell>
          <cell r="AY137" t="e">
            <v>#N/A</v>
          </cell>
          <cell r="AZ137" t="e">
            <v>#N/A</v>
          </cell>
          <cell r="BA137" t="e">
            <v>#N/A</v>
          </cell>
          <cell r="BB137" t="e">
            <v>#N/A</v>
          </cell>
          <cell r="BC137" t="e">
            <v>#N/A</v>
          </cell>
          <cell r="BD137" t="e">
            <v>#N/A</v>
          </cell>
          <cell r="BE137" t="e">
            <v>#N/A</v>
          </cell>
          <cell r="BF137" t="e">
            <v>#N/A</v>
          </cell>
          <cell r="BG137" t="e">
            <v>#N/A</v>
          </cell>
          <cell r="BH137" t="e">
            <v>#N/A</v>
          </cell>
          <cell r="BI137" t="e">
            <v>#N/A</v>
          </cell>
          <cell r="BJ137" t="e">
            <v>#N/A</v>
          </cell>
          <cell r="BK137" t="e">
            <v>#N/A</v>
          </cell>
          <cell r="BL137" t="e">
            <v>#N/A</v>
          </cell>
          <cell r="BM137" t="e">
            <v>#N/A</v>
          </cell>
          <cell r="BN137" t="e">
            <v>#N/A</v>
          </cell>
          <cell r="BO137" t="e">
            <v>#N/A</v>
          </cell>
          <cell r="BP137" t="e">
            <v>#N/A</v>
          </cell>
          <cell r="BQ137" t="e">
            <v>#N/A</v>
          </cell>
          <cell r="BR137" t="e">
            <v>#N/A</v>
          </cell>
          <cell r="BS137" t="e">
            <v>#N/A</v>
          </cell>
          <cell r="BT137" t="e">
            <v>#N/A</v>
          </cell>
          <cell r="BU137" t="e">
            <v>#N/A</v>
          </cell>
          <cell r="BV137" t="e">
            <v>#N/A</v>
          </cell>
          <cell r="BW137" t="e">
            <v>#N/A</v>
          </cell>
          <cell r="BX137" t="e">
            <v>#N/A</v>
          </cell>
          <cell r="BY137" t="e">
            <v>#N/A</v>
          </cell>
        </row>
        <row r="138">
          <cell r="B138" t="str">
            <v>Sales - % Russia</v>
          </cell>
          <cell r="C138" t="str">
            <v>SALES_RUSSIA</v>
          </cell>
          <cell r="F138" t="e">
            <v>#N/A</v>
          </cell>
          <cell r="G138" t="e">
            <v>#N/A</v>
          </cell>
          <cell r="H138" t="e">
            <v>#N/A</v>
          </cell>
          <cell r="I138" t="e">
            <v>#N/A</v>
          </cell>
          <cell r="J138" t="e">
            <v>#N/A</v>
          </cell>
          <cell r="K138" t="e">
            <v>#N/A</v>
          </cell>
          <cell r="L138" t="e">
            <v>#N/A</v>
          </cell>
          <cell r="M138" t="e">
            <v>#N/A</v>
          </cell>
          <cell r="N138" t="e">
            <v>#N/A</v>
          </cell>
          <cell r="O138" t="e">
            <v>#N/A</v>
          </cell>
          <cell r="P138" t="e">
            <v>#N/A</v>
          </cell>
          <cell r="Q138" t="e">
            <v>#N/A</v>
          </cell>
          <cell r="R138" t="e">
            <v>#N/A</v>
          </cell>
          <cell r="S138" t="e">
            <v>#N/A</v>
          </cell>
          <cell r="T138" t="e">
            <v>#N/A</v>
          </cell>
          <cell r="U138" t="e">
            <v>#N/A</v>
          </cell>
          <cell r="V138" t="e">
            <v>#N/A</v>
          </cell>
          <cell r="W138" t="e">
            <v>#N/A</v>
          </cell>
          <cell r="X138" t="e">
            <v>#N/A</v>
          </cell>
          <cell r="Z138" t="e">
            <v>#N/A</v>
          </cell>
          <cell r="AA138" t="e">
            <v>#N/A</v>
          </cell>
          <cell r="AB138" t="e">
            <v>#N/A</v>
          </cell>
          <cell r="AC138" t="e">
            <v>#N/A</v>
          </cell>
          <cell r="AD138" t="e">
            <v>#N/A</v>
          </cell>
          <cell r="AE138" t="e">
            <v>#N/A</v>
          </cell>
          <cell r="AF138" t="e">
            <v>#N/A</v>
          </cell>
          <cell r="AG138" t="e">
            <v>#N/A</v>
          </cell>
          <cell r="AH138" t="e">
            <v>#N/A</v>
          </cell>
          <cell r="AI138" t="e">
            <v>#N/A</v>
          </cell>
          <cell r="AJ138" t="e">
            <v>#N/A</v>
          </cell>
          <cell r="AK138" t="e">
            <v>#N/A</v>
          </cell>
          <cell r="AL138" t="e">
            <v>#N/A</v>
          </cell>
          <cell r="AM138" t="e">
            <v>#N/A</v>
          </cell>
          <cell r="AN138" t="e">
            <v>#N/A</v>
          </cell>
          <cell r="AO138" t="e">
            <v>#N/A</v>
          </cell>
          <cell r="AP138" t="e">
            <v>#N/A</v>
          </cell>
          <cell r="AQ138" t="e">
            <v>#N/A</v>
          </cell>
          <cell r="AR138" t="e">
            <v>#N/A</v>
          </cell>
          <cell r="AS138" t="e">
            <v>#N/A</v>
          </cell>
          <cell r="AT138" t="e">
            <v>#N/A</v>
          </cell>
          <cell r="AU138" t="e">
            <v>#N/A</v>
          </cell>
          <cell r="AV138" t="e">
            <v>#N/A</v>
          </cell>
          <cell r="AW138" t="e">
            <v>#N/A</v>
          </cell>
          <cell r="AX138" t="e">
            <v>#N/A</v>
          </cell>
          <cell r="AY138" t="e">
            <v>#N/A</v>
          </cell>
          <cell r="AZ138" t="e">
            <v>#N/A</v>
          </cell>
          <cell r="BA138" t="e">
            <v>#N/A</v>
          </cell>
          <cell r="BB138" t="e">
            <v>#N/A</v>
          </cell>
          <cell r="BC138" t="e">
            <v>#N/A</v>
          </cell>
          <cell r="BD138" t="e">
            <v>#N/A</v>
          </cell>
          <cell r="BE138" t="e">
            <v>#N/A</v>
          </cell>
          <cell r="BF138" t="e">
            <v>#N/A</v>
          </cell>
          <cell r="BG138" t="e">
            <v>#N/A</v>
          </cell>
          <cell r="BH138" t="e">
            <v>#N/A</v>
          </cell>
          <cell r="BI138" t="e">
            <v>#N/A</v>
          </cell>
          <cell r="BJ138" t="e">
            <v>#N/A</v>
          </cell>
          <cell r="BK138" t="e">
            <v>#N/A</v>
          </cell>
          <cell r="BL138" t="e">
            <v>#N/A</v>
          </cell>
          <cell r="BM138" t="e">
            <v>#N/A</v>
          </cell>
          <cell r="BN138" t="e">
            <v>#N/A</v>
          </cell>
          <cell r="BO138" t="e">
            <v>#N/A</v>
          </cell>
          <cell r="BP138" t="e">
            <v>#N/A</v>
          </cell>
          <cell r="BQ138" t="e">
            <v>#N/A</v>
          </cell>
          <cell r="BR138" t="e">
            <v>#N/A</v>
          </cell>
          <cell r="BS138" t="e">
            <v>#N/A</v>
          </cell>
          <cell r="BT138" t="e">
            <v>#N/A</v>
          </cell>
          <cell r="BU138" t="e">
            <v>#N/A</v>
          </cell>
          <cell r="BV138" t="e">
            <v>#N/A</v>
          </cell>
          <cell r="BW138" t="e">
            <v>#N/A</v>
          </cell>
          <cell r="BX138" t="e">
            <v>#N/A</v>
          </cell>
          <cell r="BY138" t="e">
            <v>#N/A</v>
          </cell>
        </row>
        <row r="139">
          <cell r="B139" t="str">
            <v>Sales - % Other EMEA</v>
          </cell>
          <cell r="C139" t="str">
            <v>SALES_OTH_EMEA</v>
          </cell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  <cell r="AV139" t="e">
            <v>#N/A</v>
          </cell>
          <cell r="AW139" t="e">
            <v>#N/A</v>
          </cell>
          <cell r="AX139" t="e">
            <v>#N/A</v>
          </cell>
          <cell r="AY139" t="e">
            <v>#N/A</v>
          </cell>
          <cell r="AZ139" t="e">
            <v>#N/A</v>
          </cell>
          <cell r="BA139" t="e">
            <v>#N/A</v>
          </cell>
          <cell r="BB139" t="e">
            <v>#N/A</v>
          </cell>
          <cell r="BC139" t="e">
            <v>#N/A</v>
          </cell>
          <cell r="BD139" t="e">
            <v>#N/A</v>
          </cell>
          <cell r="BE139" t="e">
            <v>#N/A</v>
          </cell>
          <cell r="BF139" t="e">
            <v>#N/A</v>
          </cell>
          <cell r="BG139" t="e">
            <v>#N/A</v>
          </cell>
          <cell r="BH139" t="e">
            <v>#N/A</v>
          </cell>
          <cell r="BI139" t="e">
            <v>#N/A</v>
          </cell>
          <cell r="BJ139" t="e">
            <v>#N/A</v>
          </cell>
          <cell r="BK139" t="e">
            <v>#N/A</v>
          </cell>
          <cell r="BL139" t="e">
            <v>#N/A</v>
          </cell>
          <cell r="BM139" t="e">
            <v>#N/A</v>
          </cell>
          <cell r="BN139" t="e">
            <v>#N/A</v>
          </cell>
          <cell r="BO139" t="e">
            <v>#N/A</v>
          </cell>
          <cell r="BP139" t="e">
            <v>#N/A</v>
          </cell>
          <cell r="BQ139" t="e">
            <v>#N/A</v>
          </cell>
          <cell r="BR139" t="e">
            <v>#N/A</v>
          </cell>
          <cell r="BS139" t="e">
            <v>#N/A</v>
          </cell>
          <cell r="BT139" t="e">
            <v>#N/A</v>
          </cell>
          <cell r="BU139" t="e">
            <v>#N/A</v>
          </cell>
          <cell r="BV139" t="e">
            <v>#N/A</v>
          </cell>
          <cell r="BW139" t="e">
            <v>#N/A</v>
          </cell>
          <cell r="BX139" t="e">
            <v>#N/A</v>
          </cell>
          <cell r="BY139" t="e">
            <v>#N/A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F140" t="e">
            <v>#N/A</v>
          </cell>
          <cell r="G140" t="e">
            <v>#N/A</v>
          </cell>
          <cell r="H140" t="e">
            <v>#N/A</v>
          </cell>
          <cell r="I140" t="e">
            <v>#N/A</v>
          </cell>
          <cell r="J140" t="e">
            <v>#N/A</v>
          </cell>
          <cell r="K140" t="e">
            <v>#N/A</v>
          </cell>
          <cell r="L140" t="e">
            <v>#N/A</v>
          </cell>
          <cell r="M140" t="e">
            <v>#N/A</v>
          </cell>
          <cell r="N140" t="e">
            <v>#N/A</v>
          </cell>
          <cell r="O140" t="e">
            <v>#N/A</v>
          </cell>
          <cell r="P140" t="e">
            <v>#N/A</v>
          </cell>
          <cell r="Q140" t="e">
            <v>#N/A</v>
          </cell>
          <cell r="R140" t="e">
            <v>#N/A</v>
          </cell>
          <cell r="S140" t="e">
            <v>#N/A</v>
          </cell>
          <cell r="T140" t="e">
            <v>#N/A</v>
          </cell>
          <cell r="U140" t="e">
            <v>#N/A</v>
          </cell>
          <cell r="V140" t="e">
            <v>#N/A</v>
          </cell>
          <cell r="W140" t="e">
            <v>#N/A</v>
          </cell>
          <cell r="X140" t="e">
            <v>#N/A</v>
          </cell>
          <cell r="Z140" t="e">
            <v>#N/A</v>
          </cell>
          <cell r="AA140" t="e">
            <v>#N/A</v>
          </cell>
          <cell r="AB140" t="e">
            <v>#N/A</v>
          </cell>
          <cell r="AC140" t="e">
            <v>#N/A</v>
          </cell>
          <cell r="AD140" t="e">
            <v>#N/A</v>
          </cell>
          <cell r="AE140" t="e">
            <v>#N/A</v>
          </cell>
          <cell r="AF140" t="e">
            <v>#N/A</v>
          </cell>
          <cell r="AG140" t="e">
            <v>#N/A</v>
          </cell>
          <cell r="AH140" t="e">
            <v>#N/A</v>
          </cell>
          <cell r="AI140" t="e">
            <v>#N/A</v>
          </cell>
          <cell r="AJ140" t="e">
            <v>#N/A</v>
          </cell>
          <cell r="AK140" t="e">
            <v>#N/A</v>
          </cell>
          <cell r="AL140" t="e">
            <v>#N/A</v>
          </cell>
          <cell r="AM140" t="e">
            <v>#N/A</v>
          </cell>
          <cell r="AN140" t="e">
            <v>#N/A</v>
          </cell>
          <cell r="AO140" t="e">
            <v>#N/A</v>
          </cell>
          <cell r="AP140" t="e">
            <v>#N/A</v>
          </cell>
          <cell r="AQ140" t="e">
            <v>#N/A</v>
          </cell>
          <cell r="AR140" t="e">
            <v>#N/A</v>
          </cell>
          <cell r="AS140" t="e">
            <v>#N/A</v>
          </cell>
          <cell r="AT140" t="e">
            <v>#N/A</v>
          </cell>
          <cell r="AU140" t="e">
            <v>#N/A</v>
          </cell>
          <cell r="AV140" t="e">
            <v>#N/A</v>
          </cell>
          <cell r="AW140" t="e">
            <v>#N/A</v>
          </cell>
          <cell r="AX140" t="e">
            <v>#N/A</v>
          </cell>
          <cell r="AY140" t="e">
            <v>#N/A</v>
          </cell>
          <cell r="AZ140" t="e">
            <v>#N/A</v>
          </cell>
          <cell r="BA140" t="e">
            <v>#N/A</v>
          </cell>
          <cell r="BB140" t="e">
            <v>#N/A</v>
          </cell>
          <cell r="BC140" t="e">
            <v>#N/A</v>
          </cell>
          <cell r="BD140" t="e">
            <v>#N/A</v>
          </cell>
          <cell r="BE140" t="e">
            <v>#N/A</v>
          </cell>
          <cell r="BF140" t="e">
            <v>#N/A</v>
          </cell>
          <cell r="BG140" t="e">
            <v>#N/A</v>
          </cell>
          <cell r="BH140" t="e">
            <v>#N/A</v>
          </cell>
          <cell r="BI140" t="e">
            <v>#N/A</v>
          </cell>
          <cell r="BJ140" t="e">
            <v>#N/A</v>
          </cell>
          <cell r="BK140" t="e">
            <v>#N/A</v>
          </cell>
          <cell r="BL140" t="e">
            <v>#N/A</v>
          </cell>
          <cell r="BM140" t="e">
            <v>#N/A</v>
          </cell>
          <cell r="BN140" t="e">
            <v>#N/A</v>
          </cell>
          <cell r="BO140" t="e">
            <v>#N/A</v>
          </cell>
          <cell r="BP140" t="e">
            <v>#N/A</v>
          </cell>
          <cell r="BQ140" t="e">
            <v>#N/A</v>
          </cell>
          <cell r="BR140" t="e">
            <v>#N/A</v>
          </cell>
          <cell r="BS140" t="e">
            <v>#N/A</v>
          </cell>
          <cell r="BT140" t="e">
            <v>#N/A</v>
          </cell>
          <cell r="BU140" t="e">
            <v>#N/A</v>
          </cell>
          <cell r="BV140" t="e">
            <v>#N/A</v>
          </cell>
          <cell r="BW140" t="e">
            <v>#N/A</v>
          </cell>
          <cell r="BX140" t="e">
            <v>#N/A</v>
          </cell>
          <cell r="BY140" t="e">
            <v>#N/A</v>
          </cell>
        </row>
        <row r="141">
          <cell r="B141" t="str">
            <v>Sales - % Japan</v>
          </cell>
          <cell r="C141" t="str">
            <v>SALES_JAPAN</v>
          </cell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  <cell r="AV141" t="e">
            <v>#N/A</v>
          </cell>
          <cell r="AW141" t="e">
            <v>#N/A</v>
          </cell>
          <cell r="AX141" t="e">
            <v>#N/A</v>
          </cell>
          <cell r="AY141" t="e">
            <v>#N/A</v>
          </cell>
          <cell r="AZ141" t="e">
            <v>#N/A</v>
          </cell>
          <cell r="BA141" t="e">
            <v>#N/A</v>
          </cell>
          <cell r="BB141" t="e">
            <v>#N/A</v>
          </cell>
          <cell r="BC141" t="e">
            <v>#N/A</v>
          </cell>
          <cell r="BD141" t="e">
            <v>#N/A</v>
          </cell>
          <cell r="BE141" t="e">
            <v>#N/A</v>
          </cell>
          <cell r="BF141" t="e">
            <v>#N/A</v>
          </cell>
          <cell r="BG141" t="e">
            <v>#N/A</v>
          </cell>
          <cell r="BH141" t="e">
            <v>#N/A</v>
          </cell>
          <cell r="BI141" t="e">
            <v>#N/A</v>
          </cell>
          <cell r="BJ141" t="e">
            <v>#N/A</v>
          </cell>
          <cell r="BK141" t="e">
            <v>#N/A</v>
          </cell>
          <cell r="BL141" t="e">
            <v>#N/A</v>
          </cell>
          <cell r="BM141" t="e">
            <v>#N/A</v>
          </cell>
          <cell r="BN141" t="e">
            <v>#N/A</v>
          </cell>
          <cell r="BO141" t="e">
            <v>#N/A</v>
          </cell>
          <cell r="BP141" t="e">
            <v>#N/A</v>
          </cell>
          <cell r="BQ141" t="e">
            <v>#N/A</v>
          </cell>
          <cell r="BR141" t="e">
            <v>#N/A</v>
          </cell>
          <cell r="BS141" t="e">
            <v>#N/A</v>
          </cell>
          <cell r="BT141" t="e">
            <v>#N/A</v>
          </cell>
          <cell r="BU141" t="e">
            <v>#N/A</v>
          </cell>
          <cell r="BV141" t="e">
            <v>#N/A</v>
          </cell>
          <cell r="BW141" t="e">
            <v>#N/A</v>
          </cell>
          <cell r="BX141" t="e">
            <v>#N/A</v>
          </cell>
          <cell r="BY141" t="e">
            <v>#N/A</v>
          </cell>
        </row>
        <row r="142">
          <cell r="B142" t="str">
            <v>Sales - % China</v>
          </cell>
          <cell r="C142" t="str">
            <v>SALES_CHINA</v>
          </cell>
          <cell r="F142" t="e">
            <v>#N/A</v>
          </cell>
          <cell r="G142" t="e">
            <v>#N/A</v>
          </cell>
          <cell r="H142" t="e">
            <v>#N/A</v>
          </cell>
          <cell r="I142" t="e">
            <v>#N/A</v>
          </cell>
          <cell r="J142" t="e">
            <v>#N/A</v>
          </cell>
          <cell r="K142" t="e">
            <v>#N/A</v>
          </cell>
          <cell r="L142" t="e">
            <v>#N/A</v>
          </cell>
          <cell r="M142" t="e">
            <v>#N/A</v>
          </cell>
          <cell r="N142" t="e">
            <v>#N/A</v>
          </cell>
          <cell r="O142" t="e">
            <v>#N/A</v>
          </cell>
          <cell r="P142" t="e">
            <v>#N/A</v>
          </cell>
          <cell r="Q142" t="e">
            <v>#N/A</v>
          </cell>
          <cell r="R142" t="e">
            <v>#N/A</v>
          </cell>
          <cell r="S142" t="e">
            <v>#N/A</v>
          </cell>
          <cell r="T142" t="e">
            <v>#N/A</v>
          </cell>
          <cell r="U142" t="e">
            <v>#N/A</v>
          </cell>
          <cell r="V142" t="e">
            <v>#N/A</v>
          </cell>
          <cell r="W142" t="e">
            <v>#N/A</v>
          </cell>
          <cell r="X142" t="e">
            <v>#N/A</v>
          </cell>
          <cell r="Z142" t="e">
            <v>#N/A</v>
          </cell>
          <cell r="AA142" t="e">
            <v>#N/A</v>
          </cell>
          <cell r="AB142" t="e">
            <v>#N/A</v>
          </cell>
          <cell r="AC142" t="e">
            <v>#N/A</v>
          </cell>
          <cell r="AD142" t="e">
            <v>#N/A</v>
          </cell>
          <cell r="AE142" t="e">
            <v>#N/A</v>
          </cell>
          <cell r="AF142" t="e">
            <v>#N/A</v>
          </cell>
          <cell r="AG142" t="e">
            <v>#N/A</v>
          </cell>
          <cell r="AH142" t="e">
            <v>#N/A</v>
          </cell>
          <cell r="AI142" t="e">
            <v>#N/A</v>
          </cell>
          <cell r="AJ142" t="e">
            <v>#N/A</v>
          </cell>
          <cell r="AK142" t="e">
            <v>#N/A</v>
          </cell>
          <cell r="AL142" t="e">
            <v>#N/A</v>
          </cell>
          <cell r="AM142" t="e">
            <v>#N/A</v>
          </cell>
          <cell r="AN142" t="e">
            <v>#N/A</v>
          </cell>
          <cell r="AO142" t="e">
            <v>#N/A</v>
          </cell>
          <cell r="AP142" t="e">
            <v>#N/A</v>
          </cell>
          <cell r="AQ142" t="e">
            <v>#N/A</v>
          </cell>
          <cell r="AR142" t="e">
            <v>#N/A</v>
          </cell>
          <cell r="AS142" t="e">
            <v>#N/A</v>
          </cell>
          <cell r="AT142" t="e">
            <v>#N/A</v>
          </cell>
          <cell r="AU142" t="e">
            <v>#N/A</v>
          </cell>
          <cell r="AV142" t="e">
            <v>#N/A</v>
          </cell>
          <cell r="AW142" t="e">
            <v>#N/A</v>
          </cell>
          <cell r="AX142" t="e">
            <v>#N/A</v>
          </cell>
          <cell r="AY142" t="e">
            <v>#N/A</v>
          </cell>
          <cell r="AZ142" t="e">
            <v>#N/A</v>
          </cell>
          <cell r="BA142" t="e">
            <v>#N/A</v>
          </cell>
          <cell r="BB142" t="e">
            <v>#N/A</v>
          </cell>
          <cell r="BC142" t="e">
            <v>#N/A</v>
          </cell>
          <cell r="BD142" t="e">
            <v>#N/A</v>
          </cell>
          <cell r="BE142" t="e">
            <v>#N/A</v>
          </cell>
          <cell r="BF142" t="e">
            <v>#N/A</v>
          </cell>
          <cell r="BG142" t="e">
            <v>#N/A</v>
          </cell>
          <cell r="BH142" t="e">
            <v>#N/A</v>
          </cell>
          <cell r="BI142" t="e">
            <v>#N/A</v>
          </cell>
          <cell r="BJ142" t="e">
            <v>#N/A</v>
          </cell>
          <cell r="BK142" t="e">
            <v>#N/A</v>
          </cell>
          <cell r="BL142" t="e">
            <v>#N/A</v>
          </cell>
          <cell r="BM142" t="e">
            <v>#N/A</v>
          </cell>
          <cell r="BN142" t="e">
            <v>#N/A</v>
          </cell>
          <cell r="BO142" t="e">
            <v>#N/A</v>
          </cell>
          <cell r="BP142" t="e">
            <v>#N/A</v>
          </cell>
          <cell r="BQ142" t="e">
            <v>#N/A</v>
          </cell>
          <cell r="BR142" t="e">
            <v>#N/A</v>
          </cell>
          <cell r="BS142" t="e">
            <v>#N/A</v>
          </cell>
          <cell r="BT142" t="e">
            <v>#N/A</v>
          </cell>
          <cell r="BU142" t="e">
            <v>#N/A</v>
          </cell>
          <cell r="BV142" t="e">
            <v>#N/A</v>
          </cell>
          <cell r="BW142" t="e">
            <v>#N/A</v>
          </cell>
          <cell r="BX142" t="e">
            <v>#N/A</v>
          </cell>
          <cell r="BY142" t="e">
            <v>#N/A</v>
          </cell>
        </row>
        <row r="143">
          <cell r="B143" t="str">
            <v>Sales - % India</v>
          </cell>
          <cell r="C143" t="str">
            <v>SALES_INDIA</v>
          </cell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  <cell r="AV143" t="e">
            <v>#N/A</v>
          </cell>
          <cell r="AW143" t="e">
            <v>#N/A</v>
          </cell>
          <cell r="AX143" t="e">
            <v>#N/A</v>
          </cell>
          <cell r="AY143" t="e">
            <v>#N/A</v>
          </cell>
          <cell r="AZ143" t="e">
            <v>#N/A</v>
          </cell>
          <cell r="BA143" t="e">
            <v>#N/A</v>
          </cell>
          <cell r="BB143" t="e">
            <v>#N/A</v>
          </cell>
          <cell r="BC143" t="e">
            <v>#N/A</v>
          </cell>
          <cell r="BD143" t="e">
            <v>#N/A</v>
          </cell>
          <cell r="BE143" t="e">
            <v>#N/A</v>
          </cell>
          <cell r="BF143" t="e">
            <v>#N/A</v>
          </cell>
          <cell r="BG143" t="e">
            <v>#N/A</v>
          </cell>
          <cell r="BH143" t="e">
            <v>#N/A</v>
          </cell>
          <cell r="BI143" t="e">
            <v>#N/A</v>
          </cell>
          <cell r="BJ143" t="e">
            <v>#N/A</v>
          </cell>
          <cell r="BK143" t="e">
            <v>#N/A</v>
          </cell>
          <cell r="BL143" t="e">
            <v>#N/A</v>
          </cell>
          <cell r="BM143" t="e">
            <v>#N/A</v>
          </cell>
          <cell r="BN143" t="e">
            <v>#N/A</v>
          </cell>
          <cell r="BO143" t="e">
            <v>#N/A</v>
          </cell>
          <cell r="BP143" t="e">
            <v>#N/A</v>
          </cell>
          <cell r="BQ143" t="e">
            <v>#N/A</v>
          </cell>
          <cell r="BR143" t="e">
            <v>#N/A</v>
          </cell>
          <cell r="BS143" t="e">
            <v>#N/A</v>
          </cell>
          <cell r="BT143" t="e">
            <v>#N/A</v>
          </cell>
          <cell r="BU143" t="e">
            <v>#N/A</v>
          </cell>
          <cell r="BV143" t="e">
            <v>#N/A</v>
          </cell>
          <cell r="BW143" t="e">
            <v>#N/A</v>
          </cell>
          <cell r="BX143" t="e">
            <v>#N/A</v>
          </cell>
          <cell r="BY143" t="e">
            <v>#N/A</v>
          </cell>
        </row>
        <row r="144">
          <cell r="B144" t="str">
            <v>Sales - % South Korea</v>
          </cell>
          <cell r="C144" t="str">
            <v>SALES_SK</v>
          </cell>
          <cell r="F144" t="e">
            <v>#N/A</v>
          </cell>
          <cell r="G144" t="e">
            <v>#N/A</v>
          </cell>
          <cell r="H144" t="e">
            <v>#N/A</v>
          </cell>
          <cell r="I144" t="e">
            <v>#N/A</v>
          </cell>
          <cell r="J144" t="e">
            <v>#N/A</v>
          </cell>
          <cell r="K144" t="e">
            <v>#N/A</v>
          </cell>
          <cell r="L144" t="e">
            <v>#N/A</v>
          </cell>
          <cell r="M144" t="e">
            <v>#N/A</v>
          </cell>
          <cell r="N144" t="e">
            <v>#N/A</v>
          </cell>
          <cell r="O144" t="e">
            <v>#N/A</v>
          </cell>
          <cell r="P144" t="e">
            <v>#N/A</v>
          </cell>
          <cell r="Q144" t="e">
            <v>#N/A</v>
          </cell>
          <cell r="R144" t="e">
            <v>#N/A</v>
          </cell>
          <cell r="S144" t="e">
            <v>#N/A</v>
          </cell>
          <cell r="T144" t="e">
            <v>#N/A</v>
          </cell>
          <cell r="U144" t="e">
            <v>#N/A</v>
          </cell>
          <cell r="V144" t="e">
            <v>#N/A</v>
          </cell>
          <cell r="W144" t="e">
            <v>#N/A</v>
          </cell>
          <cell r="X144" t="e">
            <v>#N/A</v>
          </cell>
          <cell r="Z144" t="e">
            <v>#N/A</v>
          </cell>
          <cell r="AA144" t="e">
            <v>#N/A</v>
          </cell>
          <cell r="AB144" t="e">
            <v>#N/A</v>
          </cell>
          <cell r="AC144" t="e">
            <v>#N/A</v>
          </cell>
          <cell r="AD144" t="e">
            <v>#N/A</v>
          </cell>
          <cell r="AE144" t="e">
            <v>#N/A</v>
          </cell>
          <cell r="AF144" t="e">
            <v>#N/A</v>
          </cell>
          <cell r="AG144" t="e">
            <v>#N/A</v>
          </cell>
          <cell r="AH144" t="e">
            <v>#N/A</v>
          </cell>
          <cell r="AI144" t="e">
            <v>#N/A</v>
          </cell>
          <cell r="AJ144" t="e">
            <v>#N/A</v>
          </cell>
          <cell r="AK144" t="e">
            <v>#N/A</v>
          </cell>
          <cell r="AL144" t="e">
            <v>#N/A</v>
          </cell>
          <cell r="AM144" t="e">
            <v>#N/A</v>
          </cell>
          <cell r="AN144" t="e">
            <v>#N/A</v>
          </cell>
          <cell r="AO144" t="e">
            <v>#N/A</v>
          </cell>
          <cell r="AP144" t="e">
            <v>#N/A</v>
          </cell>
          <cell r="AQ144" t="e">
            <v>#N/A</v>
          </cell>
          <cell r="AR144" t="e">
            <v>#N/A</v>
          </cell>
          <cell r="AS144" t="e">
            <v>#N/A</v>
          </cell>
          <cell r="AT144" t="e">
            <v>#N/A</v>
          </cell>
          <cell r="AU144" t="e">
            <v>#N/A</v>
          </cell>
          <cell r="AV144" t="e">
            <v>#N/A</v>
          </cell>
          <cell r="AW144" t="e">
            <v>#N/A</v>
          </cell>
          <cell r="AX144" t="e">
            <v>#N/A</v>
          </cell>
          <cell r="AY144" t="e">
            <v>#N/A</v>
          </cell>
          <cell r="AZ144" t="e">
            <v>#N/A</v>
          </cell>
          <cell r="BA144" t="e">
            <v>#N/A</v>
          </cell>
          <cell r="BB144" t="e">
            <v>#N/A</v>
          </cell>
          <cell r="BC144" t="e">
            <v>#N/A</v>
          </cell>
          <cell r="BD144" t="e">
            <v>#N/A</v>
          </cell>
          <cell r="BE144" t="e">
            <v>#N/A</v>
          </cell>
          <cell r="BF144" t="e">
            <v>#N/A</v>
          </cell>
          <cell r="BG144" t="e">
            <v>#N/A</v>
          </cell>
          <cell r="BH144" t="e">
            <v>#N/A</v>
          </cell>
          <cell r="BI144" t="e">
            <v>#N/A</v>
          </cell>
          <cell r="BJ144" t="e">
            <v>#N/A</v>
          </cell>
          <cell r="BK144" t="e">
            <v>#N/A</v>
          </cell>
          <cell r="BL144" t="e">
            <v>#N/A</v>
          </cell>
          <cell r="BM144" t="e">
            <v>#N/A</v>
          </cell>
          <cell r="BN144" t="e">
            <v>#N/A</v>
          </cell>
          <cell r="BO144" t="e">
            <v>#N/A</v>
          </cell>
          <cell r="BP144" t="e">
            <v>#N/A</v>
          </cell>
          <cell r="BQ144" t="e">
            <v>#N/A</v>
          </cell>
          <cell r="BR144" t="e">
            <v>#N/A</v>
          </cell>
          <cell r="BS144" t="e">
            <v>#N/A</v>
          </cell>
          <cell r="BT144" t="e">
            <v>#N/A</v>
          </cell>
          <cell r="BU144" t="e">
            <v>#N/A</v>
          </cell>
          <cell r="BV144" t="e">
            <v>#N/A</v>
          </cell>
          <cell r="BW144" t="e">
            <v>#N/A</v>
          </cell>
          <cell r="BX144" t="e">
            <v>#N/A</v>
          </cell>
          <cell r="BY144" t="e">
            <v>#N/A</v>
          </cell>
        </row>
        <row r="145">
          <cell r="B145" t="str">
            <v>Sales - % Taiwan</v>
          </cell>
          <cell r="C145" t="str">
            <v>SALES_TAIWAN</v>
          </cell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  <cell r="AV145" t="e">
            <v>#N/A</v>
          </cell>
          <cell r="AW145" t="e">
            <v>#N/A</v>
          </cell>
          <cell r="AX145" t="e">
            <v>#N/A</v>
          </cell>
          <cell r="AY145" t="e">
            <v>#N/A</v>
          </cell>
          <cell r="AZ145" t="e">
            <v>#N/A</v>
          </cell>
          <cell r="BA145" t="e">
            <v>#N/A</v>
          </cell>
          <cell r="BB145" t="e">
            <v>#N/A</v>
          </cell>
          <cell r="BC145" t="e">
            <v>#N/A</v>
          </cell>
          <cell r="BD145" t="e">
            <v>#N/A</v>
          </cell>
          <cell r="BE145" t="e">
            <v>#N/A</v>
          </cell>
          <cell r="BF145" t="e">
            <v>#N/A</v>
          </cell>
          <cell r="BG145" t="e">
            <v>#N/A</v>
          </cell>
          <cell r="BH145" t="e">
            <v>#N/A</v>
          </cell>
          <cell r="BI145" t="e">
            <v>#N/A</v>
          </cell>
          <cell r="BJ145" t="e">
            <v>#N/A</v>
          </cell>
          <cell r="BK145" t="e">
            <v>#N/A</v>
          </cell>
          <cell r="BL145" t="e">
            <v>#N/A</v>
          </cell>
          <cell r="BM145" t="e">
            <v>#N/A</v>
          </cell>
          <cell r="BN145" t="e">
            <v>#N/A</v>
          </cell>
          <cell r="BO145" t="e">
            <v>#N/A</v>
          </cell>
          <cell r="BP145" t="e">
            <v>#N/A</v>
          </cell>
          <cell r="BQ145" t="e">
            <v>#N/A</v>
          </cell>
          <cell r="BR145" t="e">
            <v>#N/A</v>
          </cell>
          <cell r="BS145" t="e">
            <v>#N/A</v>
          </cell>
          <cell r="BT145" t="e">
            <v>#N/A</v>
          </cell>
          <cell r="BU145" t="e">
            <v>#N/A</v>
          </cell>
          <cell r="BV145" t="e">
            <v>#N/A</v>
          </cell>
          <cell r="BW145" t="e">
            <v>#N/A</v>
          </cell>
          <cell r="BX145" t="e">
            <v>#N/A</v>
          </cell>
          <cell r="BY145" t="e">
            <v>#N/A</v>
          </cell>
        </row>
        <row r="148">
          <cell r="B148" t="str">
            <v>Sales - % Other Asia</v>
          </cell>
          <cell r="C148" t="str">
            <v>SALES_OTH_AEJ</v>
          </cell>
          <cell r="F148" t="e">
            <v>#N/A</v>
          </cell>
          <cell r="G148" t="e">
            <v>#N/A</v>
          </cell>
          <cell r="H148" t="e">
            <v>#N/A</v>
          </cell>
          <cell r="I148" t="e">
            <v>#N/A</v>
          </cell>
          <cell r="J148" t="e">
            <v>#N/A</v>
          </cell>
          <cell r="K148" t="e">
            <v>#N/A</v>
          </cell>
          <cell r="L148" t="e">
            <v>#N/A</v>
          </cell>
          <cell r="M148" t="e">
            <v>#N/A</v>
          </cell>
          <cell r="N148" t="e">
            <v>#N/A</v>
          </cell>
          <cell r="O148" t="e">
            <v>#N/A</v>
          </cell>
          <cell r="P148" t="e">
            <v>#N/A</v>
          </cell>
          <cell r="Q148" t="e">
            <v>#N/A</v>
          </cell>
          <cell r="R148" t="e">
            <v>#N/A</v>
          </cell>
          <cell r="S148" t="e">
            <v>#N/A</v>
          </cell>
          <cell r="T148" t="e">
            <v>#N/A</v>
          </cell>
          <cell r="U148" t="e">
            <v>#N/A</v>
          </cell>
          <cell r="V148" t="e">
            <v>#N/A</v>
          </cell>
          <cell r="W148" t="e">
            <v>#N/A</v>
          </cell>
          <cell r="X148" t="e">
            <v>#N/A</v>
          </cell>
          <cell r="Z148" t="e">
            <v>#N/A</v>
          </cell>
          <cell r="AA148" t="e">
            <v>#N/A</v>
          </cell>
          <cell r="AB148" t="e">
            <v>#N/A</v>
          </cell>
          <cell r="AC148" t="e">
            <v>#N/A</v>
          </cell>
          <cell r="AD148" t="e">
            <v>#N/A</v>
          </cell>
          <cell r="AE148" t="e">
            <v>#N/A</v>
          </cell>
          <cell r="AF148" t="e">
            <v>#N/A</v>
          </cell>
          <cell r="AG148" t="e">
            <v>#N/A</v>
          </cell>
          <cell r="AH148" t="e">
            <v>#N/A</v>
          </cell>
          <cell r="AI148" t="e">
            <v>#N/A</v>
          </cell>
          <cell r="AJ148" t="e">
            <v>#N/A</v>
          </cell>
          <cell r="AK148" t="e">
            <v>#N/A</v>
          </cell>
          <cell r="AL148" t="e">
            <v>#N/A</v>
          </cell>
          <cell r="AM148" t="e">
            <v>#N/A</v>
          </cell>
          <cell r="AN148" t="e">
            <v>#N/A</v>
          </cell>
          <cell r="AO148" t="e">
            <v>#N/A</v>
          </cell>
          <cell r="AP148" t="e">
            <v>#N/A</v>
          </cell>
          <cell r="AQ148" t="e">
            <v>#N/A</v>
          </cell>
          <cell r="AR148" t="e">
            <v>#N/A</v>
          </cell>
          <cell r="AS148" t="e">
            <v>#N/A</v>
          </cell>
          <cell r="AT148" t="e">
            <v>#N/A</v>
          </cell>
          <cell r="AU148" t="e">
            <v>#N/A</v>
          </cell>
          <cell r="AV148" t="e">
            <v>#N/A</v>
          </cell>
          <cell r="AW148" t="e">
            <v>#N/A</v>
          </cell>
          <cell r="AX148" t="e">
            <v>#N/A</v>
          </cell>
          <cell r="AY148" t="e">
            <v>#N/A</v>
          </cell>
          <cell r="AZ148" t="e">
            <v>#N/A</v>
          </cell>
          <cell r="BA148" t="e">
            <v>#N/A</v>
          </cell>
          <cell r="BB148" t="e">
            <v>#N/A</v>
          </cell>
          <cell r="BC148" t="e">
            <v>#N/A</v>
          </cell>
          <cell r="BD148" t="e">
            <v>#N/A</v>
          </cell>
          <cell r="BE148" t="e">
            <v>#N/A</v>
          </cell>
          <cell r="BF148" t="e">
            <v>#N/A</v>
          </cell>
          <cell r="BG148" t="e">
            <v>#N/A</v>
          </cell>
          <cell r="BH148" t="e">
            <v>#N/A</v>
          </cell>
          <cell r="BI148" t="e">
            <v>#N/A</v>
          </cell>
          <cell r="BJ148" t="e">
            <v>#N/A</v>
          </cell>
          <cell r="BK148" t="e">
            <v>#N/A</v>
          </cell>
          <cell r="BL148" t="e">
            <v>#N/A</v>
          </cell>
          <cell r="BM148" t="e">
            <v>#N/A</v>
          </cell>
          <cell r="BN148" t="e">
            <v>#N/A</v>
          </cell>
          <cell r="BO148" t="e">
            <v>#N/A</v>
          </cell>
          <cell r="BP148" t="e">
            <v>#N/A</v>
          </cell>
          <cell r="BQ148" t="e">
            <v>#N/A</v>
          </cell>
          <cell r="BR148" t="e">
            <v>#N/A</v>
          </cell>
          <cell r="BS148" t="e">
            <v>#N/A</v>
          </cell>
          <cell r="BT148" t="e">
            <v>#N/A</v>
          </cell>
          <cell r="BU148" t="e">
            <v>#N/A</v>
          </cell>
          <cell r="BV148" t="e">
            <v>#N/A</v>
          </cell>
          <cell r="BW148" t="e">
            <v>#N/A</v>
          </cell>
          <cell r="BX148" t="e">
            <v>#N/A</v>
          </cell>
          <cell r="BY148" t="e">
            <v>#N/A</v>
          </cell>
        </row>
        <row r="149">
          <cell r="B149" t="str">
            <v>Sales - % Others</v>
          </cell>
          <cell r="C149" t="str">
            <v>SALES_OTHER</v>
          </cell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  <cell r="AV149" t="e">
            <v>#N/A</v>
          </cell>
          <cell r="AW149" t="e">
            <v>#N/A</v>
          </cell>
          <cell r="AX149" t="e">
            <v>#N/A</v>
          </cell>
          <cell r="AY149" t="e">
            <v>#N/A</v>
          </cell>
          <cell r="AZ149" t="e">
            <v>#N/A</v>
          </cell>
          <cell r="BA149" t="e">
            <v>#N/A</v>
          </cell>
          <cell r="BB149" t="e">
            <v>#N/A</v>
          </cell>
          <cell r="BC149" t="e">
            <v>#N/A</v>
          </cell>
          <cell r="BD149" t="e">
            <v>#N/A</v>
          </cell>
          <cell r="BE149" t="e">
            <v>#N/A</v>
          </cell>
          <cell r="BF149" t="e">
            <v>#N/A</v>
          </cell>
          <cell r="BG149" t="e">
            <v>#N/A</v>
          </cell>
          <cell r="BH149" t="e">
            <v>#N/A</v>
          </cell>
          <cell r="BI149" t="e">
            <v>#N/A</v>
          </cell>
          <cell r="BJ149" t="e">
            <v>#N/A</v>
          </cell>
          <cell r="BK149" t="e">
            <v>#N/A</v>
          </cell>
          <cell r="BL149" t="e">
            <v>#N/A</v>
          </cell>
          <cell r="BM149" t="e">
            <v>#N/A</v>
          </cell>
          <cell r="BN149" t="e">
            <v>#N/A</v>
          </cell>
          <cell r="BO149" t="e">
            <v>#N/A</v>
          </cell>
          <cell r="BP149" t="e">
            <v>#N/A</v>
          </cell>
          <cell r="BQ149" t="e">
            <v>#N/A</v>
          </cell>
          <cell r="BR149" t="e">
            <v>#N/A</v>
          </cell>
          <cell r="BS149" t="e">
            <v>#N/A</v>
          </cell>
          <cell r="BT149" t="e">
            <v>#N/A</v>
          </cell>
          <cell r="BU149" t="e">
            <v>#N/A</v>
          </cell>
          <cell r="BV149" t="e">
            <v>#N/A</v>
          </cell>
          <cell r="BW149" t="e">
            <v>#N/A</v>
          </cell>
          <cell r="BX149" t="e">
            <v>#N/A</v>
          </cell>
          <cell r="BY149" t="e">
            <v>#N/A</v>
          </cell>
        </row>
        <row r="187">
          <cell r="B187" t="str">
            <v>Sales -% Consumer (C)</v>
          </cell>
          <cell r="C187" t="str">
            <v>SALES_CONS</v>
          </cell>
          <cell r="F187" t="e">
            <v>#N/A</v>
          </cell>
          <cell r="G187" t="e">
            <v>#N/A</v>
          </cell>
          <cell r="H187" t="e">
            <v>#N/A</v>
          </cell>
          <cell r="I187" t="e">
            <v>#N/A</v>
          </cell>
          <cell r="J187" t="e">
            <v>#N/A</v>
          </cell>
          <cell r="K187" t="e">
            <v>#N/A</v>
          </cell>
          <cell r="L187" t="e">
            <v>#N/A</v>
          </cell>
          <cell r="M187" t="e">
            <v>#N/A</v>
          </cell>
          <cell r="N187" t="e">
            <v>#N/A</v>
          </cell>
          <cell r="O187" t="e">
            <v>#N/A</v>
          </cell>
          <cell r="P187" t="e">
            <v>#N/A</v>
          </cell>
          <cell r="Q187" t="e">
            <v>#N/A</v>
          </cell>
          <cell r="R187" t="e">
            <v>#N/A</v>
          </cell>
          <cell r="S187" t="e">
            <v>#N/A</v>
          </cell>
          <cell r="T187" t="e">
            <v>#N/A</v>
          </cell>
          <cell r="U187" t="e">
            <v>#N/A</v>
          </cell>
          <cell r="V187" t="e">
            <v>#N/A</v>
          </cell>
          <cell r="W187" t="e">
            <v>#N/A</v>
          </cell>
          <cell r="X187" t="e">
            <v>#N/A</v>
          </cell>
          <cell r="Z187" t="e">
            <v>#N/A</v>
          </cell>
          <cell r="AA187" t="e">
            <v>#N/A</v>
          </cell>
          <cell r="AB187" t="e">
            <v>#N/A</v>
          </cell>
          <cell r="AC187" t="e">
            <v>#N/A</v>
          </cell>
          <cell r="AD187" t="e">
            <v>#N/A</v>
          </cell>
          <cell r="AE187" t="e">
            <v>#N/A</v>
          </cell>
          <cell r="AF187" t="e">
            <v>#N/A</v>
          </cell>
          <cell r="AG187" t="e">
            <v>#N/A</v>
          </cell>
          <cell r="AH187" t="e">
            <v>#N/A</v>
          </cell>
          <cell r="AI187" t="e">
            <v>#N/A</v>
          </cell>
          <cell r="AJ187" t="e">
            <v>#N/A</v>
          </cell>
          <cell r="AK187" t="e">
            <v>#N/A</v>
          </cell>
          <cell r="AL187" t="e">
            <v>#N/A</v>
          </cell>
          <cell r="AM187" t="e">
            <v>#N/A</v>
          </cell>
          <cell r="AN187" t="e">
            <v>#N/A</v>
          </cell>
          <cell r="AO187" t="e">
            <v>#N/A</v>
          </cell>
          <cell r="AP187" t="e">
            <v>#N/A</v>
          </cell>
          <cell r="AQ187" t="e">
            <v>#N/A</v>
          </cell>
          <cell r="AR187" t="e">
            <v>#N/A</v>
          </cell>
          <cell r="AS187" t="e">
            <v>#N/A</v>
          </cell>
          <cell r="AT187" t="e">
            <v>#N/A</v>
          </cell>
          <cell r="AU187" t="e">
            <v>#N/A</v>
          </cell>
          <cell r="AV187" t="e">
            <v>#N/A</v>
          </cell>
          <cell r="AW187" t="e">
            <v>#N/A</v>
          </cell>
          <cell r="AX187" t="e">
            <v>#N/A</v>
          </cell>
          <cell r="AY187" t="e">
            <v>#N/A</v>
          </cell>
          <cell r="AZ187" t="e">
            <v>#N/A</v>
          </cell>
          <cell r="BA187" t="e">
            <v>#N/A</v>
          </cell>
          <cell r="BB187" t="e">
            <v>#N/A</v>
          </cell>
          <cell r="BC187" t="e">
            <v>#N/A</v>
          </cell>
          <cell r="BD187" t="e">
            <v>#N/A</v>
          </cell>
          <cell r="BE187" t="e">
            <v>#N/A</v>
          </cell>
          <cell r="BF187" t="e">
            <v>#N/A</v>
          </cell>
          <cell r="BG187" t="e">
            <v>#N/A</v>
          </cell>
          <cell r="BH187" t="e">
            <v>#N/A</v>
          </cell>
          <cell r="BI187" t="e">
            <v>#N/A</v>
          </cell>
          <cell r="BJ187" t="e">
            <v>#N/A</v>
          </cell>
          <cell r="BK187" t="e">
            <v>#N/A</v>
          </cell>
          <cell r="BL187" t="e">
            <v>#N/A</v>
          </cell>
          <cell r="BM187" t="e">
            <v>#N/A</v>
          </cell>
          <cell r="BN187" t="e">
            <v>#N/A</v>
          </cell>
          <cell r="BO187" t="e">
            <v>#N/A</v>
          </cell>
          <cell r="BP187" t="e">
            <v>#N/A</v>
          </cell>
          <cell r="BQ187" t="e">
            <v>#N/A</v>
          </cell>
          <cell r="BR187" t="e">
            <v>#N/A</v>
          </cell>
          <cell r="BS187" t="e">
            <v>#N/A</v>
          </cell>
          <cell r="BT187" t="e">
            <v>#N/A</v>
          </cell>
          <cell r="BU187" t="e">
            <v>#N/A</v>
          </cell>
          <cell r="BV187" t="e">
            <v>#N/A</v>
          </cell>
          <cell r="BW187" t="e">
            <v>#N/A</v>
          </cell>
          <cell r="BX187" t="e">
            <v>#N/A</v>
          </cell>
          <cell r="BY187" t="e">
            <v>#N/A</v>
          </cell>
        </row>
        <row r="188">
          <cell r="B188" t="str">
            <v>Sales -% Industry (I)</v>
          </cell>
          <cell r="C188" t="str">
            <v>SALES_IND</v>
          </cell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  <cell r="AV188" t="e">
            <v>#N/A</v>
          </cell>
          <cell r="AW188" t="e">
            <v>#N/A</v>
          </cell>
          <cell r="AX188" t="e">
            <v>#N/A</v>
          </cell>
          <cell r="AY188" t="e">
            <v>#N/A</v>
          </cell>
          <cell r="AZ188" t="e">
            <v>#N/A</v>
          </cell>
          <cell r="BA188" t="e">
            <v>#N/A</v>
          </cell>
          <cell r="BB188" t="e">
            <v>#N/A</v>
          </cell>
          <cell r="BC188" t="e">
            <v>#N/A</v>
          </cell>
          <cell r="BD188" t="e">
            <v>#N/A</v>
          </cell>
          <cell r="BE188" t="e">
            <v>#N/A</v>
          </cell>
          <cell r="BF188" t="e">
            <v>#N/A</v>
          </cell>
          <cell r="BG188" t="e">
            <v>#N/A</v>
          </cell>
          <cell r="BH188" t="e">
            <v>#N/A</v>
          </cell>
          <cell r="BI188" t="e">
            <v>#N/A</v>
          </cell>
          <cell r="BJ188" t="e">
            <v>#N/A</v>
          </cell>
          <cell r="BK188" t="e">
            <v>#N/A</v>
          </cell>
          <cell r="BL188" t="e">
            <v>#N/A</v>
          </cell>
          <cell r="BM188" t="e">
            <v>#N/A</v>
          </cell>
          <cell r="BN188" t="e">
            <v>#N/A</v>
          </cell>
          <cell r="BO188" t="e">
            <v>#N/A</v>
          </cell>
          <cell r="BP188" t="e">
            <v>#N/A</v>
          </cell>
          <cell r="BQ188" t="e">
            <v>#N/A</v>
          </cell>
          <cell r="BR188" t="e">
            <v>#N/A</v>
          </cell>
          <cell r="BS188" t="e">
            <v>#N/A</v>
          </cell>
          <cell r="BT188" t="e">
            <v>#N/A</v>
          </cell>
          <cell r="BU188" t="e">
            <v>#N/A</v>
          </cell>
          <cell r="BV188" t="e">
            <v>#N/A</v>
          </cell>
          <cell r="BW188" t="e">
            <v>#N/A</v>
          </cell>
          <cell r="BX188" t="e">
            <v>#N/A</v>
          </cell>
          <cell r="BY188" t="e">
            <v>#N/A</v>
          </cell>
        </row>
        <row r="189">
          <cell r="B189" t="str">
            <v>Sales -% Government (G)</v>
          </cell>
          <cell r="C189" t="str">
            <v>SALES_GOV</v>
          </cell>
          <cell r="F189" t="e">
            <v>#N/A</v>
          </cell>
          <cell r="G189" t="e">
            <v>#N/A</v>
          </cell>
          <cell r="H189" t="e">
            <v>#N/A</v>
          </cell>
          <cell r="I189" t="e">
            <v>#N/A</v>
          </cell>
          <cell r="J189" t="e">
            <v>#N/A</v>
          </cell>
          <cell r="K189" t="e">
            <v>#N/A</v>
          </cell>
          <cell r="L189" t="e">
            <v>#N/A</v>
          </cell>
          <cell r="M189" t="e">
            <v>#N/A</v>
          </cell>
          <cell r="N189" t="e">
            <v>#N/A</v>
          </cell>
          <cell r="O189" t="e">
            <v>#N/A</v>
          </cell>
          <cell r="P189" t="e">
            <v>#N/A</v>
          </cell>
          <cell r="Q189" t="e">
            <v>#N/A</v>
          </cell>
          <cell r="R189" t="e">
            <v>#N/A</v>
          </cell>
          <cell r="S189" t="e">
            <v>#N/A</v>
          </cell>
          <cell r="T189" t="e">
            <v>#N/A</v>
          </cell>
          <cell r="U189" t="e">
            <v>#N/A</v>
          </cell>
          <cell r="V189" t="e">
            <v>#N/A</v>
          </cell>
          <cell r="W189" t="e">
            <v>#N/A</v>
          </cell>
          <cell r="X189" t="e">
            <v>#N/A</v>
          </cell>
          <cell r="Z189" t="e">
            <v>#N/A</v>
          </cell>
          <cell r="AA189" t="e">
            <v>#N/A</v>
          </cell>
          <cell r="AB189" t="e">
            <v>#N/A</v>
          </cell>
          <cell r="AC189" t="e">
            <v>#N/A</v>
          </cell>
          <cell r="AD189" t="e">
            <v>#N/A</v>
          </cell>
          <cell r="AE189" t="e">
            <v>#N/A</v>
          </cell>
          <cell r="AF189" t="e">
            <v>#N/A</v>
          </cell>
          <cell r="AG189" t="e">
            <v>#N/A</v>
          </cell>
          <cell r="AH189" t="e">
            <v>#N/A</v>
          </cell>
          <cell r="AI189" t="e">
            <v>#N/A</v>
          </cell>
          <cell r="AJ189" t="e">
            <v>#N/A</v>
          </cell>
          <cell r="AK189" t="e">
            <v>#N/A</v>
          </cell>
          <cell r="AL189" t="e">
            <v>#N/A</v>
          </cell>
          <cell r="AM189" t="e">
            <v>#N/A</v>
          </cell>
          <cell r="AN189" t="e">
            <v>#N/A</v>
          </cell>
          <cell r="AO189" t="e">
            <v>#N/A</v>
          </cell>
          <cell r="AP189" t="e">
            <v>#N/A</v>
          </cell>
          <cell r="AQ189" t="e">
            <v>#N/A</v>
          </cell>
          <cell r="AR189" t="e">
            <v>#N/A</v>
          </cell>
          <cell r="AS189" t="e">
            <v>#N/A</v>
          </cell>
          <cell r="AT189" t="e">
            <v>#N/A</v>
          </cell>
          <cell r="AU189" t="e">
            <v>#N/A</v>
          </cell>
          <cell r="AV189" t="e">
            <v>#N/A</v>
          </cell>
          <cell r="AW189" t="e">
            <v>#N/A</v>
          </cell>
          <cell r="AX189" t="e">
            <v>#N/A</v>
          </cell>
          <cell r="AY189" t="e">
            <v>#N/A</v>
          </cell>
          <cell r="AZ189" t="e">
            <v>#N/A</v>
          </cell>
          <cell r="BA189" t="e">
            <v>#N/A</v>
          </cell>
          <cell r="BB189" t="e">
            <v>#N/A</v>
          </cell>
          <cell r="BC189" t="e">
            <v>#N/A</v>
          </cell>
          <cell r="BD189" t="e">
            <v>#N/A</v>
          </cell>
          <cell r="BE189" t="e">
            <v>#N/A</v>
          </cell>
          <cell r="BF189" t="e">
            <v>#N/A</v>
          </cell>
          <cell r="BG189" t="e">
            <v>#N/A</v>
          </cell>
          <cell r="BH189" t="e">
            <v>#N/A</v>
          </cell>
          <cell r="BI189" t="e">
            <v>#N/A</v>
          </cell>
          <cell r="BJ189" t="e">
            <v>#N/A</v>
          </cell>
          <cell r="BK189" t="e">
            <v>#N/A</v>
          </cell>
          <cell r="BL189" t="e">
            <v>#N/A</v>
          </cell>
          <cell r="BM189" t="e">
            <v>#N/A</v>
          </cell>
          <cell r="BN189" t="e">
            <v>#N/A</v>
          </cell>
          <cell r="BO189" t="e">
            <v>#N/A</v>
          </cell>
          <cell r="BP189" t="e">
            <v>#N/A</v>
          </cell>
          <cell r="BQ189" t="e">
            <v>#N/A</v>
          </cell>
          <cell r="BR189" t="e">
            <v>#N/A</v>
          </cell>
          <cell r="BS189" t="e">
            <v>#N/A</v>
          </cell>
          <cell r="BT189" t="e">
            <v>#N/A</v>
          </cell>
          <cell r="BU189" t="e">
            <v>#N/A</v>
          </cell>
          <cell r="BV189" t="e">
            <v>#N/A</v>
          </cell>
          <cell r="BW189" t="e">
            <v>#N/A</v>
          </cell>
          <cell r="BX189" t="e">
            <v>#N/A</v>
          </cell>
          <cell r="BY189" t="e">
            <v>#N/A</v>
          </cell>
        </row>
        <row r="190">
          <cell r="B190" t="str">
            <v>Sales - % Industry Sub-Segment: Financial Services</v>
          </cell>
          <cell r="C190" t="str">
            <v>SALES_FINAN</v>
          </cell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  <cell r="AV190" t="e">
            <v>#N/A</v>
          </cell>
          <cell r="AW190" t="e">
            <v>#N/A</v>
          </cell>
          <cell r="AX190" t="e">
            <v>#N/A</v>
          </cell>
          <cell r="AY190" t="e">
            <v>#N/A</v>
          </cell>
          <cell r="AZ190" t="e">
            <v>#N/A</v>
          </cell>
          <cell r="BA190" t="e">
            <v>#N/A</v>
          </cell>
          <cell r="BB190" t="e">
            <v>#N/A</v>
          </cell>
          <cell r="BC190" t="e">
            <v>#N/A</v>
          </cell>
          <cell r="BD190" t="e">
            <v>#N/A</v>
          </cell>
          <cell r="BE190" t="e">
            <v>#N/A</v>
          </cell>
          <cell r="BF190" t="e">
            <v>#N/A</v>
          </cell>
          <cell r="BG190" t="e">
            <v>#N/A</v>
          </cell>
          <cell r="BH190" t="e">
            <v>#N/A</v>
          </cell>
          <cell r="BI190" t="e">
            <v>#N/A</v>
          </cell>
          <cell r="BJ190" t="e">
            <v>#N/A</v>
          </cell>
          <cell r="BK190" t="e">
            <v>#N/A</v>
          </cell>
          <cell r="BL190" t="e">
            <v>#N/A</v>
          </cell>
          <cell r="BM190" t="e">
            <v>#N/A</v>
          </cell>
          <cell r="BN190" t="e">
            <v>#N/A</v>
          </cell>
          <cell r="BO190" t="e">
            <v>#N/A</v>
          </cell>
          <cell r="BP190" t="e">
            <v>#N/A</v>
          </cell>
          <cell r="BQ190" t="e">
            <v>#N/A</v>
          </cell>
          <cell r="BR190" t="e">
            <v>#N/A</v>
          </cell>
          <cell r="BS190" t="e">
            <v>#N/A</v>
          </cell>
          <cell r="BT190" t="e">
            <v>#N/A</v>
          </cell>
          <cell r="BU190" t="e">
            <v>#N/A</v>
          </cell>
          <cell r="BV190" t="e">
            <v>#N/A</v>
          </cell>
          <cell r="BW190" t="e">
            <v>#N/A</v>
          </cell>
          <cell r="BX190" t="e">
            <v>#N/A</v>
          </cell>
          <cell r="BY190" t="e">
            <v>#N/A</v>
          </cell>
        </row>
        <row r="194">
          <cell r="A194" t="str">
            <v>Commodities Exposure - Sales</v>
          </cell>
        </row>
        <row r="195">
          <cell r="B195" t="str">
            <v>Sales - % Paper/pulp</v>
          </cell>
          <cell r="C195" t="str">
            <v>SALES_PAPER_PULP</v>
          </cell>
          <cell r="F195" t="e">
            <v>#N/A</v>
          </cell>
          <cell r="G195" t="e">
            <v>#N/A</v>
          </cell>
          <cell r="H195" t="e">
            <v>#N/A</v>
          </cell>
          <cell r="I195" t="e">
            <v>#N/A</v>
          </cell>
          <cell r="J195" t="e">
            <v>#N/A</v>
          </cell>
          <cell r="K195" t="e">
            <v>#N/A</v>
          </cell>
          <cell r="L195" t="e">
            <v>#N/A</v>
          </cell>
          <cell r="M195" t="e">
            <v>#N/A</v>
          </cell>
          <cell r="N195" t="e">
            <v>#N/A</v>
          </cell>
          <cell r="O195" t="e">
            <v>#N/A</v>
          </cell>
          <cell r="P195" t="e">
            <v>#N/A</v>
          </cell>
          <cell r="Q195" t="e">
            <v>#N/A</v>
          </cell>
          <cell r="R195" t="e">
            <v>#N/A</v>
          </cell>
          <cell r="S195" t="e">
            <v>#N/A</v>
          </cell>
          <cell r="T195" t="e">
            <v>#N/A</v>
          </cell>
          <cell r="U195" t="e">
            <v>#N/A</v>
          </cell>
          <cell r="V195" t="e">
            <v>#N/A</v>
          </cell>
          <cell r="W195" t="e">
            <v>#N/A</v>
          </cell>
          <cell r="X195" t="e">
            <v>#N/A</v>
          </cell>
          <cell r="Z195" t="e">
            <v>#N/A</v>
          </cell>
          <cell r="AA195" t="e">
            <v>#N/A</v>
          </cell>
          <cell r="AB195" t="e">
            <v>#N/A</v>
          </cell>
          <cell r="AC195" t="e">
            <v>#N/A</v>
          </cell>
          <cell r="AD195" t="e">
            <v>#N/A</v>
          </cell>
          <cell r="AE195" t="e">
            <v>#N/A</v>
          </cell>
          <cell r="AF195" t="e">
            <v>#N/A</v>
          </cell>
          <cell r="AG195" t="e">
            <v>#N/A</v>
          </cell>
          <cell r="AH195" t="e">
            <v>#N/A</v>
          </cell>
          <cell r="AI195" t="e">
            <v>#N/A</v>
          </cell>
          <cell r="AJ195" t="e">
            <v>#N/A</v>
          </cell>
          <cell r="AK195" t="e">
            <v>#N/A</v>
          </cell>
          <cell r="AL195" t="e">
            <v>#N/A</v>
          </cell>
          <cell r="AM195" t="e">
            <v>#N/A</v>
          </cell>
          <cell r="AN195" t="e">
            <v>#N/A</v>
          </cell>
          <cell r="AO195" t="e">
            <v>#N/A</v>
          </cell>
          <cell r="AP195" t="e">
            <v>#N/A</v>
          </cell>
          <cell r="AQ195" t="e">
            <v>#N/A</v>
          </cell>
          <cell r="AR195" t="e">
            <v>#N/A</v>
          </cell>
          <cell r="AS195" t="e">
            <v>#N/A</v>
          </cell>
          <cell r="AT195" t="e">
            <v>#N/A</v>
          </cell>
          <cell r="AU195" t="e">
            <v>#N/A</v>
          </cell>
          <cell r="AV195" t="e">
            <v>#N/A</v>
          </cell>
          <cell r="AW195" t="e">
            <v>#N/A</v>
          </cell>
          <cell r="AX195" t="e">
            <v>#N/A</v>
          </cell>
          <cell r="AY195" t="e">
            <v>#N/A</v>
          </cell>
          <cell r="AZ195" t="e">
            <v>#N/A</v>
          </cell>
          <cell r="BA195" t="e">
            <v>#N/A</v>
          </cell>
          <cell r="BB195" t="e">
            <v>#N/A</v>
          </cell>
          <cell r="BC195" t="e">
            <v>#N/A</v>
          </cell>
          <cell r="BD195" t="e">
            <v>#N/A</v>
          </cell>
          <cell r="BE195" t="e">
            <v>#N/A</v>
          </cell>
          <cell r="BF195" t="e">
            <v>#N/A</v>
          </cell>
          <cell r="BG195" t="e">
            <v>#N/A</v>
          </cell>
          <cell r="BH195" t="e">
            <v>#N/A</v>
          </cell>
          <cell r="BI195" t="e">
            <v>#N/A</v>
          </cell>
          <cell r="BJ195" t="e">
            <v>#N/A</v>
          </cell>
          <cell r="BK195" t="e">
            <v>#N/A</v>
          </cell>
          <cell r="BL195" t="e">
            <v>#N/A</v>
          </cell>
          <cell r="BM195" t="e">
            <v>#N/A</v>
          </cell>
          <cell r="BN195" t="e">
            <v>#N/A</v>
          </cell>
          <cell r="BO195" t="e">
            <v>#N/A</v>
          </cell>
          <cell r="BP195" t="e">
            <v>#N/A</v>
          </cell>
          <cell r="BQ195" t="e">
            <v>#N/A</v>
          </cell>
          <cell r="BR195" t="e">
            <v>#N/A</v>
          </cell>
          <cell r="BS195" t="e">
            <v>#N/A</v>
          </cell>
          <cell r="BT195" t="e">
            <v>#N/A</v>
          </cell>
          <cell r="BU195" t="e">
            <v>#N/A</v>
          </cell>
          <cell r="BV195" t="e">
            <v>#N/A</v>
          </cell>
          <cell r="BW195" t="e">
            <v>#N/A</v>
          </cell>
          <cell r="BX195" t="e">
            <v>#N/A</v>
          </cell>
          <cell r="BY195" t="e">
            <v>#N/A</v>
          </cell>
        </row>
        <row r="196">
          <cell r="B196" t="str">
            <v>Sales - % Lumber</v>
          </cell>
          <cell r="C196" t="str">
            <v>SALES_LUMBER</v>
          </cell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  <cell r="AV196" t="e">
            <v>#N/A</v>
          </cell>
          <cell r="AW196" t="e">
            <v>#N/A</v>
          </cell>
          <cell r="AX196" t="e">
            <v>#N/A</v>
          </cell>
          <cell r="AY196" t="e">
            <v>#N/A</v>
          </cell>
          <cell r="AZ196" t="e">
            <v>#N/A</v>
          </cell>
          <cell r="BA196" t="e">
            <v>#N/A</v>
          </cell>
          <cell r="BB196" t="e">
            <v>#N/A</v>
          </cell>
          <cell r="BC196" t="e">
            <v>#N/A</v>
          </cell>
          <cell r="BD196" t="e">
            <v>#N/A</v>
          </cell>
          <cell r="BE196" t="e">
            <v>#N/A</v>
          </cell>
          <cell r="BF196" t="e">
            <v>#N/A</v>
          </cell>
          <cell r="BG196" t="e">
            <v>#N/A</v>
          </cell>
          <cell r="BH196" t="e">
            <v>#N/A</v>
          </cell>
          <cell r="BI196" t="e">
            <v>#N/A</v>
          </cell>
          <cell r="BJ196" t="e">
            <v>#N/A</v>
          </cell>
          <cell r="BK196" t="e">
            <v>#N/A</v>
          </cell>
          <cell r="BL196" t="e">
            <v>#N/A</v>
          </cell>
          <cell r="BM196" t="e">
            <v>#N/A</v>
          </cell>
          <cell r="BN196" t="e">
            <v>#N/A</v>
          </cell>
          <cell r="BO196" t="e">
            <v>#N/A</v>
          </cell>
          <cell r="BP196" t="e">
            <v>#N/A</v>
          </cell>
          <cell r="BQ196" t="e">
            <v>#N/A</v>
          </cell>
          <cell r="BR196" t="e">
            <v>#N/A</v>
          </cell>
          <cell r="BS196" t="e">
            <v>#N/A</v>
          </cell>
          <cell r="BT196" t="e">
            <v>#N/A</v>
          </cell>
          <cell r="BU196" t="e">
            <v>#N/A</v>
          </cell>
          <cell r="BV196" t="e">
            <v>#N/A</v>
          </cell>
          <cell r="BW196" t="e">
            <v>#N/A</v>
          </cell>
          <cell r="BX196" t="e">
            <v>#N/A</v>
          </cell>
          <cell r="BY196" t="e">
            <v>#N/A</v>
          </cell>
        </row>
        <row r="197">
          <cell r="B197" t="str">
            <v>Sales - % Rubber</v>
          </cell>
          <cell r="C197" t="str">
            <v>SALES_RUBBER</v>
          </cell>
          <cell r="F197" t="e">
            <v>#N/A</v>
          </cell>
          <cell r="G197" t="e">
            <v>#N/A</v>
          </cell>
          <cell r="H197" t="e">
            <v>#N/A</v>
          </cell>
          <cell r="I197" t="e">
            <v>#N/A</v>
          </cell>
          <cell r="J197" t="e">
            <v>#N/A</v>
          </cell>
          <cell r="K197" t="e">
            <v>#N/A</v>
          </cell>
          <cell r="L197" t="e">
            <v>#N/A</v>
          </cell>
          <cell r="M197" t="e">
            <v>#N/A</v>
          </cell>
          <cell r="N197" t="e">
            <v>#N/A</v>
          </cell>
          <cell r="O197" t="e">
            <v>#N/A</v>
          </cell>
          <cell r="P197" t="e">
            <v>#N/A</v>
          </cell>
          <cell r="Q197" t="e">
            <v>#N/A</v>
          </cell>
          <cell r="R197" t="e">
            <v>#N/A</v>
          </cell>
          <cell r="S197" t="e">
            <v>#N/A</v>
          </cell>
          <cell r="T197" t="e">
            <v>#N/A</v>
          </cell>
          <cell r="U197" t="e">
            <v>#N/A</v>
          </cell>
          <cell r="V197" t="e">
            <v>#N/A</v>
          </cell>
          <cell r="W197" t="e">
            <v>#N/A</v>
          </cell>
          <cell r="X197" t="e">
            <v>#N/A</v>
          </cell>
          <cell r="Z197" t="e">
            <v>#N/A</v>
          </cell>
          <cell r="AA197" t="e">
            <v>#N/A</v>
          </cell>
          <cell r="AB197" t="e">
            <v>#N/A</v>
          </cell>
          <cell r="AC197" t="e">
            <v>#N/A</v>
          </cell>
          <cell r="AD197" t="e">
            <v>#N/A</v>
          </cell>
          <cell r="AE197" t="e">
            <v>#N/A</v>
          </cell>
          <cell r="AF197" t="e">
            <v>#N/A</v>
          </cell>
          <cell r="AG197" t="e">
            <v>#N/A</v>
          </cell>
          <cell r="AH197" t="e">
            <v>#N/A</v>
          </cell>
          <cell r="AI197" t="e">
            <v>#N/A</v>
          </cell>
          <cell r="AJ197" t="e">
            <v>#N/A</v>
          </cell>
          <cell r="AK197" t="e">
            <v>#N/A</v>
          </cell>
          <cell r="AL197" t="e">
            <v>#N/A</v>
          </cell>
          <cell r="AM197" t="e">
            <v>#N/A</v>
          </cell>
          <cell r="AN197" t="e">
            <v>#N/A</v>
          </cell>
          <cell r="AO197" t="e">
            <v>#N/A</v>
          </cell>
          <cell r="AP197" t="e">
            <v>#N/A</v>
          </cell>
          <cell r="AQ197" t="e">
            <v>#N/A</v>
          </cell>
          <cell r="AR197" t="e">
            <v>#N/A</v>
          </cell>
          <cell r="AS197" t="e">
            <v>#N/A</v>
          </cell>
          <cell r="AT197" t="e">
            <v>#N/A</v>
          </cell>
          <cell r="AU197" t="e">
            <v>#N/A</v>
          </cell>
          <cell r="AV197" t="e">
            <v>#N/A</v>
          </cell>
          <cell r="AW197" t="e">
            <v>#N/A</v>
          </cell>
          <cell r="AX197" t="e">
            <v>#N/A</v>
          </cell>
          <cell r="AY197" t="e">
            <v>#N/A</v>
          </cell>
          <cell r="AZ197" t="e">
            <v>#N/A</v>
          </cell>
          <cell r="BA197" t="e">
            <v>#N/A</v>
          </cell>
          <cell r="BB197" t="e">
            <v>#N/A</v>
          </cell>
          <cell r="BC197" t="e">
            <v>#N/A</v>
          </cell>
          <cell r="BD197" t="e">
            <v>#N/A</v>
          </cell>
          <cell r="BE197" t="e">
            <v>#N/A</v>
          </cell>
          <cell r="BF197" t="e">
            <v>#N/A</v>
          </cell>
          <cell r="BG197" t="e">
            <v>#N/A</v>
          </cell>
          <cell r="BH197" t="e">
            <v>#N/A</v>
          </cell>
          <cell r="BI197" t="e">
            <v>#N/A</v>
          </cell>
          <cell r="BJ197" t="e">
            <v>#N/A</v>
          </cell>
          <cell r="BK197" t="e">
            <v>#N/A</v>
          </cell>
          <cell r="BL197" t="e">
            <v>#N/A</v>
          </cell>
          <cell r="BM197" t="e">
            <v>#N/A</v>
          </cell>
          <cell r="BN197" t="e">
            <v>#N/A</v>
          </cell>
          <cell r="BO197" t="e">
            <v>#N/A</v>
          </cell>
          <cell r="BP197" t="e">
            <v>#N/A</v>
          </cell>
          <cell r="BQ197" t="e">
            <v>#N/A</v>
          </cell>
          <cell r="BR197" t="e">
            <v>#N/A</v>
          </cell>
          <cell r="BS197" t="e">
            <v>#N/A</v>
          </cell>
          <cell r="BT197" t="e">
            <v>#N/A</v>
          </cell>
          <cell r="BU197" t="e">
            <v>#N/A</v>
          </cell>
          <cell r="BV197" t="e">
            <v>#N/A</v>
          </cell>
          <cell r="BW197" t="e">
            <v>#N/A</v>
          </cell>
          <cell r="BX197" t="e">
            <v>#N/A</v>
          </cell>
          <cell r="BY197" t="e">
            <v>#N/A</v>
          </cell>
        </row>
        <row r="198">
          <cell r="B198" t="str">
            <v>Sales - % Potash</v>
          </cell>
          <cell r="C198" t="str">
            <v>SALES_POTASH</v>
          </cell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  <cell r="AV198" t="e">
            <v>#N/A</v>
          </cell>
          <cell r="AW198" t="e">
            <v>#N/A</v>
          </cell>
          <cell r="AX198" t="e">
            <v>#N/A</v>
          </cell>
          <cell r="AY198" t="e">
            <v>#N/A</v>
          </cell>
          <cell r="AZ198" t="e">
            <v>#N/A</v>
          </cell>
          <cell r="BA198" t="e">
            <v>#N/A</v>
          </cell>
          <cell r="BB198" t="e">
            <v>#N/A</v>
          </cell>
          <cell r="BC198" t="e">
            <v>#N/A</v>
          </cell>
          <cell r="BD198" t="e">
            <v>#N/A</v>
          </cell>
          <cell r="BE198" t="e">
            <v>#N/A</v>
          </cell>
          <cell r="BF198" t="e">
            <v>#N/A</v>
          </cell>
          <cell r="BG198" t="e">
            <v>#N/A</v>
          </cell>
          <cell r="BH198" t="e">
            <v>#N/A</v>
          </cell>
          <cell r="BI198" t="e">
            <v>#N/A</v>
          </cell>
          <cell r="BJ198" t="e">
            <v>#N/A</v>
          </cell>
          <cell r="BK198" t="e">
            <v>#N/A</v>
          </cell>
          <cell r="BL198" t="e">
            <v>#N/A</v>
          </cell>
          <cell r="BM198" t="e">
            <v>#N/A</v>
          </cell>
          <cell r="BN198" t="e">
            <v>#N/A</v>
          </cell>
          <cell r="BO198" t="e">
            <v>#N/A</v>
          </cell>
          <cell r="BP198" t="e">
            <v>#N/A</v>
          </cell>
          <cell r="BQ198" t="e">
            <v>#N/A</v>
          </cell>
          <cell r="BR198" t="e">
            <v>#N/A</v>
          </cell>
          <cell r="BS198" t="e">
            <v>#N/A</v>
          </cell>
          <cell r="BT198" t="e">
            <v>#N/A</v>
          </cell>
          <cell r="BU198" t="e">
            <v>#N/A</v>
          </cell>
          <cell r="BV198" t="e">
            <v>#N/A</v>
          </cell>
          <cell r="BW198" t="e">
            <v>#N/A</v>
          </cell>
          <cell r="BX198" t="e">
            <v>#N/A</v>
          </cell>
          <cell r="BY198" t="e">
            <v>#N/A</v>
          </cell>
        </row>
        <row r="199">
          <cell r="B199" t="str">
            <v>Sales - % Nitrogen</v>
          </cell>
          <cell r="C199" t="str">
            <v>SALES_NITROGEN</v>
          </cell>
          <cell r="F199" t="e">
            <v>#N/A</v>
          </cell>
          <cell r="G199" t="e">
            <v>#N/A</v>
          </cell>
          <cell r="H199" t="e">
            <v>#N/A</v>
          </cell>
          <cell r="I199" t="e">
            <v>#N/A</v>
          </cell>
          <cell r="J199" t="e">
            <v>#N/A</v>
          </cell>
          <cell r="K199" t="e">
            <v>#N/A</v>
          </cell>
          <cell r="L199" t="e">
            <v>#N/A</v>
          </cell>
          <cell r="M199" t="e">
            <v>#N/A</v>
          </cell>
          <cell r="N199" t="e">
            <v>#N/A</v>
          </cell>
          <cell r="O199" t="e">
            <v>#N/A</v>
          </cell>
          <cell r="P199" t="e">
            <v>#N/A</v>
          </cell>
          <cell r="Q199" t="e">
            <v>#N/A</v>
          </cell>
          <cell r="R199" t="e">
            <v>#N/A</v>
          </cell>
          <cell r="S199" t="e">
            <v>#N/A</v>
          </cell>
          <cell r="T199" t="e">
            <v>#N/A</v>
          </cell>
          <cell r="U199" t="e">
            <v>#N/A</v>
          </cell>
          <cell r="V199" t="e">
            <v>#N/A</v>
          </cell>
          <cell r="W199" t="e">
            <v>#N/A</v>
          </cell>
          <cell r="X199" t="e">
            <v>#N/A</v>
          </cell>
          <cell r="Z199" t="e">
            <v>#N/A</v>
          </cell>
          <cell r="AA199" t="e">
            <v>#N/A</v>
          </cell>
          <cell r="AB199" t="e">
            <v>#N/A</v>
          </cell>
          <cell r="AC199" t="e">
            <v>#N/A</v>
          </cell>
          <cell r="AD199" t="e">
            <v>#N/A</v>
          </cell>
          <cell r="AE199" t="e">
            <v>#N/A</v>
          </cell>
          <cell r="AF199" t="e">
            <v>#N/A</v>
          </cell>
          <cell r="AG199" t="e">
            <v>#N/A</v>
          </cell>
          <cell r="AH199" t="e">
            <v>#N/A</v>
          </cell>
          <cell r="AI199" t="e">
            <v>#N/A</v>
          </cell>
          <cell r="AJ199" t="e">
            <v>#N/A</v>
          </cell>
          <cell r="AK199" t="e">
            <v>#N/A</v>
          </cell>
          <cell r="AL199" t="e">
            <v>#N/A</v>
          </cell>
          <cell r="AM199" t="e">
            <v>#N/A</v>
          </cell>
          <cell r="AN199" t="e">
            <v>#N/A</v>
          </cell>
          <cell r="AO199" t="e">
            <v>#N/A</v>
          </cell>
          <cell r="AP199" t="e">
            <v>#N/A</v>
          </cell>
          <cell r="AQ199" t="e">
            <v>#N/A</v>
          </cell>
          <cell r="AR199" t="e">
            <v>#N/A</v>
          </cell>
          <cell r="AS199" t="e">
            <v>#N/A</v>
          </cell>
          <cell r="AT199" t="e">
            <v>#N/A</v>
          </cell>
          <cell r="AU199" t="e">
            <v>#N/A</v>
          </cell>
          <cell r="AV199" t="e">
            <v>#N/A</v>
          </cell>
          <cell r="AW199" t="e">
            <v>#N/A</v>
          </cell>
          <cell r="AX199" t="e">
            <v>#N/A</v>
          </cell>
          <cell r="AY199" t="e">
            <v>#N/A</v>
          </cell>
          <cell r="AZ199" t="e">
            <v>#N/A</v>
          </cell>
          <cell r="BA199" t="e">
            <v>#N/A</v>
          </cell>
          <cell r="BB199" t="e">
            <v>#N/A</v>
          </cell>
          <cell r="BC199" t="e">
            <v>#N/A</v>
          </cell>
          <cell r="BD199" t="e">
            <v>#N/A</v>
          </cell>
          <cell r="BE199" t="e">
            <v>#N/A</v>
          </cell>
          <cell r="BF199" t="e">
            <v>#N/A</v>
          </cell>
          <cell r="BG199" t="e">
            <v>#N/A</v>
          </cell>
          <cell r="BH199" t="e">
            <v>#N/A</v>
          </cell>
          <cell r="BI199" t="e">
            <v>#N/A</v>
          </cell>
          <cell r="BJ199" t="e">
            <v>#N/A</v>
          </cell>
          <cell r="BK199" t="e">
            <v>#N/A</v>
          </cell>
          <cell r="BL199" t="e">
            <v>#N/A</v>
          </cell>
          <cell r="BM199" t="e">
            <v>#N/A</v>
          </cell>
          <cell r="BN199" t="e">
            <v>#N/A</v>
          </cell>
          <cell r="BO199" t="e">
            <v>#N/A</v>
          </cell>
          <cell r="BP199" t="e">
            <v>#N/A</v>
          </cell>
          <cell r="BQ199" t="e">
            <v>#N/A</v>
          </cell>
          <cell r="BR199" t="e">
            <v>#N/A</v>
          </cell>
          <cell r="BS199" t="e">
            <v>#N/A</v>
          </cell>
          <cell r="BT199" t="e">
            <v>#N/A</v>
          </cell>
          <cell r="BU199" t="e">
            <v>#N/A</v>
          </cell>
          <cell r="BV199" t="e">
            <v>#N/A</v>
          </cell>
          <cell r="BW199" t="e">
            <v>#N/A</v>
          </cell>
          <cell r="BX199" t="e">
            <v>#N/A</v>
          </cell>
          <cell r="BY199" t="e">
            <v>#N/A</v>
          </cell>
        </row>
        <row r="200">
          <cell r="B200" t="str">
            <v>Sales - % Phosphate</v>
          </cell>
          <cell r="C200" t="str">
            <v>SALES_PHOSPHATE</v>
          </cell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  <cell r="AV200" t="e">
            <v>#N/A</v>
          </cell>
          <cell r="AW200" t="e">
            <v>#N/A</v>
          </cell>
          <cell r="AX200" t="e">
            <v>#N/A</v>
          </cell>
          <cell r="AY200" t="e">
            <v>#N/A</v>
          </cell>
          <cell r="AZ200" t="e">
            <v>#N/A</v>
          </cell>
          <cell r="BA200" t="e">
            <v>#N/A</v>
          </cell>
          <cell r="BB200" t="e">
            <v>#N/A</v>
          </cell>
          <cell r="BC200" t="e">
            <v>#N/A</v>
          </cell>
          <cell r="BD200" t="e">
            <v>#N/A</v>
          </cell>
          <cell r="BE200" t="e">
            <v>#N/A</v>
          </cell>
          <cell r="BF200" t="e">
            <v>#N/A</v>
          </cell>
          <cell r="BG200" t="e">
            <v>#N/A</v>
          </cell>
          <cell r="BH200" t="e">
            <v>#N/A</v>
          </cell>
          <cell r="BI200" t="e">
            <v>#N/A</v>
          </cell>
          <cell r="BJ200" t="e">
            <v>#N/A</v>
          </cell>
          <cell r="BK200" t="e">
            <v>#N/A</v>
          </cell>
          <cell r="BL200" t="e">
            <v>#N/A</v>
          </cell>
          <cell r="BM200" t="e">
            <v>#N/A</v>
          </cell>
          <cell r="BN200" t="e">
            <v>#N/A</v>
          </cell>
          <cell r="BO200" t="e">
            <v>#N/A</v>
          </cell>
          <cell r="BP200" t="e">
            <v>#N/A</v>
          </cell>
          <cell r="BQ200" t="e">
            <v>#N/A</v>
          </cell>
          <cell r="BR200" t="e">
            <v>#N/A</v>
          </cell>
          <cell r="BS200" t="e">
            <v>#N/A</v>
          </cell>
          <cell r="BT200" t="e">
            <v>#N/A</v>
          </cell>
          <cell r="BU200" t="e">
            <v>#N/A</v>
          </cell>
          <cell r="BV200" t="e">
            <v>#N/A</v>
          </cell>
          <cell r="BW200" t="e">
            <v>#N/A</v>
          </cell>
          <cell r="BX200" t="e">
            <v>#N/A</v>
          </cell>
          <cell r="BY200" t="e">
            <v>#N/A</v>
          </cell>
        </row>
        <row r="201">
          <cell r="B201" t="str">
            <v>Sales - % Wheat</v>
          </cell>
          <cell r="C201" t="str">
            <v>SALES_WHEAT</v>
          </cell>
          <cell r="F201" t="e">
            <v>#N/A</v>
          </cell>
          <cell r="G201" t="e">
            <v>#N/A</v>
          </cell>
          <cell r="H201" t="e">
            <v>#N/A</v>
          </cell>
          <cell r="I201" t="e">
            <v>#N/A</v>
          </cell>
          <cell r="J201" t="e">
            <v>#N/A</v>
          </cell>
          <cell r="K201" t="e">
            <v>#N/A</v>
          </cell>
          <cell r="L201" t="e">
            <v>#N/A</v>
          </cell>
          <cell r="M201" t="e">
            <v>#N/A</v>
          </cell>
          <cell r="N201" t="e">
            <v>#N/A</v>
          </cell>
          <cell r="O201" t="e">
            <v>#N/A</v>
          </cell>
          <cell r="P201" t="e">
            <v>#N/A</v>
          </cell>
          <cell r="Q201" t="e">
            <v>#N/A</v>
          </cell>
          <cell r="R201" t="e">
            <v>#N/A</v>
          </cell>
          <cell r="S201" t="e">
            <v>#N/A</v>
          </cell>
          <cell r="T201" t="e">
            <v>#N/A</v>
          </cell>
          <cell r="U201" t="e">
            <v>#N/A</v>
          </cell>
          <cell r="V201" t="e">
            <v>#N/A</v>
          </cell>
          <cell r="W201" t="e">
            <v>#N/A</v>
          </cell>
          <cell r="X201" t="e">
            <v>#N/A</v>
          </cell>
          <cell r="Z201" t="e">
            <v>#N/A</v>
          </cell>
          <cell r="AA201" t="e">
            <v>#N/A</v>
          </cell>
          <cell r="AB201" t="e">
            <v>#N/A</v>
          </cell>
          <cell r="AC201" t="e">
            <v>#N/A</v>
          </cell>
          <cell r="AD201" t="e">
            <v>#N/A</v>
          </cell>
          <cell r="AE201" t="e">
            <v>#N/A</v>
          </cell>
          <cell r="AF201" t="e">
            <v>#N/A</v>
          </cell>
          <cell r="AG201" t="e">
            <v>#N/A</v>
          </cell>
          <cell r="AH201" t="e">
            <v>#N/A</v>
          </cell>
          <cell r="AI201" t="e">
            <v>#N/A</v>
          </cell>
          <cell r="AJ201" t="e">
            <v>#N/A</v>
          </cell>
          <cell r="AK201" t="e">
            <v>#N/A</v>
          </cell>
          <cell r="AL201" t="e">
            <v>#N/A</v>
          </cell>
          <cell r="AM201" t="e">
            <v>#N/A</v>
          </cell>
          <cell r="AN201" t="e">
            <v>#N/A</v>
          </cell>
          <cell r="AO201" t="e">
            <v>#N/A</v>
          </cell>
          <cell r="AP201" t="e">
            <v>#N/A</v>
          </cell>
          <cell r="AQ201" t="e">
            <v>#N/A</v>
          </cell>
          <cell r="AR201" t="e">
            <v>#N/A</v>
          </cell>
          <cell r="AS201" t="e">
            <v>#N/A</v>
          </cell>
          <cell r="AT201" t="e">
            <v>#N/A</v>
          </cell>
          <cell r="AU201" t="e">
            <v>#N/A</v>
          </cell>
          <cell r="AV201" t="e">
            <v>#N/A</v>
          </cell>
          <cell r="AW201" t="e">
            <v>#N/A</v>
          </cell>
          <cell r="AX201" t="e">
            <v>#N/A</v>
          </cell>
          <cell r="AY201" t="e">
            <v>#N/A</v>
          </cell>
          <cell r="AZ201" t="e">
            <v>#N/A</v>
          </cell>
          <cell r="BA201" t="e">
            <v>#N/A</v>
          </cell>
          <cell r="BB201" t="e">
            <v>#N/A</v>
          </cell>
          <cell r="BC201" t="e">
            <v>#N/A</v>
          </cell>
          <cell r="BD201" t="e">
            <v>#N/A</v>
          </cell>
          <cell r="BE201" t="e">
            <v>#N/A</v>
          </cell>
          <cell r="BF201" t="e">
            <v>#N/A</v>
          </cell>
          <cell r="BG201" t="e">
            <v>#N/A</v>
          </cell>
          <cell r="BH201" t="e">
            <v>#N/A</v>
          </cell>
          <cell r="BI201" t="e">
            <v>#N/A</v>
          </cell>
          <cell r="BJ201" t="e">
            <v>#N/A</v>
          </cell>
          <cell r="BK201" t="e">
            <v>#N/A</v>
          </cell>
          <cell r="BL201" t="e">
            <v>#N/A</v>
          </cell>
          <cell r="BM201" t="e">
            <v>#N/A</v>
          </cell>
          <cell r="BN201" t="e">
            <v>#N/A</v>
          </cell>
          <cell r="BO201" t="e">
            <v>#N/A</v>
          </cell>
          <cell r="BP201" t="e">
            <v>#N/A</v>
          </cell>
          <cell r="BQ201" t="e">
            <v>#N/A</v>
          </cell>
          <cell r="BR201" t="e">
            <v>#N/A</v>
          </cell>
          <cell r="BS201" t="e">
            <v>#N/A</v>
          </cell>
          <cell r="BT201" t="e">
            <v>#N/A</v>
          </cell>
          <cell r="BU201" t="e">
            <v>#N/A</v>
          </cell>
          <cell r="BV201" t="e">
            <v>#N/A</v>
          </cell>
          <cell r="BW201" t="e">
            <v>#N/A</v>
          </cell>
          <cell r="BX201" t="e">
            <v>#N/A</v>
          </cell>
          <cell r="BY201" t="e">
            <v>#N/A</v>
          </cell>
        </row>
        <row r="202">
          <cell r="B202" t="str">
            <v>Sales - % Sugar</v>
          </cell>
          <cell r="C202" t="str">
            <v>SALES_SUGAR</v>
          </cell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  <cell r="AV202" t="e">
            <v>#N/A</v>
          </cell>
          <cell r="AW202" t="e">
            <v>#N/A</v>
          </cell>
          <cell r="AX202" t="e">
            <v>#N/A</v>
          </cell>
          <cell r="AY202" t="e">
            <v>#N/A</v>
          </cell>
          <cell r="AZ202" t="e">
            <v>#N/A</v>
          </cell>
          <cell r="BA202" t="e">
            <v>#N/A</v>
          </cell>
          <cell r="BB202" t="e">
            <v>#N/A</v>
          </cell>
          <cell r="BC202" t="e">
            <v>#N/A</v>
          </cell>
          <cell r="BD202" t="e">
            <v>#N/A</v>
          </cell>
          <cell r="BE202" t="e">
            <v>#N/A</v>
          </cell>
          <cell r="BF202" t="e">
            <v>#N/A</v>
          </cell>
          <cell r="BG202" t="e">
            <v>#N/A</v>
          </cell>
          <cell r="BH202" t="e">
            <v>#N/A</v>
          </cell>
          <cell r="BI202" t="e">
            <v>#N/A</v>
          </cell>
          <cell r="BJ202" t="e">
            <v>#N/A</v>
          </cell>
          <cell r="BK202" t="e">
            <v>#N/A</v>
          </cell>
          <cell r="BL202" t="e">
            <v>#N/A</v>
          </cell>
          <cell r="BM202" t="e">
            <v>#N/A</v>
          </cell>
          <cell r="BN202" t="e">
            <v>#N/A</v>
          </cell>
          <cell r="BO202" t="e">
            <v>#N/A</v>
          </cell>
          <cell r="BP202" t="e">
            <v>#N/A</v>
          </cell>
          <cell r="BQ202" t="e">
            <v>#N/A</v>
          </cell>
          <cell r="BR202" t="e">
            <v>#N/A</v>
          </cell>
          <cell r="BS202" t="e">
            <v>#N/A</v>
          </cell>
          <cell r="BT202" t="e">
            <v>#N/A</v>
          </cell>
          <cell r="BU202" t="e">
            <v>#N/A</v>
          </cell>
          <cell r="BV202" t="e">
            <v>#N/A</v>
          </cell>
          <cell r="BW202" t="e">
            <v>#N/A</v>
          </cell>
          <cell r="BX202" t="e">
            <v>#N/A</v>
          </cell>
          <cell r="BY202" t="e">
            <v>#N/A</v>
          </cell>
        </row>
        <row r="203">
          <cell r="B203" t="str">
            <v>Sales - % Soybean</v>
          </cell>
          <cell r="C203" t="str">
            <v>SALES_SOYBEAN</v>
          </cell>
          <cell r="F203" t="e">
            <v>#N/A</v>
          </cell>
          <cell r="G203" t="e">
            <v>#N/A</v>
          </cell>
          <cell r="H203" t="e">
            <v>#N/A</v>
          </cell>
          <cell r="I203" t="e">
            <v>#N/A</v>
          </cell>
          <cell r="J203" t="e">
            <v>#N/A</v>
          </cell>
          <cell r="K203" t="e">
            <v>#N/A</v>
          </cell>
          <cell r="L203" t="e">
            <v>#N/A</v>
          </cell>
          <cell r="M203" t="e">
            <v>#N/A</v>
          </cell>
          <cell r="N203" t="e">
            <v>#N/A</v>
          </cell>
          <cell r="O203" t="e">
            <v>#N/A</v>
          </cell>
          <cell r="P203" t="e">
            <v>#N/A</v>
          </cell>
          <cell r="Q203" t="e">
            <v>#N/A</v>
          </cell>
          <cell r="R203" t="e">
            <v>#N/A</v>
          </cell>
          <cell r="S203" t="e">
            <v>#N/A</v>
          </cell>
          <cell r="T203" t="e">
            <v>#N/A</v>
          </cell>
          <cell r="U203" t="e">
            <v>#N/A</v>
          </cell>
          <cell r="V203" t="e">
            <v>#N/A</v>
          </cell>
          <cell r="W203" t="e">
            <v>#N/A</v>
          </cell>
          <cell r="X203" t="e">
            <v>#N/A</v>
          </cell>
          <cell r="Z203" t="e">
            <v>#N/A</v>
          </cell>
          <cell r="AA203" t="e">
            <v>#N/A</v>
          </cell>
          <cell r="AB203" t="e">
            <v>#N/A</v>
          </cell>
          <cell r="AC203" t="e">
            <v>#N/A</v>
          </cell>
          <cell r="AD203" t="e">
            <v>#N/A</v>
          </cell>
          <cell r="AE203" t="e">
            <v>#N/A</v>
          </cell>
          <cell r="AF203" t="e">
            <v>#N/A</v>
          </cell>
          <cell r="AG203" t="e">
            <v>#N/A</v>
          </cell>
          <cell r="AH203" t="e">
            <v>#N/A</v>
          </cell>
          <cell r="AI203" t="e">
            <v>#N/A</v>
          </cell>
          <cell r="AJ203" t="e">
            <v>#N/A</v>
          </cell>
          <cell r="AK203" t="e">
            <v>#N/A</v>
          </cell>
          <cell r="AL203" t="e">
            <v>#N/A</v>
          </cell>
          <cell r="AM203" t="e">
            <v>#N/A</v>
          </cell>
          <cell r="AN203" t="e">
            <v>#N/A</v>
          </cell>
          <cell r="AO203" t="e">
            <v>#N/A</v>
          </cell>
          <cell r="AP203" t="e">
            <v>#N/A</v>
          </cell>
          <cell r="AQ203" t="e">
            <v>#N/A</v>
          </cell>
          <cell r="AR203" t="e">
            <v>#N/A</v>
          </cell>
          <cell r="AS203" t="e">
            <v>#N/A</v>
          </cell>
          <cell r="AT203" t="e">
            <v>#N/A</v>
          </cell>
          <cell r="AU203" t="e">
            <v>#N/A</v>
          </cell>
          <cell r="AV203" t="e">
            <v>#N/A</v>
          </cell>
          <cell r="AW203" t="e">
            <v>#N/A</v>
          </cell>
          <cell r="AX203" t="e">
            <v>#N/A</v>
          </cell>
          <cell r="AY203" t="e">
            <v>#N/A</v>
          </cell>
          <cell r="AZ203" t="e">
            <v>#N/A</v>
          </cell>
          <cell r="BA203" t="e">
            <v>#N/A</v>
          </cell>
          <cell r="BB203" t="e">
            <v>#N/A</v>
          </cell>
          <cell r="BC203" t="e">
            <v>#N/A</v>
          </cell>
          <cell r="BD203" t="e">
            <v>#N/A</v>
          </cell>
          <cell r="BE203" t="e">
            <v>#N/A</v>
          </cell>
          <cell r="BF203" t="e">
            <v>#N/A</v>
          </cell>
          <cell r="BG203" t="e">
            <v>#N/A</v>
          </cell>
          <cell r="BH203" t="e">
            <v>#N/A</v>
          </cell>
          <cell r="BI203" t="e">
            <v>#N/A</v>
          </cell>
          <cell r="BJ203" t="e">
            <v>#N/A</v>
          </cell>
          <cell r="BK203" t="e">
            <v>#N/A</v>
          </cell>
          <cell r="BL203" t="e">
            <v>#N/A</v>
          </cell>
          <cell r="BM203" t="e">
            <v>#N/A</v>
          </cell>
          <cell r="BN203" t="e">
            <v>#N/A</v>
          </cell>
          <cell r="BO203" t="e">
            <v>#N/A</v>
          </cell>
          <cell r="BP203" t="e">
            <v>#N/A</v>
          </cell>
          <cell r="BQ203" t="e">
            <v>#N/A</v>
          </cell>
          <cell r="BR203" t="e">
            <v>#N/A</v>
          </cell>
          <cell r="BS203" t="e">
            <v>#N/A</v>
          </cell>
          <cell r="BT203" t="e">
            <v>#N/A</v>
          </cell>
          <cell r="BU203" t="e">
            <v>#N/A</v>
          </cell>
          <cell r="BV203" t="e">
            <v>#N/A</v>
          </cell>
          <cell r="BW203" t="e">
            <v>#N/A</v>
          </cell>
          <cell r="BX203" t="e">
            <v>#N/A</v>
          </cell>
          <cell r="BY203" t="e">
            <v>#N/A</v>
          </cell>
        </row>
        <row r="204">
          <cell r="B204" t="str">
            <v>Sales - % Corn</v>
          </cell>
          <cell r="C204" t="str">
            <v>SALES_CORN</v>
          </cell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  <cell r="AV204" t="e">
            <v>#N/A</v>
          </cell>
          <cell r="AW204" t="e">
            <v>#N/A</v>
          </cell>
          <cell r="AX204" t="e">
            <v>#N/A</v>
          </cell>
          <cell r="AY204" t="e">
            <v>#N/A</v>
          </cell>
          <cell r="AZ204" t="e">
            <v>#N/A</v>
          </cell>
          <cell r="BA204" t="e">
            <v>#N/A</v>
          </cell>
          <cell r="BB204" t="e">
            <v>#N/A</v>
          </cell>
          <cell r="BC204" t="e">
            <v>#N/A</v>
          </cell>
          <cell r="BD204" t="e">
            <v>#N/A</v>
          </cell>
          <cell r="BE204" t="e">
            <v>#N/A</v>
          </cell>
          <cell r="BF204" t="e">
            <v>#N/A</v>
          </cell>
          <cell r="BG204" t="e">
            <v>#N/A</v>
          </cell>
          <cell r="BH204" t="e">
            <v>#N/A</v>
          </cell>
          <cell r="BI204" t="e">
            <v>#N/A</v>
          </cell>
          <cell r="BJ204" t="e">
            <v>#N/A</v>
          </cell>
          <cell r="BK204" t="e">
            <v>#N/A</v>
          </cell>
          <cell r="BL204" t="e">
            <v>#N/A</v>
          </cell>
          <cell r="BM204" t="e">
            <v>#N/A</v>
          </cell>
          <cell r="BN204" t="e">
            <v>#N/A</v>
          </cell>
          <cell r="BO204" t="e">
            <v>#N/A</v>
          </cell>
          <cell r="BP204" t="e">
            <v>#N/A</v>
          </cell>
          <cell r="BQ204" t="e">
            <v>#N/A</v>
          </cell>
          <cell r="BR204" t="e">
            <v>#N/A</v>
          </cell>
          <cell r="BS204" t="e">
            <v>#N/A</v>
          </cell>
          <cell r="BT204" t="e">
            <v>#N/A</v>
          </cell>
          <cell r="BU204" t="e">
            <v>#N/A</v>
          </cell>
          <cell r="BV204" t="e">
            <v>#N/A</v>
          </cell>
          <cell r="BW204" t="e">
            <v>#N/A</v>
          </cell>
          <cell r="BX204" t="e">
            <v>#N/A</v>
          </cell>
          <cell r="BY204" t="e">
            <v>#N/A</v>
          </cell>
        </row>
        <row r="205">
          <cell r="B205" t="str">
            <v>Sales - % Cotton</v>
          </cell>
          <cell r="C205" t="str">
            <v>SALES_COTTON</v>
          </cell>
          <cell r="F205" t="e">
            <v>#N/A</v>
          </cell>
          <cell r="G205" t="e">
            <v>#N/A</v>
          </cell>
          <cell r="H205" t="e">
            <v>#N/A</v>
          </cell>
          <cell r="I205" t="e">
            <v>#N/A</v>
          </cell>
          <cell r="J205" t="e">
            <v>#N/A</v>
          </cell>
          <cell r="K205" t="e">
            <v>#N/A</v>
          </cell>
          <cell r="L205" t="e">
            <v>#N/A</v>
          </cell>
          <cell r="M205" t="e">
            <v>#N/A</v>
          </cell>
          <cell r="N205" t="e">
            <v>#N/A</v>
          </cell>
          <cell r="O205" t="e">
            <v>#N/A</v>
          </cell>
          <cell r="P205" t="e">
            <v>#N/A</v>
          </cell>
          <cell r="Q205" t="e">
            <v>#N/A</v>
          </cell>
          <cell r="R205" t="e">
            <v>#N/A</v>
          </cell>
          <cell r="S205" t="e">
            <v>#N/A</v>
          </cell>
          <cell r="T205" t="e">
            <v>#N/A</v>
          </cell>
          <cell r="U205" t="e">
            <v>#N/A</v>
          </cell>
          <cell r="V205" t="e">
            <v>#N/A</v>
          </cell>
          <cell r="W205" t="e">
            <v>#N/A</v>
          </cell>
          <cell r="X205" t="e">
            <v>#N/A</v>
          </cell>
          <cell r="Z205" t="e">
            <v>#N/A</v>
          </cell>
          <cell r="AA205" t="e">
            <v>#N/A</v>
          </cell>
          <cell r="AB205" t="e">
            <v>#N/A</v>
          </cell>
          <cell r="AC205" t="e">
            <v>#N/A</v>
          </cell>
          <cell r="AD205" t="e">
            <v>#N/A</v>
          </cell>
          <cell r="AE205" t="e">
            <v>#N/A</v>
          </cell>
          <cell r="AF205" t="e">
            <v>#N/A</v>
          </cell>
          <cell r="AG205" t="e">
            <v>#N/A</v>
          </cell>
          <cell r="AH205" t="e">
            <v>#N/A</v>
          </cell>
          <cell r="AI205" t="e">
            <v>#N/A</v>
          </cell>
          <cell r="AJ205" t="e">
            <v>#N/A</v>
          </cell>
          <cell r="AK205" t="e">
            <v>#N/A</v>
          </cell>
          <cell r="AL205" t="e">
            <v>#N/A</v>
          </cell>
          <cell r="AM205" t="e">
            <v>#N/A</v>
          </cell>
          <cell r="AN205" t="e">
            <v>#N/A</v>
          </cell>
          <cell r="AO205" t="e">
            <v>#N/A</v>
          </cell>
          <cell r="AP205" t="e">
            <v>#N/A</v>
          </cell>
          <cell r="AQ205" t="e">
            <v>#N/A</v>
          </cell>
          <cell r="AR205" t="e">
            <v>#N/A</v>
          </cell>
          <cell r="AS205" t="e">
            <v>#N/A</v>
          </cell>
          <cell r="AT205" t="e">
            <v>#N/A</v>
          </cell>
          <cell r="AU205" t="e">
            <v>#N/A</v>
          </cell>
          <cell r="AV205" t="e">
            <v>#N/A</v>
          </cell>
          <cell r="AW205" t="e">
            <v>#N/A</v>
          </cell>
          <cell r="AX205" t="e">
            <v>#N/A</v>
          </cell>
          <cell r="AY205" t="e">
            <v>#N/A</v>
          </cell>
          <cell r="AZ205" t="e">
            <v>#N/A</v>
          </cell>
          <cell r="BA205" t="e">
            <v>#N/A</v>
          </cell>
          <cell r="BB205" t="e">
            <v>#N/A</v>
          </cell>
          <cell r="BC205" t="e">
            <v>#N/A</v>
          </cell>
          <cell r="BD205" t="e">
            <v>#N/A</v>
          </cell>
          <cell r="BE205" t="e">
            <v>#N/A</v>
          </cell>
          <cell r="BF205" t="e">
            <v>#N/A</v>
          </cell>
          <cell r="BG205" t="e">
            <v>#N/A</v>
          </cell>
          <cell r="BH205" t="e">
            <v>#N/A</v>
          </cell>
          <cell r="BI205" t="e">
            <v>#N/A</v>
          </cell>
          <cell r="BJ205" t="e">
            <v>#N/A</v>
          </cell>
          <cell r="BK205" t="e">
            <v>#N/A</v>
          </cell>
          <cell r="BL205" t="e">
            <v>#N/A</v>
          </cell>
          <cell r="BM205" t="e">
            <v>#N/A</v>
          </cell>
          <cell r="BN205" t="e">
            <v>#N/A</v>
          </cell>
          <cell r="BO205" t="e">
            <v>#N/A</v>
          </cell>
          <cell r="BP205" t="e">
            <v>#N/A</v>
          </cell>
          <cell r="BQ205" t="e">
            <v>#N/A</v>
          </cell>
          <cell r="BR205" t="e">
            <v>#N/A</v>
          </cell>
          <cell r="BS205" t="e">
            <v>#N/A</v>
          </cell>
          <cell r="BT205" t="e">
            <v>#N/A</v>
          </cell>
          <cell r="BU205" t="e">
            <v>#N/A</v>
          </cell>
          <cell r="BV205" t="e">
            <v>#N/A</v>
          </cell>
          <cell r="BW205" t="e">
            <v>#N/A</v>
          </cell>
          <cell r="BX205" t="e">
            <v>#N/A</v>
          </cell>
          <cell r="BY205" t="e">
            <v>#N/A</v>
          </cell>
        </row>
        <row r="206">
          <cell r="B206" t="str">
            <v>Sales - % Coffee</v>
          </cell>
          <cell r="C206" t="str">
            <v>SALES_COFFEE</v>
          </cell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  <cell r="AV206" t="e">
            <v>#N/A</v>
          </cell>
          <cell r="AW206" t="e">
            <v>#N/A</v>
          </cell>
          <cell r="AX206" t="e">
            <v>#N/A</v>
          </cell>
          <cell r="AY206" t="e">
            <v>#N/A</v>
          </cell>
          <cell r="AZ206" t="e">
            <v>#N/A</v>
          </cell>
          <cell r="BA206" t="e">
            <v>#N/A</v>
          </cell>
          <cell r="BB206" t="e">
            <v>#N/A</v>
          </cell>
          <cell r="BC206" t="e">
            <v>#N/A</v>
          </cell>
          <cell r="BD206" t="e">
            <v>#N/A</v>
          </cell>
          <cell r="BE206" t="e">
            <v>#N/A</v>
          </cell>
          <cell r="BF206" t="e">
            <v>#N/A</v>
          </cell>
          <cell r="BG206" t="e">
            <v>#N/A</v>
          </cell>
          <cell r="BH206" t="e">
            <v>#N/A</v>
          </cell>
          <cell r="BI206" t="e">
            <v>#N/A</v>
          </cell>
          <cell r="BJ206" t="e">
            <v>#N/A</v>
          </cell>
          <cell r="BK206" t="e">
            <v>#N/A</v>
          </cell>
          <cell r="BL206" t="e">
            <v>#N/A</v>
          </cell>
          <cell r="BM206" t="e">
            <v>#N/A</v>
          </cell>
          <cell r="BN206" t="e">
            <v>#N/A</v>
          </cell>
          <cell r="BO206" t="e">
            <v>#N/A</v>
          </cell>
          <cell r="BP206" t="e">
            <v>#N/A</v>
          </cell>
          <cell r="BQ206" t="e">
            <v>#N/A</v>
          </cell>
          <cell r="BR206" t="e">
            <v>#N/A</v>
          </cell>
          <cell r="BS206" t="e">
            <v>#N/A</v>
          </cell>
          <cell r="BT206" t="e">
            <v>#N/A</v>
          </cell>
          <cell r="BU206" t="e">
            <v>#N/A</v>
          </cell>
          <cell r="BV206" t="e">
            <v>#N/A</v>
          </cell>
          <cell r="BW206" t="e">
            <v>#N/A</v>
          </cell>
          <cell r="BX206" t="e">
            <v>#N/A</v>
          </cell>
          <cell r="BY206" t="e">
            <v>#N/A</v>
          </cell>
        </row>
        <row r="207">
          <cell r="B207" t="str">
            <v>Sales - % Cocoa</v>
          </cell>
          <cell r="C207" t="str">
            <v>SALES_COCOA</v>
          </cell>
          <cell r="F207" t="e">
            <v>#N/A</v>
          </cell>
          <cell r="G207" t="e">
            <v>#N/A</v>
          </cell>
          <cell r="H207" t="e">
            <v>#N/A</v>
          </cell>
          <cell r="I207" t="e">
            <v>#N/A</v>
          </cell>
          <cell r="J207" t="e">
            <v>#N/A</v>
          </cell>
          <cell r="K207" t="e">
            <v>#N/A</v>
          </cell>
          <cell r="L207" t="e">
            <v>#N/A</v>
          </cell>
          <cell r="M207" t="e">
            <v>#N/A</v>
          </cell>
          <cell r="N207" t="e">
            <v>#N/A</v>
          </cell>
          <cell r="O207" t="e">
            <v>#N/A</v>
          </cell>
          <cell r="P207" t="e">
            <v>#N/A</v>
          </cell>
          <cell r="Q207" t="e">
            <v>#N/A</v>
          </cell>
          <cell r="R207" t="e">
            <v>#N/A</v>
          </cell>
          <cell r="S207" t="e">
            <v>#N/A</v>
          </cell>
          <cell r="T207" t="e">
            <v>#N/A</v>
          </cell>
          <cell r="U207" t="e">
            <v>#N/A</v>
          </cell>
          <cell r="V207" t="e">
            <v>#N/A</v>
          </cell>
          <cell r="W207" t="e">
            <v>#N/A</v>
          </cell>
          <cell r="X207" t="e">
            <v>#N/A</v>
          </cell>
          <cell r="Z207" t="e">
            <v>#N/A</v>
          </cell>
          <cell r="AA207" t="e">
            <v>#N/A</v>
          </cell>
          <cell r="AB207" t="e">
            <v>#N/A</v>
          </cell>
          <cell r="AC207" t="e">
            <v>#N/A</v>
          </cell>
          <cell r="AD207" t="e">
            <v>#N/A</v>
          </cell>
          <cell r="AE207" t="e">
            <v>#N/A</v>
          </cell>
          <cell r="AF207" t="e">
            <v>#N/A</v>
          </cell>
          <cell r="AG207" t="e">
            <v>#N/A</v>
          </cell>
          <cell r="AH207" t="e">
            <v>#N/A</v>
          </cell>
          <cell r="AI207" t="e">
            <v>#N/A</v>
          </cell>
          <cell r="AJ207" t="e">
            <v>#N/A</v>
          </cell>
          <cell r="AK207" t="e">
            <v>#N/A</v>
          </cell>
          <cell r="AL207" t="e">
            <v>#N/A</v>
          </cell>
          <cell r="AM207" t="e">
            <v>#N/A</v>
          </cell>
          <cell r="AN207" t="e">
            <v>#N/A</v>
          </cell>
          <cell r="AO207" t="e">
            <v>#N/A</v>
          </cell>
          <cell r="AP207" t="e">
            <v>#N/A</v>
          </cell>
          <cell r="AQ207" t="e">
            <v>#N/A</v>
          </cell>
          <cell r="AR207" t="e">
            <v>#N/A</v>
          </cell>
          <cell r="AS207" t="e">
            <v>#N/A</v>
          </cell>
          <cell r="AT207" t="e">
            <v>#N/A</v>
          </cell>
          <cell r="AU207" t="e">
            <v>#N/A</v>
          </cell>
          <cell r="AV207" t="e">
            <v>#N/A</v>
          </cell>
          <cell r="AW207" t="e">
            <v>#N/A</v>
          </cell>
          <cell r="AX207" t="e">
            <v>#N/A</v>
          </cell>
          <cell r="AY207" t="e">
            <v>#N/A</v>
          </cell>
          <cell r="AZ207" t="e">
            <v>#N/A</v>
          </cell>
          <cell r="BA207" t="e">
            <v>#N/A</v>
          </cell>
          <cell r="BB207" t="e">
            <v>#N/A</v>
          </cell>
          <cell r="BC207" t="e">
            <v>#N/A</v>
          </cell>
          <cell r="BD207" t="e">
            <v>#N/A</v>
          </cell>
          <cell r="BE207" t="e">
            <v>#N/A</v>
          </cell>
          <cell r="BF207" t="e">
            <v>#N/A</v>
          </cell>
          <cell r="BG207" t="e">
            <v>#N/A</v>
          </cell>
          <cell r="BH207" t="e">
            <v>#N/A</v>
          </cell>
          <cell r="BI207" t="e">
            <v>#N/A</v>
          </cell>
          <cell r="BJ207" t="e">
            <v>#N/A</v>
          </cell>
          <cell r="BK207" t="e">
            <v>#N/A</v>
          </cell>
          <cell r="BL207" t="e">
            <v>#N/A</v>
          </cell>
          <cell r="BM207" t="e">
            <v>#N/A</v>
          </cell>
          <cell r="BN207" t="e">
            <v>#N/A</v>
          </cell>
          <cell r="BO207" t="e">
            <v>#N/A</v>
          </cell>
          <cell r="BP207" t="e">
            <v>#N/A</v>
          </cell>
          <cell r="BQ207" t="e">
            <v>#N/A</v>
          </cell>
          <cell r="BR207" t="e">
            <v>#N/A</v>
          </cell>
          <cell r="BS207" t="e">
            <v>#N/A</v>
          </cell>
          <cell r="BT207" t="e">
            <v>#N/A</v>
          </cell>
          <cell r="BU207" t="e">
            <v>#N/A</v>
          </cell>
          <cell r="BV207" t="e">
            <v>#N/A</v>
          </cell>
          <cell r="BW207" t="e">
            <v>#N/A</v>
          </cell>
          <cell r="BX207" t="e">
            <v>#N/A</v>
          </cell>
          <cell r="BY207" t="e">
            <v>#N/A</v>
          </cell>
        </row>
        <row r="208">
          <cell r="B208" t="str">
            <v>Sales - % Beef</v>
          </cell>
          <cell r="C208" t="str">
            <v>SALES_BEEF</v>
          </cell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  <cell r="AV208" t="e">
            <v>#N/A</v>
          </cell>
          <cell r="AW208" t="e">
            <v>#N/A</v>
          </cell>
          <cell r="AX208" t="e">
            <v>#N/A</v>
          </cell>
          <cell r="AY208" t="e">
            <v>#N/A</v>
          </cell>
          <cell r="AZ208" t="e">
            <v>#N/A</v>
          </cell>
          <cell r="BA208" t="e">
            <v>#N/A</v>
          </cell>
          <cell r="BB208" t="e">
            <v>#N/A</v>
          </cell>
          <cell r="BC208" t="e">
            <v>#N/A</v>
          </cell>
          <cell r="BD208" t="e">
            <v>#N/A</v>
          </cell>
          <cell r="BE208" t="e">
            <v>#N/A</v>
          </cell>
          <cell r="BF208" t="e">
            <v>#N/A</v>
          </cell>
          <cell r="BG208" t="e">
            <v>#N/A</v>
          </cell>
          <cell r="BH208" t="e">
            <v>#N/A</v>
          </cell>
          <cell r="BI208" t="e">
            <v>#N/A</v>
          </cell>
          <cell r="BJ208" t="e">
            <v>#N/A</v>
          </cell>
          <cell r="BK208" t="e">
            <v>#N/A</v>
          </cell>
          <cell r="BL208" t="e">
            <v>#N/A</v>
          </cell>
          <cell r="BM208" t="e">
            <v>#N/A</v>
          </cell>
          <cell r="BN208" t="e">
            <v>#N/A</v>
          </cell>
          <cell r="BO208" t="e">
            <v>#N/A</v>
          </cell>
          <cell r="BP208" t="e">
            <v>#N/A</v>
          </cell>
          <cell r="BQ208" t="e">
            <v>#N/A</v>
          </cell>
          <cell r="BR208" t="e">
            <v>#N/A</v>
          </cell>
          <cell r="BS208" t="e">
            <v>#N/A</v>
          </cell>
          <cell r="BT208" t="e">
            <v>#N/A</v>
          </cell>
          <cell r="BU208" t="e">
            <v>#N/A</v>
          </cell>
          <cell r="BV208" t="e">
            <v>#N/A</v>
          </cell>
          <cell r="BW208" t="e">
            <v>#N/A</v>
          </cell>
          <cell r="BX208" t="e">
            <v>#N/A</v>
          </cell>
          <cell r="BY208" t="e">
            <v>#N/A</v>
          </cell>
        </row>
        <row r="209">
          <cell r="B209" t="str">
            <v>Sales - % Pork</v>
          </cell>
          <cell r="C209" t="str">
            <v>SALES_PORK</v>
          </cell>
          <cell r="F209" t="e">
            <v>#N/A</v>
          </cell>
          <cell r="G209" t="e">
            <v>#N/A</v>
          </cell>
          <cell r="H209" t="e">
            <v>#N/A</v>
          </cell>
          <cell r="I209" t="e">
            <v>#N/A</v>
          </cell>
          <cell r="J209" t="e">
            <v>#N/A</v>
          </cell>
          <cell r="K209" t="e">
            <v>#N/A</v>
          </cell>
          <cell r="L209" t="e">
            <v>#N/A</v>
          </cell>
          <cell r="M209" t="e">
            <v>#N/A</v>
          </cell>
          <cell r="N209" t="e">
            <v>#N/A</v>
          </cell>
          <cell r="O209" t="e">
            <v>#N/A</v>
          </cell>
          <cell r="P209" t="e">
            <v>#N/A</v>
          </cell>
          <cell r="Q209" t="e">
            <v>#N/A</v>
          </cell>
          <cell r="R209" t="e">
            <v>#N/A</v>
          </cell>
          <cell r="S209" t="e">
            <v>#N/A</v>
          </cell>
          <cell r="T209" t="e">
            <v>#N/A</v>
          </cell>
          <cell r="U209" t="e">
            <v>#N/A</v>
          </cell>
          <cell r="V209" t="e">
            <v>#N/A</v>
          </cell>
          <cell r="W209" t="e">
            <v>#N/A</v>
          </cell>
          <cell r="X209" t="e">
            <v>#N/A</v>
          </cell>
          <cell r="Z209" t="e">
            <v>#N/A</v>
          </cell>
          <cell r="AA209" t="e">
            <v>#N/A</v>
          </cell>
          <cell r="AB209" t="e">
            <v>#N/A</v>
          </cell>
          <cell r="AC209" t="e">
            <v>#N/A</v>
          </cell>
          <cell r="AD209" t="e">
            <v>#N/A</v>
          </cell>
          <cell r="AE209" t="e">
            <v>#N/A</v>
          </cell>
          <cell r="AF209" t="e">
            <v>#N/A</v>
          </cell>
          <cell r="AG209" t="e">
            <v>#N/A</v>
          </cell>
          <cell r="AH209" t="e">
            <v>#N/A</v>
          </cell>
          <cell r="AI209" t="e">
            <v>#N/A</v>
          </cell>
          <cell r="AJ209" t="e">
            <v>#N/A</v>
          </cell>
          <cell r="AK209" t="e">
            <v>#N/A</v>
          </cell>
          <cell r="AL209" t="e">
            <v>#N/A</v>
          </cell>
          <cell r="AM209" t="e">
            <v>#N/A</v>
          </cell>
          <cell r="AN209" t="e">
            <v>#N/A</v>
          </cell>
          <cell r="AO209" t="e">
            <v>#N/A</v>
          </cell>
          <cell r="AP209" t="e">
            <v>#N/A</v>
          </cell>
          <cell r="AQ209" t="e">
            <v>#N/A</v>
          </cell>
          <cell r="AR209" t="e">
            <v>#N/A</v>
          </cell>
          <cell r="AS209" t="e">
            <v>#N/A</v>
          </cell>
          <cell r="AT209" t="e">
            <v>#N/A</v>
          </cell>
          <cell r="AU209" t="e">
            <v>#N/A</v>
          </cell>
          <cell r="AV209" t="e">
            <v>#N/A</v>
          </cell>
          <cell r="AW209" t="e">
            <v>#N/A</v>
          </cell>
          <cell r="AX209" t="e">
            <v>#N/A</v>
          </cell>
          <cell r="AY209" t="e">
            <v>#N/A</v>
          </cell>
          <cell r="AZ209" t="e">
            <v>#N/A</v>
          </cell>
          <cell r="BA209" t="e">
            <v>#N/A</v>
          </cell>
          <cell r="BB209" t="e">
            <v>#N/A</v>
          </cell>
          <cell r="BC209" t="e">
            <v>#N/A</v>
          </cell>
          <cell r="BD209" t="e">
            <v>#N/A</v>
          </cell>
          <cell r="BE209" t="e">
            <v>#N/A</v>
          </cell>
          <cell r="BF209" t="e">
            <v>#N/A</v>
          </cell>
          <cell r="BG209" t="e">
            <v>#N/A</v>
          </cell>
          <cell r="BH209" t="e">
            <v>#N/A</v>
          </cell>
          <cell r="BI209" t="e">
            <v>#N/A</v>
          </cell>
          <cell r="BJ209" t="e">
            <v>#N/A</v>
          </cell>
          <cell r="BK209" t="e">
            <v>#N/A</v>
          </cell>
          <cell r="BL209" t="e">
            <v>#N/A</v>
          </cell>
          <cell r="BM209" t="e">
            <v>#N/A</v>
          </cell>
          <cell r="BN209" t="e">
            <v>#N/A</v>
          </cell>
          <cell r="BO209" t="e">
            <v>#N/A</v>
          </cell>
          <cell r="BP209" t="e">
            <v>#N/A</v>
          </cell>
          <cell r="BQ209" t="e">
            <v>#N/A</v>
          </cell>
          <cell r="BR209" t="e">
            <v>#N/A</v>
          </cell>
          <cell r="BS209" t="e">
            <v>#N/A</v>
          </cell>
          <cell r="BT209" t="e">
            <v>#N/A</v>
          </cell>
          <cell r="BU209" t="e">
            <v>#N/A</v>
          </cell>
          <cell r="BV209" t="e">
            <v>#N/A</v>
          </cell>
          <cell r="BW209" t="e">
            <v>#N/A</v>
          </cell>
          <cell r="BX209" t="e">
            <v>#N/A</v>
          </cell>
          <cell r="BY209" t="e">
            <v>#N/A</v>
          </cell>
        </row>
        <row r="210">
          <cell r="B210" t="str">
            <v>Sales - % Chicken</v>
          </cell>
          <cell r="C210" t="str">
            <v>SALES_CHICKEN</v>
          </cell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  <cell r="AV210" t="e">
            <v>#N/A</v>
          </cell>
          <cell r="AW210" t="e">
            <v>#N/A</v>
          </cell>
          <cell r="AX210" t="e">
            <v>#N/A</v>
          </cell>
          <cell r="AY210" t="e">
            <v>#N/A</v>
          </cell>
          <cell r="AZ210" t="e">
            <v>#N/A</v>
          </cell>
          <cell r="BA210" t="e">
            <v>#N/A</v>
          </cell>
          <cell r="BB210" t="e">
            <v>#N/A</v>
          </cell>
          <cell r="BC210" t="e">
            <v>#N/A</v>
          </cell>
          <cell r="BD210" t="e">
            <v>#N/A</v>
          </cell>
          <cell r="BE210" t="e">
            <v>#N/A</v>
          </cell>
          <cell r="BF210" t="e">
            <v>#N/A</v>
          </cell>
          <cell r="BG210" t="e">
            <v>#N/A</v>
          </cell>
          <cell r="BH210" t="e">
            <v>#N/A</v>
          </cell>
          <cell r="BI210" t="e">
            <v>#N/A</v>
          </cell>
          <cell r="BJ210" t="e">
            <v>#N/A</v>
          </cell>
          <cell r="BK210" t="e">
            <v>#N/A</v>
          </cell>
          <cell r="BL210" t="e">
            <v>#N/A</v>
          </cell>
          <cell r="BM210" t="e">
            <v>#N/A</v>
          </cell>
          <cell r="BN210" t="e">
            <v>#N/A</v>
          </cell>
          <cell r="BO210" t="e">
            <v>#N/A</v>
          </cell>
          <cell r="BP210" t="e">
            <v>#N/A</v>
          </cell>
          <cell r="BQ210" t="e">
            <v>#N/A</v>
          </cell>
          <cell r="BR210" t="e">
            <v>#N/A</v>
          </cell>
          <cell r="BS210" t="e">
            <v>#N/A</v>
          </cell>
          <cell r="BT210" t="e">
            <v>#N/A</v>
          </cell>
          <cell r="BU210" t="e">
            <v>#N/A</v>
          </cell>
          <cell r="BV210" t="e">
            <v>#N/A</v>
          </cell>
          <cell r="BW210" t="e">
            <v>#N/A</v>
          </cell>
          <cell r="BX210" t="e">
            <v>#N/A</v>
          </cell>
          <cell r="BY210" t="e">
            <v>#N/A</v>
          </cell>
        </row>
        <row r="211">
          <cell r="B211" t="str">
            <v>Sales - % Dairy</v>
          </cell>
          <cell r="C211" t="str">
            <v>SALES_DAIRY</v>
          </cell>
          <cell r="F211" t="e">
            <v>#N/A</v>
          </cell>
          <cell r="G211" t="e">
            <v>#N/A</v>
          </cell>
          <cell r="H211" t="e">
            <v>#N/A</v>
          </cell>
          <cell r="I211" t="e">
            <v>#N/A</v>
          </cell>
          <cell r="J211" t="e">
            <v>#N/A</v>
          </cell>
          <cell r="K211" t="e">
            <v>#N/A</v>
          </cell>
          <cell r="L211" t="e">
            <v>#N/A</v>
          </cell>
          <cell r="M211" t="e">
            <v>#N/A</v>
          </cell>
          <cell r="N211" t="e">
            <v>#N/A</v>
          </cell>
          <cell r="O211" t="e">
            <v>#N/A</v>
          </cell>
          <cell r="P211" t="e">
            <v>#N/A</v>
          </cell>
          <cell r="Q211" t="e">
            <v>#N/A</v>
          </cell>
          <cell r="R211" t="e">
            <v>#N/A</v>
          </cell>
          <cell r="S211" t="e">
            <v>#N/A</v>
          </cell>
          <cell r="T211" t="e">
            <v>#N/A</v>
          </cell>
          <cell r="U211" t="e">
            <v>#N/A</v>
          </cell>
          <cell r="V211" t="e">
            <v>#N/A</v>
          </cell>
          <cell r="W211" t="e">
            <v>#N/A</v>
          </cell>
          <cell r="X211" t="e">
            <v>#N/A</v>
          </cell>
          <cell r="Z211" t="e">
            <v>#N/A</v>
          </cell>
          <cell r="AA211" t="e">
            <v>#N/A</v>
          </cell>
          <cell r="AB211" t="e">
            <v>#N/A</v>
          </cell>
          <cell r="AC211" t="e">
            <v>#N/A</v>
          </cell>
          <cell r="AD211" t="e">
            <v>#N/A</v>
          </cell>
          <cell r="AE211" t="e">
            <v>#N/A</v>
          </cell>
          <cell r="AF211" t="e">
            <v>#N/A</v>
          </cell>
          <cell r="AG211" t="e">
            <v>#N/A</v>
          </cell>
          <cell r="AH211" t="e">
            <v>#N/A</v>
          </cell>
          <cell r="AI211" t="e">
            <v>#N/A</v>
          </cell>
          <cell r="AJ211" t="e">
            <v>#N/A</v>
          </cell>
          <cell r="AK211" t="e">
            <v>#N/A</v>
          </cell>
          <cell r="AL211" t="e">
            <v>#N/A</v>
          </cell>
          <cell r="AM211" t="e">
            <v>#N/A</v>
          </cell>
          <cell r="AN211" t="e">
            <v>#N/A</v>
          </cell>
          <cell r="AO211" t="e">
            <v>#N/A</v>
          </cell>
          <cell r="AP211" t="e">
            <v>#N/A</v>
          </cell>
          <cell r="AQ211" t="e">
            <v>#N/A</v>
          </cell>
          <cell r="AR211" t="e">
            <v>#N/A</v>
          </cell>
          <cell r="AS211" t="e">
            <v>#N/A</v>
          </cell>
          <cell r="AT211" t="e">
            <v>#N/A</v>
          </cell>
          <cell r="AU211" t="e">
            <v>#N/A</v>
          </cell>
          <cell r="AV211" t="e">
            <v>#N/A</v>
          </cell>
          <cell r="AW211" t="e">
            <v>#N/A</v>
          </cell>
          <cell r="AX211" t="e">
            <v>#N/A</v>
          </cell>
          <cell r="AY211" t="e">
            <v>#N/A</v>
          </cell>
          <cell r="AZ211" t="e">
            <v>#N/A</v>
          </cell>
          <cell r="BA211" t="e">
            <v>#N/A</v>
          </cell>
          <cell r="BB211" t="e">
            <v>#N/A</v>
          </cell>
          <cell r="BC211" t="e">
            <v>#N/A</v>
          </cell>
          <cell r="BD211" t="e">
            <v>#N/A</v>
          </cell>
          <cell r="BE211" t="e">
            <v>#N/A</v>
          </cell>
          <cell r="BF211" t="e">
            <v>#N/A</v>
          </cell>
          <cell r="BG211" t="e">
            <v>#N/A</v>
          </cell>
          <cell r="BH211" t="e">
            <v>#N/A</v>
          </cell>
          <cell r="BI211" t="e">
            <v>#N/A</v>
          </cell>
          <cell r="BJ211" t="e">
            <v>#N/A</v>
          </cell>
          <cell r="BK211" t="e">
            <v>#N/A</v>
          </cell>
          <cell r="BL211" t="e">
            <v>#N/A</v>
          </cell>
          <cell r="BM211" t="e">
            <v>#N/A</v>
          </cell>
          <cell r="BN211" t="e">
            <v>#N/A</v>
          </cell>
          <cell r="BO211" t="e">
            <v>#N/A</v>
          </cell>
          <cell r="BP211" t="e">
            <v>#N/A</v>
          </cell>
          <cell r="BQ211" t="e">
            <v>#N/A</v>
          </cell>
          <cell r="BR211" t="e">
            <v>#N/A</v>
          </cell>
          <cell r="BS211" t="e">
            <v>#N/A</v>
          </cell>
          <cell r="BT211" t="e">
            <v>#N/A</v>
          </cell>
          <cell r="BU211" t="e">
            <v>#N/A</v>
          </cell>
          <cell r="BV211" t="e">
            <v>#N/A</v>
          </cell>
          <cell r="BW211" t="e">
            <v>#N/A</v>
          </cell>
          <cell r="BX211" t="e">
            <v>#N/A</v>
          </cell>
          <cell r="BY211" t="e">
            <v>#N/A</v>
          </cell>
        </row>
        <row r="212">
          <cell r="B212" t="str">
            <v>Sales - % Nuts</v>
          </cell>
          <cell r="C212" t="str">
            <v>SALES_NUTS</v>
          </cell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  <cell r="AV212" t="e">
            <v>#N/A</v>
          </cell>
          <cell r="AW212" t="e">
            <v>#N/A</v>
          </cell>
          <cell r="AX212" t="e">
            <v>#N/A</v>
          </cell>
          <cell r="AY212" t="e">
            <v>#N/A</v>
          </cell>
          <cell r="AZ212" t="e">
            <v>#N/A</v>
          </cell>
          <cell r="BA212" t="e">
            <v>#N/A</v>
          </cell>
          <cell r="BB212" t="e">
            <v>#N/A</v>
          </cell>
          <cell r="BC212" t="e">
            <v>#N/A</v>
          </cell>
          <cell r="BD212" t="e">
            <v>#N/A</v>
          </cell>
          <cell r="BE212" t="e">
            <v>#N/A</v>
          </cell>
          <cell r="BF212" t="e">
            <v>#N/A</v>
          </cell>
          <cell r="BG212" t="e">
            <v>#N/A</v>
          </cell>
          <cell r="BH212" t="e">
            <v>#N/A</v>
          </cell>
          <cell r="BI212" t="e">
            <v>#N/A</v>
          </cell>
          <cell r="BJ212" t="e">
            <v>#N/A</v>
          </cell>
          <cell r="BK212" t="e">
            <v>#N/A</v>
          </cell>
          <cell r="BL212" t="e">
            <v>#N/A</v>
          </cell>
          <cell r="BM212" t="e">
            <v>#N/A</v>
          </cell>
          <cell r="BN212" t="e">
            <v>#N/A</v>
          </cell>
          <cell r="BO212" t="e">
            <v>#N/A</v>
          </cell>
          <cell r="BP212" t="e">
            <v>#N/A</v>
          </cell>
          <cell r="BQ212" t="e">
            <v>#N/A</v>
          </cell>
          <cell r="BR212" t="e">
            <v>#N/A</v>
          </cell>
          <cell r="BS212" t="e">
            <v>#N/A</v>
          </cell>
          <cell r="BT212" t="e">
            <v>#N/A</v>
          </cell>
          <cell r="BU212" t="e">
            <v>#N/A</v>
          </cell>
          <cell r="BV212" t="e">
            <v>#N/A</v>
          </cell>
          <cell r="BW212" t="e">
            <v>#N/A</v>
          </cell>
          <cell r="BX212" t="e">
            <v>#N/A</v>
          </cell>
          <cell r="BY212" t="e">
            <v>#N/A</v>
          </cell>
        </row>
        <row r="213">
          <cell r="B213" t="str">
            <v>Sales - % Palm oil</v>
          </cell>
          <cell r="C213" t="str">
            <v>SALES_PALM_OIL</v>
          </cell>
          <cell r="F213" t="e">
            <v>#N/A</v>
          </cell>
          <cell r="G213" t="e">
            <v>#N/A</v>
          </cell>
          <cell r="H213" t="e">
            <v>#N/A</v>
          </cell>
          <cell r="I213" t="e">
            <v>#N/A</v>
          </cell>
          <cell r="J213" t="e">
            <v>#N/A</v>
          </cell>
          <cell r="K213" t="e">
            <v>#N/A</v>
          </cell>
          <cell r="L213" t="e">
            <v>#N/A</v>
          </cell>
          <cell r="M213" t="e">
            <v>#N/A</v>
          </cell>
          <cell r="N213" t="e">
            <v>#N/A</v>
          </cell>
          <cell r="O213" t="e">
            <v>#N/A</v>
          </cell>
          <cell r="P213" t="e">
            <v>#N/A</v>
          </cell>
          <cell r="Q213" t="e">
            <v>#N/A</v>
          </cell>
          <cell r="R213" t="e">
            <v>#N/A</v>
          </cell>
          <cell r="S213" t="e">
            <v>#N/A</v>
          </cell>
          <cell r="T213" t="e">
            <v>#N/A</v>
          </cell>
          <cell r="U213" t="e">
            <v>#N/A</v>
          </cell>
          <cell r="V213" t="e">
            <v>#N/A</v>
          </cell>
          <cell r="W213" t="e">
            <v>#N/A</v>
          </cell>
          <cell r="X213" t="e">
            <v>#N/A</v>
          </cell>
          <cell r="Z213" t="e">
            <v>#N/A</v>
          </cell>
          <cell r="AA213" t="e">
            <v>#N/A</v>
          </cell>
          <cell r="AB213" t="e">
            <v>#N/A</v>
          </cell>
          <cell r="AC213" t="e">
            <v>#N/A</v>
          </cell>
          <cell r="AD213" t="e">
            <v>#N/A</v>
          </cell>
          <cell r="AE213" t="e">
            <v>#N/A</v>
          </cell>
          <cell r="AF213" t="e">
            <v>#N/A</v>
          </cell>
          <cell r="AG213" t="e">
            <v>#N/A</v>
          </cell>
          <cell r="AH213" t="e">
            <v>#N/A</v>
          </cell>
          <cell r="AI213" t="e">
            <v>#N/A</v>
          </cell>
          <cell r="AJ213" t="e">
            <v>#N/A</v>
          </cell>
          <cell r="AK213" t="e">
            <v>#N/A</v>
          </cell>
          <cell r="AL213" t="e">
            <v>#N/A</v>
          </cell>
          <cell r="AM213" t="e">
            <v>#N/A</v>
          </cell>
          <cell r="AN213" t="e">
            <v>#N/A</v>
          </cell>
          <cell r="AO213" t="e">
            <v>#N/A</v>
          </cell>
          <cell r="AP213" t="e">
            <v>#N/A</v>
          </cell>
          <cell r="AQ213" t="e">
            <v>#N/A</v>
          </cell>
          <cell r="AR213" t="e">
            <v>#N/A</v>
          </cell>
          <cell r="AS213" t="e">
            <v>#N/A</v>
          </cell>
          <cell r="AT213" t="e">
            <v>#N/A</v>
          </cell>
          <cell r="AU213" t="e">
            <v>#N/A</v>
          </cell>
          <cell r="AV213" t="e">
            <v>#N/A</v>
          </cell>
          <cell r="AW213" t="e">
            <v>#N/A</v>
          </cell>
          <cell r="AX213" t="e">
            <v>#N/A</v>
          </cell>
          <cell r="AY213" t="e">
            <v>#N/A</v>
          </cell>
          <cell r="AZ213" t="e">
            <v>#N/A</v>
          </cell>
          <cell r="BA213" t="e">
            <v>#N/A</v>
          </cell>
          <cell r="BB213" t="e">
            <v>#N/A</v>
          </cell>
          <cell r="BC213" t="e">
            <v>#N/A</v>
          </cell>
          <cell r="BD213" t="e">
            <v>#N/A</v>
          </cell>
          <cell r="BE213" t="e">
            <v>#N/A</v>
          </cell>
          <cell r="BF213" t="e">
            <v>#N/A</v>
          </cell>
          <cell r="BG213" t="e">
            <v>#N/A</v>
          </cell>
          <cell r="BH213" t="e">
            <v>#N/A</v>
          </cell>
          <cell r="BI213" t="e">
            <v>#N/A</v>
          </cell>
          <cell r="BJ213" t="e">
            <v>#N/A</v>
          </cell>
          <cell r="BK213" t="e">
            <v>#N/A</v>
          </cell>
          <cell r="BL213" t="e">
            <v>#N/A</v>
          </cell>
          <cell r="BM213" t="e">
            <v>#N/A</v>
          </cell>
          <cell r="BN213" t="e">
            <v>#N/A</v>
          </cell>
          <cell r="BO213" t="e">
            <v>#N/A</v>
          </cell>
          <cell r="BP213" t="e">
            <v>#N/A</v>
          </cell>
          <cell r="BQ213" t="e">
            <v>#N/A</v>
          </cell>
          <cell r="BR213" t="e">
            <v>#N/A</v>
          </cell>
          <cell r="BS213" t="e">
            <v>#N/A</v>
          </cell>
          <cell r="BT213" t="e">
            <v>#N/A</v>
          </cell>
          <cell r="BU213" t="e">
            <v>#N/A</v>
          </cell>
          <cell r="BV213" t="e">
            <v>#N/A</v>
          </cell>
          <cell r="BW213" t="e">
            <v>#N/A</v>
          </cell>
          <cell r="BX213" t="e">
            <v>#N/A</v>
          </cell>
          <cell r="BY213" t="e">
            <v>#N/A</v>
          </cell>
        </row>
        <row r="214">
          <cell r="B214" t="str">
            <v>Sales - % Other edible oil</v>
          </cell>
          <cell r="C214" t="str">
            <v>SALES_OTH_EDIBLE_OIL</v>
          </cell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  <cell r="AV214" t="e">
            <v>#N/A</v>
          </cell>
          <cell r="AW214" t="e">
            <v>#N/A</v>
          </cell>
          <cell r="AX214" t="e">
            <v>#N/A</v>
          </cell>
          <cell r="AY214" t="e">
            <v>#N/A</v>
          </cell>
          <cell r="AZ214" t="e">
            <v>#N/A</v>
          </cell>
          <cell r="BA214" t="e">
            <v>#N/A</v>
          </cell>
          <cell r="BB214" t="e">
            <v>#N/A</v>
          </cell>
          <cell r="BC214" t="e">
            <v>#N/A</v>
          </cell>
          <cell r="BD214" t="e">
            <v>#N/A</v>
          </cell>
          <cell r="BE214" t="e">
            <v>#N/A</v>
          </cell>
          <cell r="BF214" t="e">
            <v>#N/A</v>
          </cell>
          <cell r="BG214" t="e">
            <v>#N/A</v>
          </cell>
          <cell r="BH214" t="e">
            <v>#N/A</v>
          </cell>
          <cell r="BI214" t="e">
            <v>#N/A</v>
          </cell>
          <cell r="BJ214" t="e">
            <v>#N/A</v>
          </cell>
          <cell r="BK214" t="e">
            <v>#N/A</v>
          </cell>
          <cell r="BL214" t="e">
            <v>#N/A</v>
          </cell>
          <cell r="BM214" t="e">
            <v>#N/A</v>
          </cell>
          <cell r="BN214" t="e">
            <v>#N/A</v>
          </cell>
          <cell r="BO214" t="e">
            <v>#N/A</v>
          </cell>
          <cell r="BP214" t="e">
            <v>#N/A</v>
          </cell>
          <cell r="BQ214" t="e">
            <v>#N/A</v>
          </cell>
          <cell r="BR214" t="e">
            <v>#N/A</v>
          </cell>
          <cell r="BS214" t="e">
            <v>#N/A</v>
          </cell>
          <cell r="BT214" t="e">
            <v>#N/A</v>
          </cell>
          <cell r="BU214" t="e">
            <v>#N/A</v>
          </cell>
          <cell r="BV214" t="e">
            <v>#N/A</v>
          </cell>
          <cell r="BW214" t="e">
            <v>#N/A</v>
          </cell>
          <cell r="BX214" t="e">
            <v>#N/A</v>
          </cell>
          <cell r="BY214" t="e">
            <v>#N/A</v>
          </cell>
        </row>
        <row r="215">
          <cell r="B215" t="str">
            <v>Sales - % Tobacco leaf</v>
          </cell>
          <cell r="C215" t="str">
            <v>SALES_TOBACCO_LEAF</v>
          </cell>
          <cell r="F215" t="e">
            <v>#N/A</v>
          </cell>
          <cell r="G215" t="e">
            <v>#N/A</v>
          </cell>
          <cell r="H215" t="e">
            <v>#N/A</v>
          </cell>
          <cell r="I215" t="e">
            <v>#N/A</v>
          </cell>
          <cell r="J215" t="e">
            <v>#N/A</v>
          </cell>
          <cell r="K215" t="e">
            <v>#N/A</v>
          </cell>
          <cell r="L215" t="e">
            <v>#N/A</v>
          </cell>
          <cell r="M215" t="e">
            <v>#N/A</v>
          </cell>
          <cell r="N215" t="e">
            <v>#N/A</v>
          </cell>
          <cell r="O215" t="e">
            <v>#N/A</v>
          </cell>
          <cell r="P215" t="e">
            <v>#N/A</v>
          </cell>
          <cell r="Q215" t="e">
            <v>#N/A</v>
          </cell>
          <cell r="R215" t="e">
            <v>#N/A</v>
          </cell>
          <cell r="S215" t="e">
            <v>#N/A</v>
          </cell>
          <cell r="T215" t="e">
            <v>#N/A</v>
          </cell>
          <cell r="U215" t="e">
            <v>#N/A</v>
          </cell>
          <cell r="V215" t="e">
            <v>#N/A</v>
          </cell>
          <cell r="W215" t="e">
            <v>#N/A</v>
          </cell>
          <cell r="X215" t="e">
            <v>#N/A</v>
          </cell>
          <cell r="Z215" t="e">
            <v>#N/A</v>
          </cell>
          <cell r="AA215" t="e">
            <v>#N/A</v>
          </cell>
          <cell r="AB215" t="e">
            <v>#N/A</v>
          </cell>
          <cell r="AC215" t="e">
            <v>#N/A</v>
          </cell>
          <cell r="AD215" t="e">
            <v>#N/A</v>
          </cell>
          <cell r="AE215" t="e">
            <v>#N/A</v>
          </cell>
          <cell r="AF215" t="e">
            <v>#N/A</v>
          </cell>
          <cell r="AG215" t="e">
            <v>#N/A</v>
          </cell>
          <cell r="AH215" t="e">
            <v>#N/A</v>
          </cell>
          <cell r="AI215" t="e">
            <v>#N/A</v>
          </cell>
          <cell r="AJ215" t="e">
            <v>#N/A</v>
          </cell>
          <cell r="AK215" t="e">
            <v>#N/A</v>
          </cell>
          <cell r="AL215" t="e">
            <v>#N/A</v>
          </cell>
          <cell r="AM215" t="e">
            <v>#N/A</v>
          </cell>
          <cell r="AN215" t="e">
            <v>#N/A</v>
          </cell>
          <cell r="AO215" t="e">
            <v>#N/A</v>
          </cell>
          <cell r="AP215" t="e">
            <v>#N/A</v>
          </cell>
          <cell r="AQ215" t="e">
            <v>#N/A</v>
          </cell>
          <cell r="AR215" t="e">
            <v>#N/A</v>
          </cell>
          <cell r="AS215" t="e">
            <v>#N/A</v>
          </cell>
          <cell r="AT215" t="e">
            <v>#N/A</v>
          </cell>
          <cell r="AU215" t="e">
            <v>#N/A</v>
          </cell>
          <cell r="AV215" t="e">
            <v>#N/A</v>
          </cell>
          <cell r="AW215" t="e">
            <v>#N/A</v>
          </cell>
          <cell r="AX215" t="e">
            <v>#N/A</v>
          </cell>
          <cell r="AY215" t="e">
            <v>#N/A</v>
          </cell>
          <cell r="AZ215" t="e">
            <v>#N/A</v>
          </cell>
          <cell r="BA215" t="e">
            <v>#N/A</v>
          </cell>
          <cell r="BB215" t="e">
            <v>#N/A</v>
          </cell>
          <cell r="BC215" t="e">
            <v>#N/A</v>
          </cell>
          <cell r="BD215" t="e">
            <v>#N/A</v>
          </cell>
          <cell r="BE215" t="e">
            <v>#N/A</v>
          </cell>
          <cell r="BF215" t="e">
            <v>#N/A</v>
          </cell>
          <cell r="BG215" t="e">
            <v>#N/A</v>
          </cell>
          <cell r="BH215" t="e">
            <v>#N/A</v>
          </cell>
          <cell r="BI215" t="e">
            <v>#N/A</v>
          </cell>
          <cell r="BJ215" t="e">
            <v>#N/A</v>
          </cell>
          <cell r="BK215" t="e">
            <v>#N/A</v>
          </cell>
          <cell r="BL215" t="e">
            <v>#N/A</v>
          </cell>
          <cell r="BM215" t="e">
            <v>#N/A</v>
          </cell>
          <cell r="BN215" t="e">
            <v>#N/A</v>
          </cell>
          <cell r="BO215" t="e">
            <v>#N/A</v>
          </cell>
          <cell r="BP215" t="e">
            <v>#N/A</v>
          </cell>
          <cell r="BQ215" t="e">
            <v>#N/A</v>
          </cell>
          <cell r="BR215" t="e">
            <v>#N/A</v>
          </cell>
          <cell r="BS215" t="e">
            <v>#N/A</v>
          </cell>
          <cell r="BT215" t="e">
            <v>#N/A</v>
          </cell>
          <cell r="BU215" t="e">
            <v>#N/A</v>
          </cell>
          <cell r="BV215" t="e">
            <v>#N/A</v>
          </cell>
          <cell r="BW215" t="e">
            <v>#N/A</v>
          </cell>
          <cell r="BX215" t="e">
            <v>#N/A</v>
          </cell>
          <cell r="BY215" t="e">
            <v>#N/A</v>
          </cell>
        </row>
        <row r="216">
          <cell r="B216" t="str">
            <v>Sales - % Other commodity</v>
          </cell>
          <cell r="C216" t="str">
            <v>SALES_OTH_COMMODITY</v>
          </cell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  <cell r="AV216" t="e">
            <v>#N/A</v>
          </cell>
          <cell r="AW216" t="e">
            <v>#N/A</v>
          </cell>
          <cell r="AX216" t="e">
            <v>#N/A</v>
          </cell>
          <cell r="AY216" t="e">
            <v>#N/A</v>
          </cell>
          <cell r="AZ216" t="e">
            <v>#N/A</v>
          </cell>
          <cell r="BA216" t="e">
            <v>#N/A</v>
          </cell>
          <cell r="BB216" t="e">
            <v>#N/A</v>
          </cell>
          <cell r="BC216" t="e">
            <v>#N/A</v>
          </cell>
          <cell r="BD216" t="e">
            <v>#N/A</v>
          </cell>
          <cell r="BE216" t="e">
            <v>#N/A</v>
          </cell>
          <cell r="BF216" t="e">
            <v>#N/A</v>
          </cell>
          <cell r="BG216" t="e">
            <v>#N/A</v>
          </cell>
          <cell r="BH216" t="e">
            <v>#N/A</v>
          </cell>
          <cell r="BI216" t="e">
            <v>#N/A</v>
          </cell>
          <cell r="BJ216" t="e">
            <v>#N/A</v>
          </cell>
          <cell r="BK216" t="e">
            <v>#N/A</v>
          </cell>
          <cell r="BL216" t="e">
            <v>#N/A</v>
          </cell>
          <cell r="BM216" t="e">
            <v>#N/A</v>
          </cell>
          <cell r="BN216" t="e">
            <v>#N/A</v>
          </cell>
          <cell r="BO216" t="e">
            <v>#N/A</v>
          </cell>
          <cell r="BP216" t="e">
            <v>#N/A</v>
          </cell>
          <cell r="BQ216" t="e">
            <v>#N/A</v>
          </cell>
          <cell r="BR216" t="e">
            <v>#N/A</v>
          </cell>
          <cell r="BS216" t="e">
            <v>#N/A</v>
          </cell>
          <cell r="BT216" t="e">
            <v>#N/A</v>
          </cell>
          <cell r="BU216" t="e">
            <v>#N/A</v>
          </cell>
          <cell r="BV216" t="e">
            <v>#N/A</v>
          </cell>
          <cell r="BW216" t="e">
            <v>#N/A</v>
          </cell>
          <cell r="BX216" t="e">
            <v>#N/A</v>
          </cell>
          <cell r="BY216" t="e">
            <v>#N/A</v>
          </cell>
        </row>
        <row r="217">
          <cell r="A217" t="str">
            <v>Commodities Exposure - Expense</v>
          </cell>
        </row>
        <row r="218">
          <cell r="B218" t="str">
            <v>Expense - % Oil/Petrol/Fuel</v>
          </cell>
          <cell r="C218" t="str">
            <v>EXP_OIL_PETRO_FUEL</v>
          </cell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  <cell r="AV218" t="e">
            <v>#N/A</v>
          </cell>
          <cell r="AW218" t="e">
            <v>#N/A</v>
          </cell>
          <cell r="AX218" t="e">
            <v>#N/A</v>
          </cell>
          <cell r="AY218" t="e">
            <v>#N/A</v>
          </cell>
          <cell r="AZ218" t="e">
            <v>#N/A</v>
          </cell>
          <cell r="BA218" t="e">
            <v>#N/A</v>
          </cell>
          <cell r="BB218" t="e">
            <v>#N/A</v>
          </cell>
          <cell r="BC218" t="e">
            <v>#N/A</v>
          </cell>
          <cell r="BD218" t="e">
            <v>#N/A</v>
          </cell>
          <cell r="BE218" t="e">
            <v>#N/A</v>
          </cell>
          <cell r="BF218" t="e">
            <v>#N/A</v>
          </cell>
          <cell r="BG218" t="e">
            <v>#N/A</v>
          </cell>
          <cell r="BH218" t="e">
            <v>#N/A</v>
          </cell>
          <cell r="BI218" t="e">
            <v>#N/A</v>
          </cell>
          <cell r="BJ218" t="e">
            <v>#N/A</v>
          </cell>
          <cell r="BK218" t="e">
            <v>#N/A</v>
          </cell>
          <cell r="BL218" t="e">
            <v>#N/A</v>
          </cell>
          <cell r="BM218" t="e">
            <v>#N/A</v>
          </cell>
          <cell r="BN218" t="e">
            <v>#N/A</v>
          </cell>
          <cell r="BO218" t="e">
            <v>#N/A</v>
          </cell>
          <cell r="BP218" t="e">
            <v>#N/A</v>
          </cell>
          <cell r="BQ218" t="e">
            <v>#N/A</v>
          </cell>
          <cell r="BR218" t="e">
            <v>#N/A</v>
          </cell>
          <cell r="BS218" t="e">
            <v>#N/A</v>
          </cell>
          <cell r="BT218" t="e">
            <v>#N/A</v>
          </cell>
          <cell r="BU218" t="e">
            <v>#N/A</v>
          </cell>
          <cell r="BV218" t="e">
            <v>#N/A</v>
          </cell>
          <cell r="BW218" t="e">
            <v>#N/A</v>
          </cell>
          <cell r="BX218" t="e">
            <v>#N/A</v>
          </cell>
          <cell r="BY218" t="e">
            <v>#N/A</v>
          </cell>
        </row>
        <row r="219">
          <cell r="B219" t="str">
            <v>Expense - % Oil derivatives/NGLs/plastics</v>
          </cell>
          <cell r="C219" t="str">
            <v>EXP_OIL_DERIV_NGLS_PLASTICS</v>
          </cell>
          <cell r="F219" t="e">
            <v>#N/A</v>
          </cell>
          <cell r="G219" t="e">
            <v>#N/A</v>
          </cell>
          <cell r="H219" t="e">
            <v>#N/A</v>
          </cell>
          <cell r="I219" t="e">
            <v>#N/A</v>
          </cell>
          <cell r="J219" t="e">
            <v>#N/A</v>
          </cell>
          <cell r="K219" t="e">
            <v>#N/A</v>
          </cell>
          <cell r="L219" t="e">
            <v>#N/A</v>
          </cell>
          <cell r="M219" t="e">
            <v>#N/A</v>
          </cell>
          <cell r="N219" t="e">
            <v>#N/A</v>
          </cell>
          <cell r="O219" t="e">
            <v>#N/A</v>
          </cell>
          <cell r="P219" t="e">
            <v>#N/A</v>
          </cell>
          <cell r="Q219" t="e">
            <v>#N/A</v>
          </cell>
          <cell r="R219" t="e">
            <v>#N/A</v>
          </cell>
          <cell r="S219" t="e">
            <v>#N/A</v>
          </cell>
          <cell r="T219" t="e">
            <v>#N/A</v>
          </cell>
          <cell r="U219" t="e">
            <v>#N/A</v>
          </cell>
          <cell r="V219" t="e">
            <v>#N/A</v>
          </cell>
          <cell r="W219" t="e">
            <v>#N/A</v>
          </cell>
          <cell r="X219" t="e">
            <v>#N/A</v>
          </cell>
          <cell r="Z219" t="e">
            <v>#N/A</v>
          </cell>
          <cell r="AA219" t="e">
            <v>#N/A</v>
          </cell>
          <cell r="AB219" t="e">
            <v>#N/A</v>
          </cell>
          <cell r="AC219" t="e">
            <v>#N/A</v>
          </cell>
          <cell r="AD219" t="e">
            <v>#N/A</v>
          </cell>
          <cell r="AE219" t="e">
            <v>#N/A</v>
          </cell>
          <cell r="AF219" t="e">
            <v>#N/A</v>
          </cell>
          <cell r="AG219" t="e">
            <v>#N/A</v>
          </cell>
          <cell r="AH219" t="e">
            <v>#N/A</v>
          </cell>
          <cell r="AI219" t="e">
            <v>#N/A</v>
          </cell>
          <cell r="AJ219" t="e">
            <v>#N/A</v>
          </cell>
          <cell r="AK219" t="e">
            <v>#N/A</v>
          </cell>
          <cell r="AL219" t="e">
            <v>#N/A</v>
          </cell>
          <cell r="AM219" t="e">
            <v>#N/A</v>
          </cell>
          <cell r="AN219" t="e">
            <v>#N/A</v>
          </cell>
          <cell r="AO219" t="e">
            <v>#N/A</v>
          </cell>
          <cell r="AP219" t="e">
            <v>#N/A</v>
          </cell>
          <cell r="AQ219" t="e">
            <v>#N/A</v>
          </cell>
          <cell r="AR219" t="e">
            <v>#N/A</v>
          </cell>
          <cell r="AS219" t="e">
            <v>#N/A</v>
          </cell>
          <cell r="AT219" t="e">
            <v>#N/A</v>
          </cell>
          <cell r="AU219" t="e">
            <v>#N/A</v>
          </cell>
          <cell r="AV219" t="e">
            <v>#N/A</v>
          </cell>
          <cell r="AW219" t="e">
            <v>#N/A</v>
          </cell>
          <cell r="AX219" t="e">
            <v>#N/A</v>
          </cell>
          <cell r="AY219" t="e">
            <v>#N/A</v>
          </cell>
          <cell r="AZ219" t="e">
            <v>#N/A</v>
          </cell>
          <cell r="BA219" t="e">
            <v>#N/A</v>
          </cell>
          <cell r="BB219" t="e">
            <v>#N/A</v>
          </cell>
          <cell r="BC219" t="e">
            <v>#N/A</v>
          </cell>
          <cell r="BD219" t="e">
            <v>#N/A</v>
          </cell>
          <cell r="BE219" t="e">
            <v>#N/A</v>
          </cell>
          <cell r="BF219" t="e">
            <v>#N/A</v>
          </cell>
          <cell r="BG219" t="e">
            <v>#N/A</v>
          </cell>
          <cell r="BH219" t="e">
            <v>#N/A</v>
          </cell>
          <cell r="BI219" t="e">
            <v>#N/A</v>
          </cell>
          <cell r="BJ219" t="e">
            <v>#N/A</v>
          </cell>
          <cell r="BK219" t="e">
            <v>#N/A</v>
          </cell>
          <cell r="BL219" t="e">
            <v>#N/A</v>
          </cell>
          <cell r="BM219" t="e">
            <v>#N/A</v>
          </cell>
          <cell r="BN219" t="e">
            <v>#N/A</v>
          </cell>
          <cell r="BO219" t="e">
            <v>#N/A</v>
          </cell>
          <cell r="BP219" t="e">
            <v>#N/A</v>
          </cell>
          <cell r="BQ219" t="e">
            <v>#N/A</v>
          </cell>
          <cell r="BR219" t="e">
            <v>#N/A</v>
          </cell>
          <cell r="BS219" t="e">
            <v>#N/A</v>
          </cell>
          <cell r="BT219" t="e">
            <v>#N/A</v>
          </cell>
          <cell r="BU219" t="e">
            <v>#N/A</v>
          </cell>
          <cell r="BV219" t="e">
            <v>#N/A</v>
          </cell>
          <cell r="BW219" t="e">
            <v>#N/A</v>
          </cell>
          <cell r="BX219" t="e">
            <v>#N/A</v>
          </cell>
          <cell r="BY219" t="e">
            <v>#N/A</v>
          </cell>
        </row>
        <row r="220">
          <cell r="B220" t="str">
            <v>Expense - % Nat Gas</v>
          </cell>
          <cell r="C220" t="str">
            <v>EXP_NAT_GAS</v>
          </cell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  <cell r="AV220" t="e">
            <v>#N/A</v>
          </cell>
          <cell r="AW220" t="e">
            <v>#N/A</v>
          </cell>
          <cell r="AX220" t="e">
            <v>#N/A</v>
          </cell>
          <cell r="AY220" t="e">
            <v>#N/A</v>
          </cell>
          <cell r="AZ220" t="e">
            <v>#N/A</v>
          </cell>
          <cell r="BA220" t="e">
            <v>#N/A</v>
          </cell>
          <cell r="BB220" t="e">
            <v>#N/A</v>
          </cell>
          <cell r="BC220" t="e">
            <v>#N/A</v>
          </cell>
          <cell r="BD220" t="e">
            <v>#N/A</v>
          </cell>
          <cell r="BE220" t="e">
            <v>#N/A</v>
          </cell>
          <cell r="BF220" t="e">
            <v>#N/A</v>
          </cell>
          <cell r="BG220" t="e">
            <v>#N/A</v>
          </cell>
          <cell r="BH220" t="e">
            <v>#N/A</v>
          </cell>
          <cell r="BI220" t="e">
            <v>#N/A</v>
          </cell>
          <cell r="BJ220" t="e">
            <v>#N/A</v>
          </cell>
          <cell r="BK220" t="e">
            <v>#N/A</v>
          </cell>
          <cell r="BL220" t="e">
            <v>#N/A</v>
          </cell>
          <cell r="BM220" t="e">
            <v>#N/A</v>
          </cell>
          <cell r="BN220" t="e">
            <v>#N/A</v>
          </cell>
          <cell r="BO220" t="e">
            <v>#N/A</v>
          </cell>
          <cell r="BP220" t="e">
            <v>#N/A</v>
          </cell>
          <cell r="BQ220" t="e">
            <v>#N/A</v>
          </cell>
          <cell r="BR220" t="e">
            <v>#N/A</v>
          </cell>
          <cell r="BS220" t="e">
            <v>#N/A</v>
          </cell>
          <cell r="BT220" t="e">
            <v>#N/A</v>
          </cell>
          <cell r="BU220" t="e">
            <v>#N/A</v>
          </cell>
          <cell r="BV220" t="e">
            <v>#N/A</v>
          </cell>
          <cell r="BW220" t="e">
            <v>#N/A</v>
          </cell>
          <cell r="BX220" t="e">
            <v>#N/A</v>
          </cell>
          <cell r="BY220" t="e">
            <v>#N/A</v>
          </cell>
        </row>
        <row r="221">
          <cell r="B221" t="str">
            <v>Expense - % Potash</v>
          </cell>
          <cell r="C221" t="str">
            <v>EXP_POTASH</v>
          </cell>
          <cell r="F221" t="e">
            <v>#N/A</v>
          </cell>
          <cell r="G221" t="e">
            <v>#N/A</v>
          </cell>
          <cell r="H221" t="e">
            <v>#N/A</v>
          </cell>
          <cell r="I221" t="e">
            <v>#N/A</v>
          </cell>
          <cell r="J221" t="e">
            <v>#N/A</v>
          </cell>
          <cell r="K221" t="e">
            <v>#N/A</v>
          </cell>
          <cell r="L221" t="e">
            <v>#N/A</v>
          </cell>
          <cell r="M221" t="e">
            <v>#N/A</v>
          </cell>
          <cell r="N221" t="e">
            <v>#N/A</v>
          </cell>
          <cell r="O221" t="e">
            <v>#N/A</v>
          </cell>
          <cell r="P221" t="e">
            <v>#N/A</v>
          </cell>
          <cell r="Q221" t="e">
            <v>#N/A</v>
          </cell>
          <cell r="R221" t="e">
            <v>#N/A</v>
          </cell>
          <cell r="S221" t="e">
            <v>#N/A</v>
          </cell>
          <cell r="T221" t="e">
            <v>#N/A</v>
          </cell>
          <cell r="U221" t="e">
            <v>#N/A</v>
          </cell>
          <cell r="V221" t="e">
            <v>#N/A</v>
          </cell>
          <cell r="W221" t="e">
            <v>#N/A</v>
          </cell>
          <cell r="X221" t="e">
            <v>#N/A</v>
          </cell>
          <cell r="Z221" t="e">
            <v>#N/A</v>
          </cell>
          <cell r="AA221" t="e">
            <v>#N/A</v>
          </cell>
          <cell r="AB221" t="e">
            <v>#N/A</v>
          </cell>
          <cell r="AC221" t="e">
            <v>#N/A</v>
          </cell>
          <cell r="AD221" t="e">
            <v>#N/A</v>
          </cell>
          <cell r="AE221" t="e">
            <v>#N/A</v>
          </cell>
          <cell r="AF221" t="e">
            <v>#N/A</v>
          </cell>
          <cell r="AG221" t="e">
            <v>#N/A</v>
          </cell>
          <cell r="AH221" t="e">
            <v>#N/A</v>
          </cell>
          <cell r="AI221" t="e">
            <v>#N/A</v>
          </cell>
          <cell r="AJ221" t="e">
            <v>#N/A</v>
          </cell>
          <cell r="AK221" t="e">
            <v>#N/A</v>
          </cell>
          <cell r="AL221" t="e">
            <v>#N/A</v>
          </cell>
          <cell r="AM221" t="e">
            <v>#N/A</v>
          </cell>
          <cell r="AN221" t="e">
            <v>#N/A</v>
          </cell>
          <cell r="AO221" t="e">
            <v>#N/A</v>
          </cell>
          <cell r="AP221" t="e">
            <v>#N/A</v>
          </cell>
          <cell r="AQ221" t="e">
            <v>#N/A</v>
          </cell>
          <cell r="AR221" t="e">
            <v>#N/A</v>
          </cell>
          <cell r="AS221" t="e">
            <v>#N/A</v>
          </cell>
          <cell r="AT221" t="e">
            <v>#N/A</v>
          </cell>
          <cell r="AU221" t="e">
            <v>#N/A</v>
          </cell>
          <cell r="AV221" t="e">
            <v>#N/A</v>
          </cell>
          <cell r="AW221" t="e">
            <v>#N/A</v>
          </cell>
          <cell r="AX221" t="e">
            <v>#N/A</v>
          </cell>
          <cell r="AY221" t="e">
            <v>#N/A</v>
          </cell>
          <cell r="AZ221" t="e">
            <v>#N/A</v>
          </cell>
          <cell r="BA221" t="e">
            <v>#N/A</v>
          </cell>
          <cell r="BB221" t="e">
            <v>#N/A</v>
          </cell>
          <cell r="BC221" t="e">
            <v>#N/A</v>
          </cell>
          <cell r="BD221" t="e">
            <v>#N/A</v>
          </cell>
          <cell r="BE221" t="e">
            <v>#N/A</v>
          </cell>
          <cell r="BF221" t="e">
            <v>#N/A</v>
          </cell>
          <cell r="BG221" t="e">
            <v>#N/A</v>
          </cell>
          <cell r="BH221" t="e">
            <v>#N/A</v>
          </cell>
          <cell r="BI221" t="e">
            <v>#N/A</v>
          </cell>
          <cell r="BJ221" t="e">
            <v>#N/A</v>
          </cell>
          <cell r="BK221" t="e">
            <v>#N/A</v>
          </cell>
          <cell r="BL221" t="e">
            <v>#N/A</v>
          </cell>
          <cell r="BM221" t="e">
            <v>#N/A</v>
          </cell>
          <cell r="BN221" t="e">
            <v>#N/A</v>
          </cell>
          <cell r="BO221" t="e">
            <v>#N/A</v>
          </cell>
          <cell r="BP221" t="e">
            <v>#N/A</v>
          </cell>
          <cell r="BQ221" t="e">
            <v>#N/A</v>
          </cell>
          <cell r="BR221" t="e">
            <v>#N/A</v>
          </cell>
          <cell r="BS221" t="e">
            <v>#N/A</v>
          </cell>
          <cell r="BT221" t="e">
            <v>#N/A</v>
          </cell>
          <cell r="BU221" t="e">
            <v>#N/A</v>
          </cell>
          <cell r="BV221" t="e">
            <v>#N/A</v>
          </cell>
          <cell r="BW221" t="e">
            <v>#N/A</v>
          </cell>
          <cell r="BX221" t="e">
            <v>#N/A</v>
          </cell>
          <cell r="BY221" t="e">
            <v>#N/A</v>
          </cell>
        </row>
        <row r="222">
          <cell r="B222" t="str">
            <v>Expense - % Nitrogen</v>
          </cell>
          <cell r="C222" t="str">
            <v>EXP_NITROGEN</v>
          </cell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  <cell r="AV222" t="e">
            <v>#N/A</v>
          </cell>
          <cell r="AW222" t="e">
            <v>#N/A</v>
          </cell>
          <cell r="AX222" t="e">
            <v>#N/A</v>
          </cell>
          <cell r="AY222" t="e">
            <v>#N/A</v>
          </cell>
          <cell r="AZ222" t="e">
            <v>#N/A</v>
          </cell>
          <cell r="BA222" t="e">
            <v>#N/A</v>
          </cell>
          <cell r="BB222" t="e">
            <v>#N/A</v>
          </cell>
          <cell r="BC222" t="e">
            <v>#N/A</v>
          </cell>
          <cell r="BD222" t="e">
            <v>#N/A</v>
          </cell>
          <cell r="BE222" t="e">
            <v>#N/A</v>
          </cell>
          <cell r="BF222" t="e">
            <v>#N/A</v>
          </cell>
          <cell r="BG222" t="e">
            <v>#N/A</v>
          </cell>
          <cell r="BH222" t="e">
            <v>#N/A</v>
          </cell>
          <cell r="BI222" t="e">
            <v>#N/A</v>
          </cell>
          <cell r="BJ222" t="e">
            <v>#N/A</v>
          </cell>
          <cell r="BK222" t="e">
            <v>#N/A</v>
          </cell>
          <cell r="BL222" t="e">
            <v>#N/A</v>
          </cell>
          <cell r="BM222" t="e">
            <v>#N/A</v>
          </cell>
          <cell r="BN222" t="e">
            <v>#N/A</v>
          </cell>
          <cell r="BO222" t="e">
            <v>#N/A</v>
          </cell>
          <cell r="BP222" t="e">
            <v>#N/A</v>
          </cell>
          <cell r="BQ222" t="e">
            <v>#N/A</v>
          </cell>
          <cell r="BR222" t="e">
            <v>#N/A</v>
          </cell>
          <cell r="BS222" t="e">
            <v>#N/A</v>
          </cell>
          <cell r="BT222" t="e">
            <v>#N/A</v>
          </cell>
          <cell r="BU222" t="e">
            <v>#N/A</v>
          </cell>
          <cell r="BV222" t="e">
            <v>#N/A</v>
          </cell>
          <cell r="BW222" t="e">
            <v>#N/A</v>
          </cell>
          <cell r="BX222" t="e">
            <v>#N/A</v>
          </cell>
          <cell r="BY222" t="e">
            <v>#N/A</v>
          </cell>
        </row>
        <row r="223">
          <cell r="B223" t="str">
            <v>Expense - % Phosphate</v>
          </cell>
          <cell r="C223" t="str">
            <v>EXP_PHOSPHATE</v>
          </cell>
          <cell r="F223" t="e">
            <v>#N/A</v>
          </cell>
          <cell r="G223" t="e">
            <v>#N/A</v>
          </cell>
          <cell r="H223" t="e">
            <v>#N/A</v>
          </cell>
          <cell r="I223" t="e">
            <v>#N/A</v>
          </cell>
          <cell r="J223" t="e">
            <v>#N/A</v>
          </cell>
          <cell r="K223" t="e">
            <v>#N/A</v>
          </cell>
          <cell r="L223" t="e">
            <v>#N/A</v>
          </cell>
          <cell r="M223" t="e">
            <v>#N/A</v>
          </cell>
          <cell r="N223" t="e">
            <v>#N/A</v>
          </cell>
          <cell r="O223" t="e">
            <v>#N/A</v>
          </cell>
          <cell r="P223" t="e">
            <v>#N/A</v>
          </cell>
          <cell r="Q223" t="e">
            <v>#N/A</v>
          </cell>
          <cell r="R223" t="e">
            <v>#N/A</v>
          </cell>
          <cell r="S223" t="e">
            <v>#N/A</v>
          </cell>
          <cell r="T223" t="e">
            <v>#N/A</v>
          </cell>
          <cell r="U223" t="e">
            <v>#N/A</v>
          </cell>
          <cell r="V223" t="e">
            <v>#N/A</v>
          </cell>
          <cell r="W223" t="e">
            <v>#N/A</v>
          </cell>
          <cell r="X223" t="e">
            <v>#N/A</v>
          </cell>
          <cell r="Z223" t="e">
            <v>#N/A</v>
          </cell>
          <cell r="AA223" t="e">
            <v>#N/A</v>
          </cell>
          <cell r="AB223" t="e">
            <v>#N/A</v>
          </cell>
          <cell r="AC223" t="e">
            <v>#N/A</v>
          </cell>
          <cell r="AD223" t="e">
            <v>#N/A</v>
          </cell>
          <cell r="AE223" t="e">
            <v>#N/A</v>
          </cell>
          <cell r="AF223" t="e">
            <v>#N/A</v>
          </cell>
          <cell r="AG223" t="e">
            <v>#N/A</v>
          </cell>
          <cell r="AH223" t="e">
            <v>#N/A</v>
          </cell>
          <cell r="AI223" t="e">
            <v>#N/A</v>
          </cell>
          <cell r="AJ223" t="e">
            <v>#N/A</v>
          </cell>
          <cell r="AK223" t="e">
            <v>#N/A</v>
          </cell>
          <cell r="AL223" t="e">
            <v>#N/A</v>
          </cell>
          <cell r="AM223" t="e">
            <v>#N/A</v>
          </cell>
          <cell r="AN223" t="e">
            <v>#N/A</v>
          </cell>
          <cell r="AO223" t="e">
            <v>#N/A</v>
          </cell>
          <cell r="AP223" t="e">
            <v>#N/A</v>
          </cell>
          <cell r="AQ223" t="e">
            <v>#N/A</v>
          </cell>
          <cell r="AR223" t="e">
            <v>#N/A</v>
          </cell>
          <cell r="AS223" t="e">
            <v>#N/A</v>
          </cell>
          <cell r="AT223" t="e">
            <v>#N/A</v>
          </cell>
          <cell r="AU223" t="e">
            <v>#N/A</v>
          </cell>
          <cell r="AV223" t="e">
            <v>#N/A</v>
          </cell>
          <cell r="AW223" t="e">
            <v>#N/A</v>
          </cell>
          <cell r="AX223" t="e">
            <v>#N/A</v>
          </cell>
          <cell r="AY223" t="e">
            <v>#N/A</v>
          </cell>
          <cell r="AZ223" t="e">
            <v>#N/A</v>
          </cell>
          <cell r="BA223" t="e">
            <v>#N/A</v>
          </cell>
          <cell r="BB223" t="e">
            <v>#N/A</v>
          </cell>
          <cell r="BC223" t="e">
            <v>#N/A</v>
          </cell>
          <cell r="BD223" t="e">
            <v>#N/A</v>
          </cell>
          <cell r="BE223" t="e">
            <v>#N/A</v>
          </cell>
          <cell r="BF223" t="e">
            <v>#N/A</v>
          </cell>
          <cell r="BG223" t="e">
            <v>#N/A</v>
          </cell>
          <cell r="BH223" t="e">
            <v>#N/A</v>
          </cell>
          <cell r="BI223" t="e">
            <v>#N/A</v>
          </cell>
          <cell r="BJ223" t="e">
            <v>#N/A</v>
          </cell>
          <cell r="BK223" t="e">
            <v>#N/A</v>
          </cell>
          <cell r="BL223" t="e">
            <v>#N/A</v>
          </cell>
          <cell r="BM223" t="e">
            <v>#N/A</v>
          </cell>
          <cell r="BN223" t="e">
            <v>#N/A</v>
          </cell>
          <cell r="BO223" t="e">
            <v>#N/A</v>
          </cell>
          <cell r="BP223" t="e">
            <v>#N/A</v>
          </cell>
          <cell r="BQ223" t="e">
            <v>#N/A</v>
          </cell>
          <cell r="BR223" t="e">
            <v>#N/A</v>
          </cell>
          <cell r="BS223" t="e">
            <v>#N/A</v>
          </cell>
          <cell r="BT223" t="e">
            <v>#N/A</v>
          </cell>
          <cell r="BU223" t="e">
            <v>#N/A</v>
          </cell>
          <cell r="BV223" t="e">
            <v>#N/A</v>
          </cell>
          <cell r="BW223" t="e">
            <v>#N/A</v>
          </cell>
          <cell r="BX223" t="e">
            <v>#N/A</v>
          </cell>
          <cell r="BY223" t="e">
            <v>#N/A</v>
          </cell>
        </row>
        <row r="224">
          <cell r="B224" t="str">
            <v>Expense - % Wheat</v>
          </cell>
          <cell r="C224" t="str">
            <v>EXP_WHEAT</v>
          </cell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  <cell r="AV224" t="e">
            <v>#N/A</v>
          </cell>
          <cell r="AW224" t="e">
            <v>#N/A</v>
          </cell>
          <cell r="AX224" t="e">
            <v>#N/A</v>
          </cell>
          <cell r="AY224" t="e">
            <v>#N/A</v>
          </cell>
          <cell r="AZ224" t="e">
            <v>#N/A</v>
          </cell>
          <cell r="BA224" t="e">
            <v>#N/A</v>
          </cell>
          <cell r="BB224" t="e">
            <v>#N/A</v>
          </cell>
          <cell r="BC224" t="e">
            <v>#N/A</v>
          </cell>
          <cell r="BD224" t="e">
            <v>#N/A</v>
          </cell>
          <cell r="BE224" t="e">
            <v>#N/A</v>
          </cell>
          <cell r="BF224" t="e">
            <v>#N/A</v>
          </cell>
          <cell r="BG224" t="e">
            <v>#N/A</v>
          </cell>
          <cell r="BH224" t="e">
            <v>#N/A</v>
          </cell>
          <cell r="BI224" t="e">
            <v>#N/A</v>
          </cell>
          <cell r="BJ224" t="e">
            <v>#N/A</v>
          </cell>
          <cell r="BK224" t="e">
            <v>#N/A</v>
          </cell>
          <cell r="BL224" t="e">
            <v>#N/A</v>
          </cell>
          <cell r="BM224" t="e">
            <v>#N/A</v>
          </cell>
          <cell r="BN224" t="e">
            <v>#N/A</v>
          </cell>
          <cell r="BO224" t="e">
            <v>#N/A</v>
          </cell>
          <cell r="BP224" t="e">
            <v>#N/A</v>
          </cell>
          <cell r="BQ224" t="e">
            <v>#N/A</v>
          </cell>
          <cell r="BR224" t="e">
            <v>#N/A</v>
          </cell>
          <cell r="BS224" t="e">
            <v>#N/A</v>
          </cell>
          <cell r="BT224" t="e">
            <v>#N/A</v>
          </cell>
          <cell r="BU224" t="e">
            <v>#N/A</v>
          </cell>
          <cell r="BV224" t="e">
            <v>#N/A</v>
          </cell>
          <cell r="BW224" t="e">
            <v>#N/A</v>
          </cell>
          <cell r="BX224" t="e">
            <v>#N/A</v>
          </cell>
          <cell r="BY224" t="e">
            <v>#N/A</v>
          </cell>
        </row>
        <row r="225">
          <cell r="B225" t="str">
            <v>Expense - % Sugar</v>
          </cell>
          <cell r="C225" t="str">
            <v>EXP_SUGAR</v>
          </cell>
          <cell r="F225" t="e">
            <v>#N/A</v>
          </cell>
          <cell r="G225" t="e">
            <v>#N/A</v>
          </cell>
          <cell r="H225" t="e">
            <v>#N/A</v>
          </cell>
          <cell r="I225" t="e">
            <v>#N/A</v>
          </cell>
          <cell r="J225" t="e">
            <v>#N/A</v>
          </cell>
          <cell r="K225" t="e">
            <v>#N/A</v>
          </cell>
          <cell r="L225" t="e">
            <v>#N/A</v>
          </cell>
          <cell r="M225" t="e">
            <v>#N/A</v>
          </cell>
          <cell r="N225" t="e">
            <v>#N/A</v>
          </cell>
          <cell r="O225" t="e">
            <v>#N/A</v>
          </cell>
          <cell r="P225" t="e">
            <v>#N/A</v>
          </cell>
          <cell r="Q225" t="e">
            <v>#N/A</v>
          </cell>
          <cell r="R225" t="e">
            <v>#N/A</v>
          </cell>
          <cell r="S225" t="e">
            <v>#N/A</v>
          </cell>
          <cell r="T225" t="e">
            <v>#N/A</v>
          </cell>
          <cell r="U225" t="e">
            <v>#N/A</v>
          </cell>
          <cell r="V225" t="e">
            <v>#N/A</v>
          </cell>
          <cell r="W225" t="e">
            <v>#N/A</v>
          </cell>
          <cell r="X225" t="e">
            <v>#N/A</v>
          </cell>
          <cell r="Z225" t="e">
            <v>#N/A</v>
          </cell>
          <cell r="AA225" t="e">
            <v>#N/A</v>
          </cell>
          <cell r="AB225" t="e">
            <v>#N/A</v>
          </cell>
          <cell r="AC225" t="e">
            <v>#N/A</v>
          </cell>
          <cell r="AD225" t="e">
            <v>#N/A</v>
          </cell>
          <cell r="AE225" t="e">
            <v>#N/A</v>
          </cell>
          <cell r="AF225" t="e">
            <v>#N/A</v>
          </cell>
          <cell r="AG225" t="e">
            <v>#N/A</v>
          </cell>
          <cell r="AH225" t="e">
            <v>#N/A</v>
          </cell>
          <cell r="AI225" t="e">
            <v>#N/A</v>
          </cell>
          <cell r="AJ225" t="e">
            <v>#N/A</v>
          </cell>
          <cell r="AK225" t="e">
            <v>#N/A</v>
          </cell>
          <cell r="AL225" t="e">
            <v>#N/A</v>
          </cell>
          <cell r="AM225" t="e">
            <v>#N/A</v>
          </cell>
          <cell r="AN225" t="e">
            <v>#N/A</v>
          </cell>
          <cell r="AO225" t="e">
            <v>#N/A</v>
          </cell>
          <cell r="AP225" t="e">
            <v>#N/A</v>
          </cell>
          <cell r="AQ225" t="e">
            <v>#N/A</v>
          </cell>
          <cell r="AR225" t="e">
            <v>#N/A</v>
          </cell>
          <cell r="AS225" t="e">
            <v>#N/A</v>
          </cell>
          <cell r="AT225" t="e">
            <v>#N/A</v>
          </cell>
          <cell r="AU225" t="e">
            <v>#N/A</v>
          </cell>
          <cell r="AV225" t="e">
            <v>#N/A</v>
          </cell>
          <cell r="AW225" t="e">
            <v>#N/A</v>
          </cell>
          <cell r="AX225" t="e">
            <v>#N/A</v>
          </cell>
          <cell r="AY225" t="e">
            <v>#N/A</v>
          </cell>
          <cell r="AZ225" t="e">
            <v>#N/A</v>
          </cell>
          <cell r="BA225" t="e">
            <v>#N/A</v>
          </cell>
          <cell r="BB225" t="e">
            <v>#N/A</v>
          </cell>
          <cell r="BC225" t="e">
            <v>#N/A</v>
          </cell>
          <cell r="BD225" t="e">
            <v>#N/A</v>
          </cell>
          <cell r="BE225" t="e">
            <v>#N/A</v>
          </cell>
          <cell r="BF225" t="e">
            <v>#N/A</v>
          </cell>
          <cell r="BG225" t="e">
            <v>#N/A</v>
          </cell>
          <cell r="BH225" t="e">
            <v>#N/A</v>
          </cell>
          <cell r="BI225" t="e">
            <v>#N/A</v>
          </cell>
          <cell r="BJ225" t="e">
            <v>#N/A</v>
          </cell>
          <cell r="BK225" t="e">
            <v>#N/A</v>
          </cell>
          <cell r="BL225" t="e">
            <v>#N/A</v>
          </cell>
          <cell r="BM225" t="e">
            <v>#N/A</v>
          </cell>
          <cell r="BN225" t="e">
            <v>#N/A</v>
          </cell>
          <cell r="BO225" t="e">
            <v>#N/A</v>
          </cell>
          <cell r="BP225" t="e">
            <v>#N/A</v>
          </cell>
          <cell r="BQ225" t="e">
            <v>#N/A</v>
          </cell>
          <cell r="BR225" t="e">
            <v>#N/A</v>
          </cell>
          <cell r="BS225" t="e">
            <v>#N/A</v>
          </cell>
          <cell r="BT225" t="e">
            <v>#N/A</v>
          </cell>
          <cell r="BU225" t="e">
            <v>#N/A</v>
          </cell>
          <cell r="BV225" t="e">
            <v>#N/A</v>
          </cell>
          <cell r="BW225" t="e">
            <v>#N/A</v>
          </cell>
          <cell r="BX225" t="e">
            <v>#N/A</v>
          </cell>
          <cell r="BY225" t="e">
            <v>#N/A</v>
          </cell>
        </row>
        <row r="226">
          <cell r="B226" t="str">
            <v>Expense - % Soybean</v>
          </cell>
          <cell r="C226" t="str">
            <v>EXP_SOYBEAN</v>
          </cell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  <cell r="AV226" t="e">
            <v>#N/A</v>
          </cell>
          <cell r="AW226" t="e">
            <v>#N/A</v>
          </cell>
          <cell r="AX226" t="e">
            <v>#N/A</v>
          </cell>
          <cell r="AY226" t="e">
            <v>#N/A</v>
          </cell>
          <cell r="AZ226" t="e">
            <v>#N/A</v>
          </cell>
          <cell r="BA226" t="e">
            <v>#N/A</v>
          </cell>
          <cell r="BB226" t="e">
            <v>#N/A</v>
          </cell>
          <cell r="BC226" t="e">
            <v>#N/A</v>
          </cell>
          <cell r="BD226" t="e">
            <v>#N/A</v>
          </cell>
          <cell r="BE226" t="e">
            <v>#N/A</v>
          </cell>
          <cell r="BF226" t="e">
            <v>#N/A</v>
          </cell>
          <cell r="BG226" t="e">
            <v>#N/A</v>
          </cell>
          <cell r="BH226" t="e">
            <v>#N/A</v>
          </cell>
          <cell r="BI226" t="e">
            <v>#N/A</v>
          </cell>
          <cell r="BJ226" t="e">
            <v>#N/A</v>
          </cell>
          <cell r="BK226" t="e">
            <v>#N/A</v>
          </cell>
          <cell r="BL226" t="e">
            <v>#N/A</v>
          </cell>
          <cell r="BM226" t="e">
            <v>#N/A</v>
          </cell>
          <cell r="BN226" t="e">
            <v>#N/A</v>
          </cell>
          <cell r="BO226" t="e">
            <v>#N/A</v>
          </cell>
          <cell r="BP226" t="e">
            <v>#N/A</v>
          </cell>
          <cell r="BQ226" t="e">
            <v>#N/A</v>
          </cell>
          <cell r="BR226" t="e">
            <v>#N/A</v>
          </cell>
          <cell r="BS226" t="e">
            <v>#N/A</v>
          </cell>
          <cell r="BT226" t="e">
            <v>#N/A</v>
          </cell>
          <cell r="BU226" t="e">
            <v>#N/A</v>
          </cell>
          <cell r="BV226" t="e">
            <v>#N/A</v>
          </cell>
          <cell r="BW226" t="e">
            <v>#N/A</v>
          </cell>
          <cell r="BX226" t="e">
            <v>#N/A</v>
          </cell>
          <cell r="BY226" t="e">
            <v>#N/A</v>
          </cell>
        </row>
        <row r="227">
          <cell r="B227" t="str">
            <v>Expense - % Corn</v>
          </cell>
          <cell r="C227" t="str">
            <v>EXP_CORN</v>
          </cell>
          <cell r="F227" t="e">
            <v>#N/A</v>
          </cell>
          <cell r="G227" t="e">
            <v>#N/A</v>
          </cell>
          <cell r="H227" t="e">
            <v>#N/A</v>
          </cell>
          <cell r="I227" t="e">
            <v>#N/A</v>
          </cell>
          <cell r="J227" t="e">
            <v>#N/A</v>
          </cell>
          <cell r="K227" t="e">
            <v>#N/A</v>
          </cell>
          <cell r="L227" t="e">
            <v>#N/A</v>
          </cell>
          <cell r="M227" t="e">
            <v>#N/A</v>
          </cell>
          <cell r="N227" t="e">
            <v>#N/A</v>
          </cell>
          <cell r="O227" t="e">
            <v>#N/A</v>
          </cell>
          <cell r="P227" t="e">
            <v>#N/A</v>
          </cell>
          <cell r="Q227" t="e">
            <v>#N/A</v>
          </cell>
          <cell r="R227" t="e">
            <v>#N/A</v>
          </cell>
          <cell r="S227" t="e">
            <v>#N/A</v>
          </cell>
          <cell r="T227" t="e">
            <v>#N/A</v>
          </cell>
          <cell r="U227" t="e">
            <v>#N/A</v>
          </cell>
          <cell r="V227" t="e">
            <v>#N/A</v>
          </cell>
          <cell r="W227" t="e">
            <v>#N/A</v>
          </cell>
          <cell r="X227" t="e">
            <v>#N/A</v>
          </cell>
          <cell r="Z227" t="e">
            <v>#N/A</v>
          </cell>
          <cell r="AA227" t="e">
            <v>#N/A</v>
          </cell>
          <cell r="AB227" t="e">
            <v>#N/A</v>
          </cell>
          <cell r="AC227" t="e">
            <v>#N/A</v>
          </cell>
          <cell r="AD227" t="e">
            <v>#N/A</v>
          </cell>
          <cell r="AE227" t="e">
            <v>#N/A</v>
          </cell>
          <cell r="AF227" t="e">
            <v>#N/A</v>
          </cell>
          <cell r="AG227" t="e">
            <v>#N/A</v>
          </cell>
          <cell r="AH227" t="e">
            <v>#N/A</v>
          </cell>
          <cell r="AI227" t="e">
            <v>#N/A</v>
          </cell>
          <cell r="AJ227" t="e">
            <v>#N/A</v>
          </cell>
          <cell r="AK227" t="e">
            <v>#N/A</v>
          </cell>
          <cell r="AL227" t="e">
            <v>#N/A</v>
          </cell>
          <cell r="AM227" t="e">
            <v>#N/A</v>
          </cell>
          <cell r="AN227" t="e">
            <v>#N/A</v>
          </cell>
          <cell r="AO227" t="e">
            <v>#N/A</v>
          </cell>
          <cell r="AP227" t="e">
            <v>#N/A</v>
          </cell>
          <cell r="AQ227" t="e">
            <v>#N/A</v>
          </cell>
          <cell r="AR227" t="e">
            <v>#N/A</v>
          </cell>
          <cell r="AS227" t="e">
            <v>#N/A</v>
          </cell>
          <cell r="AT227" t="e">
            <v>#N/A</v>
          </cell>
          <cell r="AU227" t="e">
            <v>#N/A</v>
          </cell>
          <cell r="AV227" t="e">
            <v>#N/A</v>
          </cell>
          <cell r="AW227" t="e">
            <v>#N/A</v>
          </cell>
          <cell r="AX227" t="e">
            <v>#N/A</v>
          </cell>
          <cell r="AY227" t="e">
            <v>#N/A</v>
          </cell>
          <cell r="AZ227" t="e">
            <v>#N/A</v>
          </cell>
          <cell r="BA227" t="e">
            <v>#N/A</v>
          </cell>
          <cell r="BB227" t="e">
            <v>#N/A</v>
          </cell>
          <cell r="BC227" t="e">
            <v>#N/A</v>
          </cell>
          <cell r="BD227" t="e">
            <v>#N/A</v>
          </cell>
          <cell r="BE227" t="e">
            <v>#N/A</v>
          </cell>
          <cell r="BF227" t="e">
            <v>#N/A</v>
          </cell>
          <cell r="BG227" t="e">
            <v>#N/A</v>
          </cell>
          <cell r="BH227" t="e">
            <v>#N/A</v>
          </cell>
          <cell r="BI227" t="e">
            <v>#N/A</v>
          </cell>
          <cell r="BJ227" t="e">
            <v>#N/A</v>
          </cell>
          <cell r="BK227" t="e">
            <v>#N/A</v>
          </cell>
          <cell r="BL227" t="e">
            <v>#N/A</v>
          </cell>
          <cell r="BM227" t="e">
            <v>#N/A</v>
          </cell>
          <cell r="BN227" t="e">
            <v>#N/A</v>
          </cell>
          <cell r="BO227" t="e">
            <v>#N/A</v>
          </cell>
          <cell r="BP227" t="e">
            <v>#N/A</v>
          </cell>
          <cell r="BQ227" t="e">
            <v>#N/A</v>
          </cell>
          <cell r="BR227" t="e">
            <v>#N/A</v>
          </cell>
          <cell r="BS227" t="e">
            <v>#N/A</v>
          </cell>
          <cell r="BT227" t="e">
            <v>#N/A</v>
          </cell>
          <cell r="BU227" t="e">
            <v>#N/A</v>
          </cell>
          <cell r="BV227" t="e">
            <v>#N/A</v>
          </cell>
          <cell r="BW227" t="e">
            <v>#N/A</v>
          </cell>
          <cell r="BX227" t="e">
            <v>#N/A</v>
          </cell>
          <cell r="BY227" t="e">
            <v>#N/A</v>
          </cell>
        </row>
        <row r="228">
          <cell r="B228" t="str">
            <v>Expense - % Cotton</v>
          </cell>
          <cell r="C228" t="str">
            <v>EXP_COTTON</v>
          </cell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  <cell r="AV228" t="e">
            <v>#N/A</v>
          </cell>
          <cell r="AW228" t="e">
            <v>#N/A</v>
          </cell>
          <cell r="AX228" t="e">
            <v>#N/A</v>
          </cell>
          <cell r="AY228" t="e">
            <v>#N/A</v>
          </cell>
          <cell r="AZ228" t="e">
            <v>#N/A</v>
          </cell>
          <cell r="BA228" t="e">
            <v>#N/A</v>
          </cell>
          <cell r="BB228" t="e">
            <v>#N/A</v>
          </cell>
          <cell r="BC228" t="e">
            <v>#N/A</v>
          </cell>
          <cell r="BD228" t="e">
            <v>#N/A</v>
          </cell>
          <cell r="BE228" t="e">
            <v>#N/A</v>
          </cell>
          <cell r="BF228" t="e">
            <v>#N/A</v>
          </cell>
          <cell r="BG228" t="e">
            <v>#N/A</v>
          </cell>
          <cell r="BH228" t="e">
            <v>#N/A</v>
          </cell>
          <cell r="BI228" t="e">
            <v>#N/A</v>
          </cell>
          <cell r="BJ228" t="e">
            <v>#N/A</v>
          </cell>
          <cell r="BK228" t="e">
            <v>#N/A</v>
          </cell>
          <cell r="BL228" t="e">
            <v>#N/A</v>
          </cell>
          <cell r="BM228" t="e">
            <v>#N/A</v>
          </cell>
          <cell r="BN228" t="e">
            <v>#N/A</v>
          </cell>
          <cell r="BO228" t="e">
            <v>#N/A</v>
          </cell>
          <cell r="BP228" t="e">
            <v>#N/A</v>
          </cell>
          <cell r="BQ228" t="e">
            <v>#N/A</v>
          </cell>
          <cell r="BR228" t="e">
            <v>#N/A</v>
          </cell>
          <cell r="BS228" t="e">
            <v>#N/A</v>
          </cell>
          <cell r="BT228" t="e">
            <v>#N/A</v>
          </cell>
          <cell r="BU228" t="e">
            <v>#N/A</v>
          </cell>
          <cell r="BV228" t="e">
            <v>#N/A</v>
          </cell>
          <cell r="BW228" t="e">
            <v>#N/A</v>
          </cell>
          <cell r="BX228" t="e">
            <v>#N/A</v>
          </cell>
          <cell r="BY228" t="e">
            <v>#N/A</v>
          </cell>
        </row>
        <row r="229">
          <cell r="B229" t="str">
            <v>Expense - % Coffee</v>
          </cell>
          <cell r="C229" t="str">
            <v>EXP_COFFEE</v>
          </cell>
          <cell r="F229" t="e">
            <v>#N/A</v>
          </cell>
          <cell r="G229" t="e">
            <v>#N/A</v>
          </cell>
          <cell r="H229" t="e">
            <v>#N/A</v>
          </cell>
          <cell r="I229" t="e">
            <v>#N/A</v>
          </cell>
          <cell r="J229" t="e">
            <v>#N/A</v>
          </cell>
          <cell r="K229" t="e">
            <v>#N/A</v>
          </cell>
          <cell r="L229" t="e">
            <v>#N/A</v>
          </cell>
          <cell r="M229" t="e">
            <v>#N/A</v>
          </cell>
          <cell r="N229" t="e">
            <v>#N/A</v>
          </cell>
          <cell r="O229" t="e">
            <v>#N/A</v>
          </cell>
          <cell r="P229" t="e">
            <v>#N/A</v>
          </cell>
          <cell r="Q229" t="e">
            <v>#N/A</v>
          </cell>
          <cell r="R229" t="e">
            <v>#N/A</v>
          </cell>
          <cell r="S229" t="e">
            <v>#N/A</v>
          </cell>
          <cell r="T229" t="e">
            <v>#N/A</v>
          </cell>
          <cell r="U229" t="e">
            <v>#N/A</v>
          </cell>
          <cell r="V229" t="e">
            <v>#N/A</v>
          </cell>
          <cell r="W229" t="e">
            <v>#N/A</v>
          </cell>
          <cell r="X229" t="e">
            <v>#N/A</v>
          </cell>
          <cell r="Z229" t="e">
            <v>#N/A</v>
          </cell>
          <cell r="AA229" t="e">
            <v>#N/A</v>
          </cell>
          <cell r="AB229" t="e">
            <v>#N/A</v>
          </cell>
          <cell r="AC229" t="e">
            <v>#N/A</v>
          </cell>
          <cell r="AD229" t="e">
            <v>#N/A</v>
          </cell>
          <cell r="AE229" t="e">
            <v>#N/A</v>
          </cell>
          <cell r="AF229" t="e">
            <v>#N/A</v>
          </cell>
          <cell r="AG229" t="e">
            <v>#N/A</v>
          </cell>
          <cell r="AH229" t="e">
            <v>#N/A</v>
          </cell>
          <cell r="AI229" t="e">
            <v>#N/A</v>
          </cell>
          <cell r="AJ229" t="e">
            <v>#N/A</v>
          </cell>
          <cell r="AK229" t="e">
            <v>#N/A</v>
          </cell>
          <cell r="AL229" t="e">
            <v>#N/A</v>
          </cell>
          <cell r="AM229" t="e">
            <v>#N/A</v>
          </cell>
          <cell r="AN229" t="e">
            <v>#N/A</v>
          </cell>
          <cell r="AO229" t="e">
            <v>#N/A</v>
          </cell>
          <cell r="AP229" t="e">
            <v>#N/A</v>
          </cell>
          <cell r="AQ229" t="e">
            <v>#N/A</v>
          </cell>
          <cell r="AR229" t="e">
            <v>#N/A</v>
          </cell>
          <cell r="AS229" t="e">
            <v>#N/A</v>
          </cell>
          <cell r="AT229" t="e">
            <v>#N/A</v>
          </cell>
          <cell r="AU229" t="e">
            <v>#N/A</v>
          </cell>
          <cell r="AV229" t="e">
            <v>#N/A</v>
          </cell>
          <cell r="AW229" t="e">
            <v>#N/A</v>
          </cell>
          <cell r="AX229" t="e">
            <v>#N/A</v>
          </cell>
          <cell r="AY229" t="e">
            <v>#N/A</v>
          </cell>
          <cell r="AZ229" t="e">
            <v>#N/A</v>
          </cell>
          <cell r="BA229" t="e">
            <v>#N/A</v>
          </cell>
          <cell r="BB229" t="e">
            <v>#N/A</v>
          </cell>
          <cell r="BC229" t="e">
            <v>#N/A</v>
          </cell>
          <cell r="BD229" t="e">
            <v>#N/A</v>
          </cell>
          <cell r="BE229" t="e">
            <v>#N/A</v>
          </cell>
          <cell r="BF229" t="e">
            <v>#N/A</v>
          </cell>
          <cell r="BG229" t="e">
            <v>#N/A</v>
          </cell>
          <cell r="BH229" t="e">
            <v>#N/A</v>
          </cell>
          <cell r="BI229" t="e">
            <v>#N/A</v>
          </cell>
          <cell r="BJ229" t="e">
            <v>#N/A</v>
          </cell>
          <cell r="BK229" t="e">
            <v>#N/A</v>
          </cell>
          <cell r="BL229" t="e">
            <v>#N/A</v>
          </cell>
          <cell r="BM229" t="e">
            <v>#N/A</v>
          </cell>
          <cell r="BN229" t="e">
            <v>#N/A</v>
          </cell>
          <cell r="BO229" t="e">
            <v>#N/A</v>
          </cell>
          <cell r="BP229" t="e">
            <v>#N/A</v>
          </cell>
          <cell r="BQ229" t="e">
            <v>#N/A</v>
          </cell>
          <cell r="BR229" t="e">
            <v>#N/A</v>
          </cell>
          <cell r="BS229" t="e">
            <v>#N/A</v>
          </cell>
          <cell r="BT229" t="e">
            <v>#N/A</v>
          </cell>
          <cell r="BU229" t="e">
            <v>#N/A</v>
          </cell>
          <cell r="BV229" t="e">
            <v>#N/A</v>
          </cell>
          <cell r="BW229" t="e">
            <v>#N/A</v>
          </cell>
          <cell r="BX229" t="e">
            <v>#N/A</v>
          </cell>
          <cell r="BY229" t="e">
            <v>#N/A</v>
          </cell>
        </row>
        <row r="230">
          <cell r="B230" t="str">
            <v>Expense - % Cocoa</v>
          </cell>
          <cell r="C230" t="str">
            <v>EXP_COCOA</v>
          </cell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  <cell r="AV230" t="e">
            <v>#N/A</v>
          </cell>
          <cell r="AW230" t="e">
            <v>#N/A</v>
          </cell>
          <cell r="AX230" t="e">
            <v>#N/A</v>
          </cell>
          <cell r="AY230" t="e">
            <v>#N/A</v>
          </cell>
          <cell r="AZ230" t="e">
            <v>#N/A</v>
          </cell>
          <cell r="BA230" t="e">
            <v>#N/A</v>
          </cell>
          <cell r="BB230" t="e">
            <v>#N/A</v>
          </cell>
          <cell r="BC230" t="e">
            <v>#N/A</v>
          </cell>
          <cell r="BD230" t="e">
            <v>#N/A</v>
          </cell>
          <cell r="BE230" t="e">
            <v>#N/A</v>
          </cell>
          <cell r="BF230" t="e">
            <v>#N/A</v>
          </cell>
          <cell r="BG230" t="e">
            <v>#N/A</v>
          </cell>
          <cell r="BH230" t="e">
            <v>#N/A</v>
          </cell>
          <cell r="BI230" t="e">
            <v>#N/A</v>
          </cell>
          <cell r="BJ230" t="e">
            <v>#N/A</v>
          </cell>
          <cell r="BK230" t="e">
            <v>#N/A</v>
          </cell>
          <cell r="BL230" t="e">
            <v>#N/A</v>
          </cell>
          <cell r="BM230" t="e">
            <v>#N/A</v>
          </cell>
          <cell r="BN230" t="e">
            <v>#N/A</v>
          </cell>
          <cell r="BO230" t="e">
            <v>#N/A</v>
          </cell>
          <cell r="BP230" t="e">
            <v>#N/A</v>
          </cell>
          <cell r="BQ230" t="e">
            <v>#N/A</v>
          </cell>
          <cell r="BR230" t="e">
            <v>#N/A</v>
          </cell>
          <cell r="BS230" t="e">
            <v>#N/A</v>
          </cell>
          <cell r="BT230" t="e">
            <v>#N/A</v>
          </cell>
          <cell r="BU230" t="e">
            <v>#N/A</v>
          </cell>
          <cell r="BV230" t="e">
            <v>#N/A</v>
          </cell>
          <cell r="BW230" t="e">
            <v>#N/A</v>
          </cell>
          <cell r="BX230" t="e">
            <v>#N/A</v>
          </cell>
          <cell r="BY230" t="e">
            <v>#N/A</v>
          </cell>
        </row>
        <row r="231">
          <cell r="B231" t="str">
            <v>Expense - % Beef</v>
          </cell>
          <cell r="C231" t="str">
            <v>EXP_BEEF</v>
          </cell>
          <cell r="F231" t="e">
            <v>#N/A</v>
          </cell>
          <cell r="G231" t="e">
            <v>#N/A</v>
          </cell>
          <cell r="H231" t="e">
            <v>#N/A</v>
          </cell>
          <cell r="I231" t="e">
            <v>#N/A</v>
          </cell>
          <cell r="J231" t="e">
            <v>#N/A</v>
          </cell>
          <cell r="K231" t="e">
            <v>#N/A</v>
          </cell>
          <cell r="L231" t="e">
            <v>#N/A</v>
          </cell>
          <cell r="M231" t="e">
            <v>#N/A</v>
          </cell>
          <cell r="N231" t="e">
            <v>#N/A</v>
          </cell>
          <cell r="O231" t="e">
            <v>#N/A</v>
          </cell>
          <cell r="P231" t="e">
            <v>#N/A</v>
          </cell>
          <cell r="Q231" t="e">
            <v>#N/A</v>
          </cell>
          <cell r="R231" t="e">
            <v>#N/A</v>
          </cell>
          <cell r="S231" t="e">
            <v>#N/A</v>
          </cell>
          <cell r="T231" t="e">
            <v>#N/A</v>
          </cell>
          <cell r="U231" t="e">
            <v>#N/A</v>
          </cell>
          <cell r="V231" t="e">
            <v>#N/A</v>
          </cell>
          <cell r="W231" t="e">
            <v>#N/A</v>
          </cell>
          <cell r="X231" t="e">
            <v>#N/A</v>
          </cell>
          <cell r="Z231" t="e">
            <v>#N/A</v>
          </cell>
          <cell r="AA231" t="e">
            <v>#N/A</v>
          </cell>
          <cell r="AB231" t="e">
            <v>#N/A</v>
          </cell>
          <cell r="AC231" t="e">
            <v>#N/A</v>
          </cell>
          <cell r="AD231" t="e">
            <v>#N/A</v>
          </cell>
          <cell r="AE231" t="e">
            <v>#N/A</v>
          </cell>
          <cell r="AF231" t="e">
            <v>#N/A</v>
          </cell>
          <cell r="AG231" t="e">
            <v>#N/A</v>
          </cell>
          <cell r="AH231" t="e">
            <v>#N/A</v>
          </cell>
          <cell r="AI231" t="e">
            <v>#N/A</v>
          </cell>
          <cell r="AJ231" t="e">
            <v>#N/A</v>
          </cell>
          <cell r="AK231" t="e">
            <v>#N/A</v>
          </cell>
          <cell r="AL231" t="e">
            <v>#N/A</v>
          </cell>
          <cell r="AM231" t="e">
            <v>#N/A</v>
          </cell>
          <cell r="AN231" t="e">
            <v>#N/A</v>
          </cell>
          <cell r="AO231" t="e">
            <v>#N/A</v>
          </cell>
          <cell r="AP231" t="e">
            <v>#N/A</v>
          </cell>
          <cell r="AQ231" t="e">
            <v>#N/A</v>
          </cell>
          <cell r="AR231" t="e">
            <v>#N/A</v>
          </cell>
          <cell r="AS231" t="e">
            <v>#N/A</v>
          </cell>
          <cell r="AT231" t="e">
            <v>#N/A</v>
          </cell>
          <cell r="AU231" t="e">
            <v>#N/A</v>
          </cell>
          <cell r="AV231" t="e">
            <v>#N/A</v>
          </cell>
          <cell r="AW231" t="e">
            <v>#N/A</v>
          </cell>
          <cell r="AX231" t="e">
            <v>#N/A</v>
          </cell>
          <cell r="AY231" t="e">
            <v>#N/A</v>
          </cell>
          <cell r="AZ231" t="e">
            <v>#N/A</v>
          </cell>
          <cell r="BA231" t="e">
            <v>#N/A</v>
          </cell>
          <cell r="BB231" t="e">
            <v>#N/A</v>
          </cell>
          <cell r="BC231" t="e">
            <v>#N/A</v>
          </cell>
          <cell r="BD231" t="e">
            <v>#N/A</v>
          </cell>
          <cell r="BE231" t="e">
            <v>#N/A</v>
          </cell>
          <cell r="BF231" t="e">
            <v>#N/A</v>
          </cell>
          <cell r="BG231" t="e">
            <v>#N/A</v>
          </cell>
          <cell r="BH231" t="e">
            <v>#N/A</v>
          </cell>
          <cell r="BI231" t="e">
            <v>#N/A</v>
          </cell>
          <cell r="BJ231" t="e">
            <v>#N/A</v>
          </cell>
          <cell r="BK231" t="e">
            <v>#N/A</v>
          </cell>
          <cell r="BL231" t="e">
            <v>#N/A</v>
          </cell>
          <cell r="BM231" t="e">
            <v>#N/A</v>
          </cell>
          <cell r="BN231" t="e">
            <v>#N/A</v>
          </cell>
          <cell r="BO231" t="e">
            <v>#N/A</v>
          </cell>
          <cell r="BP231" t="e">
            <v>#N/A</v>
          </cell>
          <cell r="BQ231" t="e">
            <v>#N/A</v>
          </cell>
          <cell r="BR231" t="e">
            <v>#N/A</v>
          </cell>
          <cell r="BS231" t="e">
            <v>#N/A</v>
          </cell>
          <cell r="BT231" t="e">
            <v>#N/A</v>
          </cell>
          <cell r="BU231" t="e">
            <v>#N/A</v>
          </cell>
          <cell r="BV231" t="e">
            <v>#N/A</v>
          </cell>
          <cell r="BW231" t="e">
            <v>#N/A</v>
          </cell>
          <cell r="BX231" t="e">
            <v>#N/A</v>
          </cell>
          <cell r="BY231" t="e">
            <v>#N/A</v>
          </cell>
        </row>
        <row r="232">
          <cell r="B232" t="str">
            <v>Expense - % Pork</v>
          </cell>
          <cell r="C232" t="str">
            <v>EXP_PORK</v>
          </cell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  <cell r="AV232" t="e">
            <v>#N/A</v>
          </cell>
          <cell r="AW232" t="e">
            <v>#N/A</v>
          </cell>
          <cell r="AX232" t="e">
            <v>#N/A</v>
          </cell>
          <cell r="AY232" t="e">
            <v>#N/A</v>
          </cell>
          <cell r="AZ232" t="e">
            <v>#N/A</v>
          </cell>
          <cell r="BA232" t="e">
            <v>#N/A</v>
          </cell>
          <cell r="BB232" t="e">
            <v>#N/A</v>
          </cell>
          <cell r="BC232" t="e">
            <v>#N/A</v>
          </cell>
          <cell r="BD232" t="e">
            <v>#N/A</v>
          </cell>
          <cell r="BE232" t="e">
            <v>#N/A</v>
          </cell>
          <cell r="BF232" t="e">
            <v>#N/A</v>
          </cell>
          <cell r="BG232" t="e">
            <v>#N/A</v>
          </cell>
          <cell r="BH232" t="e">
            <v>#N/A</v>
          </cell>
          <cell r="BI232" t="e">
            <v>#N/A</v>
          </cell>
          <cell r="BJ232" t="e">
            <v>#N/A</v>
          </cell>
          <cell r="BK232" t="e">
            <v>#N/A</v>
          </cell>
          <cell r="BL232" t="e">
            <v>#N/A</v>
          </cell>
          <cell r="BM232" t="e">
            <v>#N/A</v>
          </cell>
          <cell r="BN232" t="e">
            <v>#N/A</v>
          </cell>
          <cell r="BO232" t="e">
            <v>#N/A</v>
          </cell>
          <cell r="BP232" t="e">
            <v>#N/A</v>
          </cell>
          <cell r="BQ232" t="e">
            <v>#N/A</v>
          </cell>
          <cell r="BR232" t="e">
            <v>#N/A</v>
          </cell>
          <cell r="BS232" t="e">
            <v>#N/A</v>
          </cell>
          <cell r="BT232" t="e">
            <v>#N/A</v>
          </cell>
          <cell r="BU232" t="e">
            <v>#N/A</v>
          </cell>
          <cell r="BV232" t="e">
            <v>#N/A</v>
          </cell>
          <cell r="BW232" t="e">
            <v>#N/A</v>
          </cell>
          <cell r="BX232" t="e">
            <v>#N/A</v>
          </cell>
          <cell r="BY232" t="e">
            <v>#N/A</v>
          </cell>
        </row>
        <row r="233">
          <cell r="B233" t="str">
            <v>Expense - % Chicken</v>
          </cell>
          <cell r="C233" t="str">
            <v>EXP_CHICKEN</v>
          </cell>
          <cell r="F233" t="e">
            <v>#N/A</v>
          </cell>
          <cell r="G233" t="e">
            <v>#N/A</v>
          </cell>
          <cell r="H233" t="e">
            <v>#N/A</v>
          </cell>
          <cell r="I233" t="e">
            <v>#N/A</v>
          </cell>
          <cell r="J233" t="e">
            <v>#N/A</v>
          </cell>
          <cell r="K233" t="e">
            <v>#N/A</v>
          </cell>
          <cell r="L233" t="e">
            <v>#N/A</v>
          </cell>
          <cell r="M233" t="e">
            <v>#N/A</v>
          </cell>
          <cell r="N233" t="e">
            <v>#N/A</v>
          </cell>
          <cell r="O233" t="e">
            <v>#N/A</v>
          </cell>
          <cell r="P233" t="e">
            <v>#N/A</v>
          </cell>
          <cell r="Q233" t="e">
            <v>#N/A</v>
          </cell>
          <cell r="R233" t="e">
            <v>#N/A</v>
          </cell>
          <cell r="S233" t="e">
            <v>#N/A</v>
          </cell>
          <cell r="T233" t="e">
            <v>#N/A</v>
          </cell>
          <cell r="U233" t="e">
            <v>#N/A</v>
          </cell>
          <cell r="V233" t="e">
            <v>#N/A</v>
          </cell>
          <cell r="W233" t="e">
            <v>#N/A</v>
          </cell>
          <cell r="X233" t="e">
            <v>#N/A</v>
          </cell>
          <cell r="Z233" t="e">
            <v>#N/A</v>
          </cell>
          <cell r="AA233" t="e">
            <v>#N/A</v>
          </cell>
          <cell r="AB233" t="e">
            <v>#N/A</v>
          </cell>
          <cell r="AC233" t="e">
            <v>#N/A</v>
          </cell>
          <cell r="AD233" t="e">
            <v>#N/A</v>
          </cell>
          <cell r="AE233" t="e">
            <v>#N/A</v>
          </cell>
          <cell r="AF233" t="e">
            <v>#N/A</v>
          </cell>
          <cell r="AG233" t="e">
            <v>#N/A</v>
          </cell>
          <cell r="AH233" t="e">
            <v>#N/A</v>
          </cell>
          <cell r="AI233" t="e">
            <v>#N/A</v>
          </cell>
          <cell r="AJ233" t="e">
            <v>#N/A</v>
          </cell>
          <cell r="AK233" t="e">
            <v>#N/A</v>
          </cell>
          <cell r="AL233" t="e">
            <v>#N/A</v>
          </cell>
          <cell r="AM233" t="e">
            <v>#N/A</v>
          </cell>
          <cell r="AN233" t="e">
            <v>#N/A</v>
          </cell>
          <cell r="AO233" t="e">
            <v>#N/A</v>
          </cell>
          <cell r="AP233" t="e">
            <v>#N/A</v>
          </cell>
          <cell r="AQ233" t="e">
            <v>#N/A</v>
          </cell>
          <cell r="AR233" t="e">
            <v>#N/A</v>
          </cell>
          <cell r="AS233" t="e">
            <v>#N/A</v>
          </cell>
          <cell r="AT233" t="e">
            <v>#N/A</v>
          </cell>
          <cell r="AU233" t="e">
            <v>#N/A</v>
          </cell>
          <cell r="AV233" t="e">
            <v>#N/A</v>
          </cell>
          <cell r="AW233" t="e">
            <v>#N/A</v>
          </cell>
          <cell r="AX233" t="e">
            <v>#N/A</v>
          </cell>
          <cell r="AY233" t="e">
            <v>#N/A</v>
          </cell>
          <cell r="AZ233" t="e">
            <v>#N/A</v>
          </cell>
          <cell r="BA233" t="e">
            <v>#N/A</v>
          </cell>
          <cell r="BB233" t="e">
            <v>#N/A</v>
          </cell>
          <cell r="BC233" t="e">
            <v>#N/A</v>
          </cell>
          <cell r="BD233" t="e">
            <v>#N/A</v>
          </cell>
          <cell r="BE233" t="e">
            <v>#N/A</v>
          </cell>
          <cell r="BF233" t="e">
            <v>#N/A</v>
          </cell>
          <cell r="BG233" t="e">
            <v>#N/A</v>
          </cell>
          <cell r="BH233" t="e">
            <v>#N/A</v>
          </cell>
          <cell r="BI233" t="e">
            <v>#N/A</v>
          </cell>
          <cell r="BJ233" t="e">
            <v>#N/A</v>
          </cell>
          <cell r="BK233" t="e">
            <v>#N/A</v>
          </cell>
          <cell r="BL233" t="e">
            <v>#N/A</v>
          </cell>
          <cell r="BM233" t="e">
            <v>#N/A</v>
          </cell>
          <cell r="BN233" t="e">
            <v>#N/A</v>
          </cell>
          <cell r="BO233" t="e">
            <v>#N/A</v>
          </cell>
          <cell r="BP233" t="e">
            <v>#N/A</v>
          </cell>
          <cell r="BQ233" t="e">
            <v>#N/A</v>
          </cell>
          <cell r="BR233" t="e">
            <v>#N/A</v>
          </cell>
          <cell r="BS233" t="e">
            <v>#N/A</v>
          </cell>
          <cell r="BT233" t="e">
            <v>#N/A</v>
          </cell>
          <cell r="BU233" t="e">
            <v>#N/A</v>
          </cell>
          <cell r="BV233" t="e">
            <v>#N/A</v>
          </cell>
          <cell r="BW233" t="e">
            <v>#N/A</v>
          </cell>
          <cell r="BX233" t="e">
            <v>#N/A</v>
          </cell>
          <cell r="BY233" t="e">
            <v>#N/A</v>
          </cell>
        </row>
        <row r="234">
          <cell r="B234" t="str">
            <v>Expense - % Dairy</v>
          </cell>
          <cell r="C234" t="str">
            <v>EXP_DAIRY</v>
          </cell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  <cell r="AV234" t="e">
            <v>#N/A</v>
          </cell>
          <cell r="AW234" t="e">
            <v>#N/A</v>
          </cell>
          <cell r="AX234" t="e">
            <v>#N/A</v>
          </cell>
          <cell r="AY234" t="e">
            <v>#N/A</v>
          </cell>
          <cell r="AZ234" t="e">
            <v>#N/A</v>
          </cell>
          <cell r="BA234" t="e">
            <v>#N/A</v>
          </cell>
          <cell r="BB234" t="e">
            <v>#N/A</v>
          </cell>
          <cell r="BC234" t="e">
            <v>#N/A</v>
          </cell>
          <cell r="BD234" t="e">
            <v>#N/A</v>
          </cell>
          <cell r="BE234" t="e">
            <v>#N/A</v>
          </cell>
          <cell r="BF234" t="e">
            <v>#N/A</v>
          </cell>
          <cell r="BG234" t="e">
            <v>#N/A</v>
          </cell>
          <cell r="BH234" t="e">
            <v>#N/A</v>
          </cell>
          <cell r="BI234" t="e">
            <v>#N/A</v>
          </cell>
          <cell r="BJ234" t="e">
            <v>#N/A</v>
          </cell>
          <cell r="BK234" t="e">
            <v>#N/A</v>
          </cell>
          <cell r="BL234" t="e">
            <v>#N/A</v>
          </cell>
          <cell r="BM234" t="e">
            <v>#N/A</v>
          </cell>
          <cell r="BN234" t="e">
            <v>#N/A</v>
          </cell>
          <cell r="BO234" t="e">
            <v>#N/A</v>
          </cell>
          <cell r="BP234" t="e">
            <v>#N/A</v>
          </cell>
          <cell r="BQ234" t="e">
            <v>#N/A</v>
          </cell>
          <cell r="BR234" t="e">
            <v>#N/A</v>
          </cell>
          <cell r="BS234" t="e">
            <v>#N/A</v>
          </cell>
          <cell r="BT234" t="e">
            <v>#N/A</v>
          </cell>
          <cell r="BU234" t="e">
            <v>#N/A</v>
          </cell>
          <cell r="BV234" t="e">
            <v>#N/A</v>
          </cell>
          <cell r="BW234" t="e">
            <v>#N/A</v>
          </cell>
          <cell r="BX234" t="e">
            <v>#N/A</v>
          </cell>
          <cell r="BY234" t="e">
            <v>#N/A</v>
          </cell>
        </row>
        <row r="235">
          <cell r="B235" t="str">
            <v>Expense - % Nuts</v>
          </cell>
          <cell r="C235" t="str">
            <v>EXP_NUTS</v>
          </cell>
          <cell r="F235" t="e">
            <v>#N/A</v>
          </cell>
          <cell r="G235" t="e">
            <v>#N/A</v>
          </cell>
          <cell r="H235" t="e">
            <v>#N/A</v>
          </cell>
          <cell r="I235" t="e">
            <v>#N/A</v>
          </cell>
          <cell r="J235" t="e">
            <v>#N/A</v>
          </cell>
          <cell r="K235" t="e">
            <v>#N/A</v>
          </cell>
          <cell r="L235" t="e">
            <v>#N/A</v>
          </cell>
          <cell r="M235" t="e">
            <v>#N/A</v>
          </cell>
          <cell r="N235" t="e">
            <v>#N/A</v>
          </cell>
          <cell r="O235" t="e">
            <v>#N/A</v>
          </cell>
          <cell r="P235" t="e">
            <v>#N/A</v>
          </cell>
          <cell r="Q235" t="e">
            <v>#N/A</v>
          </cell>
          <cell r="R235" t="e">
            <v>#N/A</v>
          </cell>
          <cell r="S235" t="e">
            <v>#N/A</v>
          </cell>
          <cell r="T235" t="e">
            <v>#N/A</v>
          </cell>
          <cell r="U235" t="e">
            <v>#N/A</v>
          </cell>
          <cell r="V235" t="e">
            <v>#N/A</v>
          </cell>
          <cell r="W235" t="e">
            <v>#N/A</v>
          </cell>
          <cell r="X235" t="e">
            <v>#N/A</v>
          </cell>
          <cell r="Z235" t="e">
            <v>#N/A</v>
          </cell>
          <cell r="AA235" t="e">
            <v>#N/A</v>
          </cell>
          <cell r="AB235" t="e">
            <v>#N/A</v>
          </cell>
          <cell r="AC235" t="e">
            <v>#N/A</v>
          </cell>
          <cell r="AD235" t="e">
            <v>#N/A</v>
          </cell>
          <cell r="AE235" t="e">
            <v>#N/A</v>
          </cell>
          <cell r="AF235" t="e">
            <v>#N/A</v>
          </cell>
          <cell r="AG235" t="e">
            <v>#N/A</v>
          </cell>
          <cell r="AH235" t="e">
            <v>#N/A</v>
          </cell>
          <cell r="AI235" t="e">
            <v>#N/A</v>
          </cell>
          <cell r="AJ235" t="e">
            <v>#N/A</v>
          </cell>
          <cell r="AK235" t="e">
            <v>#N/A</v>
          </cell>
          <cell r="AL235" t="e">
            <v>#N/A</v>
          </cell>
          <cell r="AM235" t="e">
            <v>#N/A</v>
          </cell>
          <cell r="AN235" t="e">
            <v>#N/A</v>
          </cell>
          <cell r="AO235" t="e">
            <v>#N/A</v>
          </cell>
          <cell r="AP235" t="e">
            <v>#N/A</v>
          </cell>
          <cell r="AQ235" t="e">
            <v>#N/A</v>
          </cell>
          <cell r="AR235" t="e">
            <v>#N/A</v>
          </cell>
          <cell r="AS235" t="e">
            <v>#N/A</v>
          </cell>
          <cell r="AT235" t="e">
            <v>#N/A</v>
          </cell>
          <cell r="AU235" t="e">
            <v>#N/A</v>
          </cell>
          <cell r="AV235" t="e">
            <v>#N/A</v>
          </cell>
          <cell r="AW235" t="e">
            <v>#N/A</v>
          </cell>
          <cell r="AX235" t="e">
            <v>#N/A</v>
          </cell>
          <cell r="AY235" t="e">
            <v>#N/A</v>
          </cell>
          <cell r="AZ235" t="e">
            <v>#N/A</v>
          </cell>
          <cell r="BA235" t="e">
            <v>#N/A</v>
          </cell>
          <cell r="BB235" t="e">
            <v>#N/A</v>
          </cell>
          <cell r="BC235" t="e">
            <v>#N/A</v>
          </cell>
          <cell r="BD235" t="e">
            <v>#N/A</v>
          </cell>
          <cell r="BE235" t="e">
            <v>#N/A</v>
          </cell>
          <cell r="BF235" t="e">
            <v>#N/A</v>
          </cell>
          <cell r="BG235" t="e">
            <v>#N/A</v>
          </cell>
          <cell r="BH235" t="e">
            <v>#N/A</v>
          </cell>
          <cell r="BI235" t="e">
            <v>#N/A</v>
          </cell>
          <cell r="BJ235" t="e">
            <v>#N/A</v>
          </cell>
          <cell r="BK235" t="e">
            <v>#N/A</v>
          </cell>
          <cell r="BL235" t="e">
            <v>#N/A</v>
          </cell>
          <cell r="BM235" t="e">
            <v>#N/A</v>
          </cell>
          <cell r="BN235" t="e">
            <v>#N/A</v>
          </cell>
          <cell r="BO235" t="e">
            <v>#N/A</v>
          </cell>
          <cell r="BP235" t="e">
            <v>#N/A</v>
          </cell>
          <cell r="BQ235" t="e">
            <v>#N/A</v>
          </cell>
          <cell r="BR235" t="e">
            <v>#N/A</v>
          </cell>
          <cell r="BS235" t="e">
            <v>#N/A</v>
          </cell>
          <cell r="BT235" t="e">
            <v>#N/A</v>
          </cell>
          <cell r="BU235" t="e">
            <v>#N/A</v>
          </cell>
          <cell r="BV235" t="e">
            <v>#N/A</v>
          </cell>
          <cell r="BW235" t="e">
            <v>#N/A</v>
          </cell>
          <cell r="BX235" t="e">
            <v>#N/A</v>
          </cell>
          <cell r="BY235" t="e">
            <v>#N/A</v>
          </cell>
        </row>
        <row r="236">
          <cell r="B236" t="str">
            <v>Expense - % Palm oil</v>
          </cell>
          <cell r="C236" t="str">
            <v>EXP_PALM_OIL</v>
          </cell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  <cell r="AV236" t="e">
            <v>#N/A</v>
          </cell>
          <cell r="AW236" t="e">
            <v>#N/A</v>
          </cell>
          <cell r="AX236" t="e">
            <v>#N/A</v>
          </cell>
          <cell r="AY236" t="e">
            <v>#N/A</v>
          </cell>
          <cell r="AZ236" t="e">
            <v>#N/A</v>
          </cell>
          <cell r="BA236" t="e">
            <v>#N/A</v>
          </cell>
          <cell r="BB236" t="e">
            <v>#N/A</v>
          </cell>
          <cell r="BC236" t="e">
            <v>#N/A</v>
          </cell>
          <cell r="BD236" t="e">
            <v>#N/A</v>
          </cell>
          <cell r="BE236" t="e">
            <v>#N/A</v>
          </cell>
          <cell r="BF236" t="e">
            <v>#N/A</v>
          </cell>
          <cell r="BG236" t="e">
            <v>#N/A</v>
          </cell>
          <cell r="BH236" t="e">
            <v>#N/A</v>
          </cell>
          <cell r="BI236" t="e">
            <v>#N/A</v>
          </cell>
          <cell r="BJ236" t="e">
            <v>#N/A</v>
          </cell>
          <cell r="BK236" t="e">
            <v>#N/A</v>
          </cell>
          <cell r="BL236" t="e">
            <v>#N/A</v>
          </cell>
          <cell r="BM236" t="e">
            <v>#N/A</v>
          </cell>
          <cell r="BN236" t="e">
            <v>#N/A</v>
          </cell>
          <cell r="BO236" t="e">
            <v>#N/A</v>
          </cell>
          <cell r="BP236" t="e">
            <v>#N/A</v>
          </cell>
          <cell r="BQ236" t="e">
            <v>#N/A</v>
          </cell>
          <cell r="BR236" t="e">
            <v>#N/A</v>
          </cell>
          <cell r="BS236" t="e">
            <v>#N/A</v>
          </cell>
          <cell r="BT236" t="e">
            <v>#N/A</v>
          </cell>
          <cell r="BU236" t="e">
            <v>#N/A</v>
          </cell>
          <cell r="BV236" t="e">
            <v>#N/A</v>
          </cell>
          <cell r="BW236" t="e">
            <v>#N/A</v>
          </cell>
          <cell r="BX236" t="e">
            <v>#N/A</v>
          </cell>
          <cell r="BY236" t="e">
            <v>#N/A</v>
          </cell>
        </row>
        <row r="237">
          <cell r="B237" t="str">
            <v>Expense - % Other edible oil</v>
          </cell>
          <cell r="C237" t="str">
            <v>EXP_OTH_EDIBLE_OIL</v>
          </cell>
          <cell r="F237" t="e">
            <v>#N/A</v>
          </cell>
          <cell r="G237" t="e">
            <v>#N/A</v>
          </cell>
          <cell r="H237" t="e">
            <v>#N/A</v>
          </cell>
          <cell r="I237" t="e">
            <v>#N/A</v>
          </cell>
          <cell r="J237" t="e">
            <v>#N/A</v>
          </cell>
          <cell r="K237" t="e">
            <v>#N/A</v>
          </cell>
          <cell r="L237" t="e">
            <v>#N/A</v>
          </cell>
          <cell r="M237" t="e">
            <v>#N/A</v>
          </cell>
          <cell r="N237" t="e">
            <v>#N/A</v>
          </cell>
          <cell r="O237" t="e">
            <v>#N/A</v>
          </cell>
          <cell r="P237" t="e">
            <v>#N/A</v>
          </cell>
          <cell r="Q237" t="e">
            <v>#N/A</v>
          </cell>
          <cell r="R237" t="e">
            <v>#N/A</v>
          </cell>
          <cell r="S237" t="e">
            <v>#N/A</v>
          </cell>
          <cell r="T237" t="e">
            <v>#N/A</v>
          </cell>
          <cell r="U237" t="e">
            <v>#N/A</v>
          </cell>
          <cell r="V237" t="e">
            <v>#N/A</v>
          </cell>
          <cell r="W237" t="e">
            <v>#N/A</v>
          </cell>
          <cell r="X237" t="e">
            <v>#N/A</v>
          </cell>
          <cell r="Z237" t="e">
            <v>#N/A</v>
          </cell>
          <cell r="AA237" t="e">
            <v>#N/A</v>
          </cell>
          <cell r="AB237" t="e">
            <v>#N/A</v>
          </cell>
          <cell r="AC237" t="e">
            <v>#N/A</v>
          </cell>
          <cell r="AD237" t="e">
            <v>#N/A</v>
          </cell>
          <cell r="AE237" t="e">
            <v>#N/A</v>
          </cell>
          <cell r="AF237" t="e">
            <v>#N/A</v>
          </cell>
          <cell r="AG237" t="e">
            <v>#N/A</v>
          </cell>
          <cell r="AH237" t="e">
            <v>#N/A</v>
          </cell>
          <cell r="AI237" t="e">
            <v>#N/A</v>
          </cell>
          <cell r="AJ237" t="e">
            <v>#N/A</v>
          </cell>
          <cell r="AK237" t="e">
            <v>#N/A</v>
          </cell>
          <cell r="AL237" t="e">
            <v>#N/A</v>
          </cell>
          <cell r="AM237" t="e">
            <v>#N/A</v>
          </cell>
          <cell r="AN237" t="e">
            <v>#N/A</v>
          </cell>
          <cell r="AO237" t="e">
            <v>#N/A</v>
          </cell>
          <cell r="AP237" t="e">
            <v>#N/A</v>
          </cell>
          <cell r="AQ237" t="e">
            <v>#N/A</v>
          </cell>
          <cell r="AR237" t="e">
            <v>#N/A</v>
          </cell>
          <cell r="AS237" t="e">
            <v>#N/A</v>
          </cell>
          <cell r="AT237" t="e">
            <v>#N/A</v>
          </cell>
          <cell r="AU237" t="e">
            <v>#N/A</v>
          </cell>
          <cell r="AV237" t="e">
            <v>#N/A</v>
          </cell>
          <cell r="AW237" t="e">
            <v>#N/A</v>
          </cell>
          <cell r="AX237" t="e">
            <v>#N/A</v>
          </cell>
          <cell r="AY237" t="e">
            <v>#N/A</v>
          </cell>
          <cell r="AZ237" t="e">
            <v>#N/A</v>
          </cell>
          <cell r="BA237" t="e">
            <v>#N/A</v>
          </cell>
          <cell r="BB237" t="e">
            <v>#N/A</v>
          </cell>
          <cell r="BC237" t="e">
            <v>#N/A</v>
          </cell>
          <cell r="BD237" t="e">
            <v>#N/A</v>
          </cell>
          <cell r="BE237" t="e">
            <v>#N/A</v>
          </cell>
          <cell r="BF237" t="e">
            <v>#N/A</v>
          </cell>
          <cell r="BG237" t="e">
            <v>#N/A</v>
          </cell>
          <cell r="BH237" t="e">
            <v>#N/A</v>
          </cell>
          <cell r="BI237" t="e">
            <v>#N/A</v>
          </cell>
          <cell r="BJ237" t="e">
            <v>#N/A</v>
          </cell>
          <cell r="BK237" t="e">
            <v>#N/A</v>
          </cell>
          <cell r="BL237" t="e">
            <v>#N/A</v>
          </cell>
          <cell r="BM237" t="e">
            <v>#N/A</v>
          </cell>
          <cell r="BN237" t="e">
            <v>#N/A</v>
          </cell>
          <cell r="BO237" t="e">
            <v>#N/A</v>
          </cell>
          <cell r="BP237" t="e">
            <v>#N/A</v>
          </cell>
          <cell r="BQ237" t="e">
            <v>#N/A</v>
          </cell>
          <cell r="BR237" t="e">
            <v>#N/A</v>
          </cell>
          <cell r="BS237" t="e">
            <v>#N/A</v>
          </cell>
          <cell r="BT237" t="e">
            <v>#N/A</v>
          </cell>
          <cell r="BU237" t="e">
            <v>#N/A</v>
          </cell>
          <cell r="BV237" t="e">
            <v>#N/A</v>
          </cell>
          <cell r="BW237" t="e">
            <v>#N/A</v>
          </cell>
          <cell r="BX237" t="e">
            <v>#N/A</v>
          </cell>
          <cell r="BY237" t="e">
            <v>#N/A</v>
          </cell>
        </row>
        <row r="238">
          <cell r="B238" t="str">
            <v>Expense - % Tobacco leaf</v>
          </cell>
          <cell r="C238" t="str">
            <v>EXP_TOBACCO_LEAF</v>
          </cell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  <cell r="AV238" t="e">
            <v>#N/A</v>
          </cell>
          <cell r="AW238" t="e">
            <v>#N/A</v>
          </cell>
          <cell r="AX238" t="e">
            <v>#N/A</v>
          </cell>
          <cell r="AY238" t="e">
            <v>#N/A</v>
          </cell>
          <cell r="AZ238" t="e">
            <v>#N/A</v>
          </cell>
          <cell r="BA238" t="e">
            <v>#N/A</v>
          </cell>
          <cell r="BB238" t="e">
            <v>#N/A</v>
          </cell>
          <cell r="BC238" t="e">
            <v>#N/A</v>
          </cell>
          <cell r="BD238" t="e">
            <v>#N/A</v>
          </cell>
          <cell r="BE238" t="e">
            <v>#N/A</v>
          </cell>
          <cell r="BF238" t="e">
            <v>#N/A</v>
          </cell>
          <cell r="BG238" t="e">
            <v>#N/A</v>
          </cell>
          <cell r="BH238" t="e">
            <v>#N/A</v>
          </cell>
          <cell r="BI238" t="e">
            <v>#N/A</v>
          </cell>
          <cell r="BJ238" t="e">
            <v>#N/A</v>
          </cell>
          <cell r="BK238" t="e">
            <v>#N/A</v>
          </cell>
          <cell r="BL238" t="e">
            <v>#N/A</v>
          </cell>
          <cell r="BM238" t="e">
            <v>#N/A</v>
          </cell>
          <cell r="BN238" t="e">
            <v>#N/A</v>
          </cell>
          <cell r="BO238" t="e">
            <v>#N/A</v>
          </cell>
          <cell r="BP238" t="e">
            <v>#N/A</v>
          </cell>
          <cell r="BQ238" t="e">
            <v>#N/A</v>
          </cell>
          <cell r="BR238" t="e">
            <v>#N/A</v>
          </cell>
          <cell r="BS238" t="e">
            <v>#N/A</v>
          </cell>
          <cell r="BT238" t="e">
            <v>#N/A</v>
          </cell>
          <cell r="BU238" t="e">
            <v>#N/A</v>
          </cell>
          <cell r="BV238" t="e">
            <v>#N/A</v>
          </cell>
          <cell r="BW238" t="e">
            <v>#N/A</v>
          </cell>
          <cell r="BX238" t="e">
            <v>#N/A</v>
          </cell>
          <cell r="BY238" t="e">
            <v>#N/A</v>
          </cell>
        </row>
        <row r="239">
          <cell r="B239" t="str">
            <v>Expense - % Water</v>
          </cell>
          <cell r="C239" t="str">
            <v>EXP_WATER</v>
          </cell>
          <cell r="F239" t="e">
            <v>#N/A</v>
          </cell>
          <cell r="G239" t="e">
            <v>#N/A</v>
          </cell>
          <cell r="H239" t="e">
            <v>#N/A</v>
          </cell>
          <cell r="I239" t="e">
            <v>#N/A</v>
          </cell>
          <cell r="J239" t="e">
            <v>#N/A</v>
          </cell>
          <cell r="K239" t="e">
            <v>#N/A</v>
          </cell>
          <cell r="L239" t="e">
            <v>#N/A</v>
          </cell>
          <cell r="M239" t="e">
            <v>#N/A</v>
          </cell>
          <cell r="N239" t="e">
            <v>#N/A</v>
          </cell>
          <cell r="O239" t="e">
            <v>#N/A</v>
          </cell>
          <cell r="P239" t="e">
            <v>#N/A</v>
          </cell>
          <cell r="Q239" t="e">
            <v>#N/A</v>
          </cell>
          <cell r="R239" t="e">
            <v>#N/A</v>
          </cell>
          <cell r="S239" t="e">
            <v>#N/A</v>
          </cell>
          <cell r="T239" t="e">
            <v>#N/A</v>
          </cell>
          <cell r="U239" t="e">
            <v>#N/A</v>
          </cell>
          <cell r="V239" t="e">
            <v>#N/A</v>
          </cell>
          <cell r="W239" t="e">
            <v>#N/A</v>
          </cell>
          <cell r="X239" t="e">
            <v>#N/A</v>
          </cell>
          <cell r="Z239" t="e">
            <v>#N/A</v>
          </cell>
          <cell r="AA239" t="e">
            <v>#N/A</v>
          </cell>
          <cell r="AB239" t="e">
            <v>#N/A</v>
          </cell>
          <cell r="AC239" t="e">
            <v>#N/A</v>
          </cell>
          <cell r="AD239" t="e">
            <v>#N/A</v>
          </cell>
          <cell r="AE239" t="e">
            <v>#N/A</v>
          </cell>
          <cell r="AF239" t="e">
            <v>#N/A</v>
          </cell>
          <cell r="AG239" t="e">
            <v>#N/A</v>
          </cell>
          <cell r="AH239" t="e">
            <v>#N/A</v>
          </cell>
          <cell r="AI239" t="e">
            <v>#N/A</v>
          </cell>
          <cell r="AJ239" t="e">
            <v>#N/A</v>
          </cell>
          <cell r="AK239" t="e">
            <v>#N/A</v>
          </cell>
          <cell r="AL239" t="e">
            <v>#N/A</v>
          </cell>
          <cell r="AM239" t="e">
            <v>#N/A</v>
          </cell>
          <cell r="AN239" t="e">
            <v>#N/A</v>
          </cell>
          <cell r="AO239" t="e">
            <v>#N/A</v>
          </cell>
          <cell r="AP239" t="e">
            <v>#N/A</v>
          </cell>
          <cell r="AQ239" t="e">
            <v>#N/A</v>
          </cell>
          <cell r="AR239" t="e">
            <v>#N/A</v>
          </cell>
          <cell r="AS239" t="e">
            <v>#N/A</v>
          </cell>
          <cell r="AT239" t="e">
            <v>#N/A</v>
          </cell>
          <cell r="AU239" t="e">
            <v>#N/A</v>
          </cell>
          <cell r="AV239" t="e">
            <v>#N/A</v>
          </cell>
          <cell r="AW239" t="e">
            <v>#N/A</v>
          </cell>
          <cell r="AX239" t="e">
            <v>#N/A</v>
          </cell>
          <cell r="AY239" t="e">
            <v>#N/A</v>
          </cell>
          <cell r="AZ239" t="e">
            <v>#N/A</v>
          </cell>
          <cell r="BA239" t="e">
            <v>#N/A</v>
          </cell>
          <cell r="BB239" t="e">
            <v>#N/A</v>
          </cell>
          <cell r="BC239" t="e">
            <v>#N/A</v>
          </cell>
          <cell r="BD239" t="e">
            <v>#N/A</v>
          </cell>
          <cell r="BE239" t="e">
            <v>#N/A</v>
          </cell>
          <cell r="BF239" t="e">
            <v>#N/A</v>
          </cell>
          <cell r="BG239" t="e">
            <v>#N/A</v>
          </cell>
          <cell r="BH239" t="e">
            <v>#N/A</v>
          </cell>
          <cell r="BI239" t="e">
            <v>#N/A</v>
          </cell>
          <cell r="BJ239" t="e">
            <v>#N/A</v>
          </cell>
          <cell r="BK239" t="e">
            <v>#N/A</v>
          </cell>
          <cell r="BL239" t="e">
            <v>#N/A</v>
          </cell>
          <cell r="BM239" t="e">
            <v>#N/A</v>
          </cell>
          <cell r="BN239" t="e">
            <v>#N/A</v>
          </cell>
          <cell r="BO239" t="e">
            <v>#N/A</v>
          </cell>
          <cell r="BP239" t="e">
            <v>#N/A</v>
          </cell>
          <cell r="BQ239" t="e">
            <v>#N/A</v>
          </cell>
          <cell r="BR239" t="e">
            <v>#N/A</v>
          </cell>
          <cell r="BS239" t="e">
            <v>#N/A</v>
          </cell>
          <cell r="BT239" t="e">
            <v>#N/A</v>
          </cell>
          <cell r="BU239" t="e">
            <v>#N/A</v>
          </cell>
          <cell r="BV239" t="e">
            <v>#N/A</v>
          </cell>
          <cell r="BW239" t="e">
            <v>#N/A</v>
          </cell>
          <cell r="BX239" t="e">
            <v>#N/A</v>
          </cell>
          <cell r="BY239" t="e">
            <v>#N/A</v>
          </cell>
        </row>
        <row r="240">
          <cell r="B240" t="str">
            <v>Expense - % Other commodity</v>
          </cell>
          <cell r="C240" t="str">
            <v>EXP_OTH_COMMODITY</v>
          </cell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  <cell r="AV240" t="e">
            <v>#N/A</v>
          </cell>
          <cell r="AW240" t="e">
            <v>#N/A</v>
          </cell>
          <cell r="AX240" t="e">
            <v>#N/A</v>
          </cell>
          <cell r="AY240" t="e">
            <v>#N/A</v>
          </cell>
          <cell r="AZ240" t="e">
            <v>#N/A</v>
          </cell>
          <cell r="BA240" t="e">
            <v>#N/A</v>
          </cell>
          <cell r="BB240" t="e">
            <v>#N/A</v>
          </cell>
          <cell r="BC240" t="e">
            <v>#N/A</v>
          </cell>
          <cell r="BD240" t="e">
            <v>#N/A</v>
          </cell>
          <cell r="BE240" t="e">
            <v>#N/A</v>
          </cell>
          <cell r="BF240" t="e">
            <v>#N/A</v>
          </cell>
          <cell r="BG240" t="e">
            <v>#N/A</v>
          </cell>
          <cell r="BH240" t="e">
            <v>#N/A</v>
          </cell>
          <cell r="BI240" t="e">
            <v>#N/A</v>
          </cell>
          <cell r="BJ240" t="e">
            <v>#N/A</v>
          </cell>
          <cell r="BK240" t="e">
            <v>#N/A</v>
          </cell>
          <cell r="BL240" t="e">
            <v>#N/A</v>
          </cell>
          <cell r="BM240" t="e">
            <v>#N/A</v>
          </cell>
          <cell r="BN240" t="e">
            <v>#N/A</v>
          </cell>
          <cell r="BO240" t="e">
            <v>#N/A</v>
          </cell>
          <cell r="BP240" t="e">
            <v>#N/A</v>
          </cell>
          <cell r="BQ240" t="e">
            <v>#N/A</v>
          </cell>
          <cell r="BR240" t="e">
            <v>#N/A</v>
          </cell>
          <cell r="BS240" t="e">
            <v>#N/A</v>
          </cell>
          <cell r="BT240" t="e">
            <v>#N/A</v>
          </cell>
          <cell r="BU240" t="e">
            <v>#N/A</v>
          </cell>
          <cell r="BV240" t="e">
            <v>#N/A</v>
          </cell>
          <cell r="BW240" t="e">
            <v>#N/A</v>
          </cell>
          <cell r="BX240" t="e">
            <v>#N/A</v>
          </cell>
          <cell r="BY240" t="e">
            <v>#N/A</v>
          </cell>
        </row>
        <row r="241">
          <cell r="A241" t="str">
            <v>FX Exposure - Sales</v>
          </cell>
        </row>
        <row r="242">
          <cell r="B242" t="str">
            <v>Sales - % FX: British Pounds/Pence</v>
          </cell>
          <cell r="C242" t="str">
            <v>SALES_FX_GPB</v>
          </cell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  <cell r="AV242" t="e">
            <v>#N/A</v>
          </cell>
          <cell r="AW242" t="e">
            <v>#N/A</v>
          </cell>
          <cell r="AX242" t="e">
            <v>#N/A</v>
          </cell>
          <cell r="AY242" t="e">
            <v>#N/A</v>
          </cell>
          <cell r="AZ242" t="e">
            <v>#N/A</v>
          </cell>
          <cell r="BA242" t="e">
            <v>#N/A</v>
          </cell>
          <cell r="BB242" t="e">
            <v>#N/A</v>
          </cell>
          <cell r="BC242" t="e">
            <v>#N/A</v>
          </cell>
          <cell r="BD242" t="e">
            <v>#N/A</v>
          </cell>
          <cell r="BE242" t="e">
            <v>#N/A</v>
          </cell>
          <cell r="BF242" t="e">
            <v>#N/A</v>
          </cell>
          <cell r="BG242" t="e">
            <v>#N/A</v>
          </cell>
          <cell r="BH242" t="e">
            <v>#N/A</v>
          </cell>
          <cell r="BI242" t="e">
            <v>#N/A</v>
          </cell>
          <cell r="BJ242" t="e">
            <v>#N/A</v>
          </cell>
          <cell r="BK242" t="e">
            <v>#N/A</v>
          </cell>
          <cell r="BL242" t="e">
            <v>#N/A</v>
          </cell>
          <cell r="BM242" t="e">
            <v>#N/A</v>
          </cell>
          <cell r="BN242" t="e">
            <v>#N/A</v>
          </cell>
          <cell r="BO242" t="e">
            <v>#N/A</v>
          </cell>
          <cell r="BP242" t="e">
            <v>#N/A</v>
          </cell>
          <cell r="BQ242" t="e">
            <v>#N/A</v>
          </cell>
          <cell r="BR242" t="e">
            <v>#N/A</v>
          </cell>
          <cell r="BS242" t="e">
            <v>#N/A</v>
          </cell>
          <cell r="BT242" t="e">
            <v>#N/A</v>
          </cell>
          <cell r="BU242" t="e">
            <v>#N/A</v>
          </cell>
          <cell r="BV242" t="e">
            <v>#N/A</v>
          </cell>
          <cell r="BW242" t="e">
            <v>#N/A</v>
          </cell>
          <cell r="BX242" t="e">
            <v>#N/A</v>
          </cell>
          <cell r="BY242" t="e">
            <v>#N/A</v>
          </cell>
        </row>
        <row r="243">
          <cell r="B243" t="str">
            <v>Sales - % FX: Euro</v>
          </cell>
          <cell r="C243" t="str">
            <v>SALES_FX_EUR</v>
          </cell>
          <cell r="F243" t="e">
            <v>#N/A</v>
          </cell>
          <cell r="G243" t="e">
            <v>#N/A</v>
          </cell>
          <cell r="H243" t="e">
            <v>#N/A</v>
          </cell>
          <cell r="I243" t="e">
            <v>#N/A</v>
          </cell>
          <cell r="J243" t="e">
            <v>#N/A</v>
          </cell>
          <cell r="K243" t="e">
            <v>#N/A</v>
          </cell>
          <cell r="L243" t="e">
            <v>#N/A</v>
          </cell>
          <cell r="M243" t="e">
            <v>#N/A</v>
          </cell>
          <cell r="N243" t="e">
            <v>#N/A</v>
          </cell>
          <cell r="O243" t="e">
            <v>#N/A</v>
          </cell>
          <cell r="P243" t="e">
            <v>#N/A</v>
          </cell>
          <cell r="Q243" t="e">
            <v>#N/A</v>
          </cell>
          <cell r="R243" t="e">
            <v>#N/A</v>
          </cell>
          <cell r="S243" t="e">
            <v>#N/A</v>
          </cell>
          <cell r="T243" t="e">
            <v>#N/A</v>
          </cell>
          <cell r="U243" t="e">
            <v>#N/A</v>
          </cell>
          <cell r="V243" t="e">
            <v>#N/A</v>
          </cell>
          <cell r="W243" t="e">
            <v>#N/A</v>
          </cell>
          <cell r="X243" t="e">
            <v>#N/A</v>
          </cell>
          <cell r="Z243" t="e">
            <v>#N/A</v>
          </cell>
          <cell r="AA243" t="e">
            <v>#N/A</v>
          </cell>
          <cell r="AB243" t="e">
            <v>#N/A</v>
          </cell>
          <cell r="AC243" t="e">
            <v>#N/A</v>
          </cell>
          <cell r="AD243" t="e">
            <v>#N/A</v>
          </cell>
          <cell r="AE243" t="e">
            <v>#N/A</v>
          </cell>
          <cell r="AF243" t="e">
            <v>#N/A</v>
          </cell>
          <cell r="AG243" t="e">
            <v>#N/A</v>
          </cell>
          <cell r="AH243" t="e">
            <v>#N/A</v>
          </cell>
          <cell r="AI243" t="e">
            <v>#N/A</v>
          </cell>
          <cell r="AJ243" t="e">
            <v>#N/A</v>
          </cell>
          <cell r="AK243" t="e">
            <v>#N/A</v>
          </cell>
          <cell r="AL243" t="e">
            <v>#N/A</v>
          </cell>
          <cell r="AM243" t="e">
            <v>#N/A</v>
          </cell>
          <cell r="AN243" t="e">
            <v>#N/A</v>
          </cell>
          <cell r="AO243" t="e">
            <v>#N/A</v>
          </cell>
          <cell r="AP243" t="e">
            <v>#N/A</v>
          </cell>
          <cell r="AQ243" t="e">
            <v>#N/A</v>
          </cell>
          <cell r="AR243" t="e">
            <v>#N/A</v>
          </cell>
          <cell r="AS243" t="e">
            <v>#N/A</v>
          </cell>
          <cell r="AT243" t="e">
            <v>#N/A</v>
          </cell>
          <cell r="AU243" t="e">
            <v>#N/A</v>
          </cell>
          <cell r="AV243" t="e">
            <v>#N/A</v>
          </cell>
          <cell r="AW243" t="e">
            <v>#N/A</v>
          </cell>
          <cell r="AX243" t="e">
            <v>#N/A</v>
          </cell>
          <cell r="AY243" t="e">
            <v>#N/A</v>
          </cell>
          <cell r="AZ243" t="e">
            <v>#N/A</v>
          </cell>
          <cell r="BA243" t="e">
            <v>#N/A</v>
          </cell>
          <cell r="BB243" t="e">
            <v>#N/A</v>
          </cell>
          <cell r="BC243" t="e">
            <v>#N/A</v>
          </cell>
          <cell r="BD243" t="e">
            <v>#N/A</v>
          </cell>
          <cell r="BE243" t="e">
            <v>#N/A</v>
          </cell>
          <cell r="BF243" t="e">
            <v>#N/A</v>
          </cell>
          <cell r="BG243" t="e">
            <v>#N/A</v>
          </cell>
          <cell r="BH243" t="e">
            <v>#N/A</v>
          </cell>
          <cell r="BI243" t="e">
            <v>#N/A</v>
          </cell>
          <cell r="BJ243" t="e">
            <v>#N/A</v>
          </cell>
          <cell r="BK243" t="e">
            <v>#N/A</v>
          </cell>
          <cell r="BL243" t="e">
            <v>#N/A</v>
          </cell>
          <cell r="BM243" t="e">
            <v>#N/A</v>
          </cell>
          <cell r="BN243" t="e">
            <v>#N/A</v>
          </cell>
          <cell r="BO243" t="e">
            <v>#N/A</v>
          </cell>
          <cell r="BP243" t="e">
            <v>#N/A</v>
          </cell>
          <cell r="BQ243" t="e">
            <v>#N/A</v>
          </cell>
          <cell r="BR243" t="e">
            <v>#N/A</v>
          </cell>
          <cell r="BS243" t="e">
            <v>#N/A</v>
          </cell>
          <cell r="BT243" t="e">
            <v>#N/A</v>
          </cell>
          <cell r="BU243" t="e">
            <v>#N/A</v>
          </cell>
          <cell r="BV243" t="e">
            <v>#N/A</v>
          </cell>
          <cell r="BW243" t="e">
            <v>#N/A</v>
          </cell>
          <cell r="BX243" t="e">
            <v>#N/A</v>
          </cell>
          <cell r="BY243" t="e">
            <v>#N/A</v>
          </cell>
        </row>
        <row r="244">
          <cell r="B244" t="str">
            <v>Sales - % FX: New Russian Ruble</v>
          </cell>
          <cell r="C244" t="str">
            <v>SALES_FX_RUB</v>
          </cell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  <cell r="AV244" t="e">
            <v>#N/A</v>
          </cell>
          <cell r="AW244" t="e">
            <v>#N/A</v>
          </cell>
          <cell r="AX244" t="e">
            <v>#N/A</v>
          </cell>
          <cell r="AY244" t="e">
            <v>#N/A</v>
          </cell>
          <cell r="AZ244" t="e">
            <v>#N/A</v>
          </cell>
          <cell r="BA244" t="e">
            <v>#N/A</v>
          </cell>
          <cell r="BB244" t="e">
            <v>#N/A</v>
          </cell>
          <cell r="BC244" t="e">
            <v>#N/A</v>
          </cell>
          <cell r="BD244" t="e">
            <v>#N/A</v>
          </cell>
          <cell r="BE244" t="e">
            <v>#N/A</v>
          </cell>
          <cell r="BF244" t="e">
            <v>#N/A</v>
          </cell>
          <cell r="BG244" t="e">
            <v>#N/A</v>
          </cell>
          <cell r="BH244" t="e">
            <v>#N/A</v>
          </cell>
          <cell r="BI244" t="e">
            <v>#N/A</v>
          </cell>
          <cell r="BJ244" t="e">
            <v>#N/A</v>
          </cell>
          <cell r="BK244" t="e">
            <v>#N/A</v>
          </cell>
          <cell r="BL244" t="e">
            <v>#N/A</v>
          </cell>
          <cell r="BM244" t="e">
            <v>#N/A</v>
          </cell>
          <cell r="BN244" t="e">
            <v>#N/A</v>
          </cell>
          <cell r="BO244" t="e">
            <v>#N/A</v>
          </cell>
          <cell r="BP244" t="e">
            <v>#N/A</v>
          </cell>
          <cell r="BQ244" t="e">
            <v>#N/A</v>
          </cell>
          <cell r="BR244" t="e">
            <v>#N/A</v>
          </cell>
          <cell r="BS244" t="e">
            <v>#N/A</v>
          </cell>
          <cell r="BT244" t="e">
            <v>#N/A</v>
          </cell>
          <cell r="BU244" t="e">
            <v>#N/A</v>
          </cell>
          <cell r="BV244" t="e">
            <v>#N/A</v>
          </cell>
          <cell r="BW244" t="e">
            <v>#N/A</v>
          </cell>
          <cell r="BX244" t="e">
            <v>#N/A</v>
          </cell>
          <cell r="BY244" t="e">
            <v>#N/A</v>
          </cell>
        </row>
        <row r="245">
          <cell r="B245" t="str">
            <v>Sales - % FX: U.S. Dollar</v>
          </cell>
          <cell r="C245" t="str">
            <v>SALES_FX_USD</v>
          </cell>
          <cell r="F245" t="e">
            <v>#N/A</v>
          </cell>
          <cell r="G245" t="e">
            <v>#N/A</v>
          </cell>
          <cell r="H245" t="e">
            <v>#N/A</v>
          </cell>
          <cell r="I245" t="e">
            <v>#N/A</v>
          </cell>
          <cell r="J245" t="e">
            <v>#N/A</v>
          </cell>
          <cell r="K245" t="e">
            <v>#N/A</v>
          </cell>
          <cell r="L245" t="e">
            <v>#N/A</v>
          </cell>
          <cell r="M245" t="e">
            <v>#N/A</v>
          </cell>
          <cell r="N245" t="e">
            <v>#N/A</v>
          </cell>
          <cell r="O245" t="e">
            <v>#N/A</v>
          </cell>
          <cell r="P245" t="e">
            <v>#N/A</v>
          </cell>
          <cell r="Q245" t="e">
            <v>#N/A</v>
          </cell>
          <cell r="R245" t="e">
            <v>#N/A</v>
          </cell>
          <cell r="S245" t="e">
            <v>#N/A</v>
          </cell>
          <cell r="T245" t="e">
            <v>#N/A</v>
          </cell>
          <cell r="U245" t="e">
            <v>#N/A</v>
          </cell>
          <cell r="V245" t="e">
            <v>#N/A</v>
          </cell>
          <cell r="W245" t="e">
            <v>#N/A</v>
          </cell>
          <cell r="X245" t="e">
            <v>#N/A</v>
          </cell>
          <cell r="Z245" t="e">
            <v>#N/A</v>
          </cell>
          <cell r="AA245" t="e">
            <v>#N/A</v>
          </cell>
          <cell r="AB245" t="e">
            <v>#N/A</v>
          </cell>
          <cell r="AC245" t="e">
            <v>#N/A</v>
          </cell>
          <cell r="AD245" t="e">
            <v>#N/A</v>
          </cell>
          <cell r="AE245" t="e">
            <v>#N/A</v>
          </cell>
          <cell r="AF245" t="e">
            <v>#N/A</v>
          </cell>
          <cell r="AG245" t="e">
            <v>#N/A</v>
          </cell>
          <cell r="AH245" t="e">
            <v>#N/A</v>
          </cell>
          <cell r="AI245" t="e">
            <v>#N/A</v>
          </cell>
          <cell r="AJ245" t="e">
            <v>#N/A</v>
          </cell>
          <cell r="AK245" t="e">
            <v>#N/A</v>
          </cell>
          <cell r="AL245" t="e">
            <v>#N/A</v>
          </cell>
          <cell r="AM245" t="e">
            <v>#N/A</v>
          </cell>
          <cell r="AN245" t="e">
            <v>#N/A</v>
          </cell>
          <cell r="AO245" t="e">
            <v>#N/A</v>
          </cell>
          <cell r="AP245" t="e">
            <v>#N/A</v>
          </cell>
          <cell r="AQ245" t="e">
            <v>#N/A</v>
          </cell>
          <cell r="AR245" t="e">
            <v>#N/A</v>
          </cell>
          <cell r="AS245" t="e">
            <v>#N/A</v>
          </cell>
          <cell r="AT245" t="e">
            <v>#N/A</v>
          </cell>
          <cell r="AU245" t="e">
            <v>#N/A</v>
          </cell>
          <cell r="AV245" t="e">
            <v>#N/A</v>
          </cell>
          <cell r="AW245" t="e">
            <v>#N/A</v>
          </cell>
          <cell r="AX245" t="e">
            <v>#N/A</v>
          </cell>
          <cell r="AY245" t="e">
            <v>#N/A</v>
          </cell>
          <cell r="AZ245" t="e">
            <v>#N/A</v>
          </cell>
          <cell r="BA245" t="e">
            <v>#N/A</v>
          </cell>
          <cell r="BB245" t="e">
            <v>#N/A</v>
          </cell>
          <cell r="BC245" t="e">
            <v>#N/A</v>
          </cell>
          <cell r="BD245" t="e">
            <v>#N/A</v>
          </cell>
          <cell r="BE245" t="e">
            <v>#N/A</v>
          </cell>
          <cell r="BF245" t="e">
            <v>#N/A</v>
          </cell>
          <cell r="BG245" t="e">
            <v>#N/A</v>
          </cell>
          <cell r="BH245" t="e">
            <v>#N/A</v>
          </cell>
          <cell r="BI245" t="e">
            <v>#N/A</v>
          </cell>
          <cell r="BJ245" t="e">
            <v>#N/A</v>
          </cell>
          <cell r="BK245" t="e">
            <v>#N/A</v>
          </cell>
          <cell r="BL245" t="e">
            <v>#N/A</v>
          </cell>
          <cell r="BM245" t="e">
            <v>#N/A</v>
          </cell>
          <cell r="BN245" t="e">
            <v>#N/A</v>
          </cell>
          <cell r="BO245" t="e">
            <v>#N/A</v>
          </cell>
          <cell r="BP245" t="e">
            <v>#N/A</v>
          </cell>
          <cell r="BQ245" t="e">
            <v>#N/A</v>
          </cell>
          <cell r="BR245" t="e">
            <v>#N/A</v>
          </cell>
          <cell r="BS245" t="e">
            <v>#N/A</v>
          </cell>
          <cell r="BT245" t="e">
            <v>#N/A</v>
          </cell>
          <cell r="BU245" t="e">
            <v>#N/A</v>
          </cell>
          <cell r="BV245" t="e">
            <v>#N/A</v>
          </cell>
          <cell r="BW245" t="e">
            <v>#N/A</v>
          </cell>
          <cell r="BX245" t="e">
            <v>#N/A</v>
          </cell>
          <cell r="BY245" t="e">
            <v>#N/A</v>
          </cell>
        </row>
        <row r="246">
          <cell r="B246" t="str">
            <v>Sales - % FX: Brazilian Real</v>
          </cell>
          <cell r="C246" t="str">
            <v>SALES_FX_BRL</v>
          </cell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  <cell r="AV246" t="e">
            <v>#N/A</v>
          </cell>
          <cell r="AW246" t="e">
            <v>#N/A</v>
          </cell>
          <cell r="AX246" t="e">
            <v>#N/A</v>
          </cell>
          <cell r="AY246" t="e">
            <v>#N/A</v>
          </cell>
          <cell r="AZ246" t="e">
            <v>#N/A</v>
          </cell>
          <cell r="BA246" t="e">
            <v>#N/A</v>
          </cell>
          <cell r="BB246" t="e">
            <v>#N/A</v>
          </cell>
          <cell r="BC246" t="e">
            <v>#N/A</v>
          </cell>
          <cell r="BD246" t="e">
            <v>#N/A</v>
          </cell>
          <cell r="BE246" t="e">
            <v>#N/A</v>
          </cell>
          <cell r="BF246" t="e">
            <v>#N/A</v>
          </cell>
          <cell r="BG246" t="e">
            <v>#N/A</v>
          </cell>
          <cell r="BH246" t="e">
            <v>#N/A</v>
          </cell>
          <cell r="BI246" t="e">
            <v>#N/A</v>
          </cell>
          <cell r="BJ246" t="e">
            <v>#N/A</v>
          </cell>
          <cell r="BK246" t="e">
            <v>#N/A</v>
          </cell>
          <cell r="BL246" t="e">
            <v>#N/A</v>
          </cell>
          <cell r="BM246" t="e">
            <v>#N/A</v>
          </cell>
          <cell r="BN246" t="e">
            <v>#N/A</v>
          </cell>
          <cell r="BO246" t="e">
            <v>#N/A</v>
          </cell>
          <cell r="BP246" t="e">
            <v>#N/A</v>
          </cell>
          <cell r="BQ246" t="e">
            <v>#N/A</v>
          </cell>
          <cell r="BR246" t="e">
            <v>#N/A</v>
          </cell>
          <cell r="BS246" t="e">
            <v>#N/A</v>
          </cell>
          <cell r="BT246" t="e">
            <v>#N/A</v>
          </cell>
          <cell r="BU246" t="e">
            <v>#N/A</v>
          </cell>
          <cell r="BV246" t="e">
            <v>#N/A</v>
          </cell>
          <cell r="BW246" t="e">
            <v>#N/A</v>
          </cell>
          <cell r="BX246" t="e">
            <v>#N/A</v>
          </cell>
          <cell r="BY246" t="e">
            <v>#N/A</v>
          </cell>
        </row>
        <row r="247">
          <cell r="B247" t="str">
            <v>Sales - % FX: Japanese Yen</v>
          </cell>
          <cell r="C247" t="str">
            <v>SALES_FX_YEN</v>
          </cell>
          <cell r="F247" t="e">
            <v>#N/A</v>
          </cell>
          <cell r="G247" t="e">
            <v>#N/A</v>
          </cell>
          <cell r="H247" t="e">
            <v>#N/A</v>
          </cell>
          <cell r="I247" t="e">
            <v>#N/A</v>
          </cell>
          <cell r="J247" t="e">
            <v>#N/A</v>
          </cell>
          <cell r="K247" t="e">
            <v>#N/A</v>
          </cell>
          <cell r="L247" t="e">
            <v>#N/A</v>
          </cell>
          <cell r="M247" t="e">
            <v>#N/A</v>
          </cell>
          <cell r="N247" t="e">
            <v>#N/A</v>
          </cell>
          <cell r="O247" t="e">
            <v>#N/A</v>
          </cell>
          <cell r="P247" t="e">
            <v>#N/A</v>
          </cell>
          <cell r="Q247" t="e">
            <v>#N/A</v>
          </cell>
          <cell r="R247" t="e">
            <v>#N/A</v>
          </cell>
          <cell r="S247" t="e">
            <v>#N/A</v>
          </cell>
          <cell r="T247" t="e">
            <v>#N/A</v>
          </cell>
          <cell r="U247" t="e">
            <v>#N/A</v>
          </cell>
          <cell r="V247" t="e">
            <v>#N/A</v>
          </cell>
          <cell r="W247" t="e">
            <v>#N/A</v>
          </cell>
          <cell r="X247" t="e">
            <v>#N/A</v>
          </cell>
          <cell r="Z247" t="e">
            <v>#N/A</v>
          </cell>
          <cell r="AA247" t="e">
            <v>#N/A</v>
          </cell>
          <cell r="AB247" t="e">
            <v>#N/A</v>
          </cell>
          <cell r="AC247" t="e">
            <v>#N/A</v>
          </cell>
          <cell r="AD247" t="e">
            <v>#N/A</v>
          </cell>
          <cell r="AE247" t="e">
            <v>#N/A</v>
          </cell>
          <cell r="AF247" t="e">
            <v>#N/A</v>
          </cell>
          <cell r="AG247" t="e">
            <v>#N/A</v>
          </cell>
          <cell r="AH247" t="e">
            <v>#N/A</v>
          </cell>
          <cell r="AI247" t="e">
            <v>#N/A</v>
          </cell>
          <cell r="AJ247" t="e">
            <v>#N/A</v>
          </cell>
          <cell r="AK247" t="e">
            <v>#N/A</v>
          </cell>
          <cell r="AL247" t="e">
            <v>#N/A</v>
          </cell>
          <cell r="AM247" t="e">
            <v>#N/A</v>
          </cell>
          <cell r="AN247" t="e">
            <v>#N/A</v>
          </cell>
          <cell r="AO247" t="e">
            <v>#N/A</v>
          </cell>
          <cell r="AP247" t="e">
            <v>#N/A</v>
          </cell>
          <cell r="AQ247" t="e">
            <v>#N/A</v>
          </cell>
          <cell r="AR247" t="e">
            <v>#N/A</v>
          </cell>
          <cell r="AS247" t="e">
            <v>#N/A</v>
          </cell>
          <cell r="AT247" t="e">
            <v>#N/A</v>
          </cell>
          <cell r="AU247" t="e">
            <v>#N/A</v>
          </cell>
          <cell r="AV247" t="e">
            <v>#N/A</v>
          </cell>
          <cell r="AW247" t="e">
            <v>#N/A</v>
          </cell>
          <cell r="AX247" t="e">
            <v>#N/A</v>
          </cell>
          <cell r="AY247" t="e">
            <v>#N/A</v>
          </cell>
          <cell r="AZ247" t="e">
            <v>#N/A</v>
          </cell>
          <cell r="BA247" t="e">
            <v>#N/A</v>
          </cell>
          <cell r="BB247" t="e">
            <v>#N/A</v>
          </cell>
          <cell r="BC247" t="e">
            <v>#N/A</v>
          </cell>
          <cell r="BD247" t="e">
            <v>#N/A</v>
          </cell>
          <cell r="BE247" t="e">
            <v>#N/A</v>
          </cell>
          <cell r="BF247" t="e">
            <v>#N/A</v>
          </cell>
          <cell r="BG247" t="e">
            <v>#N/A</v>
          </cell>
          <cell r="BH247" t="e">
            <v>#N/A</v>
          </cell>
          <cell r="BI247" t="e">
            <v>#N/A</v>
          </cell>
          <cell r="BJ247" t="e">
            <v>#N/A</v>
          </cell>
          <cell r="BK247" t="e">
            <v>#N/A</v>
          </cell>
          <cell r="BL247" t="e">
            <v>#N/A</v>
          </cell>
          <cell r="BM247" t="e">
            <v>#N/A</v>
          </cell>
          <cell r="BN247" t="e">
            <v>#N/A</v>
          </cell>
          <cell r="BO247" t="e">
            <v>#N/A</v>
          </cell>
          <cell r="BP247" t="e">
            <v>#N/A</v>
          </cell>
          <cell r="BQ247" t="e">
            <v>#N/A</v>
          </cell>
          <cell r="BR247" t="e">
            <v>#N/A</v>
          </cell>
          <cell r="BS247" t="e">
            <v>#N/A</v>
          </cell>
          <cell r="BT247" t="e">
            <v>#N/A</v>
          </cell>
          <cell r="BU247" t="e">
            <v>#N/A</v>
          </cell>
          <cell r="BV247" t="e">
            <v>#N/A</v>
          </cell>
          <cell r="BW247" t="e">
            <v>#N/A</v>
          </cell>
          <cell r="BX247" t="e">
            <v>#N/A</v>
          </cell>
          <cell r="BY247" t="e">
            <v>#N/A</v>
          </cell>
        </row>
        <row r="248">
          <cell r="B248" t="str">
            <v>Sales - % FX: Chinese Renminbi</v>
          </cell>
          <cell r="C248" t="str">
            <v>SALES_FX_CNY</v>
          </cell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  <cell r="AV248" t="e">
            <v>#N/A</v>
          </cell>
          <cell r="AW248" t="e">
            <v>#N/A</v>
          </cell>
          <cell r="AX248" t="e">
            <v>#N/A</v>
          </cell>
          <cell r="AY248" t="e">
            <v>#N/A</v>
          </cell>
          <cell r="AZ248" t="e">
            <v>#N/A</v>
          </cell>
          <cell r="BA248" t="e">
            <v>#N/A</v>
          </cell>
          <cell r="BB248" t="e">
            <v>#N/A</v>
          </cell>
          <cell r="BC248" t="e">
            <v>#N/A</v>
          </cell>
          <cell r="BD248" t="e">
            <v>#N/A</v>
          </cell>
          <cell r="BE248" t="e">
            <v>#N/A</v>
          </cell>
          <cell r="BF248" t="e">
            <v>#N/A</v>
          </cell>
          <cell r="BG248" t="e">
            <v>#N/A</v>
          </cell>
          <cell r="BH248" t="e">
            <v>#N/A</v>
          </cell>
          <cell r="BI248" t="e">
            <v>#N/A</v>
          </cell>
          <cell r="BJ248" t="e">
            <v>#N/A</v>
          </cell>
          <cell r="BK248" t="e">
            <v>#N/A</v>
          </cell>
          <cell r="BL248" t="e">
            <v>#N/A</v>
          </cell>
          <cell r="BM248" t="e">
            <v>#N/A</v>
          </cell>
          <cell r="BN248" t="e">
            <v>#N/A</v>
          </cell>
          <cell r="BO248" t="e">
            <v>#N/A</v>
          </cell>
          <cell r="BP248" t="e">
            <v>#N/A</v>
          </cell>
          <cell r="BQ248" t="e">
            <v>#N/A</v>
          </cell>
          <cell r="BR248" t="e">
            <v>#N/A</v>
          </cell>
          <cell r="BS248" t="e">
            <v>#N/A</v>
          </cell>
          <cell r="BT248" t="e">
            <v>#N/A</v>
          </cell>
          <cell r="BU248" t="e">
            <v>#N/A</v>
          </cell>
          <cell r="BV248" t="e">
            <v>#N/A</v>
          </cell>
          <cell r="BW248" t="e">
            <v>#N/A</v>
          </cell>
          <cell r="BX248" t="e">
            <v>#N/A</v>
          </cell>
          <cell r="BY248" t="e">
            <v>#N/A</v>
          </cell>
        </row>
        <row r="249">
          <cell r="B249" t="str">
            <v>Sales - % FX: Indian Rupee</v>
          </cell>
          <cell r="C249" t="str">
            <v>SALES_FX_INR</v>
          </cell>
          <cell r="F249" t="e">
            <v>#N/A</v>
          </cell>
          <cell r="G249" t="e">
            <v>#N/A</v>
          </cell>
          <cell r="H249" t="e">
            <v>#N/A</v>
          </cell>
          <cell r="I249" t="e">
            <v>#N/A</v>
          </cell>
          <cell r="J249" t="e">
            <v>#N/A</v>
          </cell>
          <cell r="K249" t="e">
            <v>#N/A</v>
          </cell>
          <cell r="L249" t="e">
            <v>#N/A</v>
          </cell>
          <cell r="M249" t="e">
            <v>#N/A</v>
          </cell>
          <cell r="N249" t="e">
            <v>#N/A</v>
          </cell>
          <cell r="O249" t="e">
            <v>#N/A</v>
          </cell>
          <cell r="P249" t="e">
            <v>#N/A</v>
          </cell>
          <cell r="Q249" t="e">
            <v>#N/A</v>
          </cell>
          <cell r="R249" t="e">
            <v>#N/A</v>
          </cell>
          <cell r="S249" t="e">
            <v>#N/A</v>
          </cell>
          <cell r="T249" t="e">
            <v>#N/A</v>
          </cell>
          <cell r="U249" t="e">
            <v>#N/A</v>
          </cell>
          <cell r="V249" t="e">
            <v>#N/A</v>
          </cell>
          <cell r="W249" t="e">
            <v>#N/A</v>
          </cell>
          <cell r="X249" t="e">
            <v>#N/A</v>
          </cell>
          <cell r="Z249" t="e">
            <v>#N/A</v>
          </cell>
          <cell r="AA249" t="e">
            <v>#N/A</v>
          </cell>
          <cell r="AB249" t="e">
            <v>#N/A</v>
          </cell>
          <cell r="AC249" t="e">
            <v>#N/A</v>
          </cell>
          <cell r="AD249" t="e">
            <v>#N/A</v>
          </cell>
          <cell r="AE249" t="e">
            <v>#N/A</v>
          </cell>
          <cell r="AF249" t="e">
            <v>#N/A</v>
          </cell>
          <cell r="AG249" t="e">
            <v>#N/A</v>
          </cell>
          <cell r="AH249" t="e">
            <v>#N/A</v>
          </cell>
          <cell r="AI249" t="e">
            <v>#N/A</v>
          </cell>
          <cell r="AJ249" t="e">
            <v>#N/A</v>
          </cell>
          <cell r="AK249" t="e">
            <v>#N/A</v>
          </cell>
          <cell r="AL249" t="e">
            <v>#N/A</v>
          </cell>
          <cell r="AM249" t="e">
            <v>#N/A</v>
          </cell>
          <cell r="AN249" t="e">
            <v>#N/A</v>
          </cell>
          <cell r="AO249" t="e">
            <v>#N/A</v>
          </cell>
          <cell r="AP249" t="e">
            <v>#N/A</v>
          </cell>
          <cell r="AQ249" t="e">
            <v>#N/A</v>
          </cell>
          <cell r="AR249" t="e">
            <v>#N/A</v>
          </cell>
          <cell r="AS249" t="e">
            <v>#N/A</v>
          </cell>
          <cell r="AT249" t="e">
            <v>#N/A</v>
          </cell>
          <cell r="AU249" t="e">
            <v>#N/A</v>
          </cell>
          <cell r="AV249" t="e">
            <v>#N/A</v>
          </cell>
          <cell r="AW249" t="e">
            <v>#N/A</v>
          </cell>
          <cell r="AX249" t="e">
            <v>#N/A</v>
          </cell>
          <cell r="AY249" t="e">
            <v>#N/A</v>
          </cell>
          <cell r="AZ249" t="e">
            <v>#N/A</v>
          </cell>
          <cell r="BA249" t="e">
            <v>#N/A</v>
          </cell>
          <cell r="BB249" t="e">
            <v>#N/A</v>
          </cell>
          <cell r="BC249" t="e">
            <v>#N/A</v>
          </cell>
          <cell r="BD249" t="e">
            <v>#N/A</v>
          </cell>
          <cell r="BE249" t="e">
            <v>#N/A</v>
          </cell>
          <cell r="BF249" t="e">
            <v>#N/A</v>
          </cell>
          <cell r="BG249" t="e">
            <v>#N/A</v>
          </cell>
          <cell r="BH249" t="e">
            <v>#N/A</v>
          </cell>
          <cell r="BI249" t="e">
            <v>#N/A</v>
          </cell>
          <cell r="BJ249" t="e">
            <v>#N/A</v>
          </cell>
          <cell r="BK249" t="e">
            <v>#N/A</v>
          </cell>
          <cell r="BL249" t="e">
            <v>#N/A</v>
          </cell>
          <cell r="BM249" t="e">
            <v>#N/A</v>
          </cell>
          <cell r="BN249" t="e">
            <v>#N/A</v>
          </cell>
          <cell r="BO249" t="e">
            <v>#N/A</v>
          </cell>
          <cell r="BP249" t="e">
            <v>#N/A</v>
          </cell>
          <cell r="BQ249" t="e">
            <v>#N/A</v>
          </cell>
          <cell r="BR249" t="e">
            <v>#N/A</v>
          </cell>
          <cell r="BS249" t="e">
            <v>#N/A</v>
          </cell>
          <cell r="BT249" t="e">
            <v>#N/A</v>
          </cell>
          <cell r="BU249" t="e">
            <v>#N/A</v>
          </cell>
          <cell r="BV249" t="e">
            <v>#N/A</v>
          </cell>
          <cell r="BW249" t="e">
            <v>#N/A</v>
          </cell>
          <cell r="BX249" t="e">
            <v>#N/A</v>
          </cell>
          <cell r="BY249" t="e">
            <v>#N/A</v>
          </cell>
        </row>
        <row r="250">
          <cell r="B250" t="str">
            <v>Sales - % FX: South Korean Won</v>
          </cell>
          <cell r="C250" t="str">
            <v>SALES_FX_KRW</v>
          </cell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  <cell r="AV250" t="e">
            <v>#N/A</v>
          </cell>
          <cell r="AW250" t="e">
            <v>#N/A</v>
          </cell>
          <cell r="AX250" t="e">
            <v>#N/A</v>
          </cell>
          <cell r="AY250" t="e">
            <v>#N/A</v>
          </cell>
          <cell r="AZ250" t="e">
            <v>#N/A</v>
          </cell>
          <cell r="BA250" t="e">
            <v>#N/A</v>
          </cell>
          <cell r="BB250" t="e">
            <v>#N/A</v>
          </cell>
          <cell r="BC250" t="e">
            <v>#N/A</v>
          </cell>
          <cell r="BD250" t="e">
            <v>#N/A</v>
          </cell>
          <cell r="BE250" t="e">
            <v>#N/A</v>
          </cell>
          <cell r="BF250" t="e">
            <v>#N/A</v>
          </cell>
          <cell r="BG250" t="e">
            <v>#N/A</v>
          </cell>
          <cell r="BH250" t="e">
            <v>#N/A</v>
          </cell>
          <cell r="BI250" t="e">
            <v>#N/A</v>
          </cell>
          <cell r="BJ250" t="e">
            <v>#N/A</v>
          </cell>
          <cell r="BK250" t="e">
            <v>#N/A</v>
          </cell>
          <cell r="BL250" t="e">
            <v>#N/A</v>
          </cell>
          <cell r="BM250" t="e">
            <v>#N/A</v>
          </cell>
          <cell r="BN250" t="e">
            <v>#N/A</v>
          </cell>
          <cell r="BO250" t="e">
            <v>#N/A</v>
          </cell>
          <cell r="BP250" t="e">
            <v>#N/A</v>
          </cell>
          <cell r="BQ250" t="e">
            <v>#N/A</v>
          </cell>
          <cell r="BR250" t="e">
            <v>#N/A</v>
          </cell>
          <cell r="BS250" t="e">
            <v>#N/A</v>
          </cell>
          <cell r="BT250" t="e">
            <v>#N/A</v>
          </cell>
          <cell r="BU250" t="e">
            <v>#N/A</v>
          </cell>
          <cell r="BV250" t="e">
            <v>#N/A</v>
          </cell>
          <cell r="BW250" t="e">
            <v>#N/A</v>
          </cell>
          <cell r="BX250" t="e">
            <v>#N/A</v>
          </cell>
          <cell r="BY250" t="e">
            <v>#N/A</v>
          </cell>
        </row>
        <row r="251">
          <cell r="B251" t="str">
            <v>Sales - % FX: Taiwan Dollar</v>
          </cell>
          <cell r="C251" t="str">
            <v>SALES_FX_TWD</v>
          </cell>
          <cell r="F251" t="e">
            <v>#N/A</v>
          </cell>
          <cell r="G251" t="e">
            <v>#N/A</v>
          </cell>
          <cell r="H251" t="e">
            <v>#N/A</v>
          </cell>
          <cell r="I251" t="e">
            <v>#N/A</v>
          </cell>
          <cell r="J251" t="e">
            <v>#N/A</v>
          </cell>
          <cell r="K251" t="e">
            <v>#N/A</v>
          </cell>
          <cell r="L251" t="e">
            <v>#N/A</v>
          </cell>
          <cell r="M251" t="e">
            <v>#N/A</v>
          </cell>
          <cell r="N251" t="e">
            <v>#N/A</v>
          </cell>
          <cell r="O251" t="e">
            <v>#N/A</v>
          </cell>
          <cell r="P251" t="e">
            <v>#N/A</v>
          </cell>
          <cell r="Q251" t="e">
            <v>#N/A</v>
          </cell>
          <cell r="R251" t="e">
            <v>#N/A</v>
          </cell>
          <cell r="S251" t="e">
            <v>#N/A</v>
          </cell>
          <cell r="T251" t="e">
            <v>#N/A</v>
          </cell>
          <cell r="U251" t="e">
            <v>#N/A</v>
          </cell>
          <cell r="V251" t="e">
            <v>#N/A</v>
          </cell>
          <cell r="W251" t="e">
            <v>#N/A</v>
          </cell>
          <cell r="X251" t="e">
            <v>#N/A</v>
          </cell>
          <cell r="Z251" t="e">
            <v>#N/A</v>
          </cell>
          <cell r="AA251" t="e">
            <v>#N/A</v>
          </cell>
          <cell r="AB251" t="e">
            <v>#N/A</v>
          </cell>
          <cell r="AC251" t="e">
            <v>#N/A</v>
          </cell>
          <cell r="AD251" t="e">
            <v>#N/A</v>
          </cell>
          <cell r="AE251" t="e">
            <v>#N/A</v>
          </cell>
          <cell r="AF251" t="e">
            <v>#N/A</v>
          </cell>
          <cell r="AG251" t="e">
            <v>#N/A</v>
          </cell>
          <cell r="AH251" t="e">
            <v>#N/A</v>
          </cell>
          <cell r="AI251" t="e">
            <v>#N/A</v>
          </cell>
          <cell r="AJ251" t="e">
            <v>#N/A</v>
          </cell>
          <cell r="AK251" t="e">
            <v>#N/A</v>
          </cell>
          <cell r="AL251" t="e">
            <v>#N/A</v>
          </cell>
          <cell r="AM251" t="e">
            <v>#N/A</v>
          </cell>
          <cell r="AN251" t="e">
            <v>#N/A</v>
          </cell>
          <cell r="AO251" t="e">
            <v>#N/A</v>
          </cell>
          <cell r="AP251" t="e">
            <v>#N/A</v>
          </cell>
          <cell r="AQ251" t="e">
            <v>#N/A</v>
          </cell>
          <cell r="AR251" t="e">
            <v>#N/A</v>
          </cell>
          <cell r="AS251" t="e">
            <v>#N/A</v>
          </cell>
          <cell r="AT251" t="e">
            <v>#N/A</v>
          </cell>
          <cell r="AU251" t="e">
            <v>#N/A</v>
          </cell>
          <cell r="AV251" t="e">
            <v>#N/A</v>
          </cell>
          <cell r="AW251" t="e">
            <v>#N/A</v>
          </cell>
          <cell r="AX251" t="e">
            <v>#N/A</v>
          </cell>
          <cell r="AY251" t="e">
            <v>#N/A</v>
          </cell>
          <cell r="AZ251" t="e">
            <v>#N/A</v>
          </cell>
          <cell r="BA251" t="e">
            <v>#N/A</v>
          </cell>
          <cell r="BB251" t="e">
            <v>#N/A</v>
          </cell>
          <cell r="BC251" t="e">
            <v>#N/A</v>
          </cell>
          <cell r="BD251" t="e">
            <v>#N/A</v>
          </cell>
          <cell r="BE251" t="e">
            <v>#N/A</v>
          </cell>
          <cell r="BF251" t="e">
            <v>#N/A</v>
          </cell>
          <cell r="BG251" t="e">
            <v>#N/A</v>
          </cell>
          <cell r="BH251" t="e">
            <v>#N/A</v>
          </cell>
          <cell r="BI251" t="e">
            <v>#N/A</v>
          </cell>
          <cell r="BJ251" t="e">
            <v>#N/A</v>
          </cell>
          <cell r="BK251" t="e">
            <v>#N/A</v>
          </cell>
          <cell r="BL251" t="e">
            <v>#N/A</v>
          </cell>
          <cell r="BM251" t="e">
            <v>#N/A</v>
          </cell>
          <cell r="BN251" t="e">
            <v>#N/A</v>
          </cell>
          <cell r="BO251" t="e">
            <v>#N/A</v>
          </cell>
          <cell r="BP251" t="e">
            <v>#N/A</v>
          </cell>
          <cell r="BQ251" t="e">
            <v>#N/A</v>
          </cell>
          <cell r="BR251" t="e">
            <v>#N/A</v>
          </cell>
          <cell r="BS251" t="e">
            <v>#N/A</v>
          </cell>
          <cell r="BT251" t="e">
            <v>#N/A</v>
          </cell>
          <cell r="BU251" t="e">
            <v>#N/A</v>
          </cell>
          <cell r="BV251" t="e">
            <v>#N/A</v>
          </cell>
          <cell r="BW251" t="e">
            <v>#N/A</v>
          </cell>
          <cell r="BX251" t="e">
            <v>#N/A</v>
          </cell>
          <cell r="BY251" t="e">
            <v>#N/A</v>
          </cell>
        </row>
        <row r="252">
          <cell r="A252" t="str">
            <v>Security: Hubei Yihua Chemical Industry</v>
          </cell>
        </row>
        <row r="253">
          <cell r="A253" t="str">
            <v>Reference Data</v>
          </cell>
        </row>
        <row r="254">
          <cell r="B254" t="str">
            <v>Ticker</v>
          </cell>
          <cell r="C254" t="str">
            <v>Ticker</v>
          </cell>
          <cell r="E254" t="str">
            <v>000422.SZ</v>
          </cell>
        </row>
        <row r="255">
          <cell r="B255" t="str">
            <v>Security Name</v>
          </cell>
          <cell r="C255" t="str">
            <v>Security Name</v>
          </cell>
          <cell r="E255" t="str">
            <v>Hubei Yihua Chemical Industry</v>
          </cell>
        </row>
        <row r="256">
          <cell r="B256" t="str">
            <v>Interim Type</v>
          </cell>
          <cell r="C256" t="str">
            <v>Interim Type</v>
          </cell>
          <cell r="E256" t="str">
            <v>Q</v>
          </cell>
        </row>
        <row r="257">
          <cell r="B257" t="str">
            <v>Publishing Currency</v>
          </cell>
          <cell r="C257" t="str">
            <v>PUB_CURRENCY_ISO</v>
          </cell>
          <cell r="E257" t="str">
            <v>CNY</v>
          </cell>
        </row>
        <row r="258">
          <cell r="B258" t="str">
            <v>Pricing Currency</v>
          </cell>
          <cell r="C258" t="str">
            <v>PRICE_CURRENCY_ISO</v>
          </cell>
          <cell r="E258" t="str">
            <v>CNY</v>
          </cell>
        </row>
        <row r="259">
          <cell r="B259" t="str">
            <v>Reporting Currency</v>
          </cell>
          <cell r="C259" t="str">
            <v>CURRENCY_ISO</v>
          </cell>
          <cell r="E259" t="str">
            <v>CNY</v>
          </cell>
        </row>
        <row r="260">
          <cell r="A260" t="str">
            <v>General Information</v>
          </cell>
        </row>
        <row r="261">
          <cell r="B261" t="str">
            <v>Asia Pacific Investment List</v>
          </cell>
          <cell r="C261" t="str">
            <v>AEJ_LIST</v>
          </cell>
          <cell r="E261" t="e">
            <v>#N/A</v>
          </cell>
        </row>
        <row r="262">
          <cell r="B262" t="str">
            <v>Asia Pacific Conviction List</v>
          </cell>
          <cell r="C262" t="str">
            <v>AEJ_CONVICTION</v>
          </cell>
          <cell r="E262" t="e">
            <v>#N/A</v>
          </cell>
        </row>
        <row r="263">
          <cell r="B263" t="str">
            <v>Legal rating</v>
          </cell>
          <cell r="C263" t="str">
            <v>LEGAL_RATING</v>
          </cell>
          <cell r="E263" t="e">
            <v>#N/A</v>
          </cell>
        </row>
        <row r="264">
          <cell r="B264" t="str">
            <v>Target price</v>
          </cell>
          <cell r="C264" t="str">
            <v>TARGET_PRICE</v>
          </cell>
          <cell r="D264" t="str">
            <v>CNY</v>
          </cell>
          <cell r="E264" t="e">
            <v>#N/A</v>
          </cell>
        </row>
        <row r="265">
          <cell r="B265" t="str">
            <v>Target price period</v>
          </cell>
          <cell r="C265" t="str">
            <v>TP_PERIOD</v>
          </cell>
          <cell r="E265" t="e">
            <v>#N/A</v>
          </cell>
        </row>
        <row r="266">
          <cell r="B266" t="str">
            <v>Current shares outstanding (mn)</v>
          </cell>
          <cell r="C266" t="str">
            <v>NUM_SH</v>
          </cell>
          <cell r="E266" t="e">
            <v>#N/A</v>
          </cell>
        </row>
        <row r="267">
          <cell r="B267" t="str">
            <v>Free float</v>
          </cell>
          <cell r="C267" t="str">
            <v>FREE_FLOAT</v>
          </cell>
          <cell r="E267" t="e">
            <v>#N/A</v>
          </cell>
        </row>
        <row r="268">
          <cell r="B268" t="str">
            <v>Foreign ownership</v>
          </cell>
          <cell r="C268" t="str">
            <v>FOREIGN_HOLDNG</v>
          </cell>
          <cell r="E268" t="e">
            <v>#N/A</v>
          </cell>
        </row>
        <row r="269">
          <cell r="B269" t="e">
            <v>#N/A</v>
          </cell>
          <cell r="C269" t="str">
            <v>ACT1</v>
          </cell>
          <cell r="E269" t="e">
            <v>#N/A</v>
          </cell>
        </row>
        <row r="270">
          <cell r="B270" t="str">
            <v>Catalyst 1 date</v>
          </cell>
          <cell r="C270" t="str">
            <v>CATALYST1_DATE</v>
          </cell>
          <cell r="E270" t="e">
            <v>#N/A</v>
          </cell>
        </row>
        <row r="271">
          <cell r="B271" t="str">
            <v>Catalyst 1 description</v>
          </cell>
          <cell r="C271" t="str">
            <v>CATALYST1_EVENT</v>
          </cell>
          <cell r="E271" t="e">
            <v>#N/A</v>
          </cell>
        </row>
        <row r="272">
          <cell r="B272" t="str">
            <v>Catalyst 2 date</v>
          </cell>
          <cell r="C272" t="str">
            <v>CATALYST2_DATE</v>
          </cell>
          <cell r="E272" t="e">
            <v>#N/A</v>
          </cell>
        </row>
        <row r="273">
          <cell r="B273" t="str">
            <v>Catalyst 2 description</v>
          </cell>
          <cell r="C273" t="str">
            <v>CATALYST2_EVENT</v>
          </cell>
          <cell r="E273" t="e">
            <v>#N/A</v>
          </cell>
        </row>
        <row r="274">
          <cell r="B274" t="str">
            <v>Catalyst 3 date</v>
          </cell>
          <cell r="C274" t="str">
            <v>CATALYST3_DATE</v>
          </cell>
          <cell r="E274" t="e">
            <v>#N/A</v>
          </cell>
        </row>
        <row r="275">
          <cell r="B275" t="str">
            <v>Catalyst 3 description</v>
          </cell>
          <cell r="C275" t="str">
            <v>CATALYST3_EVENT</v>
          </cell>
          <cell r="E275" t="e">
            <v>#N/A</v>
          </cell>
        </row>
        <row r="276">
          <cell r="B276" t="str">
            <v>Catalyst 4 date</v>
          </cell>
          <cell r="C276" t="str">
            <v>CATALYST4_DATE</v>
          </cell>
          <cell r="E276" t="e">
            <v>#N/A</v>
          </cell>
        </row>
        <row r="277">
          <cell r="B277" t="str">
            <v>Catalyst 4 description</v>
          </cell>
          <cell r="C277" t="str">
            <v>CATALYST4_EVENT</v>
          </cell>
          <cell r="E277" t="e">
            <v>#N/A</v>
          </cell>
        </row>
        <row r="278">
          <cell r="B278" t="str">
            <v>Catalyst 5 date</v>
          </cell>
          <cell r="C278" t="str">
            <v>CATALYST5_DATE</v>
          </cell>
          <cell r="E278" t="e">
            <v>#N/A</v>
          </cell>
        </row>
        <row r="279">
          <cell r="B279" t="str">
            <v>Catalyst 5 description</v>
          </cell>
          <cell r="C279" t="str">
            <v>CATALYST5_EVENT</v>
          </cell>
          <cell r="E279" t="e">
            <v>#N/A</v>
          </cell>
        </row>
        <row r="280">
          <cell r="B280" t="str">
            <v>Target price multiple</v>
          </cell>
          <cell r="C280" t="str">
            <v>PRI_TARG_MULT</v>
          </cell>
          <cell r="E280" t="e">
            <v>#N/A</v>
          </cell>
        </row>
        <row r="281">
          <cell r="B281" t="str">
            <v>Target price methodology</v>
          </cell>
          <cell r="C281" t="str">
            <v>PRI_TARG_METH</v>
          </cell>
          <cell r="E281" t="e">
            <v>#N/A</v>
          </cell>
        </row>
        <row r="282">
          <cell r="A282" t="str">
            <v>Publishing Items</v>
          </cell>
        </row>
        <row r="283">
          <cell r="B283" t="str">
            <v>Book value per share, BVPS (Pub)</v>
          </cell>
          <cell r="C283" t="str">
            <v>BVPS_PUB</v>
          </cell>
          <cell r="D283" t="str">
            <v>CNY</v>
          </cell>
          <cell r="F283" t="e">
            <v>#N/A</v>
          </cell>
          <cell r="G283" t="e">
            <v>#N/A</v>
          </cell>
          <cell r="H283" t="e">
            <v>#N/A</v>
          </cell>
          <cell r="I283" t="e">
            <v>#N/A</v>
          </cell>
          <cell r="J283" t="e">
            <v>#N/A</v>
          </cell>
          <cell r="K283" t="e">
            <v>#N/A</v>
          </cell>
          <cell r="L283" t="e">
            <v>#N/A</v>
          </cell>
          <cell r="M283" t="e">
            <v>#N/A</v>
          </cell>
          <cell r="N283" t="e">
            <v>#N/A</v>
          </cell>
          <cell r="O283" t="e">
            <v>#N/A</v>
          </cell>
          <cell r="P283" t="e">
            <v>#N/A</v>
          </cell>
          <cell r="Q283" t="e">
            <v>#N/A</v>
          </cell>
          <cell r="R283" t="e">
            <v>#N/A</v>
          </cell>
          <cell r="S283" t="e">
            <v>#N/A</v>
          </cell>
          <cell r="T283" t="e">
            <v>#N/A</v>
          </cell>
          <cell r="U283" t="e">
            <v>#N/A</v>
          </cell>
          <cell r="V283" t="e">
            <v>#N/A</v>
          </cell>
          <cell r="W283" t="e">
            <v>#N/A</v>
          </cell>
          <cell r="X283" t="e">
            <v>#N/A</v>
          </cell>
          <cell r="Z283" t="e">
            <v>#N/A</v>
          </cell>
          <cell r="AA283" t="e">
            <v>#N/A</v>
          </cell>
          <cell r="AB283" t="e">
            <v>#N/A</v>
          </cell>
          <cell r="AC283" t="e">
            <v>#N/A</v>
          </cell>
          <cell r="AD283" t="e">
            <v>#N/A</v>
          </cell>
          <cell r="AE283" t="e">
            <v>#N/A</v>
          </cell>
          <cell r="AF283" t="e">
            <v>#N/A</v>
          </cell>
          <cell r="AG283" t="e">
            <v>#N/A</v>
          </cell>
          <cell r="AH283" t="e">
            <v>#N/A</v>
          </cell>
          <cell r="AI283" t="e">
            <v>#N/A</v>
          </cell>
          <cell r="AJ283" t="e">
            <v>#N/A</v>
          </cell>
          <cell r="AK283" t="e">
            <v>#N/A</v>
          </cell>
          <cell r="AL283" t="e">
            <v>#N/A</v>
          </cell>
          <cell r="AM283" t="e">
            <v>#N/A</v>
          </cell>
          <cell r="AN283" t="e">
            <v>#N/A</v>
          </cell>
          <cell r="AO283" t="e">
            <v>#N/A</v>
          </cell>
          <cell r="AP283" t="e">
            <v>#N/A</v>
          </cell>
          <cell r="AQ283" t="e">
            <v>#N/A</v>
          </cell>
          <cell r="AR283" t="e">
            <v>#N/A</v>
          </cell>
          <cell r="AS283" t="e">
            <v>#N/A</v>
          </cell>
          <cell r="AT283" t="e">
            <v>#N/A</v>
          </cell>
          <cell r="AU283" t="e">
            <v>#N/A</v>
          </cell>
          <cell r="AV283" t="e">
            <v>#N/A</v>
          </cell>
          <cell r="AW283" t="e">
            <v>#N/A</v>
          </cell>
          <cell r="AX283" t="e">
            <v>#N/A</v>
          </cell>
          <cell r="AY283" t="e">
            <v>#N/A</v>
          </cell>
          <cell r="AZ283" t="e">
            <v>#N/A</v>
          </cell>
          <cell r="BA283" t="e">
            <v>#N/A</v>
          </cell>
          <cell r="BB283" t="e">
            <v>#N/A</v>
          </cell>
          <cell r="BC283" t="e">
            <v>#N/A</v>
          </cell>
          <cell r="BD283" t="e">
            <v>#N/A</v>
          </cell>
          <cell r="BE283" t="e">
            <v>#N/A</v>
          </cell>
          <cell r="BF283" t="e">
            <v>#N/A</v>
          </cell>
          <cell r="BG283" t="e">
            <v>#N/A</v>
          </cell>
          <cell r="BH283" t="e">
            <v>#N/A</v>
          </cell>
          <cell r="BI283" t="e">
            <v>#N/A</v>
          </cell>
          <cell r="BJ283" t="e">
            <v>#N/A</v>
          </cell>
          <cell r="BK283" t="e">
            <v>#N/A</v>
          </cell>
          <cell r="BL283" t="e">
            <v>#N/A</v>
          </cell>
          <cell r="BM283" t="e">
            <v>#N/A</v>
          </cell>
          <cell r="BN283" t="e">
            <v>#N/A</v>
          </cell>
          <cell r="BO283" t="e">
            <v>#N/A</v>
          </cell>
          <cell r="BP283" t="e">
            <v>#N/A</v>
          </cell>
          <cell r="BQ283" t="e">
            <v>#N/A</v>
          </cell>
          <cell r="BR283" t="e">
            <v>#N/A</v>
          </cell>
          <cell r="BS283" t="e">
            <v>#N/A</v>
          </cell>
          <cell r="BT283" t="e">
            <v>#N/A</v>
          </cell>
          <cell r="BU283" t="e">
            <v>#N/A</v>
          </cell>
          <cell r="BV283" t="e">
            <v>#N/A</v>
          </cell>
          <cell r="BW283" t="e">
            <v>#N/A</v>
          </cell>
          <cell r="BX283" t="e">
            <v>#N/A</v>
          </cell>
          <cell r="BY283" t="e">
            <v>#N/A</v>
          </cell>
        </row>
        <row r="284">
          <cell r="B284" t="str">
            <v>DPS, dividend per share (Pub)</v>
          </cell>
          <cell r="C284" t="str">
            <v>DPS_PUB</v>
          </cell>
          <cell r="D284" t="str">
            <v>CNY</v>
          </cell>
          <cell r="F284" t="e">
            <v>#N/A</v>
          </cell>
          <cell r="G284" t="e">
            <v>#N/A</v>
          </cell>
          <cell r="H284" t="e">
            <v>#N/A</v>
          </cell>
          <cell r="I284" t="e">
            <v>#N/A</v>
          </cell>
          <cell r="J284" t="e">
            <v>#N/A</v>
          </cell>
          <cell r="K284" t="e">
            <v>#N/A</v>
          </cell>
          <cell r="L284" t="e">
            <v>#N/A</v>
          </cell>
          <cell r="M284" t="e">
            <v>#N/A</v>
          </cell>
          <cell r="N284" t="e">
            <v>#N/A</v>
          </cell>
          <cell r="O284" t="e">
            <v>#N/A</v>
          </cell>
          <cell r="P284" t="e">
            <v>#N/A</v>
          </cell>
          <cell r="Q284" t="e">
            <v>#N/A</v>
          </cell>
          <cell r="R284" t="e">
            <v>#N/A</v>
          </cell>
          <cell r="S284" t="e">
            <v>#N/A</v>
          </cell>
          <cell r="T284" t="e">
            <v>#N/A</v>
          </cell>
          <cell r="U284" t="e">
            <v>#N/A</v>
          </cell>
          <cell r="V284" t="e">
            <v>#N/A</v>
          </cell>
          <cell r="W284" t="e">
            <v>#N/A</v>
          </cell>
          <cell r="X284" t="e">
            <v>#N/A</v>
          </cell>
          <cell r="Z284" t="e">
            <v>#N/A</v>
          </cell>
          <cell r="AA284" t="e">
            <v>#N/A</v>
          </cell>
          <cell r="AB284" t="e">
            <v>#N/A</v>
          </cell>
          <cell r="AC284" t="e">
            <v>#N/A</v>
          </cell>
          <cell r="AD284" t="e">
            <v>#N/A</v>
          </cell>
          <cell r="AE284" t="e">
            <v>#N/A</v>
          </cell>
          <cell r="AF284" t="e">
            <v>#N/A</v>
          </cell>
          <cell r="AG284" t="e">
            <v>#N/A</v>
          </cell>
          <cell r="AH284" t="e">
            <v>#N/A</v>
          </cell>
          <cell r="AI284" t="e">
            <v>#N/A</v>
          </cell>
          <cell r="AJ284" t="e">
            <v>#N/A</v>
          </cell>
          <cell r="AK284" t="e">
            <v>#N/A</v>
          </cell>
          <cell r="AL284" t="e">
            <v>#N/A</v>
          </cell>
          <cell r="AM284" t="e">
            <v>#N/A</v>
          </cell>
          <cell r="AN284" t="e">
            <v>#N/A</v>
          </cell>
          <cell r="AO284" t="e">
            <v>#N/A</v>
          </cell>
          <cell r="AP284" t="e">
            <v>#N/A</v>
          </cell>
          <cell r="AQ284" t="e">
            <v>#N/A</v>
          </cell>
          <cell r="AR284" t="e">
            <v>#N/A</v>
          </cell>
          <cell r="AS284" t="e">
            <v>#N/A</v>
          </cell>
          <cell r="AT284" t="e">
            <v>#N/A</v>
          </cell>
          <cell r="AU284" t="e">
            <v>#N/A</v>
          </cell>
          <cell r="AV284" t="e">
            <v>#N/A</v>
          </cell>
          <cell r="AW284" t="e">
            <v>#N/A</v>
          </cell>
          <cell r="AX284" t="e">
            <v>#N/A</v>
          </cell>
          <cell r="AY284" t="e">
            <v>#N/A</v>
          </cell>
          <cell r="AZ284" t="e">
            <v>#N/A</v>
          </cell>
          <cell r="BA284" t="e">
            <v>#N/A</v>
          </cell>
          <cell r="BB284" t="e">
            <v>#N/A</v>
          </cell>
          <cell r="BC284" t="e">
            <v>#N/A</v>
          </cell>
          <cell r="BD284" t="e">
            <v>#N/A</v>
          </cell>
          <cell r="BE284" t="e">
            <v>#N/A</v>
          </cell>
          <cell r="BF284" t="e">
            <v>#N/A</v>
          </cell>
          <cell r="BG284" t="e">
            <v>#N/A</v>
          </cell>
          <cell r="BH284" t="e">
            <v>#N/A</v>
          </cell>
          <cell r="BI284" t="e">
            <v>#N/A</v>
          </cell>
          <cell r="BJ284" t="e">
            <v>#N/A</v>
          </cell>
          <cell r="BK284" t="e">
            <v>#N/A</v>
          </cell>
          <cell r="BL284" t="e">
            <v>#N/A</v>
          </cell>
          <cell r="BM284" t="e">
            <v>#N/A</v>
          </cell>
          <cell r="BN284" t="e">
            <v>#N/A</v>
          </cell>
          <cell r="BO284" t="e">
            <v>#N/A</v>
          </cell>
          <cell r="BP284" t="e">
            <v>#N/A</v>
          </cell>
          <cell r="BQ284" t="e">
            <v>#N/A</v>
          </cell>
          <cell r="BR284" t="e">
            <v>#N/A</v>
          </cell>
          <cell r="BS284" t="e">
            <v>#N/A</v>
          </cell>
          <cell r="BT284" t="e">
            <v>#N/A</v>
          </cell>
          <cell r="BU284" t="e">
            <v>#N/A</v>
          </cell>
          <cell r="BV284" t="e">
            <v>#N/A</v>
          </cell>
          <cell r="BW284" t="e">
            <v>#N/A</v>
          </cell>
          <cell r="BX284" t="e">
            <v>#N/A</v>
          </cell>
          <cell r="BY284" t="e">
            <v>#N/A</v>
          </cell>
        </row>
        <row r="285">
          <cell r="B285" t="str">
            <v>EBITDA (Pub)</v>
          </cell>
          <cell r="C285" t="str">
            <v>EBITDA_PUB</v>
          </cell>
          <cell r="D285" t="str">
            <v>CNY</v>
          </cell>
          <cell r="F285" t="e">
            <v>#N/A</v>
          </cell>
          <cell r="G285" t="e">
            <v>#N/A</v>
          </cell>
          <cell r="H285" t="e">
            <v>#N/A</v>
          </cell>
          <cell r="I285" t="e">
            <v>#N/A</v>
          </cell>
          <cell r="J285" t="e">
            <v>#N/A</v>
          </cell>
          <cell r="K285" t="e">
            <v>#N/A</v>
          </cell>
          <cell r="L285" t="e">
            <v>#N/A</v>
          </cell>
          <cell r="M285" t="e">
            <v>#N/A</v>
          </cell>
          <cell r="N285" t="e">
            <v>#N/A</v>
          </cell>
          <cell r="O285" t="e">
            <v>#N/A</v>
          </cell>
          <cell r="P285" t="e">
            <v>#N/A</v>
          </cell>
          <cell r="Q285" t="e">
            <v>#N/A</v>
          </cell>
          <cell r="R285" t="e">
            <v>#N/A</v>
          </cell>
          <cell r="S285" t="e">
            <v>#N/A</v>
          </cell>
          <cell r="T285" t="e">
            <v>#N/A</v>
          </cell>
          <cell r="U285" t="e">
            <v>#N/A</v>
          </cell>
          <cell r="V285" t="e">
            <v>#N/A</v>
          </cell>
          <cell r="W285" t="e">
            <v>#N/A</v>
          </cell>
          <cell r="X285" t="e">
            <v>#N/A</v>
          </cell>
          <cell r="Z285" t="e">
            <v>#N/A</v>
          </cell>
          <cell r="AA285" t="e">
            <v>#N/A</v>
          </cell>
          <cell r="AB285" t="e">
            <v>#N/A</v>
          </cell>
          <cell r="AC285" t="e">
            <v>#N/A</v>
          </cell>
          <cell r="AD285" t="e">
            <v>#N/A</v>
          </cell>
          <cell r="AE285" t="e">
            <v>#N/A</v>
          </cell>
          <cell r="AF285" t="e">
            <v>#N/A</v>
          </cell>
          <cell r="AG285" t="e">
            <v>#N/A</v>
          </cell>
          <cell r="AH285" t="e">
            <v>#N/A</v>
          </cell>
          <cell r="AI285" t="e">
            <v>#N/A</v>
          </cell>
          <cell r="AJ285" t="e">
            <v>#N/A</v>
          </cell>
          <cell r="AK285" t="e">
            <v>#N/A</v>
          </cell>
          <cell r="AL285" t="e">
            <v>#N/A</v>
          </cell>
          <cell r="AM285" t="e">
            <v>#N/A</v>
          </cell>
          <cell r="AN285" t="e">
            <v>#N/A</v>
          </cell>
          <cell r="AO285" t="e">
            <v>#N/A</v>
          </cell>
          <cell r="AP285" t="e">
            <v>#N/A</v>
          </cell>
          <cell r="AQ285" t="e">
            <v>#N/A</v>
          </cell>
          <cell r="AR285" t="e">
            <v>#N/A</v>
          </cell>
          <cell r="AS285" t="e">
            <v>#N/A</v>
          </cell>
          <cell r="AT285" t="e">
            <v>#N/A</v>
          </cell>
          <cell r="AU285" t="e">
            <v>#N/A</v>
          </cell>
          <cell r="AV285" t="e">
            <v>#N/A</v>
          </cell>
          <cell r="AW285" t="e">
            <v>#N/A</v>
          </cell>
          <cell r="AX285" t="e">
            <v>#N/A</v>
          </cell>
          <cell r="AY285" t="e">
            <v>#N/A</v>
          </cell>
          <cell r="AZ285" t="e">
            <v>#N/A</v>
          </cell>
          <cell r="BA285" t="e">
            <v>#N/A</v>
          </cell>
          <cell r="BB285" t="e">
            <v>#N/A</v>
          </cell>
          <cell r="BC285" t="e">
            <v>#N/A</v>
          </cell>
          <cell r="BD285" t="e">
            <v>#N/A</v>
          </cell>
          <cell r="BE285" t="e">
            <v>#N/A</v>
          </cell>
          <cell r="BF285" t="e">
            <v>#N/A</v>
          </cell>
          <cell r="BG285" t="e">
            <v>#N/A</v>
          </cell>
          <cell r="BH285" t="e">
            <v>#N/A</v>
          </cell>
          <cell r="BI285" t="e">
            <v>#N/A</v>
          </cell>
          <cell r="BJ285" t="e">
            <v>#N/A</v>
          </cell>
          <cell r="BK285" t="e">
            <v>#N/A</v>
          </cell>
          <cell r="BL285" t="e">
            <v>#N/A</v>
          </cell>
          <cell r="BM285" t="e">
            <v>#N/A</v>
          </cell>
          <cell r="BN285" t="e">
            <v>#N/A</v>
          </cell>
          <cell r="BO285" t="e">
            <v>#N/A</v>
          </cell>
          <cell r="BP285" t="e">
            <v>#N/A</v>
          </cell>
          <cell r="BQ285" t="e">
            <v>#N/A</v>
          </cell>
          <cell r="BR285" t="e">
            <v>#N/A</v>
          </cell>
          <cell r="BS285" t="e">
            <v>#N/A</v>
          </cell>
          <cell r="BT285" t="e">
            <v>#N/A</v>
          </cell>
          <cell r="BU285" t="e">
            <v>#N/A</v>
          </cell>
          <cell r="BV285" t="e">
            <v>#N/A</v>
          </cell>
          <cell r="BW285" t="e">
            <v>#N/A</v>
          </cell>
          <cell r="BX285" t="e">
            <v>#N/A</v>
          </cell>
          <cell r="BY285" t="e">
            <v>#N/A</v>
          </cell>
        </row>
        <row r="286">
          <cell r="B286" t="str">
            <v>EPS (Pub)</v>
          </cell>
          <cell r="C286" t="str">
            <v>EPS_PUB</v>
          </cell>
          <cell r="D286" t="str">
            <v>CNY</v>
          </cell>
          <cell r="F286" t="e">
            <v>#N/A</v>
          </cell>
          <cell r="G286" t="e">
            <v>#N/A</v>
          </cell>
          <cell r="H286" t="e">
            <v>#N/A</v>
          </cell>
          <cell r="I286" t="e">
            <v>#N/A</v>
          </cell>
          <cell r="J286" t="e">
            <v>#N/A</v>
          </cell>
          <cell r="K286" t="e">
            <v>#N/A</v>
          </cell>
          <cell r="L286" t="e">
            <v>#N/A</v>
          </cell>
          <cell r="M286" t="e">
            <v>#N/A</v>
          </cell>
          <cell r="N286" t="e">
            <v>#N/A</v>
          </cell>
          <cell r="O286" t="e">
            <v>#N/A</v>
          </cell>
          <cell r="P286" t="e">
            <v>#N/A</v>
          </cell>
          <cell r="Q286" t="e">
            <v>#N/A</v>
          </cell>
          <cell r="R286" t="e">
            <v>#N/A</v>
          </cell>
          <cell r="S286" t="e">
            <v>#N/A</v>
          </cell>
          <cell r="T286" t="e">
            <v>#N/A</v>
          </cell>
          <cell r="U286" t="e">
            <v>#N/A</v>
          </cell>
          <cell r="V286" t="e">
            <v>#N/A</v>
          </cell>
          <cell r="W286" t="e">
            <v>#N/A</v>
          </cell>
          <cell r="X286" t="e">
            <v>#N/A</v>
          </cell>
          <cell r="Z286" t="e">
            <v>#N/A</v>
          </cell>
          <cell r="AA286" t="e">
            <v>#N/A</v>
          </cell>
          <cell r="AB286" t="e">
            <v>#N/A</v>
          </cell>
          <cell r="AC286" t="e">
            <v>#N/A</v>
          </cell>
          <cell r="AD286" t="e">
            <v>#N/A</v>
          </cell>
          <cell r="AE286" t="e">
            <v>#N/A</v>
          </cell>
          <cell r="AF286" t="e">
            <v>#N/A</v>
          </cell>
          <cell r="AG286" t="e">
            <v>#N/A</v>
          </cell>
          <cell r="AH286" t="e">
            <v>#N/A</v>
          </cell>
          <cell r="AI286" t="e">
            <v>#N/A</v>
          </cell>
          <cell r="AJ286" t="e">
            <v>#N/A</v>
          </cell>
          <cell r="AK286" t="e">
            <v>#N/A</v>
          </cell>
          <cell r="AL286" t="e">
            <v>#N/A</v>
          </cell>
          <cell r="AM286" t="e">
            <v>#N/A</v>
          </cell>
          <cell r="AN286" t="e">
            <v>#N/A</v>
          </cell>
          <cell r="AO286" t="e">
            <v>#N/A</v>
          </cell>
          <cell r="AP286" t="e">
            <v>#N/A</v>
          </cell>
          <cell r="AQ286" t="e">
            <v>#N/A</v>
          </cell>
          <cell r="AR286" t="e">
            <v>#N/A</v>
          </cell>
          <cell r="AS286" t="e">
            <v>#N/A</v>
          </cell>
          <cell r="AT286" t="e">
            <v>#N/A</v>
          </cell>
          <cell r="AU286" t="e">
            <v>#N/A</v>
          </cell>
          <cell r="AV286" t="e">
            <v>#N/A</v>
          </cell>
          <cell r="AW286" t="e">
            <v>#N/A</v>
          </cell>
          <cell r="AX286" t="e">
            <v>#N/A</v>
          </cell>
          <cell r="AY286" t="e">
            <v>#N/A</v>
          </cell>
          <cell r="AZ286" t="e">
            <v>#N/A</v>
          </cell>
          <cell r="BA286" t="e">
            <v>#N/A</v>
          </cell>
          <cell r="BB286" t="e">
            <v>#N/A</v>
          </cell>
          <cell r="BC286" t="e">
            <v>#N/A</v>
          </cell>
          <cell r="BD286" t="e">
            <v>#N/A</v>
          </cell>
          <cell r="BE286" t="e">
            <v>#N/A</v>
          </cell>
          <cell r="BF286" t="e">
            <v>#N/A</v>
          </cell>
          <cell r="BG286" t="e">
            <v>#N/A</v>
          </cell>
          <cell r="BH286" t="e">
            <v>#N/A</v>
          </cell>
          <cell r="BI286" t="e">
            <v>#N/A</v>
          </cell>
          <cell r="BJ286" t="e">
            <v>#N/A</v>
          </cell>
          <cell r="BK286" t="e">
            <v>#N/A</v>
          </cell>
          <cell r="BL286" t="e">
            <v>#N/A</v>
          </cell>
          <cell r="BM286" t="e">
            <v>#N/A</v>
          </cell>
          <cell r="BN286" t="e">
            <v>#N/A</v>
          </cell>
          <cell r="BO286" t="e">
            <v>#N/A</v>
          </cell>
          <cell r="BP286" t="e">
            <v>#N/A</v>
          </cell>
          <cell r="BQ286" t="e">
            <v>#N/A</v>
          </cell>
          <cell r="BR286" t="e">
            <v>#N/A</v>
          </cell>
          <cell r="BS286" t="e">
            <v>#N/A</v>
          </cell>
          <cell r="BT286" t="e">
            <v>#N/A</v>
          </cell>
          <cell r="BU286" t="e">
            <v>#N/A</v>
          </cell>
          <cell r="BV286" t="e">
            <v>#N/A</v>
          </cell>
          <cell r="BW286" t="e">
            <v>#N/A</v>
          </cell>
          <cell r="BX286" t="e">
            <v>#N/A</v>
          </cell>
          <cell r="BY286" t="e">
            <v>#N/A</v>
          </cell>
        </row>
        <row r="287">
          <cell r="B287" t="str">
            <v>EV adjustment (Pub)</v>
          </cell>
          <cell r="C287" t="str">
            <v>EV_ADJ_PUB</v>
          </cell>
          <cell r="D287" t="str">
            <v>CNY</v>
          </cell>
          <cell r="F287" t="e">
            <v>#N/A</v>
          </cell>
          <cell r="G287" t="e">
            <v>#N/A</v>
          </cell>
          <cell r="H287" t="e">
            <v>#N/A</v>
          </cell>
          <cell r="I287" t="e">
            <v>#N/A</v>
          </cell>
          <cell r="J287" t="e">
            <v>#N/A</v>
          </cell>
          <cell r="K287" t="e">
            <v>#N/A</v>
          </cell>
          <cell r="L287" t="e">
            <v>#N/A</v>
          </cell>
          <cell r="M287" t="e">
            <v>#N/A</v>
          </cell>
          <cell r="N287" t="e">
            <v>#N/A</v>
          </cell>
          <cell r="O287" t="e">
            <v>#N/A</v>
          </cell>
          <cell r="P287" t="e">
            <v>#N/A</v>
          </cell>
          <cell r="Q287" t="e">
            <v>#N/A</v>
          </cell>
          <cell r="R287" t="e">
            <v>#N/A</v>
          </cell>
          <cell r="S287" t="e">
            <v>#N/A</v>
          </cell>
          <cell r="T287" t="e">
            <v>#N/A</v>
          </cell>
          <cell r="U287" t="e">
            <v>#N/A</v>
          </cell>
          <cell r="V287" t="e">
            <v>#N/A</v>
          </cell>
          <cell r="W287" t="e">
            <v>#N/A</v>
          </cell>
          <cell r="X287" t="e">
            <v>#N/A</v>
          </cell>
          <cell r="Z287" t="e">
            <v>#N/A</v>
          </cell>
          <cell r="AA287" t="e">
            <v>#N/A</v>
          </cell>
          <cell r="AB287" t="e">
            <v>#N/A</v>
          </cell>
          <cell r="AC287" t="e">
            <v>#N/A</v>
          </cell>
          <cell r="AD287" t="e">
            <v>#N/A</v>
          </cell>
          <cell r="AE287" t="e">
            <v>#N/A</v>
          </cell>
          <cell r="AF287" t="e">
            <v>#N/A</v>
          </cell>
          <cell r="AG287" t="e">
            <v>#N/A</v>
          </cell>
          <cell r="AH287" t="e">
            <v>#N/A</v>
          </cell>
          <cell r="AI287" t="e">
            <v>#N/A</v>
          </cell>
          <cell r="AJ287" t="e">
            <v>#N/A</v>
          </cell>
          <cell r="AK287" t="e">
            <v>#N/A</v>
          </cell>
          <cell r="AL287" t="e">
            <v>#N/A</v>
          </cell>
          <cell r="AM287" t="e">
            <v>#N/A</v>
          </cell>
          <cell r="AN287" t="e">
            <v>#N/A</v>
          </cell>
          <cell r="AO287" t="e">
            <v>#N/A</v>
          </cell>
          <cell r="AP287" t="e">
            <v>#N/A</v>
          </cell>
          <cell r="AQ287" t="e">
            <v>#N/A</v>
          </cell>
          <cell r="AR287" t="e">
            <v>#N/A</v>
          </cell>
          <cell r="AS287" t="e">
            <v>#N/A</v>
          </cell>
          <cell r="AT287" t="e">
            <v>#N/A</v>
          </cell>
          <cell r="AU287" t="e">
            <v>#N/A</v>
          </cell>
          <cell r="AV287" t="e">
            <v>#N/A</v>
          </cell>
          <cell r="AW287" t="e">
            <v>#N/A</v>
          </cell>
          <cell r="AX287" t="e">
            <v>#N/A</v>
          </cell>
          <cell r="AY287" t="e">
            <v>#N/A</v>
          </cell>
          <cell r="AZ287" t="e">
            <v>#N/A</v>
          </cell>
          <cell r="BA287" t="e">
            <v>#N/A</v>
          </cell>
          <cell r="BB287" t="e">
            <v>#N/A</v>
          </cell>
          <cell r="BC287" t="e">
            <v>#N/A</v>
          </cell>
          <cell r="BD287" t="e">
            <v>#N/A</v>
          </cell>
          <cell r="BE287" t="e">
            <v>#N/A</v>
          </cell>
          <cell r="BF287" t="e">
            <v>#N/A</v>
          </cell>
          <cell r="BG287" t="e">
            <v>#N/A</v>
          </cell>
          <cell r="BH287" t="e">
            <v>#N/A</v>
          </cell>
          <cell r="BI287" t="e">
            <v>#N/A</v>
          </cell>
          <cell r="BJ287" t="e">
            <v>#N/A</v>
          </cell>
          <cell r="BK287" t="e">
            <v>#N/A</v>
          </cell>
          <cell r="BL287" t="e">
            <v>#N/A</v>
          </cell>
          <cell r="BM287" t="e">
            <v>#N/A</v>
          </cell>
          <cell r="BN287" t="e">
            <v>#N/A</v>
          </cell>
          <cell r="BO287" t="e">
            <v>#N/A</v>
          </cell>
          <cell r="BP287" t="e">
            <v>#N/A</v>
          </cell>
          <cell r="BQ287" t="e">
            <v>#N/A</v>
          </cell>
          <cell r="BR287" t="e">
            <v>#N/A</v>
          </cell>
          <cell r="BS287" t="e">
            <v>#N/A</v>
          </cell>
          <cell r="BT287" t="e">
            <v>#N/A</v>
          </cell>
          <cell r="BU287" t="e">
            <v>#N/A</v>
          </cell>
          <cell r="BV287" t="e">
            <v>#N/A</v>
          </cell>
          <cell r="BW287" t="e">
            <v>#N/A</v>
          </cell>
          <cell r="BX287" t="e">
            <v>#N/A</v>
          </cell>
          <cell r="BY287" t="e">
            <v>#N/A</v>
          </cell>
        </row>
        <row r="288">
          <cell r="B288" t="str">
            <v>Net debt (Pub)</v>
          </cell>
          <cell r="C288" t="str">
            <v>NET_DEBT_PUB</v>
          </cell>
          <cell r="D288" t="str">
            <v>CNY</v>
          </cell>
          <cell r="F288" t="e">
            <v>#N/A</v>
          </cell>
          <cell r="G288" t="e">
            <v>#N/A</v>
          </cell>
          <cell r="H288" t="e">
            <v>#N/A</v>
          </cell>
          <cell r="I288" t="e">
            <v>#N/A</v>
          </cell>
          <cell r="J288" t="e">
            <v>#N/A</v>
          </cell>
          <cell r="K288" t="e">
            <v>#N/A</v>
          </cell>
          <cell r="L288" t="e">
            <v>#N/A</v>
          </cell>
          <cell r="M288" t="e">
            <v>#N/A</v>
          </cell>
          <cell r="N288" t="e">
            <v>#N/A</v>
          </cell>
          <cell r="O288" t="e">
            <v>#N/A</v>
          </cell>
          <cell r="P288" t="e">
            <v>#N/A</v>
          </cell>
          <cell r="Q288" t="e">
            <v>#N/A</v>
          </cell>
          <cell r="R288" t="e">
            <v>#N/A</v>
          </cell>
          <cell r="S288" t="e">
            <v>#N/A</v>
          </cell>
          <cell r="T288" t="e">
            <v>#N/A</v>
          </cell>
          <cell r="U288" t="e">
            <v>#N/A</v>
          </cell>
          <cell r="V288" t="e">
            <v>#N/A</v>
          </cell>
          <cell r="W288" t="e">
            <v>#N/A</v>
          </cell>
          <cell r="X288" t="e">
            <v>#N/A</v>
          </cell>
          <cell r="Z288" t="e">
            <v>#N/A</v>
          </cell>
          <cell r="AA288" t="e">
            <v>#N/A</v>
          </cell>
          <cell r="AB288" t="e">
            <v>#N/A</v>
          </cell>
          <cell r="AC288" t="e">
            <v>#N/A</v>
          </cell>
          <cell r="AD288" t="e">
            <v>#N/A</v>
          </cell>
          <cell r="AE288" t="e">
            <v>#N/A</v>
          </cell>
          <cell r="AF288" t="e">
            <v>#N/A</v>
          </cell>
          <cell r="AG288" t="e">
            <v>#N/A</v>
          </cell>
          <cell r="AH288" t="e">
            <v>#N/A</v>
          </cell>
          <cell r="AI288" t="e">
            <v>#N/A</v>
          </cell>
          <cell r="AJ288" t="e">
            <v>#N/A</v>
          </cell>
          <cell r="AK288" t="e">
            <v>#N/A</v>
          </cell>
          <cell r="AL288" t="e">
            <v>#N/A</v>
          </cell>
          <cell r="AM288" t="e">
            <v>#N/A</v>
          </cell>
          <cell r="AN288" t="e">
            <v>#N/A</v>
          </cell>
          <cell r="AO288" t="e">
            <v>#N/A</v>
          </cell>
          <cell r="AP288" t="e">
            <v>#N/A</v>
          </cell>
          <cell r="AQ288" t="e">
            <v>#N/A</v>
          </cell>
          <cell r="AR288" t="e">
            <v>#N/A</v>
          </cell>
          <cell r="AS288" t="e">
            <v>#N/A</v>
          </cell>
          <cell r="AT288" t="e">
            <v>#N/A</v>
          </cell>
          <cell r="AU288" t="e">
            <v>#N/A</v>
          </cell>
          <cell r="AV288" t="e">
            <v>#N/A</v>
          </cell>
          <cell r="AW288" t="e">
            <v>#N/A</v>
          </cell>
          <cell r="AX288" t="e">
            <v>#N/A</v>
          </cell>
          <cell r="AY288" t="e">
            <v>#N/A</v>
          </cell>
          <cell r="AZ288" t="e">
            <v>#N/A</v>
          </cell>
          <cell r="BA288" t="e">
            <v>#N/A</v>
          </cell>
          <cell r="BB288" t="e">
            <v>#N/A</v>
          </cell>
          <cell r="BC288" t="e">
            <v>#N/A</v>
          </cell>
          <cell r="BD288" t="e">
            <v>#N/A</v>
          </cell>
          <cell r="BE288" t="e">
            <v>#N/A</v>
          </cell>
          <cell r="BF288" t="e">
            <v>#N/A</v>
          </cell>
          <cell r="BG288" t="e">
            <v>#N/A</v>
          </cell>
          <cell r="BH288" t="e">
            <v>#N/A</v>
          </cell>
          <cell r="BI288" t="e">
            <v>#N/A</v>
          </cell>
          <cell r="BJ288" t="e">
            <v>#N/A</v>
          </cell>
          <cell r="BK288" t="e">
            <v>#N/A</v>
          </cell>
          <cell r="BL288" t="e">
            <v>#N/A</v>
          </cell>
          <cell r="BM288" t="e">
            <v>#N/A</v>
          </cell>
          <cell r="BN288" t="e">
            <v>#N/A</v>
          </cell>
          <cell r="BO288" t="e">
            <v>#N/A</v>
          </cell>
          <cell r="BP288" t="e">
            <v>#N/A</v>
          </cell>
          <cell r="BQ288" t="e">
            <v>#N/A</v>
          </cell>
          <cell r="BR288" t="e">
            <v>#N/A</v>
          </cell>
          <cell r="BS288" t="e">
            <v>#N/A</v>
          </cell>
          <cell r="BT288" t="e">
            <v>#N/A</v>
          </cell>
          <cell r="BU288" t="e">
            <v>#N/A</v>
          </cell>
          <cell r="BV288" t="e">
            <v>#N/A</v>
          </cell>
          <cell r="BW288" t="e">
            <v>#N/A</v>
          </cell>
          <cell r="BX288" t="e">
            <v>#N/A</v>
          </cell>
          <cell r="BY288" t="e">
            <v>#N/A</v>
          </cell>
        </row>
        <row r="289">
          <cell r="B289" t="str">
            <v>Net income (Pub)</v>
          </cell>
          <cell r="C289" t="str">
            <v>NI_PUB</v>
          </cell>
          <cell r="D289" t="str">
            <v>CNY</v>
          </cell>
          <cell r="F289" t="e">
            <v>#N/A</v>
          </cell>
          <cell r="G289" t="e">
            <v>#N/A</v>
          </cell>
          <cell r="H289" t="e">
            <v>#N/A</v>
          </cell>
          <cell r="I289" t="e">
            <v>#N/A</v>
          </cell>
          <cell r="J289" t="e">
            <v>#N/A</v>
          </cell>
          <cell r="K289" t="e">
            <v>#N/A</v>
          </cell>
          <cell r="L289" t="e">
            <v>#N/A</v>
          </cell>
          <cell r="M289" t="e">
            <v>#N/A</v>
          </cell>
          <cell r="N289" t="e">
            <v>#N/A</v>
          </cell>
          <cell r="O289" t="e">
            <v>#N/A</v>
          </cell>
          <cell r="P289" t="e">
            <v>#N/A</v>
          </cell>
          <cell r="Q289" t="e">
            <v>#N/A</v>
          </cell>
          <cell r="R289" t="e">
            <v>#N/A</v>
          </cell>
          <cell r="S289" t="e">
            <v>#N/A</v>
          </cell>
          <cell r="T289" t="e">
            <v>#N/A</v>
          </cell>
          <cell r="U289" t="e">
            <v>#N/A</v>
          </cell>
          <cell r="V289" t="e">
            <v>#N/A</v>
          </cell>
          <cell r="W289" t="e">
            <v>#N/A</v>
          </cell>
          <cell r="X289" t="e">
            <v>#N/A</v>
          </cell>
          <cell r="Z289" t="e">
            <v>#N/A</v>
          </cell>
          <cell r="AA289" t="e">
            <v>#N/A</v>
          </cell>
          <cell r="AB289" t="e">
            <v>#N/A</v>
          </cell>
          <cell r="AC289" t="e">
            <v>#N/A</v>
          </cell>
          <cell r="AD289" t="e">
            <v>#N/A</v>
          </cell>
          <cell r="AE289" t="e">
            <v>#N/A</v>
          </cell>
          <cell r="AF289" t="e">
            <v>#N/A</v>
          </cell>
          <cell r="AG289" t="e">
            <v>#N/A</v>
          </cell>
          <cell r="AH289" t="e">
            <v>#N/A</v>
          </cell>
          <cell r="AI289" t="e">
            <v>#N/A</v>
          </cell>
          <cell r="AJ289" t="e">
            <v>#N/A</v>
          </cell>
          <cell r="AK289" t="e">
            <v>#N/A</v>
          </cell>
          <cell r="AL289" t="e">
            <v>#N/A</v>
          </cell>
          <cell r="AM289" t="e">
            <v>#N/A</v>
          </cell>
          <cell r="AN289" t="e">
            <v>#N/A</v>
          </cell>
          <cell r="AO289" t="e">
            <v>#N/A</v>
          </cell>
          <cell r="AP289" t="e">
            <v>#N/A</v>
          </cell>
          <cell r="AQ289" t="e">
            <v>#N/A</v>
          </cell>
          <cell r="AR289" t="e">
            <v>#N/A</v>
          </cell>
          <cell r="AS289" t="e">
            <v>#N/A</v>
          </cell>
          <cell r="AT289" t="e">
            <v>#N/A</v>
          </cell>
          <cell r="AU289" t="e">
            <v>#N/A</v>
          </cell>
          <cell r="AV289" t="e">
            <v>#N/A</v>
          </cell>
          <cell r="AW289" t="e">
            <v>#N/A</v>
          </cell>
          <cell r="AX289" t="e">
            <v>#N/A</v>
          </cell>
          <cell r="AY289" t="e">
            <v>#N/A</v>
          </cell>
          <cell r="AZ289" t="e">
            <v>#N/A</v>
          </cell>
          <cell r="BA289" t="e">
            <v>#N/A</v>
          </cell>
          <cell r="BB289" t="e">
            <v>#N/A</v>
          </cell>
          <cell r="BC289" t="e">
            <v>#N/A</v>
          </cell>
          <cell r="BD289" t="e">
            <v>#N/A</v>
          </cell>
          <cell r="BE289" t="e">
            <v>#N/A</v>
          </cell>
          <cell r="BF289" t="e">
            <v>#N/A</v>
          </cell>
          <cell r="BG289" t="e">
            <v>#N/A</v>
          </cell>
          <cell r="BH289" t="e">
            <v>#N/A</v>
          </cell>
          <cell r="BI289" t="e">
            <v>#N/A</v>
          </cell>
          <cell r="BJ289" t="e">
            <v>#N/A</v>
          </cell>
          <cell r="BK289" t="e">
            <v>#N/A</v>
          </cell>
          <cell r="BL289" t="e">
            <v>#N/A</v>
          </cell>
          <cell r="BM289" t="e">
            <v>#N/A</v>
          </cell>
          <cell r="BN289" t="e">
            <v>#N/A</v>
          </cell>
          <cell r="BO289" t="e">
            <v>#N/A</v>
          </cell>
          <cell r="BP289" t="e">
            <v>#N/A</v>
          </cell>
          <cell r="BQ289" t="e">
            <v>#N/A</v>
          </cell>
          <cell r="BR289" t="e">
            <v>#N/A</v>
          </cell>
          <cell r="BS289" t="e">
            <v>#N/A</v>
          </cell>
          <cell r="BT289" t="e">
            <v>#N/A</v>
          </cell>
          <cell r="BU289" t="e">
            <v>#N/A</v>
          </cell>
          <cell r="BV289" t="e">
            <v>#N/A</v>
          </cell>
          <cell r="BW289" t="e">
            <v>#N/A</v>
          </cell>
          <cell r="BX289" t="e">
            <v>#N/A</v>
          </cell>
          <cell r="BY289" t="e">
            <v>#N/A</v>
          </cell>
        </row>
        <row r="290">
          <cell r="B290" t="str">
            <v>EBIT, operating profit (Pub)</v>
          </cell>
          <cell r="C290" t="str">
            <v>EBIT_PUB</v>
          </cell>
          <cell r="D290" t="str">
            <v>CNY</v>
          </cell>
          <cell r="F290" t="e">
            <v>#N/A</v>
          </cell>
          <cell r="G290" t="e">
            <v>#N/A</v>
          </cell>
          <cell r="H290" t="e">
            <v>#N/A</v>
          </cell>
          <cell r="I290" t="e">
            <v>#N/A</v>
          </cell>
          <cell r="J290" t="e">
            <v>#N/A</v>
          </cell>
          <cell r="K290" t="e">
            <v>#N/A</v>
          </cell>
          <cell r="L290" t="e">
            <v>#N/A</v>
          </cell>
          <cell r="M290" t="e">
            <v>#N/A</v>
          </cell>
          <cell r="N290" t="e">
            <v>#N/A</v>
          </cell>
          <cell r="O290" t="e">
            <v>#N/A</v>
          </cell>
          <cell r="P290" t="e">
            <v>#N/A</v>
          </cell>
          <cell r="Q290" t="e">
            <v>#N/A</v>
          </cell>
          <cell r="R290" t="e">
            <v>#N/A</v>
          </cell>
          <cell r="S290" t="e">
            <v>#N/A</v>
          </cell>
          <cell r="T290" t="e">
            <v>#N/A</v>
          </cell>
          <cell r="U290" t="e">
            <v>#N/A</v>
          </cell>
          <cell r="V290" t="e">
            <v>#N/A</v>
          </cell>
          <cell r="W290" t="e">
            <v>#N/A</v>
          </cell>
          <cell r="X290" t="e">
            <v>#N/A</v>
          </cell>
          <cell r="Z290" t="e">
            <v>#N/A</v>
          </cell>
          <cell r="AA290" t="e">
            <v>#N/A</v>
          </cell>
          <cell r="AB290" t="e">
            <v>#N/A</v>
          </cell>
          <cell r="AC290" t="e">
            <v>#N/A</v>
          </cell>
          <cell r="AD290" t="e">
            <v>#N/A</v>
          </cell>
          <cell r="AE290" t="e">
            <v>#N/A</v>
          </cell>
          <cell r="AF290" t="e">
            <v>#N/A</v>
          </cell>
          <cell r="AG290" t="e">
            <v>#N/A</v>
          </cell>
          <cell r="AH290" t="e">
            <v>#N/A</v>
          </cell>
          <cell r="AI290" t="e">
            <v>#N/A</v>
          </cell>
          <cell r="AJ290" t="e">
            <v>#N/A</v>
          </cell>
          <cell r="AK290" t="e">
            <v>#N/A</v>
          </cell>
          <cell r="AL290" t="e">
            <v>#N/A</v>
          </cell>
          <cell r="AM290" t="e">
            <v>#N/A</v>
          </cell>
          <cell r="AN290" t="e">
            <v>#N/A</v>
          </cell>
          <cell r="AO290" t="e">
            <v>#N/A</v>
          </cell>
          <cell r="AP290" t="e">
            <v>#N/A</v>
          </cell>
          <cell r="AQ290" t="e">
            <v>#N/A</v>
          </cell>
          <cell r="AR290" t="e">
            <v>#N/A</v>
          </cell>
          <cell r="AS290" t="e">
            <v>#N/A</v>
          </cell>
          <cell r="AT290" t="e">
            <v>#N/A</v>
          </cell>
          <cell r="AU290" t="e">
            <v>#N/A</v>
          </cell>
          <cell r="AV290" t="e">
            <v>#N/A</v>
          </cell>
          <cell r="AW290" t="e">
            <v>#N/A</v>
          </cell>
          <cell r="AX290" t="e">
            <v>#N/A</v>
          </cell>
          <cell r="AY290" t="e">
            <v>#N/A</v>
          </cell>
          <cell r="AZ290" t="e">
            <v>#N/A</v>
          </cell>
          <cell r="BA290" t="e">
            <v>#N/A</v>
          </cell>
          <cell r="BB290" t="e">
            <v>#N/A</v>
          </cell>
          <cell r="BC290" t="e">
            <v>#N/A</v>
          </cell>
          <cell r="BD290" t="e">
            <v>#N/A</v>
          </cell>
          <cell r="BE290" t="e">
            <v>#N/A</v>
          </cell>
          <cell r="BF290" t="e">
            <v>#N/A</v>
          </cell>
          <cell r="BG290" t="e">
            <v>#N/A</v>
          </cell>
          <cell r="BH290" t="e">
            <v>#N/A</v>
          </cell>
          <cell r="BI290" t="e">
            <v>#N/A</v>
          </cell>
          <cell r="BJ290" t="e">
            <v>#N/A</v>
          </cell>
          <cell r="BK290" t="e">
            <v>#N/A</v>
          </cell>
          <cell r="BL290" t="e">
            <v>#N/A</v>
          </cell>
          <cell r="BM290" t="e">
            <v>#N/A</v>
          </cell>
          <cell r="BN290" t="e">
            <v>#N/A</v>
          </cell>
          <cell r="BO290" t="e">
            <v>#N/A</v>
          </cell>
          <cell r="BP290" t="e">
            <v>#N/A</v>
          </cell>
          <cell r="BQ290" t="e">
            <v>#N/A</v>
          </cell>
          <cell r="BR290" t="e">
            <v>#N/A</v>
          </cell>
          <cell r="BS290" t="e">
            <v>#N/A</v>
          </cell>
          <cell r="BT290" t="e">
            <v>#N/A</v>
          </cell>
          <cell r="BU290" t="e">
            <v>#N/A</v>
          </cell>
          <cell r="BV290" t="e">
            <v>#N/A</v>
          </cell>
          <cell r="BW290" t="e">
            <v>#N/A</v>
          </cell>
          <cell r="BX290" t="e">
            <v>#N/A</v>
          </cell>
          <cell r="BY290" t="e">
            <v>#N/A</v>
          </cell>
        </row>
        <row r="291">
          <cell r="B291" t="str">
            <v>Pre-tax profit (Pub)</v>
          </cell>
          <cell r="C291" t="str">
            <v>PTP_PUB</v>
          </cell>
          <cell r="D291" t="str">
            <v>CNY</v>
          </cell>
          <cell r="F291" t="e">
            <v>#N/A</v>
          </cell>
          <cell r="G291" t="e">
            <v>#N/A</v>
          </cell>
          <cell r="H291" t="e">
            <v>#N/A</v>
          </cell>
          <cell r="I291" t="e">
            <v>#N/A</v>
          </cell>
          <cell r="J291" t="e">
            <v>#N/A</v>
          </cell>
          <cell r="K291" t="e">
            <v>#N/A</v>
          </cell>
          <cell r="L291" t="e">
            <v>#N/A</v>
          </cell>
          <cell r="M291" t="e">
            <v>#N/A</v>
          </cell>
          <cell r="N291" t="e">
            <v>#N/A</v>
          </cell>
          <cell r="O291" t="e">
            <v>#N/A</v>
          </cell>
          <cell r="P291" t="e">
            <v>#N/A</v>
          </cell>
          <cell r="Q291" t="e">
            <v>#N/A</v>
          </cell>
          <cell r="R291" t="e">
            <v>#N/A</v>
          </cell>
          <cell r="S291" t="e">
            <v>#N/A</v>
          </cell>
          <cell r="T291" t="e">
            <v>#N/A</v>
          </cell>
          <cell r="U291" t="e">
            <v>#N/A</v>
          </cell>
          <cell r="V291" t="e">
            <v>#N/A</v>
          </cell>
          <cell r="W291" t="e">
            <v>#N/A</v>
          </cell>
          <cell r="X291" t="e">
            <v>#N/A</v>
          </cell>
          <cell r="Z291" t="e">
            <v>#N/A</v>
          </cell>
          <cell r="AA291" t="e">
            <v>#N/A</v>
          </cell>
          <cell r="AB291" t="e">
            <v>#N/A</v>
          </cell>
          <cell r="AC291" t="e">
            <v>#N/A</v>
          </cell>
          <cell r="AD291" t="e">
            <v>#N/A</v>
          </cell>
          <cell r="AE291" t="e">
            <v>#N/A</v>
          </cell>
          <cell r="AF291" t="e">
            <v>#N/A</v>
          </cell>
          <cell r="AG291" t="e">
            <v>#N/A</v>
          </cell>
          <cell r="AH291" t="e">
            <v>#N/A</v>
          </cell>
          <cell r="AI291" t="e">
            <v>#N/A</v>
          </cell>
          <cell r="AJ291" t="e">
            <v>#N/A</v>
          </cell>
          <cell r="AK291" t="e">
            <v>#N/A</v>
          </cell>
          <cell r="AL291" t="e">
            <v>#N/A</v>
          </cell>
          <cell r="AM291" t="e">
            <v>#N/A</v>
          </cell>
          <cell r="AN291" t="e">
            <v>#N/A</v>
          </cell>
          <cell r="AO291" t="e">
            <v>#N/A</v>
          </cell>
          <cell r="AP291" t="e">
            <v>#N/A</v>
          </cell>
          <cell r="AQ291" t="e">
            <v>#N/A</v>
          </cell>
          <cell r="AR291" t="e">
            <v>#N/A</v>
          </cell>
          <cell r="AS291" t="e">
            <v>#N/A</v>
          </cell>
          <cell r="AT291" t="e">
            <v>#N/A</v>
          </cell>
          <cell r="AU291" t="e">
            <v>#N/A</v>
          </cell>
          <cell r="AV291" t="e">
            <v>#N/A</v>
          </cell>
          <cell r="AW291" t="e">
            <v>#N/A</v>
          </cell>
          <cell r="AX291" t="e">
            <v>#N/A</v>
          </cell>
          <cell r="AY291" t="e">
            <v>#N/A</v>
          </cell>
          <cell r="AZ291" t="e">
            <v>#N/A</v>
          </cell>
          <cell r="BA291" t="e">
            <v>#N/A</v>
          </cell>
          <cell r="BB291" t="e">
            <v>#N/A</v>
          </cell>
          <cell r="BC291" t="e">
            <v>#N/A</v>
          </cell>
          <cell r="BD291" t="e">
            <v>#N/A</v>
          </cell>
          <cell r="BE291" t="e">
            <v>#N/A</v>
          </cell>
          <cell r="BF291" t="e">
            <v>#N/A</v>
          </cell>
          <cell r="BG291" t="e">
            <v>#N/A</v>
          </cell>
          <cell r="BH291" t="e">
            <v>#N/A</v>
          </cell>
          <cell r="BI291" t="e">
            <v>#N/A</v>
          </cell>
          <cell r="BJ291" t="e">
            <v>#N/A</v>
          </cell>
          <cell r="BK291" t="e">
            <v>#N/A</v>
          </cell>
          <cell r="BL291" t="e">
            <v>#N/A</v>
          </cell>
          <cell r="BM291" t="e">
            <v>#N/A</v>
          </cell>
          <cell r="BN291" t="e">
            <v>#N/A</v>
          </cell>
          <cell r="BO291" t="e">
            <v>#N/A</v>
          </cell>
          <cell r="BP291" t="e">
            <v>#N/A</v>
          </cell>
          <cell r="BQ291" t="e">
            <v>#N/A</v>
          </cell>
          <cell r="BR291" t="e">
            <v>#N/A</v>
          </cell>
          <cell r="BS291" t="e">
            <v>#N/A</v>
          </cell>
          <cell r="BT291" t="e">
            <v>#N/A</v>
          </cell>
          <cell r="BU291" t="e">
            <v>#N/A</v>
          </cell>
          <cell r="BV291" t="e">
            <v>#N/A</v>
          </cell>
          <cell r="BW291" t="e">
            <v>#N/A</v>
          </cell>
          <cell r="BX291" t="e">
            <v>#N/A</v>
          </cell>
          <cell r="BY291" t="e">
            <v>#N/A</v>
          </cell>
        </row>
        <row r="292">
          <cell r="B292" t="str">
            <v>Sales, revenue (Pub)</v>
          </cell>
          <cell r="C292" t="str">
            <v>REVS_PUB</v>
          </cell>
          <cell r="D292" t="str">
            <v>CNY</v>
          </cell>
          <cell r="F292" t="e">
            <v>#N/A</v>
          </cell>
          <cell r="G292" t="e">
            <v>#N/A</v>
          </cell>
          <cell r="H292" t="e">
            <v>#N/A</v>
          </cell>
          <cell r="I292" t="e">
            <v>#N/A</v>
          </cell>
          <cell r="J292" t="e">
            <v>#N/A</v>
          </cell>
          <cell r="K292" t="e">
            <v>#N/A</v>
          </cell>
          <cell r="L292" t="e">
            <v>#N/A</v>
          </cell>
          <cell r="M292" t="e">
            <v>#N/A</v>
          </cell>
          <cell r="N292" t="e">
            <v>#N/A</v>
          </cell>
          <cell r="O292" t="e">
            <v>#N/A</v>
          </cell>
          <cell r="P292" t="e">
            <v>#N/A</v>
          </cell>
          <cell r="Q292" t="e">
            <v>#N/A</v>
          </cell>
          <cell r="R292" t="e">
            <v>#N/A</v>
          </cell>
          <cell r="S292" t="e">
            <v>#N/A</v>
          </cell>
          <cell r="T292" t="e">
            <v>#N/A</v>
          </cell>
          <cell r="U292" t="e">
            <v>#N/A</v>
          </cell>
          <cell r="V292" t="e">
            <v>#N/A</v>
          </cell>
          <cell r="W292" t="e">
            <v>#N/A</v>
          </cell>
          <cell r="X292" t="e">
            <v>#N/A</v>
          </cell>
          <cell r="Z292" t="e">
            <v>#N/A</v>
          </cell>
          <cell r="AA292" t="e">
            <v>#N/A</v>
          </cell>
          <cell r="AB292" t="e">
            <v>#N/A</v>
          </cell>
          <cell r="AC292" t="e">
            <v>#N/A</v>
          </cell>
          <cell r="AD292" t="e">
            <v>#N/A</v>
          </cell>
          <cell r="AE292" t="e">
            <v>#N/A</v>
          </cell>
          <cell r="AF292" t="e">
            <v>#N/A</v>
          </cell>
          <cell r="AG292" t="e">
            <v>#N/A</v>
          </cell>
          <cell r="AH292" t="e">
            <v>#N/A</v>
          </cell>
          <cell r="AI292" t="e">
            <v>#N/A</v>
          </cell>
          <cell r="AJ292" t="e">
            <v>#N/A</v>
          </cell>
          <cell r="AK292" t="e">
            <v>#N/A</v>
          </cell>
          <cell r="AL292" t="e">
            <v>#N/A</v>
          </cell>
          <cell r="AM292" t="e">
            <v>#N/A</v>
          </cell>
          <cell r="AN292" t="e">
            <v>#N/A</v>
          </cell>
          <cell r="AO292" t="e">
            <v>#N/A</v>
          </cell>
          <cell r="AP292" t="e">
            <v>#N/A</v>
          </cell>
          <cell r="AQ292" t="e">
            <v>#N/A</v>
          </cell>
          <cell r="AR292" t="e">
            <v>#N/A</v>
          </cell>
          <cell r="AS292" t="e">
            <v>#N/A</v>
          </cell>
          <cell r="AT292" t="e">
            <v>#N/A</v>
          </cell>
          <cell r="AU292" t="e">
            <v>#N/A</v>
          </cell>
          <cell r="AV292" t="e">
            <v>#N/A</v>
          </cell>
          <cell r="AW292" t="e">
            <v>#N/A</v>
          </cell>
          <cell r="AX292" t="e">
            <v>#N/A</v>
          </cell>
          <cell r="AY292" t="e">
            <v>#N/A</v>
          </cell>
          <cell r="AZ292" t="e">
            <v>#N/A</v>
          </cell>
          <cell r="BA292" t="e">
            <v>#N/A</v>
          </cell>
          <cell r="BB292" t="e">
            <v>#N/A</v>
          </cell>
          <cell r="BC292" t="e">
            <v>#N/A</v>
          </cell>
          <cell r="BD292" t="e">
            <v>#N/A</v>
          </cell>
          <cell r="BE292" t="e">
            <v>#N/A</v>
          </cell>
          <cell r="BF292" t="e">
            <v>#N/A</v>
          </cell>
          <cell r="BG292" t="e">
            <v>#N/A</v>
          </cell>
          <cell r="BH292" t="e">
            <v>#N/A</v>
          </cell>
          <cell r="BI292" t="e">
            <v>#N/A</v>
          </cell>
          <cell r="BJ292" t="e">
            <v>#N/A</v>
          </cell>
          <cell r="BK292" t="e">
            <v>#N/A</v>
          </cell>
          <cell r="BL292" t="e">
            <v>#N/A</v>
          </cell>
          <cell r="BM292" t="e">
            <v>#N/A</v>
          </cell>
          <cell r="BN292" t="e">
            <v>#N/A</v>
          </cell>
          <cell r="BO292" t="e">
            <v>#N/A</v>
          </cell>
          <cell r="BP292" t="e">
            <v>#N/A</v>
          </cell>
          <cell r="BQ292" t="e">
            <v>#N/A</v>
          </cell>
          <cell r="BR292" t="e">
            <v>#N/A</v>
          </cell>
          <cell r="BS292" t="e">
            <v>#N/A</v>
          </cell>
          <cell r="BT292" t="e">
            <v>#N/A</v>
          </cell>
          <cell r="BU292" t="e">
            <v>#N/A</v>
          </cell>
          <cell r="BV292" t="e">
            <v>#N/A</v>
          </cell>
          <cell r="BW292" t="e">
            <v>#N/A</v>
          </cell>
          <cell r="BX292" t="e">
            <v>#N/A</v>
          </cell>
          <cell r="BY292" t="e">
            <v>#N/A</v>
          </cell>
        </row>
        <row r="293">
          <cell r="B293" t="str">
            <v>Total shareholders' equity (Pub)</v>
          </cell>
          <cell r="C293" t="str">
            <v>EQ_PUB</v>
          </cell>
          <cell r="D293" t="str">
            <v>CNY</v>
          </cell>
          <cell r="F293" t="e">
            <v>#N/A</v>
          </cell>
          <cell r="G293" t="e">
            <v>#N/A</v>
          </cell>
          <cell r="H293" t="e">
            <v>#N/A</v>
          </cell>
          <cell r="I293" t="e">
            <v>#N/A</v>
          </cell>
          <cell r="J293" t="e">
            <v>#N/A</v>
          </cell>
          <cell r="K293" t="e">
            <v>#N/A</v>
          </cell>
          <cell r="L293" t="e">
            <v>#N/A</v>
          </cell>
          <cell r="M293" t="e">
            <v>#N/A</v>
          </cell>
          <cell r="N293" t="e">
            <v>#N/A</v>
          </cell>
          <cell r="O293" t="e">
            <v>#N/A</v>
          </cell>
          <cell r="P293" t="e">
            <v>#N/A</v>
          </cell>
          <cell r="Q293" t="e">
            <v>#N/A</v>
          </cell>
          <cell r="R293" t="e">
            <v>#N/A</v>
          </cell>
          <cell r="S293" t="e">
            <v>#N/A</v>
          </cell>
          <cell r="T293" t="e">
            <v>#N/A</v>
          </cell>
          <cell r="U293" t="e">
            <v>#N/A</v>
          </cell>
          <cell r="V293" t="e">
            <v>#N/A</v>
          </cell>
          <cell r="W293" t="e">
            <v>#N/A</v>
          </cell>
          <cell r="X293" t="e">
            <v>#N/A</v>
          </cell>
          <cell r="Z293" t="e">
            <v>#N/A</v>
          </cell>
          <cell r="AA293" t="e">
            <v>#N/A</v>
          </cell>
          <cell r="AB293" t="e">
            <v>#N/A</v>
          </cell>
          <cell r="AC293" t="e">
            <v>#N/A</v>
          </cell>
          <cell r="AD293" t="e">
            <v>#N/A</v>
          </cell>
          <cell r="AE293" t="e">
            <v>#N/A</v>
          </cell>
          <cell r="AF293" t="e">
            <v>#N/A</v>
          </cell>
          <cell r="AG293" t="e">
            <v>#N/A</v>
          </cell>
          <cell r="AH293" t="e">
            <v>#N/A</v>
          </cell>
          <cell r="AI293" t="e">
            <v>#N/A</v>
          </cell>
          <cell r="AJ293" t="e">
            <v>#N/A</v>
          </cell>
          <cell r="AK293" t="e">
            <v>#N/A</v>
          </cell>
          <cell r="AL293" t="e">
            <v>#N/A</v>
          </cell>
          <cell r="AM293" t="e">
            <v>#N/A</v>
          </cell>
          <cell r="AN293" t="e">
            <v>#N/A</v>
          </cell>
          <cell r="AO293" t="e">
            <v>#N/A</v>
          </cell>
          <cell r="AP293" t="e">
            <v>#N/A</v>
          </cell>
          <cell r="AQ293" t="e">
            <v>#N/A</v>
          </cell>
          <cell r="AR293" t="e">
            <v>#N/A</v>
          </cell>
          <cell r="AS293" t="e">
            <v>#N/A</v>
          </cell>
          <cell r="AT293" t="e">
            <v>#N/A</v>
          </cell>
          <cell r="AU293" t="e">
            <v>#N/A</v>
          </cell>
          <cell r="AV293" t="e">
            <v>#N/A</v>
          </cell>
          <cell r="AW293" t="e">
            <v>#N/A</v>
          </cell>
          <cell r="AX293" t="e">
            <v>#N/A</v>
          </cell>
          <cell r="AY293" t="e">
            <v>#N/A</v>
          </cell>
          <cell r="AZ293" t="e">
            <v>#N/A</v>
          </cell>
          <cell r="BA293" t="e">
            <v>#N/A</v>
          </cell>
          <cell r="BB293" t="e">
            <v>#N/A</v>
          </cell>
          <cell r="BC293" t="e">
            <v>#N/A</v>
          </cell>
          <cell r="BD293" t="e">
            <v>#N/A</v>
          </cell>
          <cell r="BE293" t="e">
            <v>#N/A</v>
          </cell>
          <cell r="BF293" t="e">
            <v>#N/A</v>
          </cell>
          <cell r="BG293" t="e">
            <v>#N/A</v>
          </cell>
          <cell r="BH293" t="e">
            <v>#N/A</v>
          </cell>
          <cell r="BI293" t="e">
            <v>#N/A</v>
          </cell>
          <cell r="BJ293" t="e">
            <v>#N/A</v>
          </cell>
          <cell r="BK293" t="e">
            <v>#N/A</v>
          </cell>
          <cell r="BL293" t="e">
            <v>#N/A</v>
          </cell>
          <cell r="BM293" t="e">
            <v>#N/A</v>
          </cell>
          <cell r="BN293" t="e">
            <v>#N/A</v>
          </cell>
          <cell r="BO293" t="e">
            <v>#N/A</v>
          </cell>
          <cell r="BP293" t="e">
            <v>#N/A</v>
          </cell>
          <cell r="BQ293" t="e">
            <v>#N/A</v>
          </cell>
          <cell r="BR293" t="e">
            <v>#N/A</v>
          </cell>
          <cell r="BS293" t="e">
            <v>#N/A</v>
          </cell>
          <cell r="BT293" t="e">
            <v>#N/A</v>
          </cell>
          <cell r="BU293" t="e">
            <v>#N/A</v>
          </cell>
          <cell r="BV293" t="e">
            <v>#N/A</v>
          </cell>
          <cell r="BW293" t="e">
            <v>#N/A</v>
          </cell>
          <cell r="BX293" t="e">
            <v>#N/A</v>
          </cell>
          <cell r="BY293" t="e">
            <v>#N/A</v>
          </cell>
        </row>
        <row r="294">
          <cell r="B294" t="str">
            <v>EPS (consensus)</v>
          </cell>
          <cell r="C294" t="str">
            <v>EPS_CONS_PUB</v>
          </cell>
          <cell r="D294" t="str">
            <v>CNY</v>
          </cell>
          <cell r="F294" t="e">
            <v>#N/A</v>
          </cell>
          <cell r="G294" t="e">
            <v>#N/A</v>
          </cell>
          <cell r="H294" t="e">
            <v>#N/A</v>
          </cell>
          <cell r="I294" t="e">
            <v>#N/A</v>
          </cell>
          <cell r="J294" t="e">
            <v>#N/A</v>
          </cell>
          <cell r="K294" t="e">
            <v>#N/A</v>
          </cell>
          <cell r="L294" t="e">
            <v>#N/A</v>
          </cell>
          <cell r="M294" t="e">
            <v>#N/A</v>
          </cell>
          <cell r="N294" t="e">
            <v>#N/A</v>
          </cell>
          <cell r="O294" t="e">
            <v>#N/A</v>
          </cell>
          <cell r="P294" t="e">
            <v>#N/A</v>
          </cell>
          <cell r="Q294" t="e">
            <v>#N/A</v>
          </cell>
          <cell r="R294" t="e">
            <v>#N/A</v>
          </cell>
          <cell r="S294" t="e">
            <v>#N/A</v>
          </cell>
          <cell r="T294" t="e">
            <v>#N/A</v>
          </cell>
          <cell r="U294" t="e">
            <v>#N/A</v>
          </cell>
          <cell r="V294" t="e">
            <v>#N/A</v>
          </cell>
          <cell r="W294" t="e">
            <v>#N/A</v>
          </cell>
          <cell r="X294" t="e">
            <v>#N/A</v>
          </cell>
          <cell r="Z294" t="e">
            <v>#N/A</v>
          </cell>
          <cell r="AA294" t="e">
            <v>#N/A</v>
          </cell>
          <cell r="AB294" t="e">
            <v>#N/A</v>
          </cell>
          <cell r="AC294" t="e">
            <v>#N/A</v>
          </cell>
          <cell r="AD294" t="e">
            <v>#N/A</v>
          </cell>
          <cell r="AE294" t="e">
            <v>#N/A</v>
          </cell>
          <cell r="AF294" t="e">
            <v>#N/A</v>
          </cell>
          <cell r="AG294" t="e">
            <v>#N/A</v>
          </cell>
          <cell r="AH294" t="e">
            <v>#N/A</v>
          </cell>
          <cell r="AI294" t="e">
            <v>#N/A</v>
          </cell>
          <cell r="AJ294" t="e">
            <v>#N/A</v>
          </cell>
          <cell r="AK294" t="e">
            <v>#N/A</v>
          </cell>
          <cell r="AL294" t="e">
            <v>#N/A</v>
          </cell>
          <cell r="AM294" t="e">
            <v>#N/A</v>
          </cell>
          <cell r="AN294" t="e">
            <v>#N/A</v>
          </cell>
          <cell r="AO294" t="e">
            <v>#N/A</v>
          </cell>
          <cell r="AP294" t="e">
            <v>#N/A</v>
          </cell>
          <cell r="AQ294" t="e">
            <v>#N/A</v>
          </cell>
          <cell r="AR294" t="e">
            <v>#N/A</v>
          </cell>
          <cell r="AS294" t="e">
            <v>#N/A</v>
          </cell>
          <cell r="AT294" t="e">
            <v>#N/A</v>
          </cell>
          <cell r="AU294" t="e">
            <v>#N/A</v>
          </cell>
          <cell r="AV294" t="e">
            <v>#N/A</v>
          </cell>
          <cell r="AW294" t="e">
            <v>#N/A</v>
          </cell>
          <cell r="AX294" t="e">
            <v>#N/A</v>
          </cell>
          <cell r="AY294" t="e">
            <v>#N/A</v>
          </cell>
          <cell r="AZ294" t="e">
            <v>#N/A</v>
          </cell>
          <cell r="BA294" t="e">
            <v>#N/A</v>
          </cell>
          <cell r="BB294" t="e">
            <v>#N/A</v>
          </cell>
          <cell r="BC294" t="e">
            <v>#N/A</v>
          </cell>
          <cell r="BD294" t="e">
            <v>#N/A</v>
          </cell>
          <cell r="BE294" t="e">
            <v>#N/A</v>
          </cell>
          <cell r="BF294" t="e">
            <v>#N/A</v>
          </cell>
          <cell r="BG294" t="e">
            <v>#N/A</v>
          </cell>
          <cell r="BH294" t="e">
            <v>#N/A</v>
          </cell>
          <cell r="BI294" t="e">
            <v>#N/A</v>
          </cell>
          <cell r="BJ294" t="e">
            <v>#N/A</v>
          </cell>
          <cell r="BK294" t="e">
            <v>#N/A</v>
          </cell>
          <cell r="BL294" t="e">
            <v>#N/A</v>
          </cell>
          <cell r="BM294" t="e">
            <v>#N/A</v>
          </cell>
          <cell r="BN294" t="e">
            <v>#N/A</v>
          </cell>
          <cell r="BO294" t="e">
            <v>#N/A</v>
          </cell>
          <cell r="BP294" t="e">
            <v>#N/A</v>
          </cell>
          <cell r="BQ294" t="e">
            <v>#N/A</v>
          </cell>
          <cell r="BR294" t="e">
            <v>#N/A</v>
          </cell>
          <cell r="BS294" t="e">
            <v>#N/A</v>
          </cell>
          <cell r="BT294" t="e">
            <v>#N/A</v>
          </cell>
          <cell r="BU294" t="e">
            <v>#N/A</v>
          </cell>
          <cell r="BV294" t="e">
            <v>#N/A</v>
          </cell>
          <cell r="BW294" t="e">
            <v>#N/A</v>
          </cell>
          <cell r="BX294" t="e">
            <v>#N/A</v>
          </cell>
          <cell r="BY294" t="e">
            <v>#N/A</v>
          </cell>
        </row>
        <row r="295">
          <cell r="A295" t="str">
            <v>Income Statement</v>
          </cell>
        </row>
        <row r="296">
          <cell r="B296" t="str">
            <v>Provision for income tax</v>
          </cell>
          <cell r="C296" t="str">
            <v>PROV_INC_TAX</v>
          </cell>
          <cell r="D296" t="str">
            <v>CNY</v>
          </cell>
          <cell r="F296" t="e">
            <v>#N/A</v>
          </cell>
          <cell r="G296" t="e">
            <v>#N/A</v>
          </cell>
          <cell r="H296" t="e">
            <v>#N/A</v>
          </cell>
          <cell r="I296" t="e">
            <v>#N/A</v>
          </cell>
          <cell r="J296" t="e">
            <v>#N/A</v>
          </cell>
          <cell r="K296" t="e">
            <v>#N/A</v>
          </cell>
          <cell r="L296" t="e">
            <v>#N/A</v>
          </cell>
          <cell r="M296" t="e">
            <v>#N/A</v>
          </cell>
          <cell r="N296" t="e">
            <v>#N/A</v>
          </cell>
          <cell r="O296" t="e">
            <v>#N/A</v>
          </cell>
          <cell r="P296" t="e">
            <v>#N/A</v>
          </cell>
          <cell r="Q296" t="e">
            <v>#N/A</v>
          </cell>
          <cell r="R296" t="e">
            <v>#N/A</v>
          </cell>
          <cell r="S296" t="e">
            <v>#N/A</v>
          </cell>
          <cell r="T296" t="e">
            <v>#N/A</v>
          </cell>
          <cell r="U296" t="e">
            <v>#N/A</v>
          </cell>
          <cell r="V296" t="e">
            <v>#N/A</v>
          </cell>
          <cell r="W296" t="e">
            <v>#N/A</v>
          </cell>
          <cell r="X296" t="e">
            <v>#N/A</v>
          </cell>
          <cell r="Z296" t="e">
            <v>#N/A</v>
          </cell>
          <cell r="AA296" t="e">
            <v>#N/A</v>
          </cell>
          <cell r="AB296" t="e">
            <v>#N/A</v>
          </cell>
          <cell r="AC296" t="e">
            <v>#N/A</v>
          </cell>
          <cell r="AD296" t="e">
            <v>#N/A</v>
          </cell>
          <cell r="AE296" t="e">
            <v>#N/A</v>
          </cell>
          <cell r="AF296" t="e">
            <v>#N/A</v>
          </cell>
          <cell r="AG296" t="e">
            <v>#N/A</v>
          </cell>
          <cell r="AH296" t="e">
            <v>#N/A</v>
          </cell>
          <cell r="AI296" t="e">
            <v>#N/A</v>
          </cell>
          <cell r="AJ296" t="e">
            <v>#N/A</v>
          </cell>
          <cell r="AK296" t="e">
            <v>#N/A</v>
          </cell>
          <cell r="AL296" t="e">
            <v>#N/A</v>
          </cell>
          <cell r="AM296" t="e">
            <v>#N/A</v>
          </cell>
          <cell r="AN296" t="e">
            <v>#N/A</v>
          </cell>
          <cell r="AO296" t="e">
            <v>#N/A</v>
          </cell>
          <cell r="AP296" t="e">
            <v>#N/A</v>
          </cell>
          <cell r="AQ296" t="e">
            <v>#N/A</v>
          </cell>
          <cell r="AR296" t="e">
            <v>#N/A</v>
          </cell>
          <cell r="AS296" t="e">
            <v>#N/A</v>
          </cell>
          <cell r="AT296" t="e">
            <v>#N/A</v>
          </cell>
          <cell r="AU296" t="e">
            <v>#N/A</v>
          </cell>
          <cell r="AV296" t="e">
            <v>#N/A</v>
          </cell>
          <cell r="AW296" t="e">
            <v>#N/A</v>
          </cell>
          <cell r="AX296" t="e">
            <v>#N/A</v>
          </cell>
          <cell r="AY296" t="e">
            <v>#N/A</v>
          </cell>
          <cell r="AZ296" t="e">
            <v>#N/A</v>
          </cell>
          <cell r="BA296" t="e">
            <v>#N/A</v>
          </cell>
          <cell r="BB296" t="e">
            <v>#N/A</v>
          </cell>
          <cell r="BC296" t="e">
            <v>#N/A</v>
          </cell>
          <cell r="BD296" t="e">
            <v>#N/A</v>
          </cell>
          <cell r="BE296" t="e">
            <v>#N/A</v>
          </cell>
          <cell r="BF296" t="e">
            <v>#N/A</v>
          </cell>
          <cell r="BG296" t="e">
            <v>#N/A</v>
          </cell>
          <cell r="BH296" t="e">
            <v>#N/A</v>
          </cell>
          <cell r="BI296" t="e">
            <v>#N/A</v>
          </cell>
          <cell r="BJ296" t="e">
            <v>#N/A</v>
          </cell>
          <cell r="BK296" t="e">
            <v>#N/A</v>
          </cell>
          <cell r="BL296" t="e">
            <v>#N/A</v>
          </cell>
          <cell r="BM296" t="e">
            <v>#N/A</v>
          </cell>
          <cell r="BN296" t="e">
            <v>#N/A</v>
          </cell>
          <cell r="BO296" t="e">
            <v>#N/A</v>
          </cell>
          <cell r="BP296" t="e">
            <v>#N/A</v>
          </cell>
          <cell r="BQ296" t="e">
            <v>#N/A</v>
          </cell>
          <cell r="BR296" t="e">
            <v>#N/A</v>
          </cell>
          <cell r="BS296" t="e">
            <v>#N/A</v>
          </cell>
          <cell r="BT296" t="e">
            <v>#N/A</v>
          </cell>
          <cell r="BU296" t="e">
            <v>#N/A</v>
          </cell>
          <cell r="BV296" t="e">
            <v>#N/A</v>
          </cell>
          <cell r="BW296" t="e">
            <v>#N/A</v>
          </cell>
          <cell r="BX296" t="e">
            <v>#N/A</v>
          </cell>
          <cell r="BY296" t="e">
            <v>#N/A</v>
          </cell>
        </row>
        <row r="297">
          <cell r="B297" t="str">
            <v>Minority interest</v>
          </cell>
          <cell r="C297" t="str">
            <v>INC_MINORITY</v>
          </cell>
          <cell r="D297" t="str">
            <v>CNY</v>
          </cell>
          <cell r="F297" t="e">
            <v>#N/A</v>
          </cell>
          <cell r="G297" t="e">
            <v>#N/A</v>
          </cell>
          <cell r="H297" t="e">
            <v>#N/A</v>
          </cell>
          <cell r="I297" t="e">
            <v>#N/A</v>
          </cell>
          <cell r="J297" t="e">
            <v>#N/A</v>
          </cell>
          <cell r="K297" t="e">
            <v>#N/A</v>
          </cell>
          <cell r="L297" t="e">
            <v>#N/A</v>
          </cell>
          <cell r="M297" t="e">
            <v>#N/A</v>
          </cell>
          <cell r="N297" t="e">
            <v>#N/A</v>
          </cell>
          <cell r="O297" t="e">
            <v>#N/A</v>
          </cell>
          <cell r="P297" t="e">
            <v>#N/A</v>
          </cell>
          <cell r="Q297" t="e">
            <v>#N/A</v>
          </cell>
          <cell r="R297" t="e">
            <v>#N/A</v>
          </cell>
          <cell r="S297" t="e">
            <v>#N/A</v>
          </cell>
          <cell r="T297" t="e">
            <v>#N/A</v>
          </cell>
          <cell r="U297" t="e">
            <v>#N/A</v>
          </cell>
          <cell r="V297" t="e">
            <v>#N/A</v>
          </cell>
          <cell r="W297" t="e">
            <v>#N/A</v>
          </cell>
          <cell r="X297" t="e">
            <v>#N/A</v>
          </cell>
          <cell r="Z297" t="e">
            <v>#N/A</v>
          </cell>
          <cell r="AA297" t="e">
            <v>#N/A</v>
          </cell>
          <cell r="AB297" t="e">
            <v>#N/A</v>
          </cell>
          <cell r="AC297" t="e">
            <v>#N/A</v>
          </cell>
          <cell r="AD297" t="e">
            <v>#N/A</v>
          </cell>
          <cell r="AE297" t="e">
            <v>#N/A</v>
          </cell>
          <cell r="AF297" t="e">
            <v>#N/A</v>
          </cell>
          <cell r="AG297" t="e">
            <v>#N/A</v>
          </cell>
          <cell r="AH297" t="e">
            <v>#N/A</v>
          </cell>
          <cell r="AI297" t="e">
            <v>#N/A</v>
          </cell>
          <cell r="AJ297" t="e">
            <v>#N/A</v>
          </cell>
          <cell r="AK297" t="e">
            <v>#N/A</v>
          </cell>
          <cell r="AL297" t="e">
            <v>#N/A</v>
          </cell>
          <cell r="AM297" t="e">
            <v>#N/A</v>
          </cell>
          <cell r="AN297" t="e">
            <v>#N/A</v>
          </cell>
          <cell r="AO297" t="e">
            <v>#N/A</v>
          </cell>
          <cell r="AP297" t="e">
            <v>#N/A</v>
          </cell>
          <cell r="AQ297" t="e">
            <v>#N/A</v>
          </cell>
          <cell r="AR297" t="e">
            <v>#N/A</v>
          </cell>
          <cell r="AS297" t="e">
            <v>#N/A</v>
          </cell>
          <cell r="AT297" t="e">
            <v>#N/A</v>
          </cell>
          <cell r="AU297" t="e">
            <v>#N/A</v>
          </cell>
          <cell r="AV297" t="e">
            <v>#N/A</v>
          </cell>
          <cell r="AW297" t="e">
            <v>#N/A</v>
          </cell>
          <cell r="AX297" t="e">
            <v>#N/A</v>
          </cell>
          <cell r="AY297" t="e">
            <v>#N/A</v>
          </cell>
          <cell r="AZ297" t="e">
            <v>#N/A</v>
          </cell>
          <cell r="BA297" t="e">
            <v>#N/A</v>
          </cell>
          <cell r="BB297" t="e">
            <v>#N/A</v>
          </cell>
          <cell r="BC297" t="e">
            <v>#N/A</v>
          </cell>
          <cell r="BD297" t="e">
            <v>#N/A</v>
          </cell>
          <cell r="BE297" t="e">
            <v>#N/A</v>
          </cell>
          <cell r="BF297" t="e">
            <v>#N/A</v>
          </cell>
          <cell r="BG297" t="e">
            <v>#N/A</v>
          </cell>
          <cell r="BH297" t="e">
            <v>#N/A</v>
          </cell>
          <cell r="BI297" t="e">
            <v>#N/A</v>
          </cell>
          <cell r="BJ297" t="e">
            <v>#N/A</v>
          </cell>
          <cell r="BK297" t="e">
            <v>#N/A</v>
          </cell>
          <cell r="BL297" t="e">
            <v>#N/A</v>
          </cell>
          <cell r="BM297" t="e">
            <v>#N/A</v>
          </cell>
          <cell r="BN297" t="e">
            <v>#N/A</v>
          </cell>
          <cell r="BO297" t="e">
            <v>#N/A</v>
          </cell>
          <cell r="BP297" t="e">
            <v>#N/A</v>
          </cell>
          <cell r="BQ297" t="e">
            <v>#N/A</v>
          </cell>
          <cell r="BR297" t="e">
            <v>#N/A</v>
          </cell>
          <cell r="BS297" t="e">
            <v>#N/A</v>
          </cell>
          <cell r="BT297" t="e">
            <v>#N/A</v>
          </cell>
          <cell r="BU297" t="e">
            <v>#N/A</v>
          </cell>
          <cell r="BV297" t="e">
            <v>#N/A</v>
          </cell>
          <cell r="BW297" t="e">
            <v>#N/A</v>
          </cell>
          <cell r="BX297" t="e">
            <v>#N/A</v>
          </cell>
          <cell r="BY297" t="e">
            <v>#N/A</v>
          </cell>
        </row>
        <row r="298">
          <cell r="B298" t="str">
            <v>Net income (pre-preferred dividends)</v>
          </cell>
          <cell r="C298" t="str">
            <v>NI_PRE_PREF</v>
          </cell>
          <cell r="D298" t="str">
            <v>CNY</v>
          </cell>
          <cell r="F298" t="e">
            <v>#N/A</v>
          </cell>
          <cell r="G298" t="e">
            <v>#N/A</v>
          </cell>
          <cell r="H298" t="e">
            <v>#N/A</v>
          </cell>
          <cell r="I298" t="e">
            <v>#N/A</v>
          </cell>
          <cell r="J298" t="e">
            <v>#N/A</v>
          </cell>
          <cell r="K298" t="e">
            <v>#N/A</v>
          </cell>
          <cell r="L298" t="e">
            <v>#N/A</v>
          </cell>
          <cell r="M298" t="e">
            <v>#N/A</v>
          </cell>
          <cell r="N298" t="e">
            <v>#N/A</v>
          </cell>
          <cell r="O298" t="e">
            <v>#N/A</v>
          </cell>
          <cell r="P298" t="e">
            <v>#N/A</v>
          </cell>
          <cell r="Q298" t="e">
            <v>#N/A</v>
          </cell>
          <cell r="R298" t="e">
            <v>#N/A</v>
          </cell>
          <cell r="S298" t="e">
            <v>#N/A</v>
          </cell>
          <cell r="T298" t="e">
            <v>#N/A</v>
          </cell>
          <cell r="U298" t="e">
            <v>#N/A</v>
          </cell>
          <cell r="V298" t="e">
            <v>#N/A</v>
          </cell>
          <cell r="W298" t="e">
            <v>#N/A</v>
          </cell>
          <cell r="X298" t="e">
            <v>#N/A</v>
          </cell>
          <cell r="Z298" t="e">
            <v>#N/A</v>
          </cell>
          <cell r="AA298" t="e">
            <v>#N/A</v>
          </cell>
          <cell r="AB298" t="e">
            <v>#N/A</v>
          </cell>
          <cell r="AC298" t="e">
            <v>#N/A</v>
          </cell>
          <cell r="AD298" t="e">
            <v>#N/A</v>
          </cell>
          <cell r="AE298" t="e">
            <v>#N/A</v>
          </cell>
          <cell r="AF298" t="e">
            <v>#N/A</v>
          </cell>
          <cell r="AG298" t="e">
            <v>#N/A</v>
          </cell>
          <cell r="AH298" t="e">
            <v>#N/A</v>
          </cell>
          <cell r="AI298" t="e">
            <v>#N/A</v>
          </cell>
          <cell r="AJ298" t="e">
            <v>#N/A</v>
          </cell>
          <cell r="AK298" t="e">
            <v>#N/A</v>
          </cell>
          <cell r="AL298" t="e">
            <v>#N/A</v>
          </cell>
          <cell r="AM298" t="e">
            <v>#N/A</v>
          </cell>
          <cell r="AN298" t="e">
            <v>#N/A</v>
          </cell>
          <cell r="AO298" t="e">
            <v>#N/A</v>
          </cell>
          <cell r="AP298" t="e">
            <v>#N/A</v>
          </cell>
          <cell r="AQ298" t="e">
            <v>#N/A</v>
          </cell>
          <cell r="AR298" t="e">
            <v>#N/A</v>
          </cell>
          <cell r="AS298" t="e">
            <v>#N/A</v>
          </cell>
          <cell r="AT298" t="e">
            <v>#N/A</v>
          </cell>
          <cell r="AU298" t="e">
            <v>#N/A</v>
          </cell>
          <cell r="AV298" t="e">
            <v>#N/A</v>
          </cell>
          <cell r="AW298" t="e">
            <v>#N/A</v>
          </cell>
          <cell r="AX298" t="e">
            <v>#N/A</v>
          </cell>
          <cell r="AY298" t="e">
            <v>#N/A</v>
          </cell>
          <cell r="AZ298" t="e">
            <v>#N/A</v>
          </cell>
          <cell r="BA298" t="e">
            <v>#N/A</v>
          </cell>
          <cell r="BB298" t="e">
            <v>#N/A</v>
          </cell>
          <cell r="BC298" t="e">
            <v>#N/A</v>
          </cell>
          <cell r="BD298" t="e">
            <v>#N/A</v>
          </cell>
          <cell r="BE298" t="e">
            <v>#N/A</v>
          </cell>
          <cell r="BF298" t="e">
            <v>#N/A</v>
          </cell>
          <cell r="BG298" t="e">
            <v>#N/A</v>
          </cell>
          <cell r="BH298" t="e">
            <v>#N/A</v>
          </cell>
          <cell r="BI298" t="e">
            <v>#N/A</v>
          </cell>
          <cell r="BJ298" t="e">
            <v>#N/A</v>
          </cell>
          <cell r="BK298" t="e">
            <v>#N/A</v>
          </cell>
          <cell r="BL298" t="e">
            <v>#N/A</v>
          </cell>
          <cell r="BM298" t="e">
            <v>#N/A</v>
          </cell>
          <cell r="BN298" t="e">
            <v>#N/A</v>
          </cell>
          <cell r="BO298" t="e">
            <v>#N/A</v>
          </cell>
          <cell r="BP298" t="e">
            <v>#N/A</v>
          </cell>
          <cell r="BQ298" t="e">
            <v>#N/A</v>
          </cell>
          <cell r="BR298" t="e">
            <v>#N/A</v>
          </cell>
          <cell r="BS298" t="e">
            <v>#N/A</v>
          </cell>
          <cell r="BT298" t="e">
            <v>#N/A</v>
          </cell>
          <cell r="BU298" t="e">
            <v>#N/A</v>
          </cell>
          <cell r="BV298" t="e">
            <v>#N/A</v>
          </cell>
          <cell r="BW298" t="e">
            <v>#N/A</v>
          </cell>
          <cell r="BX298" t="e">
            <v>#N/A</v>
          </cell>
          <cell r="BY298" t="e">
            <v>#N/A</v>
          </cell>
        </row>
        <row r="299">
          <cell r="B299" t="str">
            <v>Preferred dividends</v>
          </cell>
          <cell r="C299" t="str">
            <v>PREF_DIV</v>
          </cell>
          <cell r="D299" t="str">
            <v>CNY</v>
          </cell>
          <cell r="F299" t="e">
            <v>#N/A</v>
          </cell>
          <cell r="G299" t="e">
            <v>#N/A</v>
          </cell>
          <cell r="H299" t="e">
            <v>#N/A</v>
          </cell>
          <cell r="I299" t="e">
            <v>#N/A</v>
          </cell>
          <cell r="J299" t="e">
            <v>#N/A</v>
          </cell>
          <cell r="K299" t="e">
            <v>#N/A</v>
          </cell>
          <cell r="L299" t="e">
            <v>#N/A</v>
          </cell>
          <cell r="M299" t="e">
            <v>#N/A</v>
          </cell>
          <cell r="N299" t="e">
            <v>#N/A</v>
          </cell>
          <cell r="O299" t="e">
            <v>#N/A</v>
          </cell>
          <cell r="P299" t="e">
            <v>#N/A</v>
          </cell>
          <cell r="Q299" t="e">
            <v>#N/A</v>
          </cell>
          <cell r="R299" t="e">
            <v>#N/A</v>
          </cell>
          <cell r="S299" t="e">
            <v>#N/A</v>
          </cell>
          <cell r="T299" t="e">
            <v>#N/A</v>
          </cell>
          <cell r="U299" t="e">
            <v>#N/A</v>
          </cell>
          <cell r="V299" t="e">
            <v>#N/A</v>
          </cell>
          <cell r="W299" t="e">
            <v>#N/A</v>
          </cell>
          <cell r="X299" t="e">
            <v>#N/A</v>
          </cell>
          <cell r="Z299" t="e">
            <v>#N/A</v>
          </cell>
          <cell r="AA299" t="e">
            <v>#N/A</v>
          </cell>
          <cell r="AB299" t="e">
            <v>#N/A</v>
          </cell>
          <cell r="AC299" t="e">
            <v>#N/A</v>
          </cell>
          <cell r="AD299" t="e">
            <v>#N/A</v>
          </cell>
          <cell r="AE299" t="e">
            <v>#N/A</v>
          </cell>
          <cell r="AF299" t="e">
            <v>#N/A</v>
          </cell>
          <cell r="AG299" t="e">
            <v>#N/A</v>
          </cell>
          <cell r="AH299" t="e">
            <v>#N/A</v>
          </cell>
          <cell r="AI299" t="e">
            <v>#N/A</v>
          </cell>
          <cell r="AJ299" t="e">
            <v>#N/A</v>
          </cell>
          <cell r="AK299" t="e">
            <v>#N/A</v>
          </cell>
          <cell r="AL299" t="e">
            <v>#N/A</v>
          </cell>
          <cell r="AM299" t="e">
            <v>#N/A</v>
          </cell>
          <cell r="AN299" t="e">
            <v>#N/A</v>
          </cell>
          <cell r="AO299" t="e">
            <v>#N/A</v>
          </cell>
          <cell r="AP299" t="e">
            <v>#N/A</v>
          </cell>
          <cell r="AQ299" t="e">
            <v>#N/A</v>
          </cell>
          <cell r="AR299" t="e">
            <v>#N/A</v>
          </cell>
          <cell r="AS299" t="e">
            <v>#N/A</v>
          </cell>
          <cell r="AT299" t="e">
            <v>#N/A</v>
          </cell>
          <cell r="AU299" t="e">
            <v>#N/A</v>
          </cell>
          <cell r="AV299" t="e">
            <v>#N/A</v>
          </cell>
          <cell r="AW299" t="e">
            <v>#N/A</v>
          </cell>
          <cell r="AX299" t="e">
            <v>#N/A</v>
          </cell>
          <cell r="AY299" t="e">
            <v>#N/A</v>
          </cell>
          <cell r="AZ299" t="e">
            <v>#N/A</v>
          </cell>
          <cell r="BA299" t="e">
            <v>#N/A</v>
          </cell>
          <cell r="BB299" t="e">
            <v>#N/A</v>
          </cell>
          <cell r="BC299" t="e">
            <v>#N/A</v>
          </cell>
          <cell r="BD299" t="e">
            <v>#N/A</v>
          </cell>
          <cell r="BE299" t="e">
            <v>#N/A</v>
          </cell>
          <cell r="BF299" t="e">
            <v>#N/A</v>
          </cell>
          <cell r="BG299" t="e">
            <v>#N/A</v>
          </cell>
          <cell r="BH299" t="e">
            <v>#N/A</v>
          </cell>
          <cell r="BI299" t="e">
            <v>#N/A</v>
          </cell>
          <cell r="BJ299" t="e">
            <v>#N/A</v>
          </cell>
          <cell r="BK299" t="e">
            <v>#N/A</v>
          </cell>
          <cell r="BL299" t="e">
            <v>#N/A</v>
          </cell>
          <cell r="BM299" t="e">
            <v>#N/A</v>
          </cell>
          <cell r="BN299" t="e">
            <v>#N/A</v>
          </cell>
          <cell r="BO299" t="e">
            <v>#N/A</v>
          </cell>
          <cell r="BP299" t="e">
            <v>#N/A</v>
          </cell>
          <cell r="BQ299" t="e">
            <v>#N/A</v>
          </cell>
          <cell r="BR299" t="e">
            <v>#N/A</v>
          </cell>
          <cell r="BS299" t="e">
            <v>#N/A</v>
          </cell>
          <cell r="BT299" t="e">
            <v>#N/A</v>
          </cell>
          <cell r="BU299" t="e">
            <v>#N/A</v>
          </cell>
          <cell r="BV299" t="e">
            <v>#N/A</v>
          </cell>
          <cell r="BW299" t="e">
            <v>#N/A</v>
          </cell>
          <cell r="BX299" t="e">
            <v>#N/A</v>
          </cell>
          <cell r="BY299" t="e">
            <v>#N/A</v>
          </cell>
        </row>
        <row r="300">
          <cell r="B300" t="str">
            <v>Net income (pre-exceptionals)</v>
          </cell>
          <cell r="C300" t="str">
            <v>NET_EARNING</v>
          </cell>
          <cell r="D300" t="str">
            <v>CNY</v>
          </cell>
          <cell r="F300" t="e">
            <v>#N/A</v>
          </cell>
          <cell r="G300" t="e">
            <v>#N/A</v>
          </cell>
          <cell r="H300" t="e">
            <v>#N/A</v>
          </cell>
          <cell r="I300" t="e">
            <v>#N/A</v>
          </cell>
          <cell r="J300" t="e">
            <v>#N/A</v>
          </cell>
          <cell r="K300" t="e">
            <v>#N/A</v>
          </cell>
          <cell r="L300" t="e">
            <v>#N/A</v>
          </cell>
          <cell r="M300" t="e">
            <v>#N/A</v>
          </cell>
          <cell r="N300" t="e">
            <v>#N/A</v>
          </cell>
          <cell r="O300" t="e">
            <v>#N/A</v>
          </cell>
          <cell r="P300" t="e">
            <v>#N/A</v>
          </cell>
          <cell r="Q300" t="e">
            <v>#N/A</v>
          </cell>
          <cell r="R300" t="e">
            <v>#N/A</v>
          </cell>
          <cell r="S300" t="e">
            <v>#N/A</v>
          </cell>
          <cell r="T300" t="e">
            <v>#N/A</v>
          </cell>
          <cell r="U300" t="e">
            <v>#N/A</v>
          </cell>
          <cell r="V300" t="e">
            <v>#N/A</v>
          </cell>
          <cell r="W300" t="e">
            <v>#N/A</v>
          </cell>
          <cell r="X300" t="e">
            <v>#N/A</v>
          </cell>
          <cell r="Z300" t="e">
            <v>#N/A</v>
          </cell>
          <cell r="AA300" t="e">
            <v>#N/A</v>
          </cell>
          <cell r="AB300" t="e">
            <v>#N/A</v>
          </cell>
          <cell r="AC300" t="e">
            <v>#N/A</v>
          </cell>
          <cell r="AD300" t="e">
            <v>#N/A</v>
          </cell>
          <cell r="AE300" t="e">
            <v>#N/A</v>
          </cell>
          <cell r="AF300" t="e">
            <v>#N/A</v>
          </cell>
          <cell r="AG300" t="e">
            <v>#N/A</v>
          </cell>
          <cell r="AH300" t="e">
            <v>#N/A</v>
          </cell>
          <cell r="AI300" t="e">
            <v>#N/A</v>
          </cell>
          <cell r="AJ300" t="e">
            <v>#N/A</v>
          </cell>
          <cell r="AK300" t="e">
            <v>#N/A</v>
          </cell>
          <cell r="AL300" t="e">
            <v>#N/A</v>
          </cell>
          <cell r="AM300" t="e">
            <v>#N/A</v>
          </cell>
          <cell r="AN300" t="e">
            <v>#N/A</v>
          </cell>
          <cell r="AO300" t="e">
            <v>#N/A</v>
          </cell>
          <cell r="AP300" t="e">
            <v>#N/A</v>
          </cell>
          <cell r="AQ300" t="e">
            <v>#N/A</v>
          </cell>
          <cell r="AR300" t="e">
            <v>#N/A</v>
          </cell>
          <cell r="AS300" t="e">
            <v>#N/A</v>
          </cell>
          <cell r="AT300" t="e">
            <v>#N/A</v>
          </cell>
          <cell r="AU300" t="e">
            <v>#N/A</v>
          </cell>
          <cell r="AV300" t="e">
            <v>#N/A</v>
          </cell>
          <cell r="AW300" t="e">
            <v>#N/A</v>
          </cell>
          <cell r="AX300" t="e">
            <v>#N/A</v>
          </cell>
          <cell r="AY300" t="e">
            <v>#N/A</v>
          </cell>
          <cell r="AZ300" t="e">
            <v>#N/A</v>
          </cell>
          <cell r="BA300" t="e">
            <v>#N/A</v>
          </cell>
          <cell r="BB300" t="e">
            <v>#N/A</v>
          </cell>
          <cell r="BC300" t="e">
            <v>#N/A</v>
          </cell>
          <cell r="BD300" t="e">
            <v>#N/A</v>
          </cell>
          <cell r="BE300" t="e">
            <v>#N/A</v>
          </cell>
          <cell r="BF300" t="e">
            <v>#N/A</v>
          </cell>
          <cell r="BG300" t="e">
            <v>#N/A</v>
          </cell>
          <cell r="BH300" t="e">
            <v>#N/A</v>
          </cell>
          <cell r="BI300" t="e">
            <v>#N/A</v>
          </cell>
          <cell r="BJ300" t="e">
            <v>#N/A</v>
          </cell>
          <cell r="BK300" t="e">
            <v>#N/A</v>
          </cell>
          <cell r="BL300" t="e">
            <v>#N/A</v>
          </cell>
          <cell r="BM300" t="e">
            <v>#N/A</v>
          </cell>
          <cell r="BN300" t="e">
            <v>#N/A</v>
          </cell>
          <cell r="BO300" t="e">
            <v>#N/A</v>
          </cell>
          <cell r="BP300" t="e">
            <v>#N/A</v>
          </cell>
          <cell r="BQ300" t="e">
            <v>#N/A</v>
          </cell>
          <cell r="BR300" t="e">
            <v>#N/A</v>
          </cell>
          <cell r="BS300" t="e">
            <v>#N/A</v>
          </cell>
          <cell r="BT300" t="e">
            <v>#N/A</v>
          </cell>
          <cell r="BU300" t="e">
            <v>#N/A</v>
          </cell>
          <cell r="BV300" t="e">
            <v>#N/A</v>
          </cell>
          <cell r="BW300" t="e">
            <v>#N/A</v>
          </cell>
          <cell r="BX300" t="e">
            <v>#N/A</v>
          </cell>
          <cell r="BY300" t="e">
            <v>#N/A</v>
          </cell>
        </row>
        <row r="301">
          <cell r="B301" t="str">
            <v>Post-tax exceptionals</v>
          </cell>
          <cell r="C301" t="str">
            <v>TAX_EXC</v>
          </cell>
          <cell r="D301" t="str">
            <v>CNY</v>
          </cell>
          <cell r="F301" t="e">
            <v>#N/A</v>
          </cell>
          <cell r="G301" t="e">
            <v>#N/A</v>
          </cell>
          <cell r="H301" t="e">
            <v>#N/A</v>
          </cell>
          <cell r="I301" t="e">
            <v>#N/A</v>
          </cell>
          <cell r="J301" t="e">
            <v>#N/A</v>
          </cell>
          <cell r="K301" t="e">
            <v>#N/A</v>
          </cell>
          <cell r="L301" t="e">
            <v>#N/A</v>
          </cell>
          <cell r="M301" t="e">
            <v>#N/A</v>
          </cell>
          <cell r="N301" t="e">
            <v>#N/A</v>
          </cell>
          <cell r="O301" t="e">
            <v>#N/A</v>
          </cell>
          <cell r="P301" t="e">
            <v>#N/A</v>
          </cell>
          <cell r="Q301" t="e">
            <v>#N/A</v>
          </cell>
          <cell r="R301" t="e">
            <v>#N/A</v>
          </cell>
          <cell r="S301" t="e">
            <v>#N/A</v>
          </cell>
          <cell r="T301" t="e">
            <v>#N/A</v>
          </cell>
          <cell r="U301" t="e">
            <v>#N/A</v>
          </cell>
          <cell r="V301" t="e">
            <v>#N/A</v>
          </cell>
          <cell r="W301" t="e">
            <v>#N/A</v>
          </cell>
          <cell r="X301" t="e">
            <v>#N/A</v>
          </cell>
          <cell r="Z301" t="e">
            <v>#N/A</v>
          </cell>
          <cell r="AA301" t="e">
            <v>#N/A</v>
          </cell>
          <cell r="AB301" t="e">
            <v>#N/A</v>
          </cell>
          <cell r="AC301" t="e">
            <v>#N/A</v>
          </cell>
          <cell r="AD301" t="e">
            <v>#N/A</v>
          </cell>
          <cell r="AE301" t="e">
            <v>#N/A</v>
          </cell>
          <cell r="AF301" t="e">
            <v>#N/A</v>
          </cell>
          <cell r="AG301" t="e">
            <v>#N/A</v>
          </cell>
          <cell r="AH301" t="e">
            <v>#N/A</v>
          </cell>
          <cell r="AI301" t="e">
            <v>#N/A</v>
          </cell>
          <cell r="AJ301" t="e">
            <v>#N/A</v>
          </cell>
          <cell r="AK301" t="e">
            <v>#N/A</v>
          </cell>
          <cell r="AL301" t="e">
            <v>#N/A</v>
          </cell>
          <cell r="AM301" t="e">
            <v>#N/A</v>
          </cell>
          <cell r="AN301" t="e">
            <v>#N/A</v>
          </cell>
          <cell r="AO301" t="e">
            <v>#N/A</v>
          </cell>
          <cell r="AP301" t="e">
            <v>#N/A</v>
          </cell>
          <cell r="AQ301" t="e">
            <v>#N/A</v>
          </cell>
          <cell r="AR301" t="e">
            <v>#N/A</v>
          </cell>
          <cell r="AS301" t="e">
            <v>#N/A</v>
          </cell>
          <cell r="AT301" t="e">
            <v>#N/A</v>
          </cell>
          <cell r="AU301" t="e">
            <v>#N/A</v>
          </cell>
          <cell r="AV301" t="e">
            <v>#N/A</v>
          </cell>
          <cell r="AW301" t="e">
            <v>#N/A</v>
          </cell>
          <cell r="AX301" t="e">
            <v>#N/A</v>
          </cell>
          <cell r="AY301" t="e">
            <v>#N/A</v>
          </cell>
          <cell r="AZ301" t="e">
            <v>#N/A</v>
          </cell>
          <cell r="BA301" t="e">
            <v>#N/A</v>
          </cell>
          <cell r="BB301" t="e">
            <v>#N/A</v>
          </cell>
          <cell r="BC301" t="e">
            <v>#N/A</v>
          </cell>
          <cell r="BD301" t="e">
            <v>#N/A</v>
          </cell>
          <cell r="BE301" t="e">
            <v>#N/A</v>
          </cell>
          <cell r="BF301" t="e">
            <v>#N/A</v>
          </cell>
          <cell r="BG301" t="e">
            <v>#N/A</v>
          </cell>
          <cell r="BH301" t="e">
            <v>#N/A</v>
          </cell>
          <cell r="BI301" t="e">
            <v>#N/A</v>
          </cell>
          <cell r="BJ301" t="e">
            <v>#N/A</v>
          </cell>
          <cell r="BK301" t="e">
            <v>#N/A</v>
          </cell>
          <cell r="BL301" t="e">
            <v>#N/A</v>
          </cell>
          <cell r="BM301" t="e">
            <v>#N/A</v>
          </cell>
          <cell r="BN301" t="e">
            <v>#N/A</v>
          </cell>
          <cell r="BO301" t="e">
            <v>#N/A</v>
          </cell>
          <cell r="BP301" t="e">
            <v>#N/A</v>
          </cell>
          <cell r="BQ301" t="e">
            <v>#N/A</v>
          </cell>
          <cell r="BR301" t="e">
            <v>#N/A</v>
          </cell>
          <cell r="BS301" t="e">
            <v>#N/A</v>
          </cell>
          <cell r="BT301" t="e">
            <v>#N/A</v>
          </cell>
          <cell r="BU301" t="e">
            <v>#N/A</v>
          </cell>
          <cell r="BV301" t="e">
            <v>#N/A</v>
          </cell>
          <cell r="BW301" t="e">
            <v>#N/A</v>
          </cell>
          <cell r="BX301" t="e">
            <v>#N/A</v>
          </cell>
          <cell r="BY301" t="e">
            <v>#N/A</v>
          </cell>
        </row>
        <row r="302">
          <cell r="B302" t="str">
            <v>Net income (post-exceptionals)</v>
          </cell>
          <cell r="C302" t="str">
            <v>NET_INC</v>
          </cell>
          <cell r="D302" t="str">
            <v>CNY</v>
          </cell>
          <cell r="F302" t="e">
            <v>#N/A</v>
          </cell>
          <cell r="G302" t="e">
            <v>#N/A</v>
          </cell>
          <cell r="H302" t="e">
            <v>#N/A</v>
          </cell>
          <cell r="I302" t="e">
            <v>#N/A</v>
          </cell>
          <cell r="J302" t="e">
            <v>#N/A</v>
          </cell>
          <cell r="K302" t="e">
            <v>#N/A</v>
          </cell>
          <cell r="L302" t="e">
            <v>#N/A</v>
          </cell>
          <cell r="M302" t="e">
            <v>#N/A</v>
          </cell>
          <cell r="N302" t="e">
            <v>#N/A</v>
          </cell>
          <cell r="O302" t="e">
            <v>#N/A</v>
          </cell>
          <cell r="P302" t="e">
            <v>#N/A</v>
          </cell>
          <cell r="Q302" t="e">
            <v>#N/A</v>
          </cell>
          <cell r="R302" t="e">
            <v>#N/A</v>
          </cell>
          <cell r="S302" t="e">
            <v>#N/A</v>
          </cell>
          <cell r="T302" t="e">
            <v>#N/A</v>
          </cell>
          <cell r="U302" t="e">
            <v>#N/A</v>
          </cell>
          <cell r="V302" t="e">
            <v>#N/A</v>
          </cell>
          <cell r="W302" t="e">
            <v>#N/A</v>
          </cell>
          <cell r="X302" t="e">
            <v>#N/A</v>
          </cell>
          <cell r="Z302" t="e">
            <v>#N/A</v>
          </cell>
          <cell r="AA302" t="e">
            <v>#N/A</v>
          </cell>
          <cell r="AB302" t="e">
            <v>#N/A</v>
          </cell>
          <cell r="AC302" t="e">
            <v>#N/A</v>
          </cell>
          <cell r="AD302" t="e">
            <v>#N/A</v>
          </cell>
          <cell r="AE302" t="e">
            <v>#N/A</v>
          </cell>
          <cell r="AF302" t="e">
            <v>#N/A</v>
          </cell>
          <cell r="AG302" t="e">
            <v>#N/A</v>
          </cell>
          <cell r="AH302" t="e">
            <v>#N/A</v>
          </cell>
          <cell r="AI302" t="e">
            <v>#N/A</v>
          </cell>
          <cell r="AJ302" t="e">
            <v>#N/A</v>
          </cell>
          <cell r="AK302" t="e">
            <v>#N/A</v>
          </cell>
          <cell r="AL302" t="e">
            <v>#N/A</v>
          </cell>
          <cell r="AM302" t="e">
            <v>#N/A</v>
          </cell>
          <cell r="AN302" t="e">
            <v>#N/A</v>
          </cell>
          <cell r="AO302" t="e">
            <v>#N/A</v>
          </cell>
          <cell r="AP302" t="e">
            <v>#N/A</v>
          </cell>
          <cell r="AQ302" t="e">
            <v>#N/A</v>
          </cell>
          <cell r="AR302" t="e">
            <v>#N/A</v>
          </cell>
          <cell r="AS302" t="e">
            <v>#N/A</v>
          </cell>
          <cell r="AT302" t="e">
            <v>#N/A</v>
          </cell>
          <cell r="AU302" t="e">
            <v>#N/A</v>
          </cell>
          <cell r="AV302" t="e">
            <v>#N/A</v>
          </cell>
          <cell r="AW302" t="e">
            <v>#N/A</v>
          </cell>
          <cell r="AX302" t="e">
            <v>#N/A</v>
          </cell>
          <cell r="AY302" t="e">
            <v>#N/A</v>
          </cell>
          <cell r="AZ302" t="e">
            <v>#N/A</v>
          </cell>
          <cell r="BA302" t="e">
            <v>#N/A</v>
          </cell>
          <cell r="BB302" t="e">
            <v>#N/A</v>
          </cell>
          <cell r="BC302" t="e">
            <v>#N/A</v>
          </cell>
          <cell r="BD302" t="e">
            <v>#N/A</v>
          </cell>
          <cell r="BE302" t="e">
            <v>#N/A</v>
          </cell>
          <cell r="BF302" t="e">
            <v>#N/A</v>
          </cell>
          <cell r="BG302" t="e">
            <v>#N/A</v>
          </cell>
          <cell r="BH302" t="e">
            <v>#N/A</v>
          </cell>
          <cell r="BI302" t="e">
            <v>#N/A</v>
          </cell>
          <cell r="BJ302" t="e">
            <v>#N/A</v>
          </cell>
          <cell r="BK302" t="e">
            <v>#N/A</v>
          </cell>
          <cell r="BL302" t="e">
            <v>#N/A</v>
          </cell>
          <cell r="BM302" t="e">
            <v>#N/A</v>
          </cell>
          <cell r="BN302" t="e">
            <v>#N/A</v>
          </cell>
          <cell r="BO302" t="e">
            <v>#N/A</v>
          </cell>
          <cell r="BP302" t="e">
            <v>#N/A</v>
          </cell>
          <cell r="BQ302" t="e">
            <v>#N/A</v>
          </cell>
          <cell r="BR302" t="e">
            <v>#N/A</v>
          </cell>
          <cell r="BS302" t="e">
            <v>#N/A</v>
          </cell>
          <cell r="BT302" t="e">
            <v>#N/A</v>
          </cell>
          <cell r="BU302" t="e">
            <v>#N/A</v>
          </cell>
          <cell r="BV302" t="e">
            <v>#N/A</v>
          </cell>
          <cell r="BW302" t="e">
            <v>#N/A</v>
          </cell>
          <cell r="BX302" t="e">
            <v>#N/A</v>
          </cell>
          <cell r="BY302" t="e">
            <v>#N/A</v>
          </cell>
        </row>
        <row r="303">
          <cell r="B303" t="str">
            <v>EPS (pre-exceptionals, basic)</v>
          </cell>
          <cell r="C303" t="str">
            <v>EPS</v>
          </cell>
          <cell r="D303" t="str">
            <v>CNY</v>
          </cell>
          <cell r="F303" t="e">
            <v>#N/A</v>
          </cell>
          <cell r="G303" t="e">
            <v>#N/A</v>
          </cell>
          <cell r="H303" t="e">
            <v>#N/A</v>
          </cell>
          <cell r="I303" t="e">
            <v>#N/A</v>
          </cell>
          <cell r="J303" t="e">
            <v>#N/A</v>
          </cell>
          <cell r="K303" t="e">
            <v>#N/A</v>
          </cell>
          <cell r="L303" t="e">
            <v>#N/A</v>
          </cell>
          <cell r="M303" t="e">
            <v>#N/A</v>
          </cell>
          <cell r="N303" t="e">
            <v>#N/A</v>
          </cell>
          <cell r="O303" t="e">
            <v>#N/A</v>
          </cell>
          <cell r="P303" t="e">
            <v>#N/A</v>
          </cell>
          <cell r="Q303" t="e">
            <v>#N/A</v>
          </cell>
          <cell r="R303" t="e">
            <v>#N/A</v>
          </cell>
          <cell r="S303" t="e">
            <v>#N/A</v>
          </cell>
          <cell r="T303" t="e">
            <v>#N/A</v>
          </cell>
          <cell r="U303" t="e">
            <v>#N/A</v>
          </cell>
          <cell r="V303" t="e">
            <v>#N/A</v>
          </cell>
          <cell r="W303" t="e">
            <v>#N/A</v>
          </cell>
          <cell r="X303" t="e">
            <v>#N/A</v>
          </cell>
          <cell r="Z303" t="e">
            <v>#N/A</v>
          </cell>
          <cell r="AA303" t="e">
            <v>#N/A</v>
          </cell>
          <cell r="AB303" t="e">
            <v>#N/A</v>
          </cell>
          <cell r="AC303" t="e">
            <v>#N/A</v>
          </cell>
          <cell r="AD303" t="e">
            <v>#N/A</v>
          </cell>
          <cell r="AE303" t="e">
            <v>#N/A</v>
          </cell>
          <cell r="AF303" t="e">
            <v>#N/A</v>
          </cell>
          <cell r="AG303" t="e">
            <v>#N/A</v>
          </cell>
          <cell r="AH303" t="e">
            <v>#N/A</v>
          </cell>
          <cell r="AI303" t="e">
            <v>#N/A</v>
          </cell>
          <cell r="AJ303" t="e">
            <v>#N/A</v>
          </cell>
          <cell r="AK303" t="e">
            <v>#N/A</v>
          </cell>
          <cell r="AL303" t="e">
            <v>#N/A</v>
          </cell>
          <cell r="AM303" t="e">
            <v>#N/A</v>
          </cell>
          <cell r="AN303" t="e">
            <v>#N/A</v>
          </cell>
          <cell r="AO303" t="e">
            <v>#N/A</v>
          </cell>
          <cell r="AP303" t="e">
            <v>#N/A</v>
          </cell>
          <cell r="AQ303" t="e">
            <v>#N/A</v>
          </cell>
          <cell r="AR303" t="e">
            <v>#N/A</v>
          </cell>
          <cell r="AS303" t="e">
            <v>#N/A</v>
          </cell>
          <cell r="AT303" t="e">
            <v>#N/A</v>
          </cell>
          <cell r="AU303" t="e">
            <v>#N/A</v>
          </cell>
          <cell r="AV303" t="e">
            <v>#N/A</v>
          </cell>
          <cell r="AW303" t="e">
            <v>#N/A</v>
          </cell>
          <cell r="AX303" t="e">
            <v>#N/A</v>
          </cell>
          <cell r="AY303" t="e">
            <v>#N/A</v>
          </cell>
          <cell r="AZ303" t="e">
            <v>#N/A</v>
          </cell>
          <cell r="BA303" t="e">
            <v>#N/A</v>
          </cell>
          <cell r="BB303" t="e">
            <v>#N/A</v>
          </cell>
          <cell r="BC303" t="e">
            <v>#N/A</v>
          </cell>
          <cell r="BD303" t="e">
            <v>#N/A</v>
          </cell>
          <cell r="BE303" t="e">
            <v>#N/A</v>
          </cell>
          <cell r="BF303" t="e">
            <v>#N/A</v>
          </cell>
          <cell r="BG303" t="e">
            <v>#N/A</v>
          </cell>
          <cell r="BH303" t="e">
            <v>#N/A</v>
          </cell>
          <cell r="BI303" t="e">
            <v>#N/A</v>
          </cell>
          <cell r="BJ303" t="e">
            <v>#N/A</v>
          </cell>
          <cell r="BK303" t="e">
            <v>#N/A</v>
          </cell>
          <cell r="BL303" t="e">
            <v>#N/A</v>
          </cell>
          <cell r="BM303" t="e">
            <v>#N/A</v>
          </cell>
          <cell r="BN303" t="e">
            <v>#N/A</v>
          </cell>
          <cell r="BO303" t="e">
            <v>#N/A</v>
          </cell>
          <cell r="BP303" t="e">
            <v>#N/A</v>
          </cell>
          <cell r="BQ303" t="e">
            <v>#N/A</v>
          </cell>
          <cell r="BR303" t="e">
            <v>#N/A</v>
          </cell>
          <cell r="BS303" t="e">
            <v>#N/A</v>
          </cell>
          <cell r="BT303" t="e">
            <v>#N/A</v>
          </cell>
          <cell r="BU303" t="e">
            <v>#N/A</v>
          </cell>
          <cell r="BV303" t="e">
            <v>#N/A</v>
          </cell>
          <cell r="BW303" t="e">
            <v>#N/A</v>
          </cell>
          <cell r="BX303" t="e">
            <v>#N/A</v>
          </cell>
          <cell r="BY303" t="e">
            <v>#N/A</v>
          </cell>
        </row>
        <row r="304">
          <cell r="B304" t="str">
            <v>EPS (pre-exceptionals, diluted)</v>
          </cell>
          <cell r="C304" t="str">
            <v>EPS_FUL_DIL</v>
          </cell>
          <cell r="D304" t="str">
            <v>CNY</v>
          </cell>
          <cell r="F304" t="e">
            <v>#N/A</v>
          </cell>
          <cell r="G304" t="e">
            <v>#N/A</v>
          </cell>
          <cell r="H304" t="e">
            <v>#N/A</v>
          </cell>
          <cell r="I304" t="e">
            <v>#N/A</v>
          </cell>
          <cell r="J304" t="e">
            <v>#N/A</v>
          </cell>
          <cell r="K304" t="e">
            <v>#N/A</v>
          </cell>
          <cell r="L304" t="e">
            <v>#N/A</v>
          </cell>
          <cell r="M304" t="e">
            <v>#N/A</v>
          </cell>
          <cell r="N304" t="e">
            <v>#N/A</v>
          </cell>
          <cell r="O304" t="e">
            <v>#N/A</v>
          </cell>
          <cell r="P304" t="e">
            <v>#N/A</v>
          </cell>
          <cell r="Q304" t="e">
            <v>#N/A</v>
          </cell>
          <cell r="R304" t="e">
            <v>#N/A</v>
          </cell>
          <cell r="S304" t="e">
            <v>#N/A</v>
          </cell>
          <cell r="T304" t="e">
            <v>#N/A</v>
          </cell>
          <cell r="U304" t="e">
            <v>#N/A</v>
          </cell>
          <cell r="V304" t="e">
            <v>#N/A</v>
          </cell>
          <cell r="W304" t="e">
            <v>#N/A</v>
          </cell>
          <cell r="X304" t="e">
            <v>#N/A</v>
          </cell>
          <cell r="Z304" t="e">
            <v>#N/A</v>
          </cell>
          <cell r="AA304" t="e">
            <v>#N/A</v>
          </cell>
          <cell r="AB304" t="e">
            <v>#N/A</v>
          </cell>
          <cell r="AC304" t="e">
            <v>#N/A</v>
          </cell>
          <cell r="AD304" t="e">
            <v>#N/A</v>
          </cell>
          <cell r="AE304" t="e">
            <v>#N/A</v>
          </cell>
          <cell r="AF304" t="e">
            <v>#N/A</v>
          </cell>
          <cell r="AG304" t="e">
            <v>#N/A</v>
          </cell>
          <cell r="AH304" t="e">
            <v>#N/A</v>
          </cell>
          <cell r="AI304" t="e">
            <v>#N/A</v>
          </cell>
          <cell r="AJ304" t="e">
            <v>#N/A</v>
          </cell>
          <cell r="AK304" t="e">
            <v>#N/A</v>
          </cell>
          <cell r="AL304" t="e">
            <v>#N/A</v>
          </cell>
          <cell r="AM304" t="e">
            <v>#N/A</v>
          </cell>
          <cell r="AN304" t="e">
            <v>#N/A</v>
          </cell>
          <cell r="AO304" t="e">
            <v>#N/A</v>
          </cell>
          <cell r="AP304" t="e">
            <v>#N/A</v>
          </cell>
          <cell r="AQ304" t="e">
            <v>#N/A</v>
          </cell>
          <cell r="AR304" t="e">
            <v>#N/A</v>
          </cell>
          <cell r="AS304" t="e">
            <v>#N/A</v>
          </cell>
          <cell r="AT304" t="e">
            <v>#N/A</v>
          </cell>
          <cell r="AU304" t="e">
            <v>#N/A</v>
          </cell>
          <cell r="AV304" t="e">
            <v>#N/A</v>
          </cell>
          <cell r="AW304" t="e">
            <v>#N/A</v>
          </cell>
          <cell r="AX304" t="e">
            <v>#N/A</v>
          </cell>
          <cell r="AY304" t="e">
            <v>#N/A</v>
          </cell>
          <cell r="AZ304" t="e">
            <v>#N/A</v>
          </cell>
          <cell r="BA304" t="e">
            <v>#N/A</v>
          </cell>
          <cell r="BB304" t="e">
            <v>#N/A</v>
          </cell>
          <cell r="BC304" t="e">
            <v>#N/A</v>
          </cell>
          <cell r="BD304" t="e">
            <v>#N/A</v>
          </cell>
          <cell r="BE304" t="e">
            <v>#N/A</v>
          </cell>
          <cell r="BF304" t="e">
            <v>#N/A</v>
          </cell>
          <cell r="BG304" t="e">
            <v>#N/A</v>
          </cell>
          <cell r="BH304" t="e">
            <v>#N/A</v>
          </cell>
          <cell r="BI304" t="e">
            <v>#N/A</v>
          </cell>
          <cell r="BJ304" t="e">
            <v>#N/A</v>
          </cell>
          <cell r="BK304" t="e">
            <v>#N/A</v>
          </cell>
          <cell r="BL304" t="e">
            <v>#N/A</v>
          </cell>
          <cell r="BM304" t="e">
            <v>#N/A</v>
          </cell>
          <cell r="BN304" t="e">
            <v>#N/A</v>
          </cell>
          <cell r="BO304" t="e">
            <v>#N/A</v>
          </cell>
          <cell r="BP304" t="e">
            <v>#N/A</v>
          </cell>
          <cell r="BQ304" t="e">
            <v>#N/A</v>
          </cell>
          <cell r="BR304" t="e">
            <v>#N/A</v>
          </cell>
          <cell r="BS304" t="e">
            <v>#N/A</v>
          </cell>
          <cell r="BT304" t="e">
            <v>#N/A</v>
          </cell>
          <cell r="BU304" t="e">
            <v>#N/A</v>
          </cell>
          <cell r="BV304" t="e">
            <v>#N/A</v>
          </cell>
          <cell r="BW304" t="e">
            <v>#N/A</v>
          </cell>
          <cell r="BX304" t="e">
            <v>#N/A</v>
          </cell>
          <cell r="BY304" t="e">
            <v>#N/A</v>
          </cell>
        </row>
        <row r="305">
          <cell r="B305" t="str">
            <v>EPS (post-exceptionals, basic)</v>
          </cell>
          <cell r="C305" t="str">
            <v>EPS_POST_BASIC</v>
          </cell>
          <cell r="D305" t="str">
            <v>CNY</v>
          </cell>
          <cell r="F305" t="e">
            <v>#N/A</v>
          </cell>
          <cell r="G305" t="e">
            <v>#N/A</v>
          </cell>
          <cell r="H305" t="e">
            <v>#N/A</v>
          </cell>
          <cell r="I305" t="e">
            <v>#N/A</v>
          </cell>
          <cell r="J305" t="e">
            <v>#N/A</v>
          </cell>
          <cell r="K305" t="e">
            <v>#N/A</v>
          </cell>
          <cell r="L305" t="e">
            <v>#N/A</v>
          </cell>
          <cell r="M305" t="e">
            <v>#N/A</v>
          </cell>
          <cell r="N305" t="e">
            <v>#N/A</v>
          </cell>
          <cell r="O305" t="e">
            <v>#N/A</v>
          </cell>
          <cell r="P305" t="e">
            <v>#N/A</v>
          </cell>
          <cell r="Q305" t="e">
            <v>#N/A</v>
          </cell>
          <cell r="R305" t="e">
            <v>#N/A</v>
          </cell>
          <cell r="S305" t="e">
            <v>#N/A</v>
          </cell>
          <cell r="T305" t="e">
            <v>#N/A</v>
          </cell>
          <cell r="U305" t="e">
            <v>#N/A</v>
          </cell>
          <cell r="V305" t="e">
            <v>#N/A</v>
          </cell>
          <cell r="W305" t="e">
            <v>#N/A</v>
          </cell>
          <cell r="X305" t="e">
            <v>#N/A</v>
          </cell>
          <cell r="Z305" t="e">
            <v>#N/A</v>
          </cell>
          <cell r="AA305" t="e">
            <v>#N/A</v>
          </cell>
          <cell r="AB305" t="e">
            <v>#N/A</v>
          </cell>
          <cell r="AC305" t="e">
            <v>#N/A</v>
          </cell>
          <cell r="AD305" t="e">
            <v>#N/A</v>
          </cell>
          <cell r="AE305" t="e">
            <v>#N/A</v>
          </cell>
          <cell r="AF305" t="e">
            <v>#N/A</v>
          </cell>
          <cell r="AG305" t="e">
            <v>#N/A</v>
          </cell>
          <cell r="AH305" t="e">
            <v>#N/A</v>
          </cell>
          <cell r="AI305" t="e">
            <v>#N/A</v>
          </cell>
          <cell r="AJ305" t="e">
            <v>#N/A</v>
          </cell>
          <cell r="AK305" t="e">
            <v>#N/A</v>
          </cell>
          <cell r="AL305" t="e">
            <v>#N/A</v>
          </cell>
          <cell r="AM305" t="e">
            <v>#N/A</v>
          </cell>
          <cell r="AN305" t="e">
            <v>#N/A</v>
          </cell>
          <cell r="AO305" t="e">
            <v>#N/A</v>
          </cell>
          <cell r="AP305" t="e">
            <v>#N/A</v>
          </cell>
          <cell r="AQ305" t="e">
            <v>#N/A</v>
          </cell>
          <cell r="AR305" t="e">
            <v>#N/A</v>
          </cell>
          <cell r="AS305" t="e">
            <v>#N/A</v>
          </cell>
          <cell r="AT305" t="e">
            <v>#N/A</v>
          </cell>
          <cell r="AU305" t="e">
            <v>#N/A</v>
          </cell>
          <cell r="AV305" t="e">
            <v>#N/A</v>
          </cell>
          <cell r="AW305" t="e">
            <v>#N/A</v>
          </cell>
          <cell r="AX305" t="e">
            <v>#N/A</v>
          </cell>
          <cell r="AY305" t="e">
            <v>#N/A</v>
          </cell>
          <cell r="AZ305" t="e">
            <v>#N/A</v>
          </cell>
          <cell r="BA305" t="e">
            <v>#N/A</v>
          </cell>
          <cell r="BB305" t="e">
            <v>#N/A</v>
          </cell>
          <cell r="BC305" t="e">
            <v>#N/A</v>
          </cell>
          <cell r="BD305" t="e">
            <v>#N/A</v>
          </cell>
          <cell r="BE305" t="e">
            <v>#N/A</v>
          </cell>
          <cell r="BF305" t="e">
            <v>#N/A</v>
          </cell>
          <cell r="BG305" t="e">
            <v>#N/A</v>
          </cell>
          <cell r="BH305" t="e">
            <v>#N/A</v>
          </cell>
          <cell r="BI305" t="e">
            <v>#N/A</v>
          </cell>
          <cell r="BJ305" t="e">
            <v>#N/A</v>
          </cell>
          <cell r="BK305" t="e">
            <v>#N/A</v>
          </cell>
          <cell r="BL305" t="e">
            <v>#N/A</v>
          </cell>
          <cell r="BM305" t="e">
            <v>#N/A</v>
          </cell>
          <cell r="BN305" t="e">
            <v>#N/A</v>
          </cell>
          <cell r="BO305" t="e">
            <v>#N/A</v>
          </cell>
          <cell r="BP305" t="e">
            <v>#N/A</v>
          </cell>
          <cell r="BQ305" t="e">
            <v>#N/A</v>
          </cell>
          <cell r="BR305" t="e">
            <v>#N/A</v>
          </cell>
          <cell r="BS305" t="e">
            <v>#N/A</v>
          </cell>
          <cell r="BT305" t="e">
            <v>#N/A</v>
          </cell>
          <cell r="BU305" t="e">
            <v>#N/A</v>
          </cell>
          <cell r="BV305" t="e">
            <v>#N/A</v>
          </cell>
          <cell r="BW305" t="e">
            <v>#N/A</v>
          </cell>
          <cell r="BX305" t="e">
            <v>#N/A</v>
          </cell>
          <cell r="BY305" t="e">
            <v>#N/A</v>
          </cell>
        </row>
        <row r="306">
          <cell r="B306" t="str">
            <v>EPS (post-exceptionals, diluted)</v>
          </cell>
          <cell r="C306" t="str">
            <v>FULLY_DIL_EPS</v>
          </cell>
          <cell r="D306" t="str">
            <v>CNY</v>
          </cell>
          <cell r="F306" t="e">
            <v>#N/A</v>
          </cell>
          <cell r="G306" t="e">
            <v>#N/A</v>
          </cell>
          <cell r="H306" t="e">
            <v>#N/A</v>
          </cell>
          <cell r="I306" t="e">
            <v>#N/A</v>
          </cell>
          <cell r="J306" t="e">
            <v>#N/A</v>
          </cell>
          <cell r="K306" t="e">
            <v>#N/A</v>
          </cell>
          <cell r="L306" t="e">
            <v>#N/A</v>
          </cell>
          <cell r="M306" t="e">
            <v>#N/A</v>
          </cell>
          <cell r="N306" t="e">
            <v>#N/A</v>
          </cell>
          <cell r="O306" t="e">
            <v>#N/A</v>
          </cell>
          <cell r="P306" t="e">
            <v>#N/A</v>
          </cell>
          <cell r="Q306" t="e">
            <v>#N/A</v>
          </cell>
          <cell r="R306" t="e">
            <v>#N/A</v>
          </cell>
          <cell r="S306" t="e">
            <v>#N/A</v>
          </cell>
          <cell r="T306" t="e">
            <v>#N/A</v>
          </cell>
          <cell r="U306" t="e">
            <v>#N/A</v>
          </cell>
          <cell r="V306" t="e">
            <v>#N/A</v>
          </cell>
          <cell r="W306" t="e">
            <v>#N/A</v>
          </cell>
          <cell r="X306" t="e">
            <v>#N/A</v>
          </cell>
          <cell r="Z306" t="e">
            <v>#N/A</v>
          </cell>
          <cell r="AA306" t="e">
            <v>#N/A</v>
          </cell>
          <cell r="AB306" t="e">
            <v>#N/A</v>
          </cell>
          <cell r="AC306" t="e">
            <v>#N/A</v>
          </cell>
          <cell r="AD306" t="e">
            <v>#N/A</v>
          </cell>
          <cell r="AE306" t="e">
            <v>#N/A</v>
          </cell>
          <cell r="AF306" t="e">
            <v>#N/A</v>
          </cell>
          <cell r="AG306" t="e">
            <v>#N/A</v>
          </cell>
          <cell r="AH306" t="e">
            <v>#N/A</v>
          </cell>
          <cell r="AI306" t="e">
            <v>#N/A</v>
          </cell>
          <cell r="AJ306" t="e">
            <v>#N/A</v>
          </cell>
          <cell r="AK306" t="e">
            <v>#N/A</v>
          </cell>
          <cell r="AL306" t="e">
            <v>#N/A</v>
          </cell>
          <cell r="AM306" t="e">
            <v>#N/A</v>
          </cell>
          <cell r="AN306" t="e">
            <v>#N/A</v>
          </cell>
          <cell r="AO306" t="e">
            <v>#N/A</v>
          </cell>
          <cell r="AP306" t="e">
            <v>#N/A</v>
          </cell>
          <cell r="AQ306" t="e">
            <v>#N/A</v>
          </cell>
          <cell r="AR306" t="e">
            <v>#N/A</v>
          </cell>
          <cell r="AS306" t="e">
            <v>#N/A</v>
          </cell>
          <cell r="AT306" t="e">
            <v>#N/A</v>
          </cell>
          <cell r="AU306" t="e">
            <v>#N/A</v>
          </cell>
          <cell r="AV306" t="e">
            <v>#N/A</v>
          </cell>
          <cell r="AW306" t="e">
            <v>#N/A</v>
          </cell>
          <cell r="AX306" t="e">
            <v>#N/A</v>
          </cell>
          <cell r="AY306" t="e">
            <v>#N/A</v>
          </cell>
          <cell r="AZ306" t="e">
            <v>#N/A</v>
          </cell>
          <cell r="BA306" t="e">
            <v>#N/A</v>
          </cell>
          <cell r="BB306" t="e">
            <v>#N/A</v>
          </cell>
          <cell r="BC306" t="e">
            <v>#N/A</v>
          </cell>
          <cell r="BD306" t="e">
            <v>#N/A</v>
          </cell>
          <cell r="BE306" t="e">
            <v>#N/A</v>
          </cell>
          <cell r="BF306" t="e">
            <v>#N/A</v>
          </cell>
          <cell r="BG306" t="e">
            <v>#N/A</v>
          </cell>
          <cell r="BH306" t="e">
            <v>#N/A</v>
          </cell>
          <cell r="BI306" t="e">
            <v>#N/A</v>
          </cell>
          <cell r="BJ306" t="e">
            <v>#N/A</v>
          </cell>
          <cell r="BK306" t="e">
            <v>#N/A</v>
          </cell>
          <cell r="BL306" t="e">
            <v>#N/A</v>
          </cell>
          <cell r="BM306" t="e">
            <v>#N/A</v>
          </cell>
          <cell r="BN306" t="e">
            <v>#N/A</v>
          </cell>
          <cell r="BO306" t="e">
            <v>#N/A</v>
          </cell>
          <cell r="BP306" t="e">
            <v>#N/A</v>
          </cell>
          <cell r="BQ306" t="e">
            <v>#N/A</v>
          </cell>
          <cell r="BR306" t="e">
            <v>#N/A</v>
          </cell>
          <cell r="BS306" t="e">
            <v>#N/A</v>
          </cell>
          <cell r="BT306" t="e">
            <v>#N/A</v>
          </cell>
          <cell r="BU306" t="e">
            <v>#N/A</v>
          </cell>
          <cell r="BV306" t="e">
            <v>#N/A</v>
          </cell>
          <cell r="BW306" t="e">
            <v>#N/A</v>
          </cell>
          <cell r="BX306" t="e">
            <v>#N/A</v>
          </cell>
          <cell r="BY306" t="e">
            <v>#N/A</v>
          </cell>
        </row>
        <row r="307">
          <cell r="B307" t="str">
            <v>Common dividends paid</v>
          </cell>
          <cell r="C307" t="str">
            <v>COMMON_DIV_PAID</v>
          </cell>
          <cell r="D307" t="str">
            <v>CNY</v>
          </cell>
          <cell r="F307" t="e">
            <v>#N/A</v>
          </cell>
          <cell r="G307" t="e">
            <v>#N/A</v>
          </cell>
          <cell r="H307" t="e">
            <v>#N/A</v>
          </cell>
          <cell r="I307" t="e">
            <v>#N/A</v>
          </cell>
          <cell r="J307" t="e">
            <v>#N/A</v>
          </cell>
          <cell r="K307" t="e">
            <v>#N/A</v>
          </cell>
          <cell r="L307" t="e">
            <v>#N/A</v>
          </cell>
          <cell r="M307" t="e">
            <v>#N/A</v>
          </cell>
          <cell r="N307" t="e">
            <v>#N/A</v>
          </cell>
          <cell r="O307" t="e">
            <v>#N/A</v>
          </cell>
          <cell r="P307" t="e">
            <v>#N/A</v>
          </cell>
          <cell r="Q307" t="e">
            <v>#N/A</v>
          </cell>
          <cell r="R307" t="e">
            <v>#N/A</v>
          </cell>
          <cell r="S307" t="e">
            <v>#N/A</v>
          </cell>
          <cell r="T307" t="e">
            <v>#N/A</v>
          </cell>
          <cell r="U307" t="e">
            <v>#N/A</v>
          </cell>
          <cell r="V307" t="e">
            <v>#N/A</v>
          </cell>
          <cell r="W307" t="e">
            <v>#N/A</v>
          </cell>
          <cell r="X307" t="e">
            <v>#N/A</v>
          </cell>
          <cell r="Z307" t="e">
            <v>#N/A</v>
          </cell>
          <cell r="AA307" t="e">
            <v>#N/A</v>
          </cell>
          <cell r="AB307" t="e">
            <v>#N/A</v>
          </cell>
          <cell r="AC307" t="e">
            <v>#N/A</v>
          </cell>
          <cell r="AD307" t="e">
            <v>#N/A</v>
          </cell>
          <cell r="AE307" t="e">
            <v>#N/A</v>
          </cell>
          <cell r="AF307" t="e">
            <v>#N/A</v>
          </cell>
          <cell r="AG307" t="e">
            <v>#N/A</v>
          </cell>
          <cell r="AH307" t="e">
            <v>#N/A</v>
          </cell>
          <cell r="AI307" t="e">
            <v>#N/A</v>
          </cell>
          <cell r="AJ307" t="e">
            <v>#N/A</v>
          </cell>
          <cell r="AK307" t="e">
            <v>#N/A</v>
          </cell>
          <cell r="AL307" t="e">
            <v>#N/A</v>
          </cell>
          <cell r="AM307" t="e">
            <v>#N/A</v>
          </cell>
          <cell r="AN307" t="e">
            <v>#N/A</v>
          </cell>
          <cell r="AO307" t="e">
            <v>#N/A</v>
          </cell>
          <cell r="AP307" t="e">
            <v>#N/A</v>
          </cell>
          <cell r="AQ307" t="e">
            <v>#N/A</v>
          </cell>
          <cell r="AR307" t="e">
            <v>#N/A</v>
          </cell>
          <cell r="AS307" t="e">
            <v>#N/A</v>
          </cell>
          <cell r="AT307" t="e">
            <v>#N/A</v>
          </cell>
          <cell r="AU307" t="e">
            <v>#N/A</v>
          </cell>
          <cell r="AV307" t="e">
            <v>#N/A</v>
          </cell>
          <cell r="AW307" t="e">
            <v>#N/A</v>
          </cell>
          <cell r="AX307" t="e">
            <v>#N/A</v>
          </cell>
          <cell r="AY307" t="e">
            <v>#N/A</v>
          </cell>
          <cell r="AZ307" t="e">
            <v>#N/A</v>
          </cell>
          <cell r="BA307" t="e">
            <v>#N/A</v>
          </cell>
          <cell r="BB307" t="e">
            <v>#N/A</v>
          </cell>
          <cell r="BC307" t="e">
            <v>#N/A</v>
          </cell>
          <cell r="BD307" t="e">
            <v>#N/A</v>
          </cell>
          <cell r="BE307" t="e">
            <v>#N/A</v>
          </cell>
          <cell r="BF307" t="e">
            <v>#N/A</v>
          </cell>
          <cell r="BG307" t="e">
            <v>#N/A</v>
          </cell>
          <cell r="BH307" t="e">
            <v>#N/A</v>
          </cell>
          <cell r="BI307" t="e">
            <v>#N/A</v>
          </cell>
          <cell r="BJ307" t="e">
            <v>#N/A</v>
          </cell>
          <cell r="BK307" t="e">
            <v>#N/A</v>
          </cell>
          <cell r="BL307" t="e">
            <v>#N/A</v>
          </cell>
          <cell r="BM307" t="e">
            <v>#N/A</v>
          </cell>
          <cell r="BN307" t="e">
            <v>#N/A</v>
          </cell>
          <cell r="BO307" t="e">
            <v>#N/A</v>
          </cell>
          <cell r="BP307" t="e">
            <v>#N/A</v>
          </cell>
          <cell r="BQ307" t="e">
            <v>#N/A</v>
          </cell>
          <cell r="BR307" t="e">
            <v>#N/A</v>
          </cell>
          <cell r="BS307" t="e">
            <v>#N/A</v>
          </cell>
          <cell r="BT307" t="e">
            <v>#N/A</v>
          </cell>
          <cell r="BU307" t="e">
            <v>#N/A</v>
          </cell>
          <cell r="BV307" t="e">
            <v>#N/A</v>
          </cell>
          <cell r="BW307" t="e">
            <v>#N/A</v>
          </cell>
          <cell r="BX307" t="e">
            <v>#N/A</v>
          </cell>
          <cell r="BY307" t="e">
            <v>#N/A</v>
          </cell>
        </row>
        <row r="308">
          <cell r="B308" t="str">
            <v>DPS, dividend per share</v>
          </cell>
          <cell r="C308" t="str">
            <v>DPS</v>
          </cell>
          <cell r="D308" t="str">
            <v>CNY</v>
          </cell>
          <cell r="F308" t="e">
            <v>#N/A</v>
          </cell>
          <cell r="G308" t="e">
            <v>#N/A</v>
          </cell>
          <cell r="H308" t="e">
            <v>#N/A</v>
          </cell>
          <cell r="I308" t="e">
            <v>#N/A</v>
          </cell>
          <cell r="J308" t="e">
            <v>#N/A</v>
          </cell>
          <cell r="K308" t="e">
            <v>#N/A</v>
          </cell>
          <cell r="L308" t="e">
            <v>#N/A</v>
          </cell>
          <cell r="M308" t="e">
            <v>#N/A</v>
          </cell>
          <cell r="N308" t="e">
            <v>#N/A</v>
          </cell>
          <cell r="O308" t="e">
            <v>#N/A</v>
          </cell>
          <cell r="P308" t="e">
            <v>#N/A</v>
          </cell>
          <cell r="Q308" t="e">
            <v>#N/A</v>
          </cell>
          <cell r="R308" t="e">
            <v>#N/A</v>
          </cell>
          <cell r="S308" t="e">
            <v>#N/A</v>
          </cell>
          <cell r="T308" t="e">
            <v>#N/A</v>
          </cell>
          <cell r="U308" t="e">
            <v>#N/A</v>
          </cell>
          <cell r="V308" t="e">
            <v>#N/A</v>
          </cell>
          <cell r="W308" t="e">
            <v>#N/A</v>
          </cell>
          <cell r="X308" t="e">
            <v>#N/A</v>
          </cell>
          <cell r="Z308" t="e">
            <v>#N/A</v>
          </cell>
          <cell r="AA308" t="e">
            <v>#N/A</v>
          </cell>
          <cell r="AB308" t="e">
            <v>#N/A</v>
          </cell>
          <cell r="AC308" t="e">
            <v>#N/A</v>
          </cell>
          <cell r="AD308" t="e">
            <v>#N/A</v>
          </cell>
          <cell r="AE308" t="e">
            <v>#N/A</v>
          </cell>
          <cell r="AF308" t="e">
            <v>#N/A</v>
          </cell>
          <cell r="AG308" t="e">
            <v>#N/A</v>
          </cell>
          <cell r="AH308" t="e">
            <v>#N/A</v>
          </cell>
          <cell r="AI308" t="e">
            <v>#N/A</v>
          </cell>
          <cell r="AJ308" t="e">
            <v>#N/A</v>
          </cell>
          <cell r="AK308" t="e">
            <v>#N/A</v>
          </cell>
          <cell r="AL308" t="e">
            <v>#N/A</v>
          </cell>
          <cell r="AM308" t="e">
            <v>#N/A</v>
          </cell>
          <cell r="AN308" t="e">
            <v>#N/A</v>
          </cell>
          <cell r="AO308" t="e">
            <v>#N/A</v>
          </cell>
          <cell r="AP308" t="e">
            <v>#N/A</v>
          </cell>
          <cell r="AQ308" t="e">
            <v>#N/A</v>
          </cell>
          <cell r="AR308" t="e">
            <v>#N/A</v>
          </cell>
          <cell r="AS308" t="e">
            <v>#N/A</v>
          </cell>
          <cell r="AT308" t="e">
            <v>#N/A</v>
          </cell>
          <cell r="AU308" t="e">
            <v>#N/A</v>
          </cell>
          <cell r="AV308" t="e">
            <v>#N/A</v>
          </cell>
          <cell r="AW308" t="e">
            <v>#N/A</v>
          </cell>
          <cell r="AX308" t="e">
            <v>#N/A</v>
          </cell>
          <cell r="AY308" t="e">
            <v>#N/A</v>
          </cell>
          <cell r="AZ308" t="e">
            <v>#N/A</v>
          </cell>
          <cell r="BA308" t="e">
            <v>#N/A</v>
          </cell>
          <cell r="BB308" t="e">
            <v>#N/A</v>
          </cell>
          <cell r="BC308" t="e">
            <v>#N/A</v>
          </cell>
          <cell r="BD308" t="e">
            <v>#N/A</v>
          </cell>
          <cell r="BE308" t="e">
            <v>#N/A</v>
          </cell>
          <cell r="BF308" t="e">
            <v>#N/A</v>
          </cell>
          <cell r="BG308" t="e">
            <v>#N/A</v>
          </cell>
          <cell r="BH308" t="e">
            <v>#N/A</v>
          </cell>
          <cell r="BI308" t="e">
            <v>#N/A</v>
          </cell>
          <cell r="BJ308" t="e">
            <v>#N/A</v>
          </cell>
          <cell r="BK308" t="e">
            <v>#N/A</v>
          </cell>
          <cell r="BL308" t="e">
            <v>#N/A</v>
          </cell>
          <cell r="BM308" t="e">
            <v>#N/A</v>
          </cell>
          <cell r="BN308" t="e">
            <v>#N/A</v>
          </cell>
          <cell r="BO308" t="e">
            <v>#N/A</v>
          </cell>
          <cell r="BP308" t="e">
            <v>#N/A</v>
          </cell>
          <cell r="BQ308" t="e">
            <v>#N/A</v>
          </cell>
          <cell r="BR308" t="e">
            <v>#N/A</v>
          </cell>
          <cell r="BS308" t="e">
            <v>#N/A</v>
          </cell>
          <cell r="BT308" t="e">
            <v>#N/A</v>
          </cell>
          <cell r="BU308" t="e">
            <v>#N/A</v>
          </cell>
          <cell r="BV308" t="e">
            <v>#N/A</v>
          </cell>
          <cell r="BW308" t="e">
            <v>#N/A</v>
          </cell>
          <cell r="BX308" t="e">
            <v>#N/A</v>
          </cell>
          <cell r="BY308" t="e">
            <v>#N/A</v>
          </cell>
        </row>
        <row r="309">
          <cell r="B309" t="str">
            <v>Weighted average shares outstanding, basic</v>
          </cell>
          <cell r="C309" t="str">
            <v>SH</v>
          </cell>
          <cell r="F309" t="e">
            <v>#N/A</v>
          </cell>
          <cell r="G309" t="e">
            <v>#N/A</v>
          </cell>
          <cell r="H309" t="e">
            <v>#N/A</v>
          </cell>
          <cell r="I309" t="e">
            <v>#N/A</v>
          </cell>
          <cell r="J309" t="e">
            <v>#N/A</v>
          </cell>
          <cell r="K309" t="e">
            <v>#N/A</v>
          </cell>
          <cell r="L309" t="e">
            <v>#N/A</v>
          </cell>
          <cell r="M309" t="e">
            <v>#N/A</v>
          </cell>
          <cell r="N309" t="e">
            <v>#N/A</v>
          </cell>
          <cell r="O309" t="e">
            <v>#N/A</v>
          </cell>
          <cell r="P309" t="e">
            <v>#N/A</v>
          </cell>
          <cell r="Q309" t="e">
            <v>#N/A</v>
          </cell>
          <cell r="R309" t="e">
            <v>#N/A</v>
          </cell>
          <cell r="S309" t="e">
            <v>#N/A</v>
          </cell>
          <cell r="T309" t="e">
            <v>#N/A</v>
          </cell>
          <cell r="U309" t="e">
            <v>#N/A</v>
          </cell>
          <cell r="V309" t="e">
            <v>#N/A</v>
          </cell>
          <cell r="W309" t="e">
            <v>#N/A</v>
          </cell>
          <cell r="X309" t="e">
            <v>#N/A</v>
          </cell>
          <cell r="Z309" t="e">
            <v>#N/A</v>
          </cell>
          <cell r="AA309" t="e">
            <v>#N/A</v>
          </cell>
          <cell r="AB309" t="e">
            <v>#N/A</v>
          </cell>
          <cell r="AC309" t="e">
            <v>#N/A</v>
          </cell>
          <cell r="AD309" t="e">
            <v>#N/A</v>
          </cell>
          <cell r="AE309" t="e">
            <v>#N/A</v>
          </cell>
          <cell r="AF309" t="e">
            <v>#N/A</v>
          </cell>
          <cell r="AG309" t="e">
            <v>#N/A</v>
          </cell>
          <cell r="AH309" t="e">
            <v>#N/A</v>
          </cell>
          <cell r="AI309" t="e">
            <v>#N/A</v>
          </cell>
          <cell r="AJ309" t="e">
            <v>#N/A</v>
          </cell>
          <cell r="AK309" t="e">
            <v>#N/A</v>
          </cell>
          <cell r="AL309" t="e">
            <v>#N/A</v>
          </cell>
          <cell r="AM309" t="e">
            <v>#N/A</v>
          </cell>
          <cell r="AN309" t="e">
            <v>#N/A</v>
          </cell>
          <cell r="AO309" t="e">
            <v>#N/A</v>
          </cell>
          <cell r="AP309" t="e">
            <v>#N/A</v>
          </cell>
          <cell r="AQ309" t="e">
            <v>#N/A</v>
          </cell>
          <cell r="AR309" t="e">
            <v>#N/A</v>
          </cell>
          <cell r="AS309" t="e">
            <v>#N/A</v>
          </cell>
          <cell r="AT309" t="e">
            <v>#N/A</v>
          </cell>
          <cell r="AU309" t="e">
            <v>#N/A</v>
          </cell>
          <cell r="AV309" t="e">
            <v>#N/A</v>
          </cell>
          <cell r="AW309" t="e">
            <v>#N/A</v>
          </cell>
          <cell r="AX309" t="e">
            <v>#N/A</v>
          </cell>
          <cell r="AY309" t="e">
            <v>#N/A</v>
          </cell>
          <cell r="AZ309" t="e">
            <v>#N/A</v>
          </cell>
          <cell r="BA309" t="e">
            <v>#N/A</v>
          </cell>
          <cell r="BB309" t="e">
            <v>#N/A</v>
          </cell>
          <cell r="BC309" t="e">
            <v>#N/A</v>
          </cell>
          <cell r="BD309" t="e">
            <v>#N/A</v>
          </cell>
          <cell r="BE309" t="e">
            <v>#N/A</v>
          </cell>
          <cell r="BF309" t="e">
            <v>#N/A</v>
          </cell>
          <cell r="BG309" t="e">
            <v>#N/A</v>
          </cell>
          <cell r="BH309" t="e">
            <v>#N/A</v>
          </cell>
          <cell r="BI309" t="e">
            <v>#N/A</v>
          </cell>
          <cell r="BJ309" t="e">
            <v>#N/A</v>
          </cell>
          <cell r="BK309" t="e">
            <v>#N/A</v>
          </cell>
          <cell r="BL309" t="e">
            <v>#N/A</v>
          </cell>
          <cell r="BM309" t="e">
            <v>#N/A</v>
          </cell>
          <cell r="BN309" t="e">
            <v>#N/A</v>
          </cell>
          <cell r="BO309" t="e">
            <v>#N/A</v>
          </cell>
          <cell r="BP309" t="e">
            <v>#N/A</v>
          </cell>
          <cell r="BQ309" t="e">
            <v>#N/A</v>
          </cell>
          <cell r="BR309" t="e">
            <v>#N/A</v>
          </cell>
          <cell r="BS309" t="e">
            <v>#N/A</v>
          </cell>
          <cell r="BT309" t="e">
            <v>#N/A</v>
          </cell>
          <cell r="BU309" t="e">
            <v>#N/A</v>
          </cell>
          <cell r="BV309" t="e">
            <v>#N/A</v>
          </cell>
          <cell r="BW309" t="e">
            <v>#N/A</v>
          </cell>
          <cell r="BX309" t="e">
            <v>#N/A</v>
          </cell>
          <cell r="BY309" t="e">
            <v>#N/A</v>
          </cell>
        </row>
        <row r="310">
          <cell r="B310" t="str">
            <v>Diluted average shares outstanding (mn)</v>
          </cell>
          <cell r="C310" t="str">
            <v>DILUTE_SHARES</v>
          </cell>
          <cell r="F310" t="e">
            <v>#N/A</v>
          </cell>
          <cell r="G310" t="e">
            <v>#N/A</v>
          </cell>
          <cell r="H310" t="e">
            <v>#N/A</v>
          </cell>
          <cell r="I310" t="e">
            <v>#N/A</v>
          </cell>
          <cell r="J310" t="e">
            <v>#N/A</v>
          </cell>
          <cell r="K310" t="e">
            <v>#N/A</v>
          </cell>
          <cell r="L310" t="e">
            <v>#N/A</v>
          </cell>
          <cell r="M310" t="e">
            <v>#N/A</v>
          </cell>
          <cell r="N310" t="e">
            <v>#N/A</v>
          </cell>
          <cell r="O310" t="e">
            <v>#N/A</v>
          </cell>
          <cell r="P310" t="e">
            <v>#N/A</v>
          </cell>
          <cell r="Q310" t="e">
            <v>#N/A</v>
          </cell>
          <cell r="R310" t="e">
            <v>#N/A</v>
          </cell>
          <cell r="S310" t="e">
            <v>#N/A</v>
          </cell>
          <cell r="T310" t="e">
            <v>#N/A</v>
          </cell>
          <cell r="U310" t="e">
            <v>#N/A</v>
          </cell>
          <cell r="V310" t="e">
            <v>#N/A</v>
          </cell>
          <cell r="W310" t="e">
            <v>#N/A</v>
          </cell>
          <cell r="X310" t="e">
            <v>#N/A</v>
          </cell>
          <cell r="Z310" t="e">
            <v>#N/A</v>
          </cell>
          <cell r="AA310" t="e">
            <v>#N/A</v>
          </cell>
          <cell r="AB310" t="e">
            <v>#N/A</v>
          </cell>
          <cell r="AC310" t="e">
            <v>#N/A</v>
          </cell>
          <cell r="AD310" t="e">
            <v>#N/A</v>
          </cell>
          <cell r="AE310" t="e">
            <v>#N/A</v>
          </cell>
          <cell r="AF310" t="e">
            <v>#N/A</v>
          </cell>
          <cell r="AG310" t="e">
            <v>#N/A</v>
          </cell>
          <cell r="AH310" t="e">
            <v>#N/A</v>
          </cell>
          <cell r="AI310" t="e">
            <v>#N/A</v>
          </cell>
          <cell r="AJ310" t="e">
            <v>#N/A</v>
          </cell>
          <cell r="AK310" t="e">
            <v>#N/A</v>
          </cell>
          <cell r="AL310" t="e">
            <v>#N/A</v>
          </cell>
          <cell r="AM310" t="e">
            <v>#N/A</v>
          </cell>
          <cell r="AN310" t="e">
            <v>#N/A</v>
          </cell>
          <cell r="AO310" t="e">
            <v>#N/A</v>
          </cell>
          <cell r="AP310" t="e">
            <v>#N/A</v>
          </cell>
          <cell r="AQ310" t="e">
            <v>#N/A</v>
          </cell>
          <cell r="AR310" t="e">
            <v>#N/A</v>
          </cell>
          <cell r="AS310" t="e">
            <v>#N/A</v>
          </cell>
          <cell r="AT310" t="e">
            <v>#N/A</v>
          </cell>
          <cell r="AU310" t="e">
            <v>#N/A</v>
          </cell>
          <cell r="AV310" t="e">
            <v>#N/A</v>
          </cell>
          <cell r="AW310" t="e">
            <v>#N/A</v>
          </cell>
          <cell r="AX310" t="e">
            <v>#N/A</v>
          </cell>
          <cell r="AY310" t="e">
            <v>#N/A</v>
          </cell>
          <cell r="AZ310" t="e">
            <v>#N/A</v>
          </cell>
          <cell r="BA310" t="e">
            <v>#N/A</v>
          </cell>
          <cell r="BB310" t="e">
            <v>#N/A</v>
          </cell>
          <cell r="BC310" t="e">
            <v>#N/A</v>
          </cell>
          <cell r="BD310" t="e">
            <v>#N/A</v>
          </cell>
          <cell r="BE310" t="e">
            <v>#N/A</v>
          </cell>
          <cell r="BF310" t="e">
            <v>#N/A</v>
          </cell>
          <cell r="BG310" t="e">
            <v>#N/A</v>
          </cell>
          <cell r="BH310" t="e">
            <v>#N/A</v>
          </cell>
          <cell r="BI310" t="e">
            <v>#N/A</v>
          </cell>
          <cell r="BJ310" t="e">
            <v>#N/A</v>
          </cell>
          <cell r="BK310" t="e">
            <v>#N/A</v>
          </cell>
          <cell r="BL310" t="e">
            <v>#N/A</v>
          </cell>
          <cell r="BM310" t="e">
            <v>#N/A</v>
          </cell>
          <cell r="BN310" t="e">
            <v>#N/A</v>
          </cell>
          <cell r="BO310" t="e">
            <v>#N/A</v>
          </cell>
          <cell r="BP310" t="e">
            <v>#N/A</v>
          </cell>
          <cell r="BQ310" t="e">
            <v>#N/A</v>
          </cell>
          <cell r="BR310" t="e">
            <v>#N/A</v>
          </cell>
          <cell r="BS310" t="e">
            <v>#N/A</v>
          </cell>
          <cell r="BT310" t="e">
            <v>#N/A</v>
          </cell>
          <cell r="BU310" t="e">
            <v>#N/A</v>
          </cell>
          <cell r="BV310" t="e">
            <v>#N/A</v>
          </cell>
          <cell r="BW310" t="e">
            <v>#N/A</v>
          </cell>
          <cell r="BX310" t="e">
            <v>#N/A</v>
          </cell>
          <cell r="BY310" t="e">
            <v>#N/A</v>
          </cell>
        </row>
        <row r="311">
          <cell r="B311" t="str">
            <v>Period-end shares outstanding</v>
          </cell>
          <cell r="C311" t="str">
            <v>NON_OP_ADD</v>
          </cell>
          <cell r="F311" t="e">
            <v>#N/A</v>
          </cell>
          <cell r="G311" t="e">
            <v>#N/A</v>
          </cell>
          <cell r="H311" t="e">
            <v>#N/A</v>
          </cell>
          <cell r="I311" t="e">
            <v>#N/A</v>
          </cell>
          <cell r="J311" t="e">
            <v>#N/A</v>
          </cell>
          <cell r="K311" t="e">
            <v>#N/A</v>
          </cell>
          <cell r="L311" t="e">
            <v>#N/A</v>
          </cell>
          <cell r="M311" t="e">
            <v>#N/A</v>
          </cell>
          <cell r="N311" t="e">
            <v>#N/A</v>
          </cell>
          <cell r="O311" t="e">
            <v>#N/A</v>
          </cell>
          <cell r="P311" t="e">
            <v>#N/A</v>
          </cell>
          <cell r="Q311" t="e">
            <v>#N/A</v>
          </cell>
          <cell r="R311" t="e">
            <v>#N/A</v>
          </cell>
          <cell r="S311" t="e">
            <v>#N/A</v>
          </cell>
          <cell r="T311" t="e">
            <v>#N/A</v>
          </cell>
          <cell r="U311" t="e">
            <v>#N/A</v>
          </cell>
          <cell r="V311" t="e">
            <v>#N/A</v>
          </cell>
          <cell r="W311" t="e">
            <v>#N/A</v>
          </cell>
          <cell r="X311" t="e">
            <v>#N/A</v>
          </cell>
          <cell r="Z311" t="e">
            <v>#N/A</v>
          </cell>
          <cell r="AA311" t="e">
            <v>#N/A</v>
          </cell>
          <cell r="AB311" t="e">
            <v>#N/A</v>
          </cell>
          <cell r="AC311" t="e">
            <v>#N/A</v>
          </cell>
          <cell r="AD311" t="e">
            <v>#N/A</v>
          </cell>
          <cell r="AE311" t="e">
            <v>#N/A</v>
          </cell>
          <cell r="AF311" t="e">
            <v>#N/A</v>
          </cell>
          <cell r="AG311" t="e">
            <v>#N/A</v>
          </cell>
          <cell r="AH311" t="e">
            <v>#N/A</v>
          </cell>
          <cell r="AI311" t="e">
            <v>#N/A</v>
          </cell>
          <cell r="AJ311" t="e">
            <v>#N/A</v>
          </cell>
          <cell r="AK311" t="e">
            <v>#N/A</v>
          </cell>
          <cell r="AL311" t="e">
            <v>#N/A</v>
          </cell>
          <cell r="AM311" t="e">
            <v>#N/A</v>
          </cell>
          <cell r="AN311" t="e">
            <v>#N/A</v>
          </cell>
          <cell r="AO311" t="e">
            <v>#N/A</v>
          </cell>
          <cell r="AP311" t="e">
            <v>#N/A</v>
          </cell>
          <cell r="AQ311" t="e">
            <v>#N/A</v>
          </cell>
          <cell r="AR311" t="e">
            <v>#N/A</v>
          </cell>
          <cell r="AS311" t="e">
            <v>#N/A</v>
          </cell>
          <cell r="AT311" t="e">
            <v>#N/A</v>
          </cell>
          <cell r="AU311" t="e">
            <v>#N/A</v>
          </cell>
          <cell r="AV311" t="e">
            <v>#N/A</v>
          </cell>
          <cell r="AW311" t="e">
            <v>#N/A</v>
          </cell>
          <cell r="AX311" t="e">
            <v>#N/A</v>
          </cell>
          <cell r="AY311" t="e">
            <v>#N/A</v>
          </cell>
          <cell r="AZ311" t="e">
            <v>#N/A</v>
          </cell>
          <cell r="BA311" t="e">
            <v>#N/A</v>
          </cell>
          <cell r="BB311" t="e">
            <v>#N/A</v>
          </cell>
          <cell r="BC311" t="e">
            <v>#N/A</v>
          </cell>
          <cell r="BD311" t="e">
            <v>#N/A</v>
          </cell>
          <cell r="BE311" t="e">
            <v>#N/A</v>
          </cell>
          <cell r="BF311" t="e">
            <v>#N/A</v>
          </cell>
          <cell r="BG311" t="e">
            <v>#N/A</v>
          </cell>
          <cell r="BH311" t="e">
            <v>#N/A</v>
          </cell>
          <cell r="BI311" t="e">
            <v>#N/A</v>
          </cell>
          <cell r="BJ311" t="e">
            <v>#N/A</v>
          </cell>
          <cell r="BK311" t="e">
            <v>#N/A</v>
          </cell>
          <cell r="BL311" t="e">
            <v>#N/A</v>
          </cell>
          <cell r="BM311" t="e">
            <v>#N/A</v>
          </cell>
          <cell r="BN311" t="e">
            <v>#N/A</v>
          </cell>
          <cell r="BO311" t="e">
            <v>#N/A</v>
          </cell>
          <cell r="BP311" t="e">
            <v>#N/A</v>
          </cell>
          <cell r="BQ311" t="e">
            <v>#N/A</v>
          </cell>
          <cell r="BR311" t="e">
            <v>#N/A</v>
          </cell>
          <cell r="BS311" t="e">
            <v>#N/A</v>
          </cell>
          <cell r="BT311" t="e">
            <v>#N/A</v>
          </cell>
          <cell r="BU311" t="e">
            <v>#N/A</v>
          </cell>
          <cell r="BV311" t="e">
            <v>#N/A</v>
          </cell>
          <cell r="BW311" t="e">
            <v>#N/A</v>
          </cell>
          <cell r="BX311" t="e">
            <v>#N/A</v>
          </cell>
          <cell r="BY311" t="e">
            <v>#N/A</v>
          </cell>
        </row>
        <row r="312">
          <cell r="A312" t="str">
            <v>Additional Income Statement Items</v>
          </cell>
        </row>
        <row r="313">
          <cell r="B313" t="str">
            <v>Marginal tax rate</v>
          </cell>
          <cell r="C313" t="str">
            <v>MARGIN_TAX_RATE</v>
          </cell>
          <cell r="F313" t="e">
            <v>#N/A</v>
          </cell>
          <cell r="G313" t="e">
            <v>#N/A</v>
          </cell>
          <cell r="H313" t="e">
            <v>#N/A</v>
          </cell>
          <cell r="I313" t="e">
            <v>#N/A</v>
          </cell>
          <cell r="J313" t="e">
            <v>#N/A</v>
          </cell>
          <cell r="K313" t="e">
            <v>#N/A</v>
          </cell>
          <cell r="L313" t="e">
            <v>#N/A</v>
          </cell>
          <cell r="M313" t="e">
            <v>#N/A</v>
          </cell>
          <cell r="N313" t="e">
            <v>#N/A</v>
          </cell>
          <cell r="O313" t="e">
            <v>#N/A</v>
          </cell>
          <cell r="P313" t="e">
            <v>#N/A</v>
          </cell>
          <cell r="Q313" t="e">
            <v>#N/A</v>
          </cell>
          <cell r="R313" t="e">
            <v>#N/A</v>
          </cell>
          <cell r="S313" t="e">
            <v>#N/A</v>
          </cell>
          <cell r="T313" t="e">
            <v>#N/A</v>
          </cell>
          <cell r="U313" t="e">
            <v>#N/A</v>
          </cell>
          <cell r="V313" t="e">
            <v>#N/A</v>
          </cell>
          <cell r="W313" t="e">
            <v>#N/A</v>
          </cell>
          <cell r="X313" t="e">
            <v>#N/A</v>
          </cell>
          <cell r="Z313" t="e">
            <v>#N/A</v>
          </cell>
          <cell r="AA313" t="e">
            <v>#N/A</v>
          </cell>
          <cell r="AB313" t="e">
            <v>#N/A</v>
          </cell>
          <cell r="AC313" t="e">
            <v>#N/A</v>
          </cell>
          <cell r="AD313" t="e">
            <v>#N/A</v>
          </cell>
          <cell r="AE313" t="e">
            <v>#N/A</v>
          </cell>
          <cell r="AF313" t="e">
            <v>#N/A</v>
          </cell>
          <cell r="AG313" t="e">
            <v>#N/A</v>
          </cell>
          <cell r="AH313" t="e">
            <v>#N/A</v>
          </cell>
          <cell r="AI313" t="e">
            <v>#N/A</v>
          </cell>
          <cell r="AJ313" t="e">
            <v>#N/A</v>
          </cell>
          <cell r="AK313" t="e">
            <v>#N/A</v>
          </cell>
          <cell r="AL313" t="e">
            <v>#N/A</v>
          </cell>
          <cell r="AM313" t="e">
            <v>#N/A</v>
          </cell>
          <cell r="AN313" t="e">
            <v>#N/A</v>
          </cell>
          <cell r="AO313" t="e">
            <v>#N/A</v>
          </cell>
          <cell r="AP313" t="e">
            <v>#N/A</v>
          </cell>
          <cell r="AQ313" t="e">
            <v>#N/A</v>
          </cell>
          <cell r="AR313" t="e">
            <v>#N/A</v>
          </cell>
          <cell r="AS313" t="e">
            <v>#N/A</v>
          </cell>
          <cell r="AT313" t="e">
            <v>#N/A</v>
          </cell>
          <cell r="AU313" t="e">
            <v>#N/A</v>
          </cell>
          <cell r="AV313" t="e">
            <v>#N/A</v>
          </cell>
          <cell r="AW313" t="e">
            <v>#N/A</v>
          </cell>
          <cell r="AX313" t="e">
            <v>#N/A</v>
          </cell>
          <cell r="AY313" t="e">
            <v>#N/A</v>
          </cell>
          <cell r="AZ313" t="e">
            <v>#N/A</v>
          </cell>
          <cell r="BA313" t="e">
            <v>#N/A</v>
          </cell>
          <cell r="BB313" t="e">
            <v>#N/A</v>
          </cell>
          <cell r="BC313" t="e">
            <v>#N/A</v>
          </cell>
          <cell r="BD313" t="e">
            <v>#N/A</v>
          </cell>
          <cell r="BE313" t="e">
            <v>#N/A</v>
          </cell>
          <cell r="BF313" t="e">
            <v>#N/A</v>
          </cell>
          <cell r="BG313" t="e">
            <v>#N/A</v>
          </cell>
          <cell r="BH313" t="e">
            <v>#N/A</v>
          </cell>
          <cell r="BI313" t="e">
            <v>#N/A</v>
          </cell>
          <cell r="BJ313" t="e">
            <v>#N/A</v>
          </cell>
          <cell r="BK313" t="e">
            <v>#N/A</v>
          </cell>
          <cell r="BL313" t="e">
            <v>#N/A</v>
          </cell>
          <cell r="BM313" t="e">
            <v>#N/A</v>
          </cell>
          <cell r="BN313" t="e">
            <v>#N/A</v>
          </cell>
          <cell r="BO313" t="e">
            <v>#N/A</v>
          </cell>
          <cell r="BP313" t="e">
            <v>#N/A</v>
          </cell>
          <cell r="BQ313" t="e">
            <v>#N/A</v>
          </cell>
          <cell r="BR313" t="e">
            <v>#N/A</v>
          </cell>
          <cell r="BS313" t="e">
            <v>#N/A</v>
          </cell>
          <cell r="BT313" t="e">
            <v>#N/A</v>
          </cell>
          <cell r="BU313" t="e">
            <v>#N/A</v>
          </cell>
          <cell r="BV313" t="e">
            <v>#N/A</v>
          </cell>
          <cell r="BW313" t="e">
            <v>#N/A</v>
          </cell>
          <cell r="BX313" t="e">
            <v>#N/A</v>
          </cell>
          <cell r="BY313" t="e">
            <v>#N/A</v>
          </cell>
        </row>
        <row r="314">
          <cell r="B314" t="str">
            <v>Net income (consensus) (Pub)</v>
          </cell>
          <cell r="C314" t="str">
            <v>NI_CONS</v>
          </cell>
          <cell r="D314" t="str">
            <v>CNY</v>
          </cell>
          <cell r="F314" t="e">
            <v>#N/A</v>
          </cell>
          <cell r="G314" t="e">
            <v>#N/A</v>
          </cell>
          <cell r="H314" t="e">
            <v>#N/A</v>
          </cell>
          <cell r="I314" t="e">
            <v>#N/A</v>
          </cell>
          <cell r="J314" t="e">
            <v>#N/A</v>
          </cell>
          <cell r="K314" t="e">
            <v>#N/A</v>
          </cell>
          <cell r="L314" t="e">
            <v>#N/A</v>
          </cell>
          <cell r="M314" t="e">
            <v>#N/A</v>
          </cell>
          <cell r="N314" t="e">
            <v>#N/A</v>
          </cell>
          <cell r="O314" t="e">
            <v>#N/A</v>
          </cell>
          <cell r="P314" t="e">
            <v>#N/A</v>
          </cell>
          <cell r="Q314" t="e">
            <v>#N/A</v>
          </cell>
          <cell r="R314" t="e">
            <v>#N/A</v>
          </cell>
          <cell r="S314" t="e">
            <v>#N/A</v>
          </cell>
          <cell r="T314" t="e">
            <v>#N/A</v>
          </cell>
          <cell r="U314" t="e">
            <v>#N/A</v>
          </cell>
          <cell r="V314" t="e">
            <v>#N/A</v>
          </cell>
          <cell r="W314" t="e">
            <v>#N/A</v>
          </cell>
          <cell r="X314" t="e">
            <v>#N/A</v>
          </cell>
          <cell r="Z314" t="e">
            <v>#N/A</v>
          </cell>
          <cell r="AA314" t="e">
            <v>#N/A</v>
          </cell>
          <cell r="AB314" t="e">
            <v>#N/A</v>
          </cell>
          <cell r="AC314" t="e">
            <v>#N/A</v>
          </cell>
          <cell r="AD314" t="e">
            <v>#N/A</v>
          </cell>
          <cell r="AE314" t="e">
            <v>#N/A</v>
          </cell>
          <cell r="AF314" t="e">
            <v>#N/A</v>
          </cell>
          <cell r="AG314" t="e">
            <v>#N/A</v>
          </cell>
          <cell r="AH314" t="e">
            <v>#N/A</v>
          </cell>
          <cell r="AI314" t="e">
            <v>#N/A</v>
          </cell>
          <cell r="AJ314" t="e">
            <v>#N/A</v>
          </cell>
          <cell r="AK314" t="e">
            <v>#N/A</v>
          </cell>
          <cell r="AL314" t="e">
            <v>#N/A</v>
          </cell>
          <cell r="AM314" t="e">
            <v>#N/A</v>
          </cell>
          <cell r="AN314" t="e">
            <v>#N/A</v>
          </cell>
          <cell r="AO314" t="e">
            <v>#N/A</v>
          </cell>
          <cell r="AP314" t="e">
            <v>#N/A</v>
          </cell>
          <cell r="AQ314" t="e">
            <v>#N/A</v>
          </cell>
          <cell r="AR314" t="e">
            <v>#N/A</v>
          </cell>
          <cell r="AS314" t="e">
            <v>#N/A</v>
          </cell>
          <cell r="AT314" t="e">
            <v>#N/A</v>
          </cell>
          <cell r="AU314" t="e">
            <v>#N/A</v>
          </cell>
          <cell r="AV314" t="e">
            <v>#N/A</v>
          </cell>
          <cell r="AW314" t="e">
            <v>#N/A</v>
          </cell>
          <cell r="AX314" t="e">
            <v>#N/A</v>
          </cell>
          <cell r="AY314" t="e">
            <v>#N/A</v>
          </cell>
          <cell r="AZ314" t="e">
            <v>#N/A</v>
          </cell>
          <cell r="BA314" t="e">
            <v>#N/A</v>
          </cell>
          <cell r="BB314" t="e">
            <v>#N/A</v>
          </cell>
          <cell r="BC314" t="e">
            <v>#N/A</v>
          </cell>
          <cell r="BD314" t="e">
            <v>#N/A</v>
          </cell>
          <cell r="BE314" t="e">
            <v>#N/A</v>
          </cell>
          <cell r="BF314" t="e">
            <v>#N/A</v>
          </cell>
          <cell r="BG314" t="e">
            <v>#N/A</v>
          </cell>
          <cell r="BH314" t="e">
            <v>#N/A</v>
          </cell>
          <cell r="BI314" t="e">
            <v>#N/A</v>
          </cell>
          <cell r="BJ314" t="e">
            <v>#N/A</v>
          </cell>
          <cell r="BK314" t="e">
            <v>#N/A</v>
          </cell>
          <cell r="BL314" t="e">
            <v>#N/A</v>
          </cell>
          <cell r="BM314" t="e">
            <v>#N/A</v>
          </cell>
          <cell r="BN314" t="e">
            <v>#N/A</v>
          </cell>
          <cell r="BO314" t="e">
            <v>#N/A</v>
          </cell>
          <cell r="BP314" t="e">
            <v>#N/A</v>
          </cell>
          <cell r="BQ314" t="e">
            <v>#N/A</v>
          </cell>
          <cell r="BR314" t="e">
            <v>#N/A</v>
          </cell>
          <cell r="BS314" t="e">
            <v>#N/A</v>
          </cell>
          <cell r="BT314" t="e">
            <v>#N/A</v>
          </cell>
          <cell r="BU314" t="e">
            <v>#N/A</v>
          </cell>
          <cell r="BV314" t="e">
            <v>#N/A</v>
          </cell>
          <cell r="BW314" t="e">
            <v>#N/A</v>
          </cell>
          <cell r="BX314" t="e">
            <v>#N/A</v>
          </cell>
          <cell r="BY314" t="e">
            <v>#N/A</v>
          </cell>
        </row>
        <row r="315">
          <cell r="A315" t="str">
            <v>Balance Sheet</v>
          </cell>
        </row>
        <row r="316">
          <cell r="B316" t="str">
            <v>BVPS, book value per share</v>
          </cell>
          <cell r="C316" t="str">
            <v>BVPS</v>
          </cell>
          <cell r="D316" t="str">
            <v>CNY</v>
          </cell>
          <cell r="F316" t="e">
            <v>#N/A</v>
          </cell>
          <cell r="G316" t="e">
            <v>#N/A</v>
          </cell>
          <cell r="H316" t="e">
            <v>#N/A</v>
          </cell>
          <cell r="I316" t="e">
            <v>#N/A</v>
          </cell>
          <cell r="J316" t="e">
            <v>#N/A</v>
          </cell>
          <cell r="K316" t="e">
            <v>#N/A</v>
          </cell>
          <cell r="L316" t="e">
            <v>#N/A</v>
          </cell>
          <cell r="M316" t="e">
            <v>#N/A</v>
          </cell>
          <cell r="N316" t="e">
            <v>#N/A</v>
          </cell>
          <cell r="O316" t="e">
            <v>#N/A</v>
          </cell>
          <cell r="P316" t="e">
            <v>#N/A</v>
          </cell>
          <cell r="Q316" t="e">
            <v>#N/A</v>
          </cell>
          <cell r="R316" t="e">
            <v>#N/A</v>
          </cell>
          <cell r="S316" t="e">
            <v>#N/A</v>
          </cell>
          <cell r="T316" t="e">
            <v>#N/A</v>
          </cell>
          <cell r="U316" t="e">
            <v>#N/A</v>
          </cell>
          <cell r="V316" t="e">
            <v>#N/A</v>
          </cell>
          <cell r="W316" t="e">
            <v>#N/A</v>
          </cell>
          <cell r="X316" t="e">
            <v>#N/A</v>
          </cell>
          <cell r="Z316" t="e">
            <v>#N/A</v>
          </cell>
          <cell r="AA316" t="e">
            <v>#N/A</v>
          </cell>
          <cell r="AB316" t="e">
            <v>#N/A</v>
          </cell>
          <cell r="AC316" t="e">
            <v>#N/A</v>
          </cell>
          <cell r="AD316" t="e">
            <v>#N/A</v>
          </cell>
          <cell r="AE316" t="e">
            <v>#N/A</v>
          </cell>
          <cell r="AF316" t="e">
            <v>#N/A</v>
          </cell>
          <cell r="AG316" t="e">
            <v>#N/A</v>
          </cell>
          <cell r="AH316" t="e">
            <v>#N/A</v>
          </cell>
          <cell r="AI316" t="e">
            <v>#N/A</v>
          </cell>
          <cell r="AJ316" t="e">
            <v>#N/A</v>
          </cell>
          <cell r="AK316" t="e">
            <v>#N/A</v>
          </cell>
          <cell r="AL316" t="e">
            <v>#N/A</v>
          </cell>
          <cell r="AM316" t="e">
            <v>#N/A</v>
          </cell>
          <cell r="AN316" t="e">
            <v>#N/A</v>
          </cell>
          <cell r="AO316" t="e">
            <v>#N/A</v>
          </cell>
          <cell r="AP316" t="e">
            <v>#N/A</v>
          </cell>
          <cell r="AQ316" t="e">
            <v>#N/A</v>
          </cell>
          <cell r="AR316" t="e">
            <v>#N/A</v>
          </cell>
          <cell r="AS316" t="e">
            <v>#N/A</v>
          </cell>
          <cell r="AT316" t="e">
            <v>#N/A</v>
          </cell>
          <cell r="AU316" t="e">
            <v>#N/A</v>
          </cell>
          <cell r="AV316" t="e">
            <v>#N/A</v>
          </cell>
          <cell r="AW316" t="e">
            <v>#N/A</v>
          </cell>
          <cell r="AX316" t="e">
            <v>#N/A</v>
          </cell>
          <cell r="AY316" t="e">
            <v>#N/A</v>
          </cell>
          <cell r="AZ316" t="e">
            <v>#N/A</v>
          </cell>
          <cell r="BA316" t="e">
            <v>#N/A</v>
          </cell>
          <cell r="BB316" t="e">
            <v>#N/A</v>
          </cell>
          <cell r="BC316" t="e">
            <v>#N/A</v>
          </cell>
          <cell r="BD316" t="e">
            <v>#N/A</v>
          </cell>
          <cell r="BE316" t="e">
            <v>#N/A</v>
          </cell>
          <cell r="BF316" t="e">
            <v>#N/A</v>
          </cell>
          <cell r="BG316" t="e">
            <v>#N/A</v>
          </cell>
          <cell r="BH316" t="e">
            <v>#N/A</v>
          </cell>
          <cell r="BI316" t="e">
            <v>#N/A</v>
          </cell>
          <cell r="BJ316" t="e">
            <v>#N/A</v>
          </cell>
          <cell r="BK316" t="e">
            <v>#N/A</v>
          </cell>
          <cell r="BL316" t="e">
            <v>#N/A</v>
          </cell>
          <cell r="BM316" t="e">
            <v>#N/A</v>
          </cell>
          <cell r="BN316" t="e">
            <v>#N/A</v>
          </cell>
          <cell r="BO316" t="e">
            <v>#N/A</v>
          </cell>
          <cell r="BP316" t="e">
            <v>#N/A</v>
          </cell>
          <cell r="BQ316" t="e">
            <v>#N/A</v>
          </cell>
          <cell r="BR316" t="e">
            <v>#N/A</v>
          </cell>
          <cell r="BS316" t="e">
            <v>#N/A</v>
          </cell>
          <cell r="BT316" t="e">
            <v>#N/A</v>
          </cell>
          <cell r="BU316" t="e">
            <v>#N/A</v>
          </cell>
          <cell r="BV316" t="e">
            <v>#N/A</v>
          </cell>
          <cell r="BW316" t="e">
            <v>#N/A</v>
          </cell>
          <cell r="BX316" t="e">
            <v>#N/A</v>
          </cell>
          <cell r="BY316" t="e">
            <v>#N/A</v>
          </cell>
        </row>
        <row r="317">
          <cell r="A317" t="str">
            <v>Cash Flow Statement</v>
          </cell>
        </row>
        <row r="318">
          <cell r="B318" t="str">
            <v>Net income (pre-preferred dividends)</v>
          </cell>
          <cell r="C318" t="str">
            <v>CF_NI_PRE_PREF</v>
          </cell>
          <cell r="D318" t="str">
            <v>CNY</v>
          </cell>
          <cell r="F318" t="e">
            <v>#N/A</v>
          </cell>
          <cell r="G318" t="e">
            <v>#N/A</v>
          </cell>
          <cell r="H318" t="e">
            <v>#N/A</v>
          </cell>
          <cell r="I318" t="e">
            <v>#N/A</v>
          </cell>
          <cell r="J318" t="e">
            <v>#N/A</v>
          </cell>
          <cell r="K318" t="e">
            <v>#N/A</v>
          </cell>
          <cell r="L318" t="e">
            <v>#N/A</v>
          </cell>
          <cell r="M318" t="e">
            <v>#N/A</v>
          </cell>
          <cell r="N318" t="e">
            <v>#N/A</v>
          </cell>
          <cell r="O318" t="e">
            <v>#N/A</v>
          </cell>
          <cell r="P318" t="e">
            <v>#N/A</v>
          </cell>
          <cell r="Q318" t="e">
            <v>#N/A</v>
          </cell>
          <cell r="R318" t="e">
            <v>#N/A</v>
          </cell>
          <cell r="S318" t="e">
            <v>#N/A</v>
          </cell>
          <cell r="T318" t="e">
            <v>#N/A</v>
          </cell>
          <cell r="U318" t="e">
            <v>#N/A</v>
          </cell>
          <cell r="V318" t="e">
            <v>#N/A</v>
          </cell>
          <cell r="W318" t="e">
            <v>#N/A</v>
          </cell>
          <cell r="X318" t="e">
            <v>#N/A</v>
          </cell>
          <cell r="Z318" t="e">
            <v>#N/A</v>
          </cell>
          <cell r="AA318" t="e">
            <v>#N/A</v>
          </cell>
          <cell r="AB318" t="e">
            <v>#N/A</v>
          </cell>
          <cell r="AC318" t="e">
            <v>#N/A</v>
          </cell>
          <cell r="AD318" t="e">
            <v>#N/A</v>
          </cell>
          <cell r="AE318" t="e">
            <v>#N/A</v>
          </cell>
          <cell r="AF318" t="e">
            <v>#N/A</v>
          </cell>
          <cell r="AG318" t="e">
            <v>#N/A</v>
          </cell>
          <cell r="AH318" t="e">
            <v>#N/A</v>
          </cell>
          <cell r="AI318" t="e">
            <v>#N/A</v>
          </cell>
          <cell r="AJ318" t="e">
            <v>#N/A</v>
          </cell>
          <cell r="AK318" t="e">
            <v>#N/A</v>
          </cell>
          <cell r="AL318" t="e">
            <v>#N/A</v>
          </cell>
          <cell r="AM318" t="e">
            <v>#N/A</v>
          </cell>
          <cell r="AN318" t="e">
            <v>#N/A</v>
          </cell>
          <cell r="AO318" t="e">
            <v>#N/A</v>
          </cell>
          <cell r="AP318" t="e">
            <v>#N/A</v>
          </cell>
          <cell r="AQ318" t="e">
            <v>#N/A</v>
          </cell>
          <cell r="AR318" t="e">
            <v>#N/A</v>
          </cell>
          <cell r="AS318" t="e">
            <v>#N/A</v>
          </cell>
          <cell r="AT318" t="e">
            <v>#N/A</v>
          </cell>
          <cell r="AU318" t="e">
            <v>#N/A</v>
          </cell>
          <cell r="AV318" t="e">
            <v>#N/A</v>
          </cell>
          <cell r="AW318" t="e">
            <v>#N/A</v>
          </cell>
          <cell r="AX318" t="e">
            <v>#N/A</v>
          </cell>
          <cell r="AY318" t="e">
            <v>#N/A</v>
          </cell>
          <cell r="AZ318" t="e">
            <v>#N/A</v>
          </cell>
          <cell r="BA318" t="e">
            <v>#N/A</v>
          </cell>
          <cell r="BB318" t="e">
            <v>#N/A</v>
          </cell>
          <cell r="BC318" t="e">
            <v>#N/A</v>
          </cell>
          <cell r="BD318" t="e">
            <v>#N/A</v>
          </cell>
          <cell r="BE318" t="e">
            <v>#N/A</v>
          </cell>
          <cell r="BF318" t="e">
            <v>#N/A</v>
          </cell>
          <cell r="BG318" t="e">
            <v>#N/A</v>
          </cell>
          <cell r="BH318" t="e">
            <v>#N/A</v>
          </cell>
          <cell r="BI318" t="e">
            <v>#N/A</v>
          </cell>
          <cell r="BJ318" t="e">
            <v>#N/A</v>
          </cell>
          <cell r="BK318" t="e">
            <v>#N/A</v>
          </cell>
          <cell r="BL318" t="e">
            <v>#N/A</v>
          </cell>
          <cell r="BM318" t="e">
            <v>#N/A</v>
          </cell>
          <cell r="BN318" t="e">
            <v>#N/A</v>
          </cell>
          <cell r="BO318" t="e">
            <v>#N/A</v>
          </cell>
          <cell r="BP318" t="e">
            <v>#N/A</v>
          </cell>
          <cell r="BQ318" t="e">
            <v>#N/A</v>
          </cell>
          <cell r="BR318" t="e">
            <v>#N/A</v>
          </cell>
          <cell r="BS318" t="e">
            <v>#N/A</v>
          </cell>
          <cell r="BT318" t="e">
            <v>#N/A</v>
          </cell>
          <cell r="BU318" t="e">
            <v>#N/A</v>
          </cell>
          <cell r="BV318" t="e">
            <v>#N/A</v>
          </cell>
          <cell r="BW318" t="e">
            <v>#N/A</v>
          </cell>
          <cell r="BX318" t="e">
            <v>#N/A</v>
          </cell>
          <cell r="BY318" t="e">
            <v>#N/A</v>
          </cell>
        </row>
        <row r="319">
          <cell r="A319" t="str">
            <v>Other Items</v>
          </cell>
        </row>
        <row r="320">
          <cell r="B320" t="str">
            <v>Beta</v>
          </cell>
          <cell r="C320" t="str">
            <v>BETA_ANALYST</v>
          </cell>
          <cell r="E320" t="e">
            <v>#N/A</v>
          </cell>
        </row>
        <row r="321">
          <cell r="B321" t="str">
            <v>Market equity risk premium</v>
          </cell>
          <cell r="C321" t="str">
            <v>MKT_EQ_RISK_PREM</v>
          </cell>
          <cell r="E321" t="e">
            <v>#N/A</v>
          </cell>
        </row>
        <row r="322">
          <cell r="B322" t="str">
            <v>Risk-free rate</v>
          </cell>
          <cell r="C322" t="str">
            <v>RISK_FR_RATE</v>
          </cell>
          <cell r="E322" t="e">
            <v>#N/A</v>
          </cell>
        </row>
      </sheetData>
      <sheetData sheetId="3" refreshError="1"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Estimate</v>
          </cell>
          <cell r="V2" t="str">
            <v>Estimate</v>
          </cell>
          <cell r="W2" t="str">
            <v>Estimate</v>
          </cell>
          <cell r="X2" t="str">
            <v>Estimate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Actual</v>
          </cell>
          <cell r="AY2" t="str">
            <v>Actual</v>
          </cell>
          <cell r="AZ2" t="str">
            <v>Actual</v>
          </cell>
          <cell r="BA2" t="str">
            <v>Actual</v>
          </cell>
          <cell r="BB2" t="str">
            <v>Actual</v>
          </cell>
          <cell r="BC2" t="str">
            <v>Actual</v>
          </cell>
          <cell r="BD2" t="str">
            <v>Actual</v>
          </cell>
          <cell r="BE2" t="str">
            <v>Actual</v>
          </cell>
          <cell r="BF2" t="str">
            <v>Actual</v>
          </cell>
          <cell r="BG2" t="str">
            <v>Actual</v>
          </cell>
          <cell r="BH2" t="str">
            <v>Actual</v>
          </cell>
          <cell r="BI2" t="str">
            <v>Actual</v>
          </cell>
          <cell r="BJ2" t="str">
            <v>Actual</v>
          </cell>
          <cell r="BK2" t="str">
            <v>Actual</v>
          </cell>
          <cell r="BL2" t="str">
            <v>Actual</v>
          </cell>
          <cell r="BM2" t="str">
            <v>Actual</v>
          </cell>
          <cell r="BN2" t="str">
            <v>Actual</v>
          </cell>
          <cell r="BO2" t="str">
            <v>Actual</v>
          </cell>
          <cell r="BP2" t="str">
            <v>Actual</v>
          </cell>
          <cell r="BQ2" t="str">
            <v>Actual</v>
          </cell>
          <cell r="BR2" t="str">
            <v>Actual</v>
          </cell>
          <cell r="BS2" t="str">
            <v>Estimate</v>
          </cell>
          <cell r="BT2" t="str">
            <v>Estimate</v>
          </cell>
          <cell r="BU2" t="str">
            <v>Estimate</v>
          </cell>
          <cell r="BV2" t="str">
            <v>Estimate</v>
          </cell>
          <cell r="BW2" t="str">
            <v>Estimate</v>
          </cell>
          <cell r="BX2" t="str">
            <v>Estimate</v>
          </cell>
          <cell r="BY2" t="str">
            <v>Estimate</v>
          </cell>
        </row>
        <row r="5">
          <cell r="A5" t="str">
            <v>Reference Data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4">
          <cell r="B114" t="str">
            <v>Sales - % Brazil</v>
          </cell>
          <cell r="C114" t="str">
            <v>SALES_BRAZIL</v>
          </cell>
        </row>
        <row r="115">
          <cell r="B115" t="str">
            <v>Sales - % Other Americas</v>
          </cell>
          <cell r="C115" t="str">
            <v>SALES_OTH_AM</v>
          </cell>
        </row>
        <row r="116">
          <cell r="B116" t="str">
            <v>Sales - Total % EMEA</v>
          </cell>
          <cell r="C116" t="str">
            <v>SALES_TOT_EMEA</v>
          </cell>
        </row>
        <row r="117">
          <cell r="B117" t="str">
            <v>Sales - % UK</v>
          </cell>
          <cell r="C117" t="str">
            <v>SALES_UK</v>
          </cell>
        </row>
        <row r="118">
          <cell r="B118" t="str">
            <v>Sales - % Western Europe-Ex UK</v>
          </cell>
          <cell r="C118" t="str">
            <v>SALES_EU_EX_UK</v>
          </cell>
        </row>
        <row r="135">
          <cell r="B135" t="str">
            <v>Sales - % Central &amp; Eastern Europe</v>
          </cell>
          <cell r="C135" t="str">
            <v>SALES_CEE</v>
          </cell>
        </row>
        <row r="136">
          <cell r="B136" t="str">
            <v>Sales - % Middle East</v>
          </cell>
          <cell r="C136" t="str">
            <v>SALES_ME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</row>
        <row r="139">
          <cell r="B139" t="str">
            <v>Sales - % Other EMEA</v>
          </cell>
          <cell r="C139" t="str">
            <v>SALES_OTH_EMEA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</row>
        <row r="141">
          <cell r="B141" t="str">
            <v>Sales - % Japan</v>
          </cell>
          <cell r="C141" t="str">
            <v>SALES_JAPAN</v>
          </cell>
        </row>
        <row r="142">
          <cell r="B142" t="str">
            <v>Sales - % China</v>
          </cell>
          <cell r="C142" t="str">
            <v>SALES_CHINA</v>
          </cell>
        </row>
        <row r="143">
          <cell r="B143" t="str">
            <v>Sales - % India</v>
          </cell>
          <cell r="C143" t="str">
            <v>SALES_INDIA</v>
          </cell>
        </row>
        <row r="144">
          <cell r="B144" t="str">
            <v>Sales - % South Korea</v>
          </cell>
          <cell r="C144" t="str">
            <v>SALES_SK</v>
          </cell>
        </row>
        <row r="145">
          <cell r="B145" t="str">
            <v>Sales - % Taiwan</v>
          </cell>
          <cell r="C145" t="str">
            <v>SALES_TAIWAN</v>
          </cell>
        </row>
        <row r="148">
          <cell r="B148" t="str">
            <v>Sales - % Other Asia</v>
          </cell>
          <cell r="C148" t="str">
            <v>SALES_OTH_AEJ</v>
          </cell>
        </row>
        <row r="149">
          <cell r="B149" t="str">
            <v>Sales - % Others</v>
          </cell>
          <cell r="C149" t="str">
            <v>SALES_OTHER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0">
          <cell r="B190" t="str">
            <v>Sales - % Industry Sub-Segment: Financial Services</v>
          </cell>
          <cell r="C190" t="str">
            <v>SALES_FINAN</v>
          </cell>
        </row>
        <row r="194">
          <cell r="A194" t="str">
            <v>Commodities Exposure - Sales</v>
          </cell>
        </row>
        <row r="195">
          <cell r="B195" t="str">
            <v>Sales - % Paper/pulp</v>
          </cell>
          <cell r="C195" t="str">
            <v>SALES_PAPER_PULP</v>
          </cell>
        </row>
        <row r="196">
          <cell r="B196" t="str">
            <v>Sales - % Lumber</v>
          </cell>
          <cell r="C196" t="str">
            <v>SALES_LUMBER</v>
          </cell>
        </row>
        <row r="197">
          <cell r="B197" t="str">
            <v>Sales - % Rubber</v>
          </cell>
          <cell r="C197" t="str">
            <v>SALES_RUBBER</v>
          </cell>
        </row>
        <row r="198">
          <cell r="B198" t="str">
            <v>Sales - % Potash</v>
          </cell>
          <cell r="C198" t="str">
            <v>SALES_POTASH</v>
          </cell>
        </row>
        <row r="199">
          <cell r="B199" t="str">
            <v>Sales - % Nitrogen</v>
          </cell>
          <cell r="C199" t="str">
            <v>SALES_NITROGEN</v>
          </cell>
        </row>
        <row r="200">
          <cell r="B200" t="str">
            <v>Sales - % Phosphate</v>
          </cell>
          <cell r="C200" t="str">
            <v>SALES_PHOSPHATE</v>
          </cell>
        </row>
        <row r="201">
          <cell r="B201" t="str">
            <v>Sales - % Wheat</v>
          </cell>
          <cell r="C201" t="str">
            <v>SALES_WHEAT</v>
          </cell>
        </row>
        <row r="202">
          <cell r="B202" t="str">
            <v>Sales - % Sugar</v>
          </cell>
          <cell r="C202" t="str">
            <v>SALES_SUGAR</v>
          </cell>
        </row>
        <row r="203">
          <cell r="B203" t="str">
            <v>Sales - % Soybean</v>
          </cell>
          <cell r="C203" t="str">
            <v>SALES_SOYBEAN</v>
          </cell>
        </row>
        <row r="204">
          <cell r="B204" t="str">
            <v>Sales - % Corn</v>
          </cell>
          <cell r="C204" t="str">
            <v>SALES_CORN</v>
          </cell>
        </row>
        <row r="205">
          <cell r="B205" t="str">
            <v>Sales - % Cotton</v>
          </cell>
          <cell r="C205" t="str">
            <v>SALES_COTTON</v>
          </cell>
        </row>
        <row r="206">
          <cell r="B206" t="str">
            <v>Sales - % Coffee</v>
          </cell>
          <cell r="C206" t="str">
            <v>SALES_COFFEE</v>
          </cell>
        </row>
        <row r="207">
          <cell r="B207" t="str">
            <v>Sales - % Cocoa</v>
          </cell>
          <cell r="C207" t="str">
            <v>SALES_COCOA</v>
          </cell>
        </row>
        <row r="208">
          <cell r="B208" t="str">
            <v>Sales - % Beef</v>
          </cell>
          <cell r="C208" t="str">
            <v>SALES_BEEF</v>
          </cell>
        </row>
        <row r="209">
          <cell r="B209" t="str">
            <v>Sales - % Pork</v>
          </cell>
          <cell r="C209" t="str">
            <v>SALES_PORK</v>
          </cell>
        </row>
        <row r="210">
          <cell r="B210" t="str">
            <v>Sales - % Chicken</v>
          </cell>
          <cell r="C210" t="str">
            <v>SALES_CHICKEN</v>
          </cell>
        </row>
        <row r="211">
          <cell r="B211" t="str">
            <v>Sales - % Dairy</v>
          </cell>
          <cell r="C211" t="str">
            <v>SALES_DAIRY</v>
          </cell>
        </row>
        <row r="212">
          <cell r="B212" t="str">
            <v>Sales - % Nuts</v>
          </cell>
          <cell r="C212" t="str">
            <v>SALES_NUTS</v>
          </cell>
        </row>
        <row r="213">
          <cell r="B213" t="str">
            <v>Sales - % Palm oil</v>
          </cell>
          <cell r="C213" t="str">
            <v>SALES_PALM_OIL</v>
          </cell>
        </row>
        <row r="214">
          <cell r="B214" t="str">
            <v>Sales - % Other edible oil</v>
          </cell>
          <cell r="C214" t="str">
            <v>SALES_OTH_EDIBLE_OIL</v>
          </cell>
        </row>
        <row r="215">
          <cell r="B215" t="str">
            <v>Sales - % Tobacco leaf</v>
          </cell>
          <cell r="C215" t="str">
            <v>SALES_TOBACCO_LEAF</v>
          </cell>
        </row>
        <row r="216">
          <cell r="B216" t="str">
            <v>Sales - % Other commodity</v>
          </cell>
          <cell r="C216" t="str">
            <v>SALES_OTH_COMMODITY</v>
          </cell>
        </row>
        <row r="217">
          <cell r="A217" t="str">
            <v>Commodities Exposure - Expense</v>
          </cell>
        </row>
        <row r="218">
          <cell r="B218" t="str">
            <v>Expense - % Oil/Petrol/Fuel</v>
          </cell>
          <cell r="C218" t="str">
            <v>EXP_OIL_PETRO_FUEL</v>
          </cell>
        </row>
        <row r="219">
          <cell r="B219" t="str">
            <v>Expense - % Oil derivatives/NGLs/plastics</v>
          </cell>
          <cell r="C219" t="str">
            <v>EXP_OIL_DERIV_NGLS_PLASTICS</v>
          </cell>
        </row>
        <row r="220">
          <cell r="B220" t="str">
            <v>Expense - % Nat Gas</v>
          </cell>
          <cell r="C220" t="str">
            <v>EXP_NAT_GAS</v>
          </cell>
        </row>
        <row r="221">
          <cell r="B221" t="str">
            <v>Expense - % Potash</v>
          </cell>
          <cell r="C221" t="str">
            <v>EXP_POTASH</v>
          </cell>
        </row>
        <row r="222">
          <cell r="B222" t="str">
            <v>Expense - % Nitrogen</v>
          </cell>
          <cell r="C222" t="str">
            <v>EXP_NITROGEN</v>
          </cell>
        </row>
        <row r="223">
          <cell r="B223" t="str">
            <v>Expense - % Phosphate</v>
          </cell>
          <cell r="C223" t="str">
            <v>EXP_PHOSPHATE</v>
          </cell>
        </row>
        <row r="224">
          <cell r="B224" t="str">
            <v>Expense - % Wheat</v>
          </cell>
          <cell r="C224" t="str">
            <v>EXP_WHEAT</v>
          </cell>
        </row>
        <row r="225">
          <cell r="B225" t="str">
            <v>Expense - % Sugar</v>
          </cell>
          <cell r="C225" t="str">
            <v>EXP_SUGAR</v>
          </cell>
        </row>
        <row r="226">
          <cell r="B226" t="str">
            <v>Expense - % Soybean</v>
          </cell>
          <cell r="C226" t="str">
            <v>EXP_SOYBEAN</v>
          </cell>
        </row>
        <row r="227">
          <cell r="B227" t="str">
            <v>Expense - % Corn</v>
          </cell>
          <cell r="C227" t="str">
            <v>EXP_CORN</v>
          </cell>
        </row>
        <row r="228">
          <cell r="B228" t="str">
            <v>Expense - % Cotton</v>
          </cell>
          <cell r="C228" t="str">
            <v>EXP_COTTON</v>
          </cell>
        </row>
        <row r="229">
          <cell r="B229" t="str">
            <v>Expense - % Coffee</v>
          </cell>
          <cell r="C229" t="str">
            <v>EXP_COFFEE</v>
          </cell>
        </row>
        <row r="230">
          <cell r="B230" t="str">
            <v>Expense - % Cocoa</v>
          </cell>
          <cell r="C230" t="str">
            <v>EXP_COCOA</v>
          </cell>
        </row>
        <row r="231">
          <cell r="B231" t="str">
            <v>Expense - % Beef</v>
          </cell>
          <cell r="C231" t="str">
            <v>EXP_BEEF</v>
          </cell>
        </row>
        <row r="232">
          <cell r="B232" t="str">
            <v>Expense - % Pork</v>
          </cell>
          <cell r="C232" t="str">
            <v>EXP_PORK</v>
          </cell>
        </row>
        <row r="233">
          <cell r="B233" t="str">
            <v>Expense - % Chicken</v>
          </cell>
          <cell r="C233" t="str">
            <v>EXP_CHICKEN</v>
          </cell>
        </row>
        <row r="234">
          <cell r="B234" t="str">
            <v>Expense - % Dairy</v>
          </cell>
          <cell r="C234" t="str">
            <v>EXP_DAIRY</v>
          </cell>
        </row>
        <row r="235">
          <cell r="B235" t="str">
            <v>Expense - % Nuts</v>
          </cell>
          <cell r="C235" t="str">
            <v>EXP_NUTS</v>
          </cell>
        </row>
        <row r="236">
          <cell r="B236" t="str">
            <v>Expense - % Palm oil</v>
          </cell>
          <cell r="C236" t="str">
            <v>EXP_PALM_OIL</v>
          </cell>
        </row>
        <row r="237">
          <cell r="B237" t="str">
            <v>Expense - % Other edible oil</v>
          </cell>
          <cell r="C237" t="str">
            <v>EXP_OTH_EDIBLE_OIL</v>
          </cell>
        </row>
        <row r="238">
          <cell r="B238" t="str">
            <v>Expense - % Tobacco leaf</v>
          </cell>
          <cell r="C238" t="str">
            <v>EXP_TOBACCO_LEAF</v>
          </cell>
        </row>
        <row r="239">
          <cell r="B239" t="str">
            <v>Expense - % Water</v>
          </cell>
          <cell r="C239" t="str">
            <v>EXP_WATER</v>
          </cell>
        </row>
        <row r="240">
          <cell r="B240" t="str">
            <v>Expense - % Other commodity</v>
          </cell>
          <cell r="C240" t="str">
            <v>EXP_OTH_COMMODITY</v>
          </cell>
        </row>
        <row r="241">
          <cell r="A241" t="str">
            <v>FX Exposure - Sales</v>
          </cell>
        </row>
        <row r="242">
          <cell r="B242" t="str">
            <v>Sales - % FX: British Pounds/Pence</v>
          </cell>
          <cell r="C242" t="str">
            <v>SALES_FX_GPB</v>
          </cell>
        </row>
        <row r="243">
          <cell r="B243" t="str">
            <v>Sales - % FX: Euro</v>
          </cell>
          <cell r="C243" t="str">
            <v>SALES_FX_EUR</v>
          </cell>
        </row>
        <row r="244">
          <cell r="B244" t="str">
            <v>Sales - % FX: New Russian Ruble</v>
          </cell>
          <cell r="C244" t="str">
            <v>SALES_FX_RUB</v>
          </cell>
        </row>
        <row r="245">
          <cell r="B245" t="str">
            <v>Sales - % FX: U.S. Dollar</v>
          </cell>
          <cell r="C245" t="str">
            <v>SALES_FX_USD</v>
          </cell>
        </row>
        <row r="246">
          <cell r="B246" t="str">
            <v>Sales - % FX: Brazilian Real</v>
          </cell>
          <cell r="C246" t="str">
            <v>SALES_FX_BRL</v>
          </cell>
        </row>
        <row r="247">
          <cell r="B247" t="str">
            <v>Sales - % FX: Japanese Yen</v>
          </cell>
          <cell r="C247" t="str">
            <v>SALES_FX_YEN</v>
          </cell>
        </row>
        <row r="248">
          <cell r="B248" t="str">
            <v>Sales - % FX: Chinese Renminbi</v>
          </cell>
          <cell r="C248" t="str">
            <v>SALES_FX_CNY</v>
          </cell>
        </row>
        <row r="249">
          <cell r="B249" t="str">
            <v>Sales - % FX: Indian Rupee</v>
          </cell>
          <cell r="C249" t="str">
            <v>SALES_FX_INR</v>
          </cell>
        </row>
        <row r="250">
          <cell r="B250" t="str">
            <v>Sales - % FX: South Korean Won</v>
          </cell>
          <cell r="C250" t="str">
            <v>SALES_FX_KRW</v>
          </cell>
        </row>
        <row r="251">
          <cell r="B251" t="str">
            <v>Sales - % FX: Taiwan Dollar</v>
          </cell>
          <cell r="C251" t="str">
            <v>SALES_FX_TWD</v>
          </cell>
        </row>
        <row r="253">
          <cell r="A253" t="str">
            <v>Reference Data</v>
          </cell>
        </row>
        <row r="260">
          <cell r="A260" t="str">
            <v>General Information</v>
          </cell>
        </row>
        <row r="261">
          <cell r="B261" t="str">
            <v>Asia Pacific Investment List</v>
          </cell>
          <cell r="C261" t="str">
            <v>AEJ_LIST</v>
          </cell>
        </row>
        <row r="262">
          <cell r="B262" t="str">
            <v>Asia Pacific Conviction List</v>
          </cell>
          <cell r="C262" t="str">
            <v>AEJ_CONVICTION</v>
          </cell>
        </row>
        <row r="263">
          <cell r="B263" t="str">
            <v>Legal rating</v>
          </cell>
          <cell r="C263" t="str">
            <v>LEGAL_RATING</v>
          </cell>
        </row>
        <row r="264">
          <cell r="B264" t="str">
            <v>Target price</v>
          </cell>
          <cell r="C264" t="str">
            <v>TARGET_PRICE</v>
          </cell>
          <cell r="D264" t="str">
            <v>CNY</v>
          </cell>
        </row>
        <row r="265">
          <cell r="B265" t="str">
            <v>Target price period</v>
          </cell>
          <cell r="C265" t="str">
            <v>TP_PERIOD</v>
          </cell>
        </row>
        <row r="266">
          <cell r="B266" t="str">
            <v>Current shares outstanding (mn)</v>
          </cell>
          <cell r="C266" t="str">
            <v>NUM_SH</v>
          </cell>
        </row>
        <row r="267">
          <cell r="B267" t="str">
            <v>Free float</v>
          </cell>
          <cell r="C267" t="str">
            <v>FREE_FLOAT</v>
          </cell>
        </row>
        <row r="268">
          <cell r="B268" t="str">
            <v>Foreign ownership</v>
          </cell>
          <cell r="C268" t="str">
            <v>FOREIGN_HOLDNG</v>
          </cell>
        </row>
        <row r="269">
          <cell r="C269" t="str">
            <v>ACT1</v>
          </cell>
        </row>
        <row r="270">
          <cell r="B270" t="str">
            <v>Catalyst 1 date</v>
          </cell>
          <cell r="C270" t="str">
            <v>CATALYST1_DATE</v>
          </cell>
        </row>
        <row r="271">
          <cell r="B271" t="str">
            <v>Catalyst 1 description</v>
          </cell>
          <cell r="C271" t="str">
            <v>CATALYST1_EVENT</v>
          </cell>
        </row>
        <row r="272">
          <cell r="B272" t="str">
            <v>Catalyst 2 date</v>
          </cell>
          <cell r="C272" t="str">
            <v>CATALYST2_DATE</v>
          </cell>
        </row>
        <row r="273">
          <cell r="B273" t="str">
            <v>Catalyst 2 description</v>
          </cell>
          <cell r="C273" t="str">
            <v>CATALYST2_EVENT</v>
          </cell>
        </row>
        <row r="274">
          <cell r="B274" t="str">
            <v>Catalyst 3 date</v>
          </cell>
          <cell r="C274" t="str">
            <v>CATALYST3_DATE</v>
          </cell>
        </row>
        <row r="275">
          <cell r="B275" t="str">
            <v>Catalyst 3 description</v>
          </cell>
          <cell r="C275" t="str">
            <v>CATALYST3_EVENT</v>
          </cell>
        </row>
        <row r="276">
          <cell r="B276" t="str">
            <v>Catalyst 4 date</v>
          </cell>
          <cell r="C276" t="str">
            <v>CATALYST4_DATE</v>
          </cell>
        </row>
        <row r="277">
          <cell r="B277" t="str">
            <v>Catalyst 4 description</v>
          </cell>
          <cell r="C277" t="str">
            <v>CATALYST4_EVENT</v>
          </cell>
        </row>
        <row r="278">
          <cell r="B278" t="str">
            <v>Catalyst 5 date</v>
          </cell>
          <cell r="C278" t="str">
            <v>CATALYST5_DATE</v>
          </cell>
        </row>
        <row r="279">
          <cell r="B279" t="str">
            <v>Catalyst 5 description</v>
          </cell>
          <cell r="C279" t="str">
            <v>CATALYST5_EVENT</v>
          </cell>
        </row>
        <row r="280">
          <cell r="B280" t="str">
            <v>Target price multiple</v>
          </cell>
          <cell r="C280" t="str">
            <v>PRI_TARG_MULT</v>
          </cell>
        </row>
        <row r="281">
          <cell r="B281" t="str">
            <v>Target price methodology</v>
          </cell>
          <cell r="C281" t="str">
            <v>PRI_TARG_METH</v>
          </cell>
        </row>
        <row r="282">
          <cell r="A282" t="str">
            <v>Publishing Items</v>
          </cell>
        </row>
        <row r="283">
          <cell r="B283" t="str">
            <v>Book value per share, BVPS (Pub)</v>
          </cell>
          <cell r="C283" t="str">
            <v>BVPS_PUB</v>
          </cell>
          <cell r="D283" t="str">
            <v>CNY</v>
          </cell>
        </row>
        <row r="284">
          <cell r="B284" t="str">
            <v>DPS, dividend per share (Pub)</v>
          </cell>
          <cell r="C284" t="str">
            <v>DPS_PUB</v>
          </cell>
          <cell r="D284" t="str">
            <v>CNY</v>
          </cell>
        </row>
        <row r="285">
          <cell r="B285" t="str">
            <v>EBITDA (Pub)</v>
          </cell>
          <cell r="C285" t="str">
            <v>EBITDA_PUB</v>
          </cell>
          <cell r="D285" t="str">
            <v>CNY</v>
          </cell>
        </row>
        <row r="286">
          <cell r="B286" t="str">
            <v>EPS (Pub)</v>
          </cell>
          <cell r="C286" t="str">
            <v>EPS_PUB</v>
          </cell>
          <cell r="D286" t="str">
            <v>CNY</v>
          </cell>
        </row>
        <row r="287">
          <cell r="B287" t="str">
            <v>EV adjustment (Pub)</v>
          </cell>
          <cell r="C287" t="str">
            <v>EV_ADJ_PUB</v>
          </cell>
          <cell r="D287" t="str">
            <v>CNY</v>
          </cell>
        </row>
        <row r="288">
          <cell r="B288" t="str">
            <v>Net debt (Pub)</v>
          </cell>
          <cell r="C288" t="str">
            <v>NET_DEBT_PUB</v>
          </cell>
          <cell r="D288" t="str">
            <v>CNY</v>
          </cell>
        </row>
        <row r="289">
          <cell r="B289" t="str">
            <v>Net income (Pub)</v>
          </cell>
          <cell r="C289" t="str">
            <v>NI_PUB</v>
          </cell>
          <cell r="D289" t="str">
            <v>CNY</v>
          </cell>
        </row>
        <row r="290">
          <cell r="B290" t="str">
            <v>EBIT, operating profit (Pub)</v>
          </cell>
          <cell r="C290" t="str">
            <v>EBIT_PUB</v>
          </cell>
          <cell r="D290" t="str">
            <v>CNY</v>
          </cell>
        </row>
        <row r="291">
          <cell r="B291" t="str">
            <v>Pre-tax profit (Pub)</v>
          </cell>
          <cell r="C291" t="str">
            <v>PTP_PUB</v>
          </cell>
          <cell r="D291" t="str">
            <v>CNY</v>
          </cell>
        </row>
        <row r="292">
          <cell r="B292" t="str">
            <v>Sales, revenue (Pub)</v>
          </cell>
          <cell r="C292" t="str">
            <v>REVS_PUB</v>
          </cell>
          <cell r="D292" t="str">
            <v>CNY</v>
          </cell>
        </row>
        <row r="293">
          <cell r="B293" t="str">
            <v>Total shareholders' equity (Pub)</v>
          </cell>
          <cell r="C293" t="str">
            <v>EQ_PUB</v>
          </cell>
          <cell r="D293" t="str">
            <v>CNY</v>
          </cell>
        </row>
        <row r="294">
          <cell r="B294" t="str">
            <v>EPS (consensus)</v>
          </cell>
          <cell r="C294" t="str">
            <v>EPS_CONS_PUB</v>
          </cell>
          <cell r="D294" t="str">
            <v>CNY</v>
          </cell>
        </row>
        <row r="295">
          <cell r="A295" t="str">
            <v>Income Statement</v>
          </cell>
        </row>
        <row r="296">
          <cell r="B296" t="str">
            <v>Provision for income tax</v>
          </cell>
          <cell r="C296" t="str">
            <v>PROV_INC_TAX</v>
          </cell>
          <cell r="D296" t="str">
            <v>CNY</v>
          </cell>
        </row>
        <row r="297">
          <cell r="B297" t="str">
            <v>Minority interest</v>
          </cell>
          <cell r="C297" t="str">
            <v>INC_MINORITY</v>
          </cell>
          <cell r="D297" t="str">
            <v>CNY</v>
          </cell>
        </row>
        <row r="298">
          <cell r="B298" t="str">
            <v>Net income (pre-preferred dividends)</v>
          </cell>
          <cell r="C298" t="str">
            <v>NI_PRE_PREF</v>
          </cell>
          <cell r="D298" t="str">
            <v>CNY</v>
          </cell>
        </row>
        <row r="299">
          <cell r="B299" t="str">
            <v>Preferred dividends</v>
          </cell>
          <cell r="C299" t="str">
            <v>PREF_DIV</v>
          </cell>
          <cell r="D299" t="str">
            <v>CNY</v>
          </cell>
        </row>
        <row r="300">
          <cell r="B300" t="str">
            <v>Net income (pre-exceptionals)</v>
          </cell>
          <cell r="C300" t="str">
            <v>NET_EARNING</v>
          </cell>
          <cell r="D300" t="str">
            <v>CNY</v>
          </cell>
        </row>
        <row r="301">
          <cell r="B301" t="str">
            <v>Post-tax exceptionals</v>
          </cell>
          <cell r="C301" t="str">
            <v>TAX_EXC</v>
          </cell>
          <cell r="D301" t="str">
            <v>CNY</v>
          </cell>
        </row>
        <row r="302">
          <cell r="B302" t="str">
            <v>Net income (post-exceptionals)</v>
          </cell>
          <cell r="C302" t="str">
            <v>NET_INC</v>
          </cell>
          <cell r="D302" t="str">
            <v>CNY</v>
          </cell>
        </row>
        <row r="303">
          <cell r="B303" t="str">
            <v>EPS (pre-exceptionals, basic)</v>
          </cell>
          <cell r="C303" t="str">
            <v>EPS</v>
          </cell>
          <cell r="D303" t="str">
            <v>CNY</v>
          </cell>
        </row>
        <row r="304">
          <cell r="B304" t="str">
            <v>EPS (pre-exceptionals, diluted)</v>
          </cell>
          <cell r="C304" t="str">
            <v>EPS_FUL_DIL</v>
          </cell>
          <cell r="D304" t="str">
            <v>CNY</v>
          </cell>
        </row>
        <row r="305">
          <cell r="B305" t="str">
            <v>EPS (post-exceptionals, basic)</v>
          </cell>
          <cell r="C305" t="str">
            <v>EPS_POST_BASIC</v>
          </cell>
          <cell r="D305" t="str">
            <v>CNY</v>
          </cell>
        </row>
        <row r="306">
          <cell r="B306" t="str">
            <v>EPS (post-exceptionals, diluted)</v>
          </cell>
          <cell r="C306" t="str">
            <v>FULLY_DIL_EPS</v>
          </cell>
          <cell r="D306" t="str">
            <v>CNY</v>
          </cell>
        </row>
        <row r="307">
          <cell r="B307" t="str">
            <v>Common dividends paid</v>
          </cell>
          <cell r="C307" t="str">
            <v>COMMON_DIV_PAID</v>
          </cell>
          <cell r="D307" t="str">
            <v>CNY</v>
          </cell>
        </row>
        <row r="308">
          <cell r="B308" t="str">
            <v>DPS, dividend per share</v>
          </cell>
          <cell r="C308" t="str">
            <v>DPS</v>
          </cell>
          <cell r="D308" t="str">
            <v>CNY</v>
          </cell>
        </row>
        <row r="309">
          <cell r="B309" t="str">
            <v>Weighted average shares outstanding, basic</v>
          </cell>
          <cell r="C309" t="str">
            <v>SH</v>
          </cell>
        </row>
        <row r="310">
          <cell r="B310" t="str">
            <v>Diluted average shares outstanding (mn)</v>
          </cell>
          <cell r="C310" t="str">
            <v>DILUTE_SHARES</v>
          </cell>
        </row>
        <row r="311">
          <cell r="B311" t="str">
            <v>Period-end shares outstanding</v>
          </cell>
          <cell r="C311" t="str">
            <v>NON_OP_ADD</v>
          </cell>
        </row>
        <row r="312">
          <cell r="A312" t="str">
            <v>Additional Income Statement Items</v>
          </cell>
        </row>
        <row r="313">
          <cell r="B313" t="str">
            <v>Marginal tax rate</v>
          </cell>
          <cell r="C313" t="str">
            <v>MARGIN_TAX_RATE</v>
          </cell>
        </row>
        <row r="314">
          <cell r="B314" t="str">
            <v>Net income (consensus) (Pub)</v>
          </cell>
          <cell r="C314" t="str">
            <v>NI_CONS</v>
          </cell>
          <cell r="D314" t="str">
            <v>CNY</v>
          </cell>
        </row>
        <row r="315">
          <cell r="A315" t="str">
            <v>Balance Sheet</v>
          </cell>
        </row>
        <row r="316">
          <cell r="B316" t="str">
            <v>BVPS, book value per share</v>
          </cell>
          <cell r="C316" t="str">
            <v>BVPS</v>
          </cell>
          <cell r="D316" t="str">
            <v>CNY</v>
          </cell>
        </row>
        <row r="317">
          <cell r="A317" t="str">
            <v>Cash Flow Statement</v>
          </cell>
        </row>
        <row r="318">
          <cell r="B318" t="str">
            <v>Net income (pre-preferred dividends)</v>
          </cell>
          <cell r="C318" t="str">
            <v>CF_NI_PRE_PREF</v>
          </cell>
          <cell r="D318" t="str">
            <v>CNY</v>
          </cell>
        </row>
        <row r="319">
          <cell r="A319" t="str">
            <v>Other Items</v>
          </cell>
        </row>
        <row r="320">
          <cell r="B320" t="str">
            <v>Beta</v>
          </cell>
          <cell r="C320" t="str">
            <v>BETA_ANALYST</v>
          </cell>
        </row>
        <row r="321">
          <cell r="B321" t="str">
            <v>Market equity risk premium</v>
          </cell>
          <cell r="C321" t="str">
            <v>MKT_EQ_RISK_PREM</v>
          </cell>
        </row>
        <row r="322">
          <cell r="B322" t="str">
            <v>Risk-free rate</v>
          </cell>
          <cell r="C322" t="str">
            <v>RISK_FR_RATE</v>
          </cell>
        </row>
      </sheetData>
      <sheetData sheetId="4" refreshError="1">
        <row r="1">
          <cell r="A1" t="str">
            <v>Issuer: Hubei Yihua Chemical Industry</v>
          </cell>
          <cell r="F1">
            <v>1998</v>
          </cell>
          <cell r="G1">
            <v>1999</v>
          </cell>
          <cell r="H1">
            <v>2000</v>
          </cell>
          <cell r="I1">
            <v>2001</v>
          </cell>
          <cell r="J1">
            <v>2002</v>
          </cell>
          <cell r="K1">
            <v>2003</v>
          </cell>
          <cell r="L1">
            <v>2004</v>
          </cell>
          <cell r="M1">
            <v>2005</v>
          </cell>
          <cell r="N1">
            <v>2006</v>
          </cell>
          <cell r="O1">
            <v>2007</v>
          </cell>
          <cell r="P1">
            <v>2008</v>
          </cell>
          <cell r="Q1">
            <v>2009</v>
          </cell>
          <cell r="R1">
            <v>2010</v>
          </cell>
          <cell r="S1">
            <v>2011</v>
          </cell>
          <cell r="T1">
            <v>2012</v>
          </cell>
          <cell r="U1">
            <v>2013</v>
          </cell>
          <cell r="V1">
            <v>2014</v>
          </cell>
          <cell r="W1">
            <v>2015</v>
          </cell>
          <cell r="X1">
            <v>2016</v>
          </cell>
          <cell r="Z1" t="str">
            <v>2002 Q1</v>
          </cell>
          <cell r="AA1" t="str">
            <v>2002 Q2</v>
          </cell>
          <cell r="AB1" t="str">
            <v>2002 Q3</v>
          </cell>
          <cell r="AC1" t="str">
            <v>2002 Q4</v>
          </cell>
          <cell r="AD1" t="str">
            <v>2003 Q1</v>
          </cell>
          <cell r="AE1" t="str">
            <v>2003 Q2</v>
          </cell>
          <cell r="AF1" t="str">
            <v>2003 Q3</v>
          </cell>
          <cell r="AG1" t="str">
            <v>2003 Q4</v>
          </cell>
          <cell r="AH1" t="str">
            <v>2004 Q1</v>
          </cell>
          <cell r="AI1" t="str">
            <v>2004 Q2</v>
          </cell>
          <cell r="AJ1" t="str">
            <v>2004 Q3</v>
          </cell>
          <cell r="AK1" t="str">
            <v>2004 Q4</v>
          </cell>
          <cell r="AL1" t="str">
            <v>2005 Q1</v>
          </cell>
          <cell r="AM1" t="str">
            <v>2005 Q2</v>
          </cell>
          <cell r="AN1" t="str">
            <v>2005 Q3</v>
          </cell>
          <cell r="AO1" t="str">
            <v>2005 Q4</v>
          </cell>
          <cell r="AP1" t="str">
            <v>2006 Q1</v>
          </cell>
          <cell r="AQ1" t="str">
            <v>2006 Q2</v>
          </cell>
          <cell r="AR1" t="str">
            <v>2006 Q3</v>
          </cell>
          <cell r="AS1" t="str">
            <v>2006 Q4</v>
          </cell>
          <cell r="AT1" t="str">
            <v>2007 Q1</v>
          </cell>
          <cell r="AU1" t="str">
            <v>2007 Q2</v>
          </cell>
          <cell r="AV1" t="str">
            <v>2007 Q3</v>
          </cell>
          <cell r="AW1" t="str">
            <v>2007 Q4</v>
          </cell>
          <cell r="AX1" t="str">
            <v>2008 Q1</v>
          </cell>
          <cell r="AY1" t="str">
            <v>2008 Q2</v>
          </cell>
          <cell r="AZ1" t="str">
            <v>2008 Q3</v>
          </cell>
          <cell r="BA1" t="str">
            <v>2008 Q4</v>
          </cell>
          <cell r="BB1" t="str">
            <v>2009 Q1</v>
          </cell>
          <cell r="BC1" t="str">
            <v>2009 Q2</v>
          </cell>
          <cell r="BD1" t="str">
            <v>2009 Q3</v>
          </cell>
          <cell r="BE1" t="str">
            <v>2009 Q4</v>
          </cell>
          <cell r="BF1" t="str">
            <v>2010 Q1</v>
          </cell>
          <cell r="BG1" t="str">
            <v>2010 Q2</v>
          </cell>
          <cell r="BH1" t="str">
            <v>2010 Q3</v>
          </cell>
          <cell r="BI1" t="str">
            <v>2010 Q4</v>
          </cell>
          <cell r="BJ1" t="str">
            <v>2011 Q1</v>
          </cell>
          <cell r="BK1" t="str">
            <v>2011 Q2</v>
          </cell>
          <cell r="BL1" t="str">
            <v>2011 Q3</v>
          </cell>
          <cell r="BM1" t="str">
            <v>2011 Q4</v>
          </cell>
          <cell r="BN1" t="str">
            <v>2012 Q1</v>
          </cell>
          <cell r="BO1" t="str">
            <v>2012 Q2</v>
          </cell>
          <cell r="BP1" t="str">
            <v>2012 Q3</v>
          </cell>
          <cell r="BQ1" t="str">
            <v>2012 Q4</v>
          </cell>
          <cell r="BR1" t="str">
            <v>2013 Q1</v>
          </cell>
          <cell r="BS1" t="str">
            <v>2013 Q2</v>
          </cell>
          <cell r="BT1" t="str">
            <v>2013 Q3</v>
          </cell>
          <cell r="BU1" t="str">
            <v>2013 Q4</v>
          </cell>
          <cell r="BV1" t="str">
            <v>2014 Q1</v>
          </cell>
          <cell r="BW1" t="str">
            <v>2014 Q2</v>
          </cell>
          <cell r="BX1" t="str">
            <v>2014 Q3</v>
          </cell>
          <cell r="BY1" t="str">
            <v>2014 Q4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Estimate</v>
          </cell>
          <cell r="V2" t="str">
            <v>Estimate</v>
          </cell>
          <cell r="W2" t="str">
            <v>Estimate</v>
          </cell>
          <cell r="X2" t="str">
            <v>Estimate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Actual</v>
          </cell>
          <cell r="AY2" t="str">
            <v>Actual</v>
          </cell>
          <cell r="AZ2" t="str">
            <v>Actual</v>
          </cell>
          <cell r="BA2" t="str">
            <v>Actual</v>
          </cell>
          <cell r="BB2" t="str">
            <v>Actual</v>
          </cell>
          <cell r="BC2" t="str">
            <v>Actual</v>
          </cell>
          <cell r="BD2" t="str">
            <v>Actual</v>
          </cell>
          <cell r="BE2" t="str">
            <v>Actual</v>
          </cell>
          <cell r="BF2" t="str">
            <v>Actual</v>
          </cell>
          <cell r="BG2" t="str">
            <v>Actual</v>
          </cell>
          <cell r="BH2" t="str">
            <v>Actual</v>
          </cell>
          <cell r="BI2" t="str">
            <v>Actual</v>
          </cell>
          <cell r="BJ2" t="str">
            <v>Actual</v>
          </cell>
          <cell r="BK2" t="str">
            <v>Actual</v>
          </cell>
          <cell r="BL2" t="str">
            <v>Actual</v>
          </cell>
          <cell r="BM2" t="str">
            <v>Actual</v>
          </cell>
          <cell r="BN2" t="str">
            <v>Actual</v>
          </cell>
          <cell r="BO2" t="str">
            <v>Actual</v>
          </cell>
          <cell r="BP2" t="str">
            <v>Actual</v>
          </cell>
          <cell r="BQ2" t="str">
            <v>Actual</v>
          </cell>
          <cell r="BR2" t="str">
            <v>Actual</v>
          </cell>
          <cell r="BS2" t="str">
            <v>Actual</v>
          </cell>
          <cell r="BT2" t="str">
            <v>Estimate</v>
          </cell>
          <cell r="BU2" t="str">
            <v>Estimate</v>
          </cell>
          <cell r="BV2" t="str">
            <v>Estimate</v>
          </cell>
          <cell r="BW2" t="str">
            <v>Estimate</v>
          </cell>
          <cell r="BX2" t="str">
            <v>Estimate</v>
          </cell>
          <cell r="BY2" t="str">
            <v>Estimate</v>
          </cell>
        </row>
        <row r="3">
          <cell r="F3">
            <v>36160</v>
          </cell>
          <cell r="G3">
            <v>36525</v>
          </cell>
          <cell r="H3">
            <v>36891</v>
          </cell>
          <cell r="I3">
            <v>37256</v>
          </cell>
          <cell r="J3">
            <v>37621</v>
          </cell>
          <cell r="K3">
            <v>37986</v>
          </cell>
          <cell r="L3">
            <v>38352</v>
          </cell>
          <cell r="M3">
            <v>38717</v>
          </cell>
          <cell r="N3">
            <v>39082</v>
          </cell>
          <cell r="O3">
            <v>39447</v>
          </cell>
          <cell r="P3">
            <v>39813</v>
          </cell>
          <cell r="Q3">
            <v>40178</v>
          </cell>
          <cell r="R3">
            <v>40543</v>
          </cell>
          <cell r="S3">
            <v>40908</v>
          </cell>
          <cell r="T3">
            <v>41274</v>
          </cell>
          <cell r="U3">
            <v>41639</v>
          </cell>
          <cell r="V3">
            <v>42004</v>
          </cell>
          <cell r="W3">
            <v>42369</v>
          </cell>
          <cell r="X3">
            <v>42735</v>
          </cell>
          <cell r="Z3">
            <v>37346</v>
          </cell>
          <cell r="AA3">
            <v>37437</v>
          </cell>
          <cell r="AB3">
            <v>37529</v>
          </cell>
          <cell r="AC3">
            <v>37621</v>
          </cell>
          <cell r="AD3">
            <v>37711</v>
          </cell>
          <cell r="AE3">
            <v>37802</v>
          </cell>
          <cell r="AF3">
            <v>37894</v>
          </cell>
          <cell r="AG3">
            <v>37986</v>
          </cell>
          <cell r="AH3">
            <v>38077</v>
          </cell>
          <cell r="AI3">
            <v>38168</v>
          </cell>
          <cell r="AJ3">
            <v>38260</v>
          </cell>
          <cell r="AK3">
            <v>38352</v>
          </cell>
          <cell r="AL3">
            <v>38442</v>
          </cell>
          <cell r="AM3">
            <v>38533</v>
          </cell>
          <cell r="AN3">
            <v>38625</v>
          </cell>
          <cell r="AO3">
            <v>38717</v>
          </cell>
          <cell r="AP3">
            <v>38807</v>
          </cell>
          <cell r="AQ3">
            <v>38898</v>
          </cell>
          <cell r="AR3">
            <v>38990</v>
          </cell>
          <cell r="AS3">
            <v>39082</v>
          </cell>
          <cell r="AT3">
            <v>39172</v>
          </cell>
          <cell r="AU3">
            <v>39263</v>
          </cell>
          <cell r="AV3">
            <v>39355</v>
          </cell>
          <cell r="AW3">
            <v>39447</v>
          </cell>
          <cell r="AX3">
            <v>39538</v>
          </cell>
          <cell r="AY3">
            <v>39629</v>
          </cell>
          <cell r="AZ3">
            <v>39721</v>
          </cell>
          <cell r="BA3">
            <v>39813</v>
          </cell>
          <cell r="BB3">
            <v>39903</v>
          </cell>
          <cell r="BC3">
            <v>39994</v>
          </cell>
          <cell r="BD3">
            <v>40086</v>
          </cell>
          <cell r="BE3">
            <v>40178</v>
          </cell>
          <cell r="BF3">
            <v>40268</v>
          </cell>
          <cell r="BG3">
            <v>40359</v>
          </cell>
          <cell r="BH3">
            <v>40451</v>
          </cell>
          <cell r="BI3">
            <v>40543</v>
          </cell>
          <cell r="BJ3">
            <v>40633</v>
          </cell>
          <cell r="BK3">
            <v>40724</v>
          </cell>
          <cell r="BL3">
            <v>40816</v>
          </cell>
          <cell r="BM3">
            <v>40908</v>
          </cell>
          <cell r="BN3">
            <v>40999</v>
          </cell>
          <cell r="BO3">
            <v>41090</v>
          </cell>
          <cell r="BP3">
            <v>41182</v>
          </cell>
          <cell r="BQ3">
            <v>41274</v>
          </cell>
          <cell r="BR3">
            <v>41364</v>
          </cell>
          <cell r="BS3">
            <v>41455</v>
          </cell>
          <cell r="BT3">
            <v>41547</v>
          </cell>
          <cell r="BU3">
            <v>41639</v>
          </cell>
          <cell r="BV3">
            <v>41729</v>
          </cell>
          <cell r="BW3">
            <v>41820</v>
          </cell>
          <cell r="BX3">
            <v>41912</v>
          </cell>
          <cell r="BY3">
            <v>42004</v>
          </cell>
        </row>
        <row r="4">
          <cell r="A4" t="str">
            <v>Issuer: Hubei Yihua Chemical Industry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Hubei Yihua Chemical Industry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342.37589609999998</v>
          </cell>
          <cell r="G9">
            <v>422.32967823000001</v>
          </cell>
          <cell r="H9">
            <v>399.57442123000004</v>
          </cell>
          <cell r="I9">
            <v>576.55374510000013</v>
          </cell>
          <cell r="J9">
            <v>791.76806367999995</v>
          </cell>
          <cell r="K9">
            <v>995.08515722999994</v>
          </cell>
          <cell r="L9">
            <v>1630.5808875100001</v>
          </cell>
          <cell r="M9">
            <v>2309.2304123499998</v>
          </cell>
          <cell r="N9">
            <v>3017.8035718699998</v>
          </cell>
          <cell r="O9">
            <v>5074.9631944299999</v>
          </cell>
          <cell r="P9">
            <v>7130.7207549799996</v>
          </cell>
          <cell r="Q9">
            <v>8760.6186315100003</v>
          </cell>
          <cell r="R9">
            <v>11544.950317209999</v>
          </cell>
          <cell r="S9">
            <v>17764.855169659997</v>
          </cell>
          <cell r="T9">
            <v>19317.607373260002</v>
          </cell>
          <cell r="U9">
            <v>18529.429299644591</v>
          </cell>
          <cell r="V9">
            <v>20682.473007658809</v>
          </cell>
          <cell r="W9">
            <v>22828.515130735734</v>
          </cell>
          <cell r="X9">
            <v>23271.150862735733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-212.22202806000001</v>
          </cell>
          <cell r="G11">
            <v>-312.86115726999998</v>
          </cell>
          <cell r="H11">
            <v>-339.94800727999996</v>
          </cell>
          <cell r="I11">
            <v>-462.80816540000001</v>
          </cell>
          <cell r="J11">
            <v>-642.77067312999998</v>
          </cell>
          <cell r="K11">
            <v>-803.00716541999998</v>
          </cell>
          <cell r="L11">
            <v>-1310.6634314899998</v>
          </cell>
          <cell r="M11">
            <v>-1923.3160243200002</v>
          </cell>
          <cell r="N11">
            <v>-2425.33187116</v>
          </cell>
          <cell r="O11">
            <v>-3925.3272646499995</v>
          </cell>
          <cell r="P11">
            <v>-5953.760505270001</v>
          </cell>
          <cell r="Q11">
            <v>-7291.3245357799997</v>
          </cell>
          <cell r="R11">
            <v>-8948.6212564499983</v>
          </cell>
          <cell r="S11">
            <v>-14447.89664583</v>
          </cell>
          <cell r="T11">
            <v>-15550.6859083</v>
          </cell>
          <cell r="U11">
            <v>-15439.993128835413</v>
          </cell>
          <cell r="V11">
            <v>-17307.750058641916</v>
          </cell>
          <cell r="W11">
            <v>-19276.606756543009</v>
          </cell>
          <cell r="X11">
            <v>-19704.326327407638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-14.607250219999999</v>
          </cell>
          <cell r="G12">
            <v>-21.352677590000003</v>
          </cell>
          <cell r="H12">
            <v>-13.57364802</v>
          </cell>
          <cell r="I12">
            <v>-39.087493600000002</v>
          </cell>
          <cell r="J12">
            <v>-51.016701929999996</v>
          </cell>
          <cell r="K12">
            <v>-65.914977829999998</v>
          </cell>
          <cell r="L12">
            <v>-99.768583680000006</v>
          </cell>
          <cell r="M12">
            <v>-120.44735591</v>
          </cell>
          <cell r="N12">
            <v>-177.83010045999998</v>
          </cell>
          <cell r="O12">
            <v>-281.55421387000001</v>
          </cell>
          <cell r="P12">
            <v>-367.15505282999999</v>
          </cell>
          <cell r="Q12">
            <v>-604.64974301999996</v>
          </cell>
          <cell r="R12">
            <v>-1009.78369787</v>
          </cell>
          <cell r="S12">
            <v>-1244.4740685199999</v>
          </cell>
          <cell r="T12">
            <v>-1356.25755467</v>
          </cell>
          <cell r="U12">
            <v>-1352.6483388740551</v>
          </cell>
          <cell r="V12">
            <v>-1509.8205295590931</v>
          </cell>
          <cell r="W12">
            <v>-1666.4816045437085</v>
          </cell>
          <cell r="X12">
            <v>-1698.7940129797084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-226.82927828000001</v>
          </cell>
          <cell r="G13">
            <v>-334.21383485999996</v>
          </cell>
          <cell r="H13">
            <v>-353.52165529999996</v>
          </cell>
          <cell r="I13">
            <v>-501.89565900000002</v>
          </cell>
          <cell r="J13">
            <v>-693.78737505999993</v>
          </cell>
          <cell r="K13">
            <v>-868.92214324999998</v>
          </cell>
          <cell r="L13">
            <v>-1410.4320151699999</v>
          </cell>
          <cell r="M13">
            <v>-2043.7633802300002</v>
          </cell>
          <cell r="N13">
            <v>-2603.1619716199998</v>
          </cell>
          <cell r="O13">
            <v>-4206.8814785199993</v>
          </cell>
          <cell r="P13">
            <v>-6320.9155581000014</v>
          </cell>
          <cell r="Q13">
            <v>-7895.9742787999994</v>
          </cell>
          <cell r="R13">
            <v>-9958.4049543199981</v>
          </cell>
          <cell r="S13">
            <v>-15692.37071435</v>
          </cell>
          <cell r="T13">
            <v>-16906.943462970001</v>
          </cell>
          <cell r="U13">
            <v>-16792.641467709469</v>
          </cell>
          <cell r="V13">
            <v>-18817.570588201008</v>
          </cell>
          <cell r="W13">
            <v>-20943.088361086717</v>
          </cell>
          <cell r="X13">
            <v>-21403.120340387348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-226.82927828000001</v>
          </cell>
          <cell r="G16">
            <v>-334.21383485999996</v>
          </cell>
          <cell r="H16">
            <v>-353.52165529999996</v>
          </cell>
          <cell r="I16">
            <v>-501.89565900000002</v>
          </cell>
          <cell r="J16">
            <v>-693.78737505999993</v>
          </cell>
          <cell r="K16">
            <v>-868.92214324999998</v>
          </cell>
          <cell r="L16">
            <v>-1410.4320151699999</v>
          </cell>
          <cell r="M16">
            <v>-2043.7633802300002</v>
          </cell>
          <cell r="N16">
            <v>-2603.1619716199998</v>
          </cell>
          <cell r="O16">
            <v>-4206.8814785199993</v>
          </cell>
          <cell r="P16">
            <v>-6320.9155581000014</v>
          </cell>
          <cell r="Q16">
            <v>-7895.9742787999994</v>
          </cell>
          <cell r="R16">
            <v>-9958.4049543199981</v>
          </cell>
          <cell r="S16">
            <v>-15692.37071435</v>
          </cell>
          <cell r="T16">
            <v>-16906.943462970001</v>
          </cell>
          <cell r="U16">
            <v>-16792.641467709469</v>
          </cell>
          <cell r="V16">
            <v>-18817.570588201008</v>
          </cell>
          <cell r="W16">
            <v>-20943.088361086717</v>
          </cell>
          <cell r="X16">
            <v>-21403.120340387348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-207.08657858000001</v>
          </cell>
          <cell r="G17">
            <v>-294.84851578999996</v>
          </cell>
          <cell r="H17">
            <v>-315.19466951999993</v>
          </cell>
          <cell r="I17">
            <v>-449.61285610000004</v>
          </cell>
          <cell r="J17">
            <v>-587.15248553999993</v>
          </cell>
          <cell r="K17">
            <v>-737.08675055999993</v>
          </cell>
          <cell r="L17">
            <v>-1228.8305758500001</v>
          </cell>
          <cell r="M17">
            <v>-1810.7832406800003</v>
          </cell>
          <cell r="N17">
            <v>-2316.00693</v>
          </cell>
          <cell r="O17">
            <v>-3823.203818989999</v>
          </cell>
          <cell r="P17">
            <v>-5820.1487849700015</v>
          </cell>
          <cell r="Q17">
            <v>-7241.403494449999</v>
          </cell>
          <cell r="R17">
            <v>-9212.847736169997</v>
          </cell>
          <cell r="S17">
            <v>-14796.94226801</v>
          </cell>
          <cell r="T17">
            <v>-15727.772910450001</v>
          </cell>
          <cell r="U17">
            <v>-15509.629360317025</v>
          </cell>
          <cell r="V17">
            <v>-17491.747375187988</v>
          </cell>
          <cell r="W17">
            <v>-19565.156481863978</v>
          </cell>
          <cell r="X17">
            <v>-19973.6050776312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135.28931751999997</v>
          </cell>
          <cell r="G18">
            <v>127.48116244000005</v>
          </cell>
          <cell r="H18">
            <v>84.379751710000107</v>
          </cell>
          <cell r="I18">
            <v>126.94088900000008</v>
          </cell>
          <cell r="J18">
            <v>204.61557814000003</v>
          </cell>
          <cell r="K18">
            <v>257.99840667000001</v>
          </cell>
          <cell r="L18">
            <v>401.75031166000008</v>
          </cell>
          <cell r="M18">
            <v>498.44717166999953</v>
          </cell>
          <cell r="N18">
            <v>701.7966418699998</v>
          </cell>
          <cell r="O18">
            <v>1251.7593754400009</v>
          </cell>
          <cell r="P18">
            <v>1310.571970009998</v>
          </cell>
          <cell r="Q18">
            <v>1519.2151370600013</v>
          </cell>
          <cell r="R18">
            <v>2332.1025810400024</v>
          </cell>
          <cell r="S18">
            <v>2967.9129016499974</v>
          </cell>
          <cell r="T18">
            <v>3589.8344628100003</v>
          </cell>
          <cell r="U18">
            <v>3019.7999393275659</v>
          </cell>
          <cell r="V18">
            <v>3190.7256324708214</v>
          </cell>
          <cell r="W18">
            <v>3263.3586488717556</v>
          </cell>
          <cell r="X18">
            <v>3297.5457851045321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-18.480076619999998</v>
          </cell>
          <cell r="G19">
            <v>-36.316989790000001</v>
          </cell>
          <cell r="H19">
            <v>-38.035857780000008</v>
          </cell>
          <cell r="I19">
            <v>-52.087526099999998</v>
          </cell>
          <cell r="J19">
            <v>-105.32472152</v>
          </cell>
          <cell r="K19">
            <v>-130.51113665</v>
          </cell>
          <cell r="L19">
            <v>-180.27718327999997</v>
          </cell>
          <cell r="M19">
            <v>-231.65588351</v>
          </cell>
          <cell r="N19">
            <v>-285.56835225999998</v>
          </cell>
          <cell r="O19">
            <v>-368.74928674</v>
          </cell>
          <cell r="P19">
            <v>-472.15426117999999</v>
          </cell>
          <cell r="Q19">
            <v>-610.90480034999996</v>
          </cell>
          <cell r="R19">
            <v>-709.99852878000013</v>
          </cell>
          <cell r="S19">
            <v>-856.61127898999996</v>
          </cell>
          <cell r="T19">
            <v>-1144.1108352700001</v>
          </cell>
          <cell r="U19">
            <v>-1241.576463161427</v>
          </cell>
          <cell r="V19">
            <v>-1284.3875687820052</v>
          </cell>
          <cell r="W19">
            <v>-1336.4962349917223</v>
          </cell>
          <cell r="X19">
            <v>-1388.0796185251324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-1.26262308</v>
          </cell>
          <cell r="G20">
            <v>-3.0483292799999999</v>
          </cell>
          <cell r="H20">
            <v>-0.291128</v>
          </cell>
          <cell r="I20">
            <v>-0.1952768</v>
          </cell>
          <cell r="J20">
            <v>-1.310168</v>
          </cell>
          <cell r="K20">
            <v>-1.3242560400000001</v>
          </cell>
          <cell r="L20">
            <v>-1.3242560400000001</v>
          </cell>
          <cell r="M20">
            <v>-1.3242560400000001</v>
          </cell>
          <cell r="N20">
            <v>-1.58668936</v>
          </cell>
          <cell r="O20">
            <v>-14.928372790000001</v>
          </cell>
          <cell r="P20">
            <v>-28.612511949999998</v>
          </cell>
          <cell r="Q20">
            <v>-43.665984000000002</v>
          </cell>
          <cell r="R20">
            <v>-35.558689370000003</v>
          </cell>
          <cell r="S20">
            <v>-38.817167349999998</v>
          </cell>
          <cell r="T20">
            <v>-35.059717249999999</v>
          </cell>
          <cell r="U20">
            <v>-41.435644231016703</v>
          </cell>
          <cell r="V20">
            <v>-41.435644231016703</v>
          </cell>
          <cell r="W20">
            <v>-41.435644231016703</v>
          </cell>
          <cell r="X20">
            <v>-41.435644231016703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115.54661781999997</v>
          </cell>
          <cell r="G21">
            <v>88.11584337000005</v>
          </cell>
          <cell r="H21">
            <v>46.052765930000078</v>
          </cell>
          <cell r="I21">
            <v>74.658086100000105</v>
          </cell>
          <cell r="J21">
            <v>97.980688620000024</v>
          </cell>
          <cell r="K21">
            <v>126.16301397999996</v>
          </cell>
          <cell r="L21">
            <v>220.14887234000025</v>
          </cell>
          <cell r="M21">
            <v>265.46703211999966</v>
          </cell>
          <cell r="N21">
            <v>414.64160025000001</v>
          </cell>
          <cell r="O21">
            <v>868.08171591000064</v>
          </cell>
          <cell r="P21">
            <v>809.80519687999822</v>
          </cell>
          <cell r="Q21">
            <v>864.64435271000093</v>
          </cell>
          <cell r="R21">
            <v>1586.5453628900013</v>
          </cell>
          <cell r="S21">
            <v>2072.4844553099974</v>
          </cell>
          <cell r="T21">
            <v>2410.6639102900008</v>
          </cell>
          <cell r="U21">
            <v>1736.7878319351221</v>
          </cell>
          <cell r="V21">
            <v>1864.9024194578014</v>
          </cell>
          <cell r="W21">
            <v>1885.4267696490169</v>
          </cell>
          <cell r="X21">
            <v>1868.0305223483847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0.43104450999999999</v>
          </cell>
          <cell r="G22">
            <v>6.5343559999999995E-2</v>
          </cell>
          <cell r="H22">
            <v>3.2342879999999997E-2</v>
          </cell>
          <cell r="I22">
            <v>0.48520862999999997</v>
          </cell>
          <cell r="J22">
            <v>0.74173981</v>
          </cell>
          <cell r="K22">
            <v>0.66016187999999998</v>
          </cell>
          <cell r="L22">
            <v>0.85146184999999996</v>
          </cell>
          <cell r="M22">
            <v>1.2783353500000001</v>
          </cell>
          <cell r="N22">
            <v>3.64616395</v>
          </cell>
          <cell r="O22">
            <v>3.6795805499999998</v>
          </cell>
          <cell r="P22">
            <v>20.835628549999999</v>
          </cell>
          <cell r="Q22">
            <v>9.2757417899999997</v>
          </cell>
          <cell r="R22">
            <v>7.3027726700000004</v>
          </cell>
          <cell r="S22">
            <v>12.99595807</v>
          </cell>
          <cell r="T22">
            <v>0</v>
          </cell>
          <cell r="U22">
            <v>3.8452113293750001</v>
          </cell>
          <cell r="V22">
            <v>5.8887240239340599</v>
          </cell>
          <cell r="W22">
            <v>8.9932964019404462</v>
          </cell>
          <cell r="X22">
            <v>10.58230394400835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-0.43104450999999999</v>
          </cell>
          <cell r="G23">
            <v>-0.11483716999999999</v>
          </cell>
          <cell r="H23">
            <v>-1.42067732</v>
          </cell>
          <cell r="I23">
            <v>-14.228995530000001</v>
          </cell>
          <cell r="J23">
            <v>-26.309570569999998</v>
          </cell>
          <cell r="K23">
            <v>-32.415108449999998</v>
          </cell>
          <cell r="L23">
            <v>-42.560279649999998</v>
          </cell>
          <cell r="M23">
            <v>-50.249404569999996</v>
          </cell>
          <cell r="N23">
            <v>-100.21982754</v>
          </cell>
          <cell r="O23">
            <v>-211.21263911</v>
          </cell>
          <cell r="P23">
            <v>-298.61861032999997</v>
          </cell>
          <cell r="Q23">
            <v>-354.51565377000003</v>
          </cell>
          <cell r="R23">
            <v>-438.94926251999999</v>
          </cell>
          <cell r="S23">
            <v>-630.96270654999989</v>
          </cell>
          <cell r="T23">
            <v>-826.98836741000002</v>
          </cell>
          <cell r="U23">
            <v>-858.43981802799999</v>
          </cell>
          <cell r="V23">
            <v>-825.4229019500001</v>
          </cell>
          <cell r="W23">
            <v>-825.4229019500001</v>
          </cell>
          <cell r="X23">
            <v>-825.4229019500001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0</v>
          </cell>
          <cell r="G24">
            <v>-4.9493609999999993E-2</v>
          </cell>
          <cell r="H24">
            <v>-1.3883344399999999</v>
          </cell>
          <cell r="I24">
            <v>-13.7437869</v>
          </cell>
          <cell r="J24">
            <v>-25.56783076</v>
          </cell>
          <cell r="K24">
            <v>-31.754946569999998</v>
          </cell>
          <cell r="L24">
            <v>-41.708817799999998</v>
          </cell>
          <cell r="M24">
            <v>-48.971069219999997</v>
          </cell>
          <cell r="N24">
            <v>-96.573663589999995</v>
          </cell>
          <cell r="O24">
            <v>-207.53305856</v>
          </cell>
          <cell r="P24">
            <v>-277.78298177999994</v>
          </cell>
          <cell r="Q24">
            <v>-345.23991198000004</v>
          </cell>
          <cell r="R24">
            <v>-431.64648984999997</v>
          </cell>
          <cell r="S24">
            <v>-617.96674847999986</v>
          </cell>
          <cell r="T24">
            <v>-826.98836741000002</v>
          </cell>
          <cell r="U24">
            <v>-854.59460669862494</v>
          </cell>
          <cell r="V24">
            <v>-819.53417792606604</v>
          </cell>
          <cell r="W24">
            <v>-816.42960554805961</v>
          </cell>
          <cell r="X24">
            <v>-814.84059800599175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24.925843990000004</v>
          </cell>
          <cell r="G27">
            <v>16.53865540999999</v>
          </cell>
          <cell r="H27">
            <v>1.36541541000001</v>
          </cell>
          <cell r="I27">
            <v>-6.861183449999988</v>
          </cell>
          <cell r="J27">
            <v>-0.68752898000004592</v>
          </cell>
          <cell r="K27">
            <v>-3.8410139100000045</v>
          </cell>
          <cell r="L27">
            <v>-18.755746079999902</v>
          </cell>
          <cell r="M27">
            <v>15.517850029999941</v>
          </cell>
          <cell r="N27">
            <v>11.012673929999863</v>
          </cell>
          <cell r="O27">
            <v>-0.82562085000026286</v>
          </cell>
          <cell r="P27">
            <v>79.783497480000449</v>
          </cell>
          <cell r="Q27">
            <v>39.646091779999836</v>
          </cell>
          <cell r="R27">
            <v>4.7970833999999059</v>
          </cell>
          <cell r="S27">
            <v>39.704464699999448</v>
          </cell>
          <cell r="T27">
            <v>20.346254920000888</v>
          </cell>
          <cell r="U27">
            <v>20.346254920001115</v>
          </cell>
          <cell r="V27">
            <v>20.346254919999296</v>
          </cell>
          <cell r="W27">
            <v>20.346254919998842</v>
          </cell>
          <cell r="X27">
            <v>20.346254920001456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140.47246180999997</v>
          </cell>
          <cell r="G28">
            <v>104.60500517000004</v>
          </cell>
          <cell r="H28">
            <v>46.029846900000088</v>
          </cell>
          <cell r="I28">
            <v>54.053115750000117</v>
          </cell>
          <cell r="J28">
            <v>71.725328879999978</v>
          </cell>
          <cell r="K28">
            <v>90.567053499999957</v>
          </cell>
          <cell r="L28">
            <v>159.68430846000035</v>
          </cell>
          <cell r="M28">
            <v>232.0138129299996</v>
          </cell>
          <cell r="N28">
            <v>329.08061058999988</v>
          </cell>
          <cell r="O28">
            <v>659.72303650000038</v>
          </cell>
          <cell r="P28">
            <v>611.80571257999873</v>
          </cell>
          <cell r="Q28">
            <v>559.05053251000072</v>
          </cell>
          <cell r="R28">
            <v>1159.6959564400013</v>
          </cell>
          <cell r="S28">
            <v>1494.222171529997</v>
          </cell>
          <cell r="T28">
            <v>1604.0217978000017</v>
          </cell>
          <cell r="U28">
            <v>902.53948015649826</v>
          </cell>
          <cell r="V28">
            <v>1065.7144964517347</v>
          </cell>
          <cell r="W28">
            <v>1089.3434190209562</v>
          </cell>
          <cell r="X28">
            <v>1073.5361792623944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-0.43104450999999999</v>
          </cell>
          <cell r="G34">
            <v>-0.11483716999999999</v>
          </cell>
          <cell r="H34">
            <v>-1.42067732</v>
          </cell>
          <cell r="I34">
            <v>-14.228995530000001</v>
          </cell>
          <cell r="J34">
            <v>-26.309570569999998</v>
          </cell>
          <cell r="K34">
            <v>-32.415108449999998</v>
          </cell>
          <cell r="L34">
            <v>-42.560279649999998</v>
          </cell>
          <cell r="M34">
            <v>-50.249404569999996</v>
          </cell>
          <cell r="N34">
            <v>-100.21982754</v>
          </cell>
          <cell r="O34">
            <v>-211.21263911</v>
          </cell>
          <cell r="P34">
            <v>-298.61861032999997</v>
          </cell>
          <cell r="Q34">
            <v>-354.51565377000003</v>
          </cell>
          <cell r="R34">
            <v>-438.94926251999999</v>
          </cell>
          <cell r="S34">
            <v>-630.96270654999989</v>
          </cell>
          <cell r="T34">
            <v>-826.98836741000002</v>
          </cell>
          <cell r="U34">
            <v>-858.43981802799999</v>
          </cell>
          <cell r="V34">
            <v>-825.4229019500001</v>
          </cell>
          <cell r="W34">
            <v>-825.4229019500001</v>
          </cell>
          <cell r="X34">
            <v>-825.4229019500001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50.822735569999999</v>
          </cell>
          <cell r="G37">
            <v>1.2998623899999999</v>
          </cell>
          <cell r="H37">
            <v>31.338005219999999</v>
          </cell>
          <cell r="I37">
            <v>60.235038540000005</v>
          </cell>
          <cell r="J37">
            <v>124.32899802</v>
          </cell>
          <cell r="K37">
            <v>84.336113920000003</v>
          </cell>
          <cell r="L37">
            <v>200.85606278</v>
          </cell>
          <cell r="M37">
            <v>226.59195371000001</v>
          </cell>
          <cell r="N37">
            <v>666.27126344999999</v>
          </cell>
          <cell r="O37">
            <v>467.26079769</v>
          </cell>
          <cell r="P37">
            <v>391.1008832</v>
          </cell>
          <cell r="Q37">
            <v>1137.4961129000001</v>
          </cell>
          <cell r="R37">
            <v>1561.69633211</v>
          </cell>
          <cell r="S37">
            <v>3666.4772629099998</v>
          </cell>
          <cell r="T37">
            <v>1538.08453175</v>
          </cell>
          <cell r="U37">
            <v>1177.744804786812</v>
          </cell>
          <cell r="V37">
            <v>1199.1061869253929</v>
          </cell>
          <cell r="W37">
            <v>1058.2303944008349</v>
          </cell>
          <cell r="X37">
            <v>1230.2498201783401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19.230767239999999</v>
          </cell>
          <cell r="G38">
            <v>88.924567299999993</v>
          </cell>
          <cell r="H38">
            <v>93.931794760000002</v>
          </cell>
          <cell r="I38">
            <v>71.186047040000005</v>
          </cell>
          <cell r="J38">
            <v>31.635685729999999</v>
          </cell>
          <cell r="K38">
            <v>44.444113430000002</v>
          </cell>
          <cell r="L38">
            <v>76.455506060000005</v>
          </cell>
          <cell r="M38">
            <v>105.6089465</v>
          </cell>
          <cell r="N38">
            <v>341.45182245000001</v>
          </cell>
          <cell r="O38">
            <v>331.93359250999998</v>
          </cell>
          <cell r="P38">
            <v>383.82738581000001</v>
          </cell>
          <cell r="Q38">
            <v>455.96168829999999</v>
          </cell>
          <cell r="R38">
            <v>1072.31496238</v>
          </cell>
          <cell r="S38">
            <v>1189.8645759400001</v>
          </cell>
          <cell r="T38">
            <v>1444.4786551300001</v>
          </cell>
          <cell r="U38">
            <v>1370.6701125764491</v>
          </cell>
          <cell r="V38">
            <v>1529.9363594706517</v>
          </cell>
          <cell r="W38">
            <v>1688.6846809037393</v>
          </cell>
          <cell r="X38">
            <v>1721.4275980653829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22.626246340000002</v>
          </cell>
          <cell r="G39">
            <v>27.276496589999997</v>
          </cell>
          <cell r="H39">
            <v>36.443957529999999</v>
          </cell>
          <cell r="I39">
            <v>85.130757399999993</v>
          </cell>
          <cell r="J39">
            <v>86.923112279999998</v>
          </cell>
          <cell r="K39">
            <v>80.530730889999987</v>
          </cell>
          <cell r="L39">
            <v>218.06305212999999</v>
          </cell>
          <cell r="M39">
            <v>258.57118443000002</v>
          </cell>
          <cell r="N39">
            <v>485.28350253000002</v>
          </cell>
          <cell r="O39">
            <v>1175.6936374900001</v>
          </cell>
          <cell r="P39">
            <v>1925.9250089699999</v>
          </cell>
          <cell r="Q39">
            <v>1629.73167134</v>
          </cell>
          <cell r="R39">
            <v>2521.0302460500002</v>
          </cell>
          <cell r="S39">
            <v>3456.8180618899996</v>
          </cell>
          <cell r="T39">
            <v>3931.2143616900003</v>
          </cell>
          <cell r="U39">
            <v>3934.0256465251878</v>
          </cell>
          <cell r="V39">
            <v>4409.9198779553371</v>
          </cell>
          <cell r="W39">
            <v>4911.573776324657</v>
          </cell>
          <cell r="X39">
            <v>4858.6010122374992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22.232679359999992</v>
          </cell>
          <cell r="G40">
            <v>16.801174820000011</v>
          </cell>
          <cell r="H40">
            <v>20.395966679999994</v>
          </cell>
          <cell r="I40">
            <v>32.627527920000006</v>
          </cell>
          <cell r="J40">
            <v>128.63777013999999</v>
          </cell>
          <cell r="K40">
            <v>149.71915113</v>
          </cell>
          <cell r="L40">
            <v>187.23602693000001</v>
          </cell>
          <cell r="M40">
            <v>205.32553067999993</v>
          </cell>
          <cell r="N40">
            <v>515.44765647999998</v>
          </cell>
          <cell r="O40">
            <v>732.27766839000014</v>
          </cell>
          <cell r="P40">
            <v>486.15091958999983</v>
          </cell>
          <cell r="Q40">
            <v>594.56574898000008</v>
          </cell>
          <cell r="R40">
            <v>2065.4425572599989</v>
          </cell>
          <cell r="S40">
            <v>2816.7615057700013</v>
          </cell>
          <cell r="T40">
            <v>2274.4690148999998</v>
          </cell>
          <cell r="U40">
            <v>2274.4690148999998</v>
          </cell>
          <cell r="V40">
            <v>2274.4690148999998</v>
          </cell>
          <cell r="W40">
            <v>2274.4690149000007</v>
          </cell>
          <cell r="X40">
            <v>2274.4690149000007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114.91242850999998</v>
          </cell>
          <cell r="G41">
            <v>134.30210109999999</v>
          </cell>
          <cell r="H41">
            <v>182.10972419000001</v>
          </cell>
          <cell r="I41">
            <v>249.17937090000001</v>
          </cell>
          <cell r="J41">
            <v>371.52556616999999</v>
          </cell>
          <cell r="K41">
            <v>359.03010936999999</v>
          </cell>
          <cell r="L41">
            <v>682.6106479</v>
          </cell>
          <cell r="M41">
            <v>796.09761531999993</v>
          </cell>
          <cell r="N41">
            <v>2008.4542449099999</v>
          </cell>
          <cell r="O41">
            <v>2707.1656960800001</v>
          </cell>
          <cell r="P41">
            <v>3187.0041975699996</v>
          </cell>
          <cell r="Q41">
            <v>3817.7552215200003</v>
          </cell>
          <cell r="R41">
            <v>7220.4840977999993</v>
          </cell>
          <cell r="S41">
            <v>11129.92140651</v>
          </cell>
          <cell r="T41">
            <v>9188.2465634700002</v>
          </cell>
          <cell r="U41">
            <v>8756.9095787884489</v>
          </cell>
          <cell r="V41">
            <v>9413.4314392513825</v>
          </cell>
          <cell r="W41">
            <v>9932.957866529232</v>
          </cell>
          <cell r="X41">
            <v>10084.747445381223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1.27294262</v>
          </cell>
          <cell r="G42">
            <v>819.23515356000007</v>
          </cell>
          <cell r="H42">
            <v>985.74835759999996</v>
          </cell>
          <cell r="I42">
            <v>1494.0541110199997</v>
          </cell>
          <cell r="J42">
            <v>1612.6624669999999</v>
          </cell>
          <cell r="K42">
            <v>2088.0077974299998</v>
          </cell>
          <cell r="L42">
            <v>2374.4399261600001</v>
          </cell>
          <cell r="M42">
            <v>3288.2348165899998</v>
          </cell>
          <cell r="N42">
            <v>4489.4869474300012</v>
          </cell>
          <cell r="O42">
            <v>7561.7700855100002</v>
          </cell>
          <cell r="P42">
            <v>9710.2740934400008</v>
          </cell>
          <cell r="Q42">
            <v>11836.150611450001</v>
          </cell>
          <cell r="R42">
            <v>14565.924876720001</v>
          </cell>
          <cell r="S42">
            <v>19444.235225659999</v>
          </cell>
          <cell r="T42">
            <v>25189.926826539999</v>
          </cell>
          <cell r="U42">
            <v>27589.926826539999</v>
          </cell>
          <cell r="V42">
            <v>29589.926826539999</v>
          </cell>
          <cell r="W42">
            <v>31797.449604138426</v>
          </cell>
          <cell r="X42">
            <v>34047.775361035907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-128.39370445</v>
          </cell>
          <cell r="H43">
            <v>-159.08670310000002</v>
          </cell>
          <cell r="I43">
            <v>-296.62043924000005</v>
          </cell>
          <cell r="J43">
            <v>-359.47081507999997</v>
          </cell>
          <cell r="K43">
            <v>-476.94328445999992</v>
          </cell>
          <cell r="L43">
            <v>-639.26283906999993</v>
          </cell>
          <cell r="M43">
            <v>-852.96109390999982</v>
          </cell>
          <cell r="N43">
            <v>-1122.72497219</v>
          </cell>
          <cell r="O43">
            <v>-1875.4035835</v>
          </cell>
          <cell r="P43">
            <v>-2340.5548357499997</v>
          </cell>
          <cell r="Q43">
            <v>-3060.8773244099993</v>
          </cell>
          <cell r="R43">
            <v>-3623.9487114099998</v>
          </cell>
          <cell r="S43">
            <v>-4457.9601181500002</v>
          </cell>
          <cell r="T43">
            <v>-5594.6805277900003</v>
          </cell>
          <cell r="U43">
            <v>-6836.2569909514277</v>
          </cell>
          <cell r="V43">
            <v>-8120.6445597334332</v>
          </cell>
          <cell r="W43">
            <v>-9457.1407947251555</v>
          </cell>
          <cell r="X43">
            <v>-10845.220413250288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1.27294262</v>
          </cell>
          <cell r="G44">
            <v>690.8414491100001</v>
          </cell>
          <cell r="H44">
            <v>826.66165449999994</v>
          </cell>
          <cell r="I44">
            <v>1197.4336717799997</v>
          </cell>
          <cell r="J44">
            <v>1253.1916519199999</v>
          </cell>
          <cell r="K44">
            <v>1611.0645129699999</v>
          </cell>
          <cell r="L44">
            <v>1735.1770870900002</v>
          </cell>
          <cell r="M44">
            <v>2435.27372268</v>
          </cell>
          <cell r="N44">
            <v>3366.7619752400014</v>
          </cell>
          <cell r="O44">
            <v>5686.3665020099997</v>
          </cell>
          <cell r="P44">
            <v>7369.7192576900015</v>
          </cell>
          <cell r="Q44">
            <v>8775.2732870400014</v>
          </cell>
          <cell r="R44">
            <v>10941.976165310001</v>
          </cell>
          <cell r="S44">
            <v>14986.275107509999</v>
          </cell>
          <cell r="T44">
            <v>19595.246298749997</v>
          </cell>
          <cell r="U44">
            <v>20753.669835588571</v>
          </cell>
          <cell r="V44">
            <v>21469.282266806564</v>
          </cell>
          <cell r="W44">
            <v>22340.308809413269</v>
          </cell>
          <cell r="X44">
            <v>23202.554947785618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14.57856</v>
          </cell>
          <cell r="K45">
            <v>11.918303999999999</v>
          </cell>
          <cell r="L45">
            <v>11.918303999999999</v>
          </cell>
          <cell r="M45">
            <v>12.057403999999998</v>
          </cell>
          <cell r="N45">
            <v>29.59635986</v>
          </cell>
          <cell r="O45">
            <v>349.22839749000002</v>
          </cell>
          <cell r="P45">
            <v>817.78559538000002</v>
          </cell>
          <cell r="Q45">
            <v>1053.83159572</v>
          </cell>
          <cell r="R45">
            <v>632.06475302000001</v>
          </cell>
          <cell r="S45">
            <v>697.86308101999998</v>
          </cell>
          <cell r="T45">
            <v>745.86308101999998</v>
          </cell>
          <cell r="U45">
            <v>745.86308101999998</v>
          </cell>
          <cell r="V45">
            <v>745.86308101999998</v>
          </cell>
          <cell r="W45">
            <v>745.86308101999998</v>
          </cell>
          <cell r="X45">
            <v>745.86308101999998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-1.3242560000000001</v>
          </cell>
          <cell r="K46">
            <v>-1.3242560400000001</v>
          </cell>
          <cell r="L46">
            <v>-2.6485120800000002</v>
          </cell>
          <cell r="M46">
            <v>-3.9727681200000005</v>
          </cell>
          <cell r="N46">
            <v>-5.5594574800000007</v>
          </cell>
          <cell r="O46">
            <v>-15.799149940000001</v>
          </cell>
          <cell r="P46">
            <v>-143.43846592</v>
          </cell>
          <cell r="Q46">
            <v>-185.60444992000001</v>
          </cell>
          <cell r="R46">
            <v>-108.86611062</v>
          </cell>
          <cell r="S46">
            <v>-146.18327797000001</v>
          </cell>
          <cell r="T46">
            <v>-179.74299522000001</v>
          </cell>
          <cell r="U46">
            <v>-221.17863945101672</v>
          </cell>
          <cell r="V46">
            <v>-262.61428368203343</v>
          </cell>
          <cell r="W46">
            <v>-304.04992791305011</v>
          </cell>
          <cell r="X46">
            <v>-345.48557214406679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13.254303999999999</v>
          </cell>
          <cell r="K47">
            <v>10.594047959999999</v>
          </cell>
          <cell r="L47">
            <v>9.2697919199999994</v>
          </cell>
          <cell r="M47">
            <v>8.0846358799999969</v>
          </cell>
          <cell r="N47">
            <v>24.036902380000001</v>
          </cell>
          <cell r="O47">
            <v>333.42924755000001</v>
          </cell>
          <cell r="P47">
            <v>674.34712946000002</v>
          </cell>
          <cell r="Q47">
            <v>868.22714580000002</v>
          </cell>
          <cell r="R47">
            <v>523.19864240000004</v>
          </cell>
          <cell r="S47">
            <v>551.67980304999992</v>
          </cell>
          <cell r="T47">
            <v>566.12008579999997</v>
          </cell>
          <cell r="U47">
            <v>524.68444156898329</v>
          </cell>
          <cell r="V47">
            <v>483.24879733796655</v>
          </cell>
          <cell r="W47">
            <v>441.81315310694987</v>
          </cell>
          <cell r="X47">
            <v>400.37750887593319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0</v>
          </cell>
          <cell r="G49">
            <v>0</v>
          </cell>
          <cell r="H49">
            <v>0</v>
          </cell>
          <cell r="I49">
            <v>5.0802026599999408</v>
          </cell>
          <cell r="J49">
            <v>4.5679132999999998</v>
          </cell>
          <cell r="K49">
            <v>4.055623939999931</v>
          </cell>
          <cell r="L49">
            <v>5.5433345799999536</v>
          </cell>
          <cell r="M49">
            <v>5.12984522</v>
          </cell>
          <cell r="N49">
            <v>8</v>
          </cell>
          <cell r="O49">
            <v>8</v>
          </cell>
          <cell r="P49">
            <v>10.02</v>
          </cell>
          <cell r="Q49">
            <v>7.18</v>
          </cell>
          <cell r="R49">
            <v>7.2576000000000001</v>
          </cell>
          <cell r="S49">
            <v>61.267625549999998</v>
          </cell>
          <cell r="T49">
            <v>57.389301160000002</v>
          </cell>
          <cell r="U49">
            <v>70.858576800000009</v>
          </cell>
          <cell r="V49">
            <v>84.327852440000015</v>
          </cell>
          <cell r="W49">
            <v>97.797128080000022</v>
          </cell>
          <cell r="X49">
            <v>111.26640372000003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531.61050264000016</v>
          </cell>
          <cell r="G50">
            <v>22.112230849999946</v>
          </cell>
          <cell r="H50">
            <v>22.691296749999992</v>
          </cell>
          <cell r="I50">
            <v>0</v>
          </cell>
          <cell r="J50">
            <v>1.4832579608992091E-13</v>
          </cell>
          <cell r="K50">
            <v>0</v>
          </cell>
          <cell r="L50">
            <v>0</v>
          </cell>
          <cell r="M50">
            <v>5.1442493899997466</v>
          </cell>
          <cell r="N50">
            <v>46.874318139999914</v>
          </cell>
          <cell r="O50">
            <v>53.448835790002363</v>
          </cell>
          <cell r="P50">
            <v>99.852302520000976</v>
          </cell>
          <cell r="Q50">
            <v>47.564526370000586</v>
          </cell>
          <cell r="R50">
            <v>52.897012689996274</v>
          </cell>
          <cell r="S50">
            <v>50.227324439997169</v>
          </cell>
          <cell r="T50">
            <v>61.015893400001517</v>
          </cell>
          <cell r="U50">
            <v>61.015893400001829</v>
          </cell>
          <cell r="V50">
            <v>61.015893400002199</v>
          </cell>
          <cell r="W50">
            <v>61.015893399995235</v>
          </cell>
          <cell r="X50">
            <v>61.015893400002824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647.79587377000007</v>
          </cell>
          <cell r="G51">
            <v>847.25578106</v>
          </cell>
          <cell r="H51">
            <v>1031.4626754399999</v>
          </cell>
          <cell r="I51">
            <v>1451.6932453399997</v>
          </cell>
          <cell r="J51">
            <v>1642.5394353900001</v>
          </cell>
          <cell r="K51">
            <v>1984.7442942399998</v>
          </cell>
          <cell r="L51">
            <v>2432.6008614900002</v>
          </cell>
          <cell r="M51">
            <v>3249.7300684899997</v>
          </cell>
          <cell r="N51">
            <v>5454.1274406700013</v>
          </cell>
          <cell r="O51">
            <v>8788.4102814300022</v>
          </cell>
          <cell r="P51">
            <v>11340.942887240002</v>
          </cell>
          <cell r="Q51">
            <v>13516.000180730001</v>
          </cell>
          <cell r="R51">
            <v>18745.813518199997</v>
          </cell>
          <cell r="S51">
            <v>26779.371267059996</v>
          </cell>
          <cell r="T51">
            <v>29468.018142579996</v>
          </cell>
          <cell r="U51">
            <v>30167.138326146003</v>
          </cell>
          <cell r="V51">
            <v>31511.306249235913</v>
          </cell>
          <cell r="W51">
            <v>32873.892850529446</v>
          </cell>
          <cell r="X51">
            <v>33859.962199162779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63.455728329999999</v>
          </cell>
          <cell r="G52">
            <v>52.366740979999996</v>
          </cell>
          <cell r="H52">
            <v>83.802334920000007</v>
          </cell>
          <cell r="I52">
            <v>174.84138679999998</v>
          </cell>
          <cell r="J52">
            <v>165.26244056000002</v>
          </cell>
          <cell r="K52">
            <v>167.68699992999998</v>
          </cell>
          <cell r="L52">
            <v>187.16980267</v>
          </cell>
          <cell r="M52">
            <v>331.25106603</v>
          </cell>
          <cell r="N52">
            <v>628.03807878999999</v>
          </cell>
          <cell r="O52">
            <v>1448.401177</v>
          </cell>
          <cell r="P52">
            <v>2318.3831290399999</v>
          </cell>
          <cell r="Q52">
            <v>1237.6591615100001</v>
          </cell>
          <cell r="R52">
            <v>1597.8180816499998</v>
          </cell>
          <cell r="S52">
            <v>2702.7349793400003</v>
          </cell>
          <cell r="T52">
            <v>3634.2187414299997</v>
          </cell>
          <cell r="U52">
            <v>3637.9161892598509</v>
          </cell>
          <cell r="V52">
            <v>4077.9904247759032</v>
          </cell>
          <cell r="W52">
            <v>4541.8854275690383</v>
          </cell>
          <cell r="X52">
            <v>4642.6631894713883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0.2</v>
          </cell>
          <cell r="G53">
            <v>20.45</v>
          </cell>
          <cell r="H53">
            <v>81.45</v>
          </cell>
          <cell r="I53">
            <v>35.29</v>
          </cell>
          <cell r="J53">
            <v>162.55000000000001</v>
          </cell>
          <cell r="K53">
            <v>322.55</v>
          </cell>
          <cell r="L53">
            <v>350</v>
          </cell>
          <cell r="M53">
            <v>508.5</v>
          </cell>
          <cell r="N53">
            <v>562.4</v>
          </cell>
          <cell r="O53">
            <v>1668.9</v>
          </cell>
          <cell r="P53">
            <v>2540.0592190299999</v>
          </cell>
          <cell r="Q53">
            <v>2831.0262537399999</v>
          </cell>
          <cell r="R53">
            <v>3932.0382151500003</v>
          </cell>
          <cell r="S53">
            <v>8552.0984825100004</v>
          </cell>
          <cell r="T53">
            <v>8538.5402359600012</v>
          </cell>
          <cell r="U53">
            <v>8538.5402359600012</v>
          </cell>
          <cell r="V53">
            <v>8538.5402359600012</v>
          </cell>
          <cell r="W53">
            <v>8538.5402359600012</v>
          </cell>
          <cell r="X53">
            <v>8538.5402359600012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10.187578869999999</v>
          </cell>
          <cell r="G54">
            <v>10.552909049999993</v>
          </cell>
          <cell r="H54">
            <v>9.9476845899999944</v>
          </cell>
          <cell r="I54">
            <v>60.524071110000015</v>
          </cell>
          <cell r="J54">
            <v>112.53572595000003</v>
          </cell>
          <cell r="K54">
            <v>92.548812730000066</v>
          </cell>
          <cell r="L54">
            <v>188.77969825000002</v>
          </cell>
          <cell r="M54">
            <v>93.213737029999947</v>
          </cell>
          <cell r="N54">
            <v>451.78216033000012</v>
          </cell>
          <cell r="O54">
            <v>533.36729733000038</v>
          </cell>
          <cell r="P54">
            <v>949.48834454000007</v>
          </cell>
          <cell r="Q54">
            <v>706.08428542000001</v>
          </cell>
          <cell r="R54">
            <v>1099.3670390200009</v>
          </cell>
          <cell r="S54">
            <v>457.33947267000076</v>
          </cell>
          <cell r="T54">
            <v>333.71405021999817</v>
          </cell>
          <cell r="U54">
            <v>267.00536255915176</v>
          </cell>
          <cell r="V54">
            <v>271.17774588741304</v>
          </cell>
          <cell r="W54">
            <v>271.1416038620664</v>
          </cell>
          <cell r="X54">
            <v>270.74670466533644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73.843307199999998</v>
          </cell>
          <cell r="G55">
            <v>83.369650029999988</v>
          </cell>
          <cell r="H55">
            <v>175.20001951</v>
          </cell>
          <cell r="I55">
            <v>270.65545791</v>
          </cell>
          <cell r="J55">
            <v>440.34816651000006</v>
          </cell>
          <cell r="K55">
            <v>582.78581266000003</v>
          </cell>
          <cell r="L55">
            <v>725.94950091999999</v>
          </cell>
          <cell r="M55">
            <v>932.96480305999989</v>
          </cell>
          <cell r="N55">
            <v>1642.2202391200001</v>
          </cell>
          <cell r="O55">
            <v>3650.6684743300002</v>
          </cell>
          <cell r="P55">
            <v>5807.9306926099998</v>
          </cell>
          <cell r="Q55">
            <v>4774.76970067</v>
          </cell>
          <cell r="R55">
            <v>6629.223335820001</v>
          </cell>
          <cell r="S55">
            <v>11712.172934520002</v>
          </cell>
          <cell r="T55">
            <v>12506.47302761</v>
          </cell>
          <cell r="U55">
            <v>12443.461787779004</v>
          </cell>
          <cell r="V55">
            <v>12887.708406623316</v>
          </cell>
          <cell r="W55">
            <v>13351.567267391107</v>
          </cell>
          <cell r="X55">
            <v>13451.950130096726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50.1</v>
          </cell>
          <cell r="G56">
            <v>170.1</v>
          </cell>
          <cell r="H56">
            <v>224.6</v>
          </cell>
          <cell r="I56">
            <v>319.88087999999999</v>
          </cell>
          <cell r="J56">
            <v>329.38564000000002</v>
          </cell>
          <cell r="K56">
            <v>456.1</v>
          </cell>
          <cell r="L56">
            <v>450.25</v>
          </cell>
          <cell r="M56">
            <v>715.75</v>
          </cell>
          <cell r="N56">
            <v>1714</v>
          </cell>
          <cell r="O56">
            <v>2349</v>
          </cell>
          <cell r="P56">
            <v>2330</v>
          </cell>
          <cell r="Q56">
            <v>3839.5</v>
          </cell>
          <cell r="R56">
            <v>6189.9464819599998</v>
          </cell>
          <cell r="S56">
            <v>6825.8520140399996</v>
          </cell>
          <cell r="T56">
            <v>7969.9178030399999</v>
          </cell>
          <cell r="U56">
            <v>7969.9178030399999</v>
          </cell>
          <cell r="V56">
            <v>7969.9178030399999</v>
          </cell>
          <cell r="W56">
            <v>7969.9178030399999</v>
          </cell>
          <cell r="X56">
            <v>7969.9178030399999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3.1889386799999997</v>
          </cell>
          <cell r="G57">
            <v>1.6242856800000141</v>
          </cell>
          <cell r="H57">
            <v>5.8813710000009678E-2</v>
          </cell>
          <cell r="I57">
            <v>9.8491900000112764E-3</v>
          </cell>
          <cell r="J57">
            <v>9.8491900000112764E-3</v>
          </cell>
          <cell r="K57">
            <v>1.3098491900000226</v>
          </cell>
          <cell r="L57">
            <v>1.5598491900000226</v>
          </cell>
          <cell r="M57">
            <v>26.659849190000045</v>
          </cell>
          <cell r="N57">
            <v>29.169424639999988</v>
          </cell>
          <cell r="O57">
            <v>27.659849189999932</v>
          </cell>
          <cell r="P57">
            <v>33.440000000000055</v>
          </cell>
          <cell r="Q57">
            <v>1222.75717429</v>
          </cell>
          <cell r="R57">
            <v>770.95669922999969</v>
          </cell>
          <cell r="S57">
            <v>1182.0864592899998</v>
          </cell>
          <cell r="T57">
            <v>1210.58990739</v>
          </cell>
          <cell r="U57">
            <v>1210.58990739</v>
          </cell>
          <cell r="V57">
            <v>1210.58990739</v>
          </cell>
          <cell r="W57">
            <v>1210.58990739</v>
          </cell>
          <cell r="X57">
            <v>1210.58990739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53.288938680000001</v>
          </cell>
          <cell r="G58">
            <v>171.72428568000001</v>
          </cell>
          <cell r="H58">
            <v>224.65881371</v>
          </cell>
          <cell r="I58">
            <v>319.89072919</v>
          </cell>
          <cell r="J58">
            <v>329.39548919000003</v>
          </cell>
          <cell r="K58">
            <v>457.40984919000005</v>
          </cell>
          <cell r="L58">
            <v>451.80984919000002</v>
          </cell>
          <cell r="M58">
            <v>742.40984919000005</v>
          </cell>
          <cell r="N58">
            <v>1743.16942464</v>
          </cell>
          <cell r="O58">
            <v>2376.6598491899999</v>
          </cell>
          <cell r="P58">
            <v>2363.44</v>
          </cell>
          <cell r="Q58">
            <v>5062.25717429</v>
          </cell>
          <cell r="R58">
            <v>6960.9031811899995</v>
          </cell>
          <cell r="S58">
            <v>8007.9384733299994</v>
          </cell>
          <cell r="T58">
            <v>9180.5077104299999</v>
          </cell>
          <cell r="U58">
            <v>9180.5077104299999</v>
          </cell>
          <cell r="V58">
            <v>9180.5077104299999</v>
          </cell>
          <cell r="W58">
            <v>9180.5077104299999</v>
          </cell>
          <cell r="X58">
            <v>9180.5077104299999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127.13224588</v>
          </cell>
          <cell r="G59">
            <v>255.09393570999998</v>
          </cell>
          <cell r="H59">
            <v>399.85883322000001</v>
          </cell>
          <cell r="I59">
            <v>590.5461871</v>
          </cell>
          <cell r="J59">
            <v>769.74365570000009</v>
          </cell>
          <cell r="K59">
            <v>1040.1956618500001</v>
          </cell>
          <cell r="L59">
            <v>1177.75935011</v>
          </cell>
          <cell r="M59">
            <v>1675.3746522500001</v>
          </cell>
          <cell r="N59">
            <v>3385.3896637600001</v>
          </cell>
          <cell r="O59">
            <v>6027.3283235199997</v>
          </cell>
          <cell r="P59">
            <v>8171.3706926100003</v>
          </cell>
          <cell r="Q59">
            <v>9837.02687496</v>
          </cell>
          <cell r="R59">
            <v>13590.126517010001</v>
          </cell>
          <cell r="S59">
            <v>19720.111407850003</v>
          </cell>
          <cell r="T59">
            <v>21686.980738040002</v>
          </cell>
          <cell r="U59">
            <v>21623.969498209004</v>
          </cell>
          <cell r="V59">
            <v>22068.216117053315</v>
          </cell>
          <cell r="W59">
            <v>22532.074977821107</v>
          </cell>
          <cell r="X59">
            <v>22632.457840526724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520.66362789000004</v>
          </cell>
          <cell r="G61">
            <v>592.16184535000002</v>
          </cell>
          <cell r="H61">
            <v>631.60584222000011</v>
          </cell>
          <cell r="I61">
            <v>773.09810042999993</v>
          </cell>
          <cell r="J61">
            <v>781.15866914999992</v>
          </cell>
          <cell r="K61">
            <v>846.56788741999992</v>
          </cell>
          <cell r="L61">
            <v>1130.5771109700001</v>
          </cell>
          <cell r="M61">
            <v>1260.5530726499996</v>
          </cell>
          <cell r="N61">
            <v>1470.7409542</v>
          </cell>
          <cell r="O61">
            <v>1813.3569139199999</v>
          </cell>
          <cell r="P61">
            <v>1989.87418751</v>
          </cell>
          <cell r="Q61">
            <v>2170.6199727499998</v>
          </cell>
          <cell r="R61">
            <v>2725.5052977800001</v>
          </cell>
          <cell r="S61">
            <v>5235.4141657500004</v>
          </cell>
          <cell r="T61">
            <v>6144.5226068000002</v>
          </cell>
          <cell r="U61">
            <v>6583.0031692438706</v>
          </cell>
          <cell r="V61">
            <v>7100.7590149246762</v>
          </cell>
          <cell r="W61">
            <v>7617.8281621239266</v>
          </cell>
          <cell r="X61">
            <v>8127.3942245853259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88.048957810000005</v>
          </cell>
          <cell r="J62">
            <v>91.637110539999995</v>
          </cell>
          <cell r="K62">
            <v>98.280744970000001</v>
          </cell>
          <cell r="L62">
            <v>124.26440040999999</v>
          </cell>
          <cell r="M62">
            <v>313.80234359000002</v>
          </cell>
          <cell r="N62">
            <v>597.99682270999995</v>
          </cell>
          <cell r="O62">
            <v>947.72504399000002</v>
          </cell>
          <cell r="P62">
            <v>1179.6980071200001</v>
          </cell>
          <cell r="Q62">
            <v>1508.35333302</v>
          </cell>
          <cell r="R62">
            <v>2430.18170341</v>
          </cell>
          <cell r="S62">
            <v>1823.8456934599999</v>
          </cell>
          <cell r="T62">
            <v>1636.5147977399999</v>
          </cell>
          <cell r="U62">
            <v>1960.1656586931319</v>
          </cell>
          <cell r="V62">
            <v>2342.3311172579242</v>
          </cell>
          <cell r="W62">
            <v>2723.9897105844211</v>
          </cell>
          <cell r="X62">
            <v>3100.1101340507198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520.66362789000004</v>
          </cell>
          <cell r="G63">
            <v>592.16184535000002</v>
          </cell>
          <cell r="H63">
            <v>631.60584222000011</v>
          </cell>
          <cell r="I63">
            <v>861.14705823999998</v>
          </cell>
          <cell r="J63">
            <v>872.7957796899999</v>
          </cell>
          <cell r="K63">
            <v>944.84863238999992</v>
          </cell>
          <cell r="L63">
            <v>1254.8415113800002</v>
          </cell>
          <cell r="M63">
            <v>1574.3554162399996</v>
          </cell>
          <cell r="N63">
            <v>2068.7377769099999</v>
          </cell>
          <cell r="O63">
            <v>2761.0819579099998</v>
          </cell>
          <cell r="P63">
            <v>3169.57219463</v>
          </cell>
          <cell r="Q63">
            <v>3678.9733057699996</v>
          </cell>
          <cell r="R63">
            <v>5155.68700119</v>
          </cell>
          <cell r="S63">
            <v>7059.2598592100003</v>
          </cell>
          <cell r="T63">
            <v>7781.0374045400004</v>
          </cell>
          <cell r="U63">
            <v>8543.1688279370028</v>
          </cell>
          <cell r="V63">
            <v>9443.0901321826004</v>
          </cell>
          <cell r="W63">
            <v>10341.817872708347</v>
          </cell>
          <cell r="X63">
            <v>11227.504358636046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647.79587377000007</v>
          </cell>
          <cell r="G64">
            <v>847.25578106</v>
          </cell>
          <cell r="H64">
            <v>1031.4646754400001</v>
          </cell>
          <cell r="I64">
            <v>1451.69324534</v>
          </cell>
          <cell r="J64">
            <v>1642.5394353900001</v>
          </cell>
          <cell r="K64">
            <v>1985.04429424</v>
          </cell>
          <cell r="L64">
            <v>2432.6008614900002</v>
          </cell>
          <cell r="M64">
            <v>3249.7300684899997</v>
          </cell>
          <cell r="N64">
            <v>5454.1274406699995</v>
          </cell>
          <cell r="O64">
            <v>8788.4102814299986</v>
          </cell>
          <cell r="P64">
            <v>11340.94288724</v>
          </cell>
          <cell r="Q64">
            <v>13516.00018073</v>
          </cell>
          <cell r="R64">
            <v>18745.813518200001</v>
          </cell>
          <cell r="S64">
            <v>26779.371267060003</v>
          </cell>
          <cell r="T64">
            <v>29468.018142580004</v>
          </cell>
          <cell r="U64">
            <v>30167.138326146007</v>
          </cell>
          <cell r="V64">
            <v>31511.306249235917</v>
          </cell>
          <cell r="W64">
            <v>32873.892850529453</v>
          </cell>
          <cell r="X64">
            <v>33859.962199162772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-0.52273556999999471</v>
          </cell>
          <cell r="G66">
            <v>189.25013761</v>
          </cell>
          <cell r="H66">
            <v>274.71199478</v>
          </cell>
          <cell r="I66">
            <v>294.93584146000001</v>
          </cell>
          <cell r="J66">
            <v>367.60664198000006</v>
          </cell>
          <cell r="K66">
            <v>694.31388608000009</v>
          </cell>
          <cell r="L66">
            <v>599.39393722</v>
          </cell>
          <cell r="M66">
            <v>997.65804629000002</v>
          </cell>
          <cell r="N66">
            <v>1610.1287365500002</v>
          </cell>
          <cell r="O66">
            <v>3550.6392023100002</v>
          </cell>
          <cell r="P66">
            <v>4478.9583358299997</v>
          </cell>
          <cell r="Q66">
            <v>5533.0301408399991</v>
          </cell>
          <cell r="R66">
            <v>8560.2883650000003</v>
          </cell>
          <cell r="S66">
            <v>11711.473233640001</v>
          </cell>
          <cell r="T66">
            <v>14970.37350725</v>
          </cell>
          <cell r="U66">
            <v>15330.713234213188</v>
          </cell>
          <cell r="V66">
            <v>15309.351852074607</v>
          </cell>
          <cell r="W66">
            <v>15450.227644599167</v>
          </cell>
          <cell r="X66">
            <v>15278.208218821661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F71">
            <v>8.5694733598409532E-3</v>
          </cell>
          <cell r="G71">
            <v>6.0266161112568879E-4</v>
          </cell>
          <cell r="H71">
            <v>4.6419778467570658E-3</v>
          </cell>
          <cell r="I71">
            <v>4.0062393431578629E-2</v>
          </cell>
          <cell r="J71">
            <v>5.3481733037272917E-2</v>
          </cell>
          <cell r="K71">
            <v>4.1629883066846458E-2</v>
          </cell>
          <cell r="L71">
            <v>5.3183729646985312E-2</v>
          </cell>
          <cell r="M71">
            <v>4.1045051721462118E-2</v>
          </cell>
          <cell r="N71">
            <v>4.4025578782287821E-2</v>
          </cell>
          <cell r="O71">
            <v>5.2567918342915451E-2</v>
          </cell>
          <cell r="P71">
            <v>6.1317244185272499E-2</v>
          </cell>
          <cell r="Q71">
            <v>5.3146579487822546E-2</v>
          </cell>
          <cell r="R71">
            <v>4.3365928289273895E-2</v>
          </cell>
          <cell r="S71">
            <v>4.1030351001035838E-2</v>
          </cell>
          <cell r="T71">
            <v>5.0094828084870292E-2</v>
          </cell>
          <cell r="U71">
            <v>5.1999999999999998E-2</v>
          </cell>
          <cell r="V71">
            <v>0.05</v>
          </cell>
          <cell r="W71">
            <v>0.05</v>
          </cell>
          <cell r="X71">
            <v>0.05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-13.254303999999999</v>
          </cell>
          <cell r="K75">
            <v>-10.594047959999999</v>
          </cell>
          <cell r="L75">
            <v>-9.2697919199999994</v>
          </cell>
          <cell r="M75">
            <v>-8.0846358799999969</v>
          </cell>
          <cell r="N75">
            <v>-24.036902380000001</v>
          </cell>
          <cell r="O75">
            <v>-333.42924755000001</v>
          </cell>
          <cell r="P75">
            <v>-674.34712946000002</v>
          </cell>
          <cell r="Q75">
            <v>-868.22714580000002</v>
          </cell>
          <cell r="R75">
            <v>-523.19864240000004</v>
          </cell>
          <cell r="S75">
            <v>-551.67980304999992</v>
          </cell>
          <cell r="T75">
            <v>-566.12008579999997</v>
          </cell>
          <cell r="U75">
            <v>-524.68444156898329</v>
          </cell>
          <cell r="V75">
            <v>-483.24879733796655</v>
          </cell>
          <cell r="W75">
            <v>-441.81315310694987</v>
          </cell>
          <cell r="X75">
            <v>-400.37750887593319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88.048957810000005</v>
          </cell>
          <cell r="J78">
            <v>91.637110539999995</v>
          </cell>
          <cell r="K78">
            <v>98.280744970000001</v>
          </cell>
          <cell r="L78">
            <v>124.26440040999999</v>
          </cell>
          <cell r="M78">
            <v>313.80234359000002</v>
          </cell>
          <cell r="N78">
            <v>597.99682270999995</v>
          </cell>
          <cell r="O78">
            <v>947.72504399000002</v>
          </cell>
          <cell r="P78">
            <v>1179.6980071200001</v>
          </cell>
          <cell r="Q78">
            <v>1508.35333302</v>
          </cell>
          <cell r="R78">
            <v>2430.18170341</v>
          </cell>
          <cell r="S78">
            <v>1823.8456934599999</v>
          </cell>
          <cell r="T78">
            <v>1636.5147977399999</v>
          </cell>
          <cell r="U78">
            <v>1960.1656586931319</v>
          </cell>
          <cell r="V78">
            <v>2342.3311172579242</v>
          </cell>
          <cell r="W78">
            <v>2723.9897105844211</v>
          </cell>
          <cell r="X78">
            <v>3100.1101340507198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0.31297301</v>
          </cell>
          <cell r="J80">
            <v>3.58815273</v>
          </cell>
          <cell r="K80">
            <v>6.6436344299999996</v>
          </cell>
          <cell r="L80">
            <v>25.98365544</v>
          </cell>
          <cell r="M80">
            <v>39.537943179999999</v>
          </cell>
          <cell r="N80">
            <v>79.150102910000001</v>
          </cell>
          <cell r="O80">
            <v>199.72822128000001</v>
          </cell>
          <cell r="P80">
            <v>130.68101106</v>
          </cell>
          <cell r="Q80">
            <v>210.22453891999999</v>
          </cell>
          <cell r="R80">
            <v>454.79802719000003</v>
          </cell>
          <cell r="S80">
            <v>448.50949936000001</v>
          </cell>
          <cell r="T80">
            <v>607.38136175</v>
          </cell>
          <cell r="U80">
            <v>323.65086095313194</v>
          </cell>
          <cell r="V80">
            <v>382.16545856479229</v>
          </cell>
          <cell r="W80">
            <v>381.65859332649711</v>
          </cell>
          <cell r="X80">
            <v>376.12042346629869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19.742699699999999</v>
          </cell>
          <cell r="G81">
            <v>39.365319069999998</v>
          </cell>
          <cell r="H81">
            <v>38.326985780000008</v>
          </cell>
          <cell r="I81">
            <v>52.2828029</v>
          </cell>
          <cell r="J81">
            <v>106.63488952</v>
          </cell>
          <cell r="K81">
            <v>131.83539268999999</v>
          </cell>
          <cell r="L81">
            <v>181.60143931999997</v>
          </cell>
          <cell r="M81">
            <v>232.98013954999999</v>
          </cell>
          <cell r="N81">
            <v>287.15504161999996</v>
          </cell>
          <cell r="O81">
            <v>383.67765953000003</v>
          </cell>
          <cell r="P81">
            <v>500.76677312999999</v>
          </cell>
          <cell r="Q81">
            <v>654.57078434999994</v>
          </cell>
          <cell r="R81">
            <v>745.55721815000015</v>
          </cell>
          <cell r="S81">
            <v>895.42844633999994</v>
          </cell>
          <cell r="T81">
            <v>1179.17055252</v>
          </cell>
          <cell r="U81">
            <v>1283.0121073924438</v>
          </cell>
          <cell r="V81">
            <v>1325.823213013022</v>
          </cell>
          <cell r="W81">
            <v>1377.9318792227391</v>
          </cell>
          <cell r="X81">
            <v>1429.5152627561492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-5.929307350000002</v>
          </cell>
          <cell r="G82">
            <v>-79.636202940000004</v>
          </cell>
          <cell r="H82">
            <v>13.06088922</v>
          </cell>
          <cell r="I82">
            <v>103.44282500999996</v>
          </cell>
          <cell r="J82">
            <v>-15.819527189999945</v>
          </cell>
          <cell r="K82">
            <v>-45.059781150000013</v>
          </cell>
          <cell r="L82">
            <v>-91.346901410000001</v>
          </cell>
          <cell r="M82">
            <v>-39.23577435</v>
          </cell>
          <cell r="N82">
            <v>-117.32188378999996</v>
          </cell>
          <cell r="O82">
            <v>4.2263182799999299</v>
          </cell>
          <cell r="P82">
            <v>730.10458327000015</v>
          </cell>
          <cell r="Q82">
            <v>-1208.4838209</v>
          </cell>
          <cell r="R82">
            <v>-2225.0869833300003</v>
          </cell>
          <cell r="S82">
            <v>-1341.7670465699994</v>
          </cell>
          <cell r="T82">
            <v>621.14045151999835</v>
          </cell>
          <cell r="U82">
            <v>7.9860178873657333</v>
          </cell>
          <cell r="V82">
            <v>-190.91385948003989</v>
          </cell>
          <cell r="W82">
            <v>-196.54335903461742</v>
          </cell>
          <cell r="X82">
            <v>120.61270963113532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42.186769279999993</v>
          </cell>
          <cell r="G83">
            <v>-2.7182654200000229</v>
          </cell>
          <cell r="H83">
            <v>3.4837229899999755</v>
          </cell>
          <cell r="I83">
            <v>-26.731110849999951</v>
          </cell>
          <cell r="J83">
            <v>30.516783599999954</v>
          </cell>
          <cell r="K83">
            <v>-35.867601510000021</v>
          </cell>
          <cell r="L83">
            <v>155.16434705</v>
          </cell>
          <cell r="M83">
            <v>35.503100429999975</v>
          </cell>
          <cell r="N83">
            <v>183.92837407000025</v>
          </cell>
          <cell r="O83">
            <v>-213.41357435000026</v>
          </cell>
          <cell r="P83">
            <v>-1458.1559542000002</v>
          </cell>
          <cell r="Q83">
            <v>844.04737047000015</v>
          </cell>
          <cell r="R83">
            <v>917.50494707999906</v>
          </cell>
          <cell r="S83">
            <v>1143.77288516</v>
          </cell>
          <cell r="T83">
            <v>753.20780772000262</v>
          </cell>
          <cell r="U83">
            <v>66.708687660848909</v>
          </cell>
          <cell r="V83">
            <v>-4.1723833282595137</v>
          </cell>
          <cell r="W83">
            <v>3.6142025345270667E-2</v>
          </cell>
          <cell r="X83">
            <v>0.39489919672894302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157.05287437999996</v>
          </cell>
          <cell r="G84">
            <v>31.141754630000015</v>
          </cell>
          <cell r="H84">
            <v>94.315594860000076</v>
          </cell>
          <cell r="I84">
            <v>169.81572822000015</v>
          </cell>
          <cell r="J84">
            <v>175.75694138</v>
          </cell>
          <cell r="K84">
            <v>122.96086272999992</v>
          </cell>
          <cell r="L84">
            <v>387.00273191000031</v>
          </cell>
          <cell r="M84">
            <v>435.73594994999956</v>
          </cell>
          <cell r="N84">
            <v>653.37510719000011</v>
          </cell>
          <cell r="O84">
            <v>781.91995070000007</v>
          </cell>
          <cell r="P84">
            <v>376.84484093999868</v>
          </cell>
          <cell r="Q84">
            <v>753.11243619000084</v>
          </cell>
          <cell r="R84">
            <v>465.30454616000009</v>
          </cell>
          <cell r="S84">
            <v>1963.6611212299977</v>
          </cell>
          <cell r="T84">
            <v>4027.0867222000024</v>
          </cell>
          <cell r="U84">
            <v>2142.9161606768121</v>
          </cell>
          <cell r="V84">
            <v>2057.9085821177318</v>
          </cell>
          <cell r="W84">
            <v>2107.3665683812796</v>
          </cell>
          <cell r="X84">
            <v>2463.0286239570487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-268.09933576000003</v>
          </cell>
          <cell r="G85">
            <v>-211.30329066000002</v>
          </cell>
          <cell r="H85">
            <v>-164.18511633999998</v>
          </cell>
          <cell r="I85">
            <v>-364.81101612999998</v>
          </cell>
          <cell r="J85">
            <v>-195.75179263000001</v>
          </cell>
          <cell r="K85">
            <v>-392.62268500000005</v>
          </cell>
          <cell r="L85">
            <v>-413.41400397000001</v>
          </cell>
          <cell r="M85">
            <v>-914.30603534000011</v>
          </cell>
          <cell r="N85">
            <v>-1295.6783697799999</v>
          </cell>
          <cell r="O85">
            <v>-2614.5362065499999</v>
          </cell>
          <cell r="P85">
            <v>-1512.37877284</v>
          </cell>
          <cell r="Q85">
            <v>-1135.63167294</v>
          </cell>
          <cell r="R85">
            <v>-3237.3908007999999</v>
          </cell>
          <cell r="S85">
            <v>-4971.3464085400001</v>
          </cell>
          <cell r="T85">
            <v>-5282.3111306299998</v>
          </cell>
          <cell r="U85">
            <v>-2400</v>
          </cell>
          <cell r="V85">
            <v>-2000</v>
          </cell>
          <cell r="W85">
            <v>-2207.5227775984267</v>
          </cell>
          <cell r="X85">
            <v>-2250.3257568974777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2.0539999999982683E-2</v>
          </cell>
          <cell r="G88">
            <v>0</v>
          </cell>
          <cell r="H88">
            <v>0</v>
          </cell>
          <cell r="I88">
            <v>-53.105294889999982</v>
          </cell>
          <cell r="J88">
            <v>0.83895025000001056</v>
          </cell>
          <cell r="K88">
            <v>-5.7795753300000001</v>
          </cell>
          <cell r="L88">
            <v>-3.3268198900000243</v>
          </cell>
          <cell r="M88">
            <v>19.51245042000005</v>
          </cell>
          <cell r="N88">
            <v>-11.285951320000095</v>
          </cell>
          <cell r="O88">
            <v>41.468838419999884</v>
          </cell>
          <cell r="P88">
            <v>-465.76687216999994</v>
          </cell>
          <cell r="Q88">
            <v>12.44291561</v>
          </cell>
          <cell r="R88">
            <v>1.0932541199999832</v>
          </cell>
          <cell r="S88">
            <v>-553.28768557999956</v>
          </cell>
          <cell r="T88">
            <v>-13.469275639999978</v>
          </cell>
          <cell r="U88">
            <v>-13.469275639999978</v>
          </cell>
          <cell r="V88">
            <v>-13.469275639999978</v>
          </cell>
          <cell r="W88">
            <v>-13.469275639999978</v>
          </cell>
          <cell r="X88">
            <v>-13.469275639999978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-268.07879576000005</v>
          </cell>
          <cell r="G89">
            <v>-211.30329066000002</v>
          </cell>
          <cell r="H89">
            <v>-164.18511633999998</v>
          </cell>
          <cell r="I89">
            <v>-417.91631101999997</v>
          </cell>
          <cell r="J89">
            <v>-194.91284238</v>
          </cell>
          <cell r="K89">
            <v>-398.40226033000005</v>
          </cell>
          <cell r="L89">
            <v>-416.74082386000003</v>
          </cell>
          <cell r="M89">
            <v>-894.79358492000006</v>
          </cell>
          <cell r="N89">
            <v>-1306.9643211</v>
          </cell>
          <cell r="O89">
            <v>-2573.06736813</v>
          </cell>
          <cell r="P89">
            <v>-1978.14564501</v>
          </cell>
          <cell r="Q89">
            <v>-1123.18875733</v>
          </cell>
          <cell r="R89">
            <v>-3236.2975466799999</v>
          </cell>
          <cell r="S89">
            <v>-5524.6340941199996</v>
          </cell>
          <cell r="T89">
            <v>-5295.7804062699997</v>
          </cell>
          <cell r="U89">
            <v>-2413.46927564</v>
          </cell>
          <cell r="V89">
            <v>-2013.46927564</v>
          </cell>
          <cell r="W89">
            <v>-2220.9920532384267</v>
          </cell>
          <cell r="X89">
            <v>-2263.7950325374777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-18.696303499999999</v>
          </cell>
          <cell r="K90">
            <v>-21.388037000000001</v>
          </cell>
          <cell r="L90">
            <v>-21.388037000000001</v>
          </cell>
          <cell r="M90">
            <v>-36.980321850000003</v>
          </cell>
          <cell r="N90">
            <v>-54.237805199999997</v>
          </cell>
          <cell r="O90">
            <v>-65.085366239999999</v>
          </cell>
          <cell r="P90">
            <v>-119.32317144</v>
          </cell>
          <cell r="Q90">
            <v>-81.356707799999995</v>
          </cell>
          <cell r="R90">
            <v>-54.237805199999997</v>
          </cell>
          <cell r="S90">
            <v>-54.237805199999997</v>
          </cell>
          <cell r="T90">
            <v>-27.118902600000002</v>
          </cell>
          <cell r="U90">
            <v>-89.786612000000005</v>
          </cell>
          <cell r="V90">
            <v>-23.077924339151078</v>
          </cell>
          <cell r="W90">
            <v>-27.250307667410848</v>
          </cell>
          <cell r="X90">
            <v>-27.21416564206578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50.1</v>
          </cell>
          <cell r="G92">
            <v>140.25</v>
          </cell>
          <cell r="H92">
            <v>115.5</v>
          </cell>
          <cell r="I92">
            <v>48.273599999999988</v>
          </cell>
          <cell r="J92">
            <v>136.76476000000002</v>
          </cell>
          <cell r="K92">
            <v>286.71436</v>
          </cell>
          <cell r="L92">
            <v>21.600000000000023</v>
          </cell>
          <cell r="M92">
            <v>424</v>
          </cell>
          <cell r="N92">
            <v>1052.1500000000001</v>
          </cell>
          <cell r="O92">
            <v>1741.5</v>
          </cell>
          <cell r="P92">
            <v>1745.6592190300003</v>
          </cell>
          <cell r="Q92">
            <v>1012.96703471</v>
          </cell>
          <cell r="R92">
            <v>3390.8897614099997</v>
          </cell>
          <cell r="S92">
            <v>4954.9602673599993</v>
          </cell>
          <cell r="T92">
            <v>1129.4417534499989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75.771777960000009</v>
          </cell>
          <cell r="G93">
            <v>-9.6113371499999971</v>
          </cell>
          <cell r="H93">
            <v>-15.592335690000098</v>
          </cell>
          <cell r="I93">
            <v>228.72401611999982</v>
          </cell>
          <cell r="J93">
            <v>-34.81859602000003</v>
          </cell>
          <cell r="K93">
            <v>-29.877809499999842</v>
          </cell>
          <cell r="L93">
            <v>146.0460778099997</v>
          </cell>
          <cell r="M93">
            <v>97.773847750000527</v>
          </cell>
          <cell r="N93">
            <v>95.356328849999727</v>
          </cell>
          <cell r="O93">
            <v>-84.277682090000098</v>
          </cell>
          <cell r="P93">
            <v>-101.19515800999898</v>
          </cell>
          <cell r="Q93">
            <v>184.86122392999937</v>
          </cell>
          <cell r="R93">
            <v>-141.45873647999997</v>
          </cell>
          <cell r="S93">
            <v>765.03144153000267</v>
          </cell>
          <cell r="T93">
            <v>-1962.0218979400017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125.87177796</v>
          </cell>
          <cell r="G94">
            <v>130.63866285</v>
          </cell>
          <cell r="H94">
            <v>99.907664309999902</v>
          </cell>
          <cell r="I94">
            <v>276.9976161199998</v>
          </cell>
          <cell r="J94">
            <v>83.249860479999995</v>
          </cell>
          <cell r="K94">
            <v>235.44851350000013</v>
          </cell>
          <cell r="L94">
            <v>146.25804080999973</v>
          </cell>
          <cell r="M94">
            <v>484.79352590000053</v>
          </cell>
          <cell r="N94">
            <v>1093.2685236499999</v>
          </cell>
          <cell r="O94">
            <v>1592.1369516699999</v>
          </cell>
          <cell r="P94">
            <v>1525.1408895800014</v>
          </cell>
          <cell r="Q94">
            <v>1116.4715508399993</v>
          </cell>
          <cell r="R94">
            <v>3195.1932197299998</v>
          </cell>
          <cell r="S94">
            <v>5665.7539036900016</v>
          </cell>
          <cell r="T94">
            <v>-859.69904709000275</v>
          </cell>
          <cell r="U94">
            <v>-89.786612000000005</v>
          </cell>
          <cell r="V94">
            <v>-23.077924339151078</v>
          </cell>
          <cell r="W94">
            <v>-27.250307667410848</v>
          </cell>
          <cell r="X94">
            <v>-27.21416564206578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14.845856579999918</v>
          </cell>
          <cell r="G95">
            <v>-49.522873180000005</v>
          </cell>
          <cell r="H95">
            <v>30.038142829999998</v>
          </cell>
          <cell r="I95">
            <v>28.897033319999991</v>
          </cell>
          <cell r="J95">
            <v>64.093959479999995</v>
          </cell>
          <cell r="K95">
            <v>-39.992884099999998</v>
          </cell>
          <cell r="L95">
            <v>116.51994886</v>
          </cell>
          <cell r="M95">
            <v>25.735890930000039</v>
          </cell>
          <cell r="N95">
            <v>439.67930974000001</v>
          </cell>
          <cell r="O95">
            <v>-199.01046575999999</v>
          </cell>
          <cell r="P95">
            <v>-76.159914489999892</v>
          </cell>
          <cell r="Q95">
            <v>746.39522970000007</v>
          </cell>
          <cell r="R95">
            <v>424.20021920999989</v>
          </cell>
          <cell r="S95">
            <v>2104.7809307999996</v>
          </cell>
          <cell r="T95">
            <v>-2128.39273116</v>
          </cell>
          <cell r="U95">
            <v>-360.3397269631879</v>
          </cell>
          <cell r="V95">
            <v>21.361382138580783</v>
          </cell>
          <cell r="W95">
            <v>-140.87579252455791</v>
          </cell>
          <cell r="X95">
            <v>172.01942577750521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1.5215999999999998</v>
          </cell>
          <cell r="I109">
            <v>1.6240000000000001</v>
          </cell>
          <cell r="J109">
            <v>1.6909999999999998</v>
          </cell>
          <cell r="K109">
            <v>1.92</v>
          </cell>
          <cell r="L109">
            <v>2.464</v>
          </cell>
          <cell r="M109">
            <v>2.8149999999999999</v>
          </cell>
          <cell r="N109">
            <v>2.5619999999999998</v>
          </cell>
          <cell r="O109">
            <v>2.403</v>
          </cell>
          <cell r="P109">
            <v>2.339</v>
          </cell>
          <cell r="Q109">
            <v>3.0979999999999999</v>
          </cell>
          <cell r="R109">
            <v>3.2749999999999999</v>
          </cell>
          <cell r="S109">
            <v>4.68</v>
          </cell>
          <cell r="T109">
            <v>3.5670000000000002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3">
          <cell r="B113" t="str">
            <v>Sales - % Canada</v>
          </cell>
          <cell r="C113" t="str">
            <v>SALES_CANADA</v>
          </cell>
        </row>
        <row r="114">
          <cell r="B114" t="str">
            <v>Sales - % Brazil</v>
          </cell>
          <cell r="C114" t="str">
            <v>SALES_BRAZIL</v>
          </cell>
        </row>
        <row r="115">
          <cell r="B115" t="str">
            <v>Sales - % Other Americas</v>
          </cell>
          <cell r="C115" t="str">
            <v>SALES_OTH_AM</v>
          </cell>
        </row>
        <row r="116">
          <cell r="B116" t="str">
            <v>Sales - Total % EMEA</v>
          </cell>
          <cell r="C116" t="str">
            <v>SALES_TOT_EMEA</v>
          </cell>
        </row>
        <row r="117">
          <cell r="B117" t="str">
            <v>Sales - % UK</v>
          </cell>
          <cell r="C117" t="str">
            <v>SALES_UK</v>
          </cell>
        </row>
        <row r="118">
          <cell r="B118" t="str">
            <v>Sales - % Western Europe-Ex UK</v>
          </cell>
          <cell r="C118" t="str">
            <v>SALES_EU_EX_UK</v>
          </cell>
        </row>
        <row r="119">
          <cell r="B119" t="str">
            <v>Sales - % Austria</v>
          </cell>
          <cell r="C119" t="str">
            <v>SALES_AUSTRIA</v>
          </cell>
        </row>
        <row r="120">
          <cell r="B120" t="str">
            <v>Sales - % Belgium</v>
          </cell>
          <cell r="C120" t="str">
            <v>SALES_BEL</v>
          </cell>
        </row>
        <row r="121">
          <cell r="B121" t="str">
            <v>Sales - % Denmark</v>
          </cell>
          <cell r="C121" t="str">
            <v>SALES_DEN</v>
          </cell>
        </row>
        <row r="122">
          <cell r="B122" t="str">
            <v>Sales - % Finland</v>
          </cell>
          <cell r="C122" t="str">
            <v>SALES_FIN</v>
          </cell>
        </row>
        <row r="123">
          <cell r="B123" t="str">
            <v>Sales - % France</v>
          </cell>
          <cell r="C123" t="str">
            <v>SALES_FRA</v>
          </cell>
        </row>
        <row r="124">
          <cell r="B124" t="str">
            <v>Sales - % Germany</v>
          </cell>
          <cell r="C124" t="str">
            <v>SALES_GER</v>
          </cell>
        </row>
        <row r="125">
          <cell r="B125" t="str">
            <v>Sales - % Greece</v>
          </cell>
          <cell r="C125" t="str">
            <v>SALES_GRE</v>
          </cell>
        </row>
        <row r="126">
          <cell r="B126" t="str">
            <v>Sales - % Iceland</v>
          </cell>
          <cell r="C126" t="str">
            <v>SALES_ICE</v>
          </cell>
        </row>
        <row r="127">
          <cell r="B127" t="str">
            <v>Sales - % Ireland</v>
          </cell>
          <cell r="C127" t="str">
            <v>SALES_IRE</v>
          </cell>
        </row>
        <row r="128">
          <cell r="B128" t="str">
            <v>Sales - % Italy</v>
          </cell>
          <cell r="C128" t="str">
            <v>SALES_ITA</v>
          </cell>
        </row>
        <row r="129">
          <cell r="B129" t="str">
            <v>Sales - % Netherlands</v>
          </cell>
          <cell r="C129" t="str">
            <v>SALES_NETH</v>
          </cell>
        </row>
        <row r="130">
          <cell r="B130" t="str">
            <v>Sales - % Norway</v>
          </cell>
          <cell r="C130" t="str">
            <v>SALES_NOR</v>
          </cell>
        </row>
        <row r="131">
          <cell r="B131" t="str">
            <v>Sales - % Portugal</v>
          </cell>
          <cell r="C131" t="str">
            <v>SALES_POR</v>
          </cell>
        </row>
        <row r="132">
          <cell r="B132" t="str">
            <v>Sales - % Spain</v>
          </cell>
          <cell r="C132" t="str">
            <v>SALES_SPA</v>
          </cell>
        </row>
        <row r="133">
          <cell r="B133" t="str">
            <v>Sales - % Sweden</v>
          </cell>
          <cell r="C133" t="str">
            <v>SALES_SWE</v>
          </cell>
        </row>
        <row r="134">
          <cell r="B134" t="str">
            <v>Sales - % Switzerland</v>
          </cell>
          <cell r="C134" t="str">
            <v>SALES_SWIT</v>
          </cell>
        </row>
        <row r="135">
          <cell r="B135" t="str">
            <v>Sales - % Central &amp; Eastern Europe</v>
          </cell>
          <cell r="C135" t="str">
            <v>SALES_CEE</v>
          </cell>
        </row>
        <row r="136">
          <cell r="B136" t="str">
            <v>Sales - % Middle East</v>
          </cell>
          <cell r="C136" t="str">
            <v>SALES_ME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</row>
        <row r="139">
          <cell r="B139" t="str">
            <v>Sales - % Other EMEA</v>
          </cell>
          <cell r="C139" t="str">
            <v>SALES_OTH_EMEA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G140">
            <v>1</v>
          </cell>
          <cell r="H140">
            <v>1</v>
          </cell>
          <cell r="I140">
            <v>1</v>
          </cell>
          <cell r="J140">
            <v>1</v>
          </cell>
          <cell r="K140">
            <v>1</v>
          </cell>
          <cell r="L140">
            <v>1</v>
          </cell>
          <cell r="M140">
            <v>1</v>
          </cell>
          <cell r="N140">
            <v>1</v>
          </cell>
          <cell r="O140">
            <v>1</v>
          </cell>
          <cell r="P140">
            <v>1</v>
          </cell>
          <cell r="Q140">
            <v>1</v>
          </cell>
          <cell r="R140">
            <v>1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</row>
        <row r="141">
          <cell r="B141" t="str">
            <v>Sales - % Japan</v>
          </cell>
          <cell r="C141" t="str">
            <v>SALES_JAPAN</v>
          </cell>
        </row>
        <row r="142">
          <cell r="B142" t="str">
            <v>Sales - % China</v>
          </cell>
          <cell r="C142" t="str">
            <v>SALES_CHINA</v>
          </cell>
          <cell r="G142">
            <v>1</v>
          </cell>
          <cell r="H142">
            <v>1</v>
          </cell>
          <cell r="I142">
            <v>1</v>
          </cell>
          <cell r="J142">
            <v>1</v>
          </cell>
          <cell r="K142">
            <v>1</v>
          </cell>
          <cell r="L142">
            <v>1</v>
          </cell>
          <cell r="M142">
            <v>1</v>
          </cell>
          <cell r="N142">
            <v>1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</row>
        <row r="143">
          <cell r="B143" t="str">
            <v>Sales - % India</v>
          </cell>
          <cell r="C143" t="str">
            <v>SALES_INDIA</v>
          </cell>
        </row>
        <row r="144">
          <cell r="B144" t="str">
            <v>Sales - % South Korea</v>
          </cell>
          <cell r="C144" t="str">
            <v>SALES_SK</v>
          </cell>
        </row>
        <row r="145">
          <cell r="B145" t="str">
            <v>Sales - % Taiwan</v>
          </cell>
          <cell r="C145" t="str">
            <v>SALES_TAIWAN</v>
          </cell>
        </row>
        <row r="146">
          <cell r="B146" t="str">
            <v>Sales - % Australia</v>
          </cell>
          <cell r="C146" t="str">
            <v>SALES_AUSTRA</v>
          </cell>
        </row>
        <row r="147">
          <cell r="B147" t="str">
            <v>Sales - % New Zealand</v>
          </cell>
          <cell r="C147" t="str">
            <v>SALES_NZ</v>
          </cell>
        </row>
        <row r="148">
          <cell r="B148" t="str">
            <v>Sales - % Other Asia</v>
          </cell>
          <cell r="C148" t="str">
            <v>SALES_OTH_AEJ</v>
          </cell>
        </row>
        <row r="149">
          <cell r="B149" t="str">
            <v>Sales - % Others</v>
          </cell>
          <cell r="C149" t="str">
            <v>SALES_OTHER</v>
          </cell>
        </row>
        <row r="150">
          <cell r="B150" t="str">
            <v>Operating Profit - % Total Americas</v>
          </cell>
          <cell r="C150" t="str">
            <v>OP_TOT_AM</v>
          </cell>
        </row>
        <row r="151">
          <cell r="B151" t="str">
            <v>Operating Profit - % United States</v>
          </cell>
          <cell r="C151" t="str">
            <v>OP_US</v>
          </cell>
        </row>
        <row r="152">
          <cell r="B152" t="str">
            <v>Operating Profit - % Canada</v>
          </cell>
          <cell r="C152" t="str">
            <v>OP_CANADA</v>
          </cell>
        </row>
        <row r="153">
          <cell r="B153" t="str">
            <v>Operating Profit - % Brazil</v>
          </cell>
          <cell r="C153" t="str">
            <v>OP_BRAZIL</v>
          </cell>
        </row>
        <row r="154">
          <cell r="B154" t="str">
            <v>Operating Profit - % Other Americas</v>
          </cell>
          <cell r="C154" t="str">
            <v>OP_OTH_AM</v>
          </cell>
        </row>
        <row r="155">
          <cell r="B155" t="str">
            <v>Operating Profit - Total % EMEA</v>
          </cell>
          <cell r="C155" t="str">
            <v>OP_TOT_EMEA</v>
          </cell>
        </row>
        <row r="156">
          <cell r="B156" t="str">
            <v>Operating Profit - % UK</v>
          </cell>
          <cell r="C156" t="str">
            <v>OP_UK</v>
          </cell>
        </row>
        <row r="157">
          <cell r="B157" t="str">
            <v>Operating Profit - % Europe-Ex UK</v>
          </cell>
          <cell r="C157" t="str">
            <v>OP_EU_EX_UK</v>
          </cell>
        </row>
        <row r="158">
          <cell r="B158" t="str">
            <v>Operating Profit - % Austria</v>
          </cell>
          <cell r="C158" t="str">
            <v>OP_AUSTRIA</v>
          </cell>
        </row>
        <row r="159">
          <cell r="B159" t="str">
            <v>Operating Profit - % Belgium</v>
          </cell>
          <cell r="C159" t="str">
            <v>OP_BEL</v>
          </cell>
        </row>
        <row r="160">
          <cell r="B160" t="str">
            <v>Operating Profit - % Denmark</v>
          </cell>
          <cell r="C160" t="str">
            <v>OP_DEN</v>
          </cell>
        </row>
        <row r="161">
          <cell r="B161" t="str">
            <v>Operating Profit - % Finland</v>
          </cell>
          <cell r="C161" t="str">
            <v>OP_FIN</v>
          </cell>
        </row>
        <row r="162">
          <cell r="B162" t="str">
            <v>Operating Profit - % France</v>
          </cell>
          <cell r="C162" t="str">
            <v>OP_FRA</v>
          </cell>
        </row>
        <row r="163">
          <cell r="B163" t="str">
            <v>Operating Profit - % Germany</v>
          </cell>
          <cell r="C163" t="str">
            <v>OP_GER</v>
          </cell>
        </row>
        <row r="164">
          <cell r="B164" t="str">
            <v>Operating Profit - % Greece</v>
          </cell>
          <cell r="C164" t="str">
            <v>OP_GRE</v>
          </cell>
        </row>
        <row r="165">
          <cell r="B165" t="str">
            <v>Operating Profit - % Iceland</v>
          </cell>
          <cell r="C165" t="str">
            <v>OP_ICE</v>
          </cell>
        </row>
        <row r="166">
          <cell r="B166" t="str">
            <v>Operating Profit - % Ireland</v>
          </cell>
          <cell r="C166" t="str">
            <v>OP_IRE</v>
          </cell>
        </row>
        <row r="167">
          <cell r="B167" t="str">
            <v>Operating Profit - % Italy</v>
          </cell>
          <cell r="C167" t="str">
            <v>OP_ITA</v>
          </cell>
        </row>
        <row r="168">
          <cell r="B168" t="str">
            <v>Operating Profit - % Netherlands</v>
          </cell>
          <cell r="C168" t="str">
            <v>OP_NETH</v>
          </cell>
        </row>
        <row r="169">
          <cell r="B169" t="str">
            <v>Operating Profit - % Norway</v>
          </cell>
          <cell r="C169" t="str">
            <v>OP_NOR</v>
          </cell>
        </row>
        <row r="170">
          <cell r="B170" t="str">
            <v>Operating Profit - % Portugal</v>
          </cell>
          <cell r="C170" t="str">
            <v>OP_POR</v>
          </cell>
        </row>
        <row r="171">
          <cell r="B171" t="str">
            <v>Operating Profit - % Spain</v>
          </cell>
          <cell r="C171" t="str">
            <v>OP_SPA</v>
          </cell>
        </row>
        <row r="172">
          <cell r="B172" t="str">
            <v>Operating Profit - % Sweden</v>
          </cell>
          <cell r="C172" t="str">
            <v>OP_SWE</v>
          </cell>
        </row>
        <row r="173">
          <cell r="B173" t="str">
            <v>Operating Profit - % Switzerland</v>
          </cell>
          <cell r="C173" t="str">
            <v>OP_SWIT</v>
          </cell>
        </row>
        <row r="174">
          <cell r="B174" t="str">
            <v>Operating Profit - % Central &amp; Eastern Europe</v>
          </cell>
          <cell r="C174" t="str">
            <v>OP_CEE</v>
          </cell>
        </row>
        <row r="175">
          <cell r="B175" t="str">
            <v>Operating Profit - % Middle East</v>
          </cell>
          <cell r="C175" t="str">
            <v>OP_ME</v>
          </cell>
        </row>
        <row r="176">
          <cell r="B176" t="str">
            <v>Operating Profit - % Russia</v>
          </cell>
          <cell r="C176" t="str">
            <v>OP_RUSSIA</v>
          </cell>
        </row>
        <row r="177">
          <cell r="B177" t="str">
            <v>Operating Profit - % Other EMEA</v>
          </cell>
          <cell r="C177" t="str">
            <v>OP_OTH_EMEA</v>
          </cell>
        </row>
        <row r="178">
          <cell r="B178" t="str">
            <v>Operating Profit - Total % Asia (incl Australia &amp; New Zealand)</v>
          </cell>
          <cell r="C178" t="str">
            <v>OP_TOT_ASIA</v>
          </cell>
          <cell r="G178">
            <v>1</v>
          </cell>
          <cell r="H178">
            <v>1</v>
          </cell>
          <cell r="I178">
            <v>1</v>
          </cell>
          <cell r="J178">
            <v>1</v>
          </cell>
          <cell r="K178">
            <v>1</v>
          </cell>
          <cell r="L178">
            <v>1</v>
          </cell>
          <cell r="M178">
            <v>1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</row>
        <row r="179">
          <cell r="B179" t="str">
            <v>Operating Profit - % Japan</v>
          </cell>
          <cell r="C179" t="str">
            <v>OP_JAPAN</v>
          </cell>
        </row>
        <row r="180">
          <cell r="B180" t="str">
            <v>Operating Profit - % Greater China (incl HK)</v>
          </cell>
          <cell r="C180" t="str">
            <v>OP_CHINA</v>
          </cell>
          <cell r="G180">
            <v>1</v>
          </cell>
          <cell r="H180">
            <v>1</v>
          </cell>
          <cell r="I180">
            <v>1</v>
          </cell>
          <cell r="J180">
            <v>1</v>
          </cell>
          <cell r="K180">
            <v>1</v>
          </cell>
          <cell r="L180">
            <v>1</v>
          </cell>
          <cell r="M180">
            <v>1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</row>
        <row r="181">
          <cell r="B181" t="str">
            <v>Operating Profit - % India</v>
          </cell>
          <cell r="C181" t="str">
            <v>OP_INDIA</v>
          </cell>
        </row>
        <row r="182">
          <cell r="B182" t="str">
            <v>Operating Profit - % South Korea</v>
          </cell>
          <cell r="C182" t="str">
            <v>OP_SK</v>
          </cell>
        </row>
        <row r="183">
          <cell r="B183" t="str">
            <v>Operating Profit - % Australia</v>
          </cell>
          <cell r="C183" t="str">
            <v>OP_AUSTRA</v>
          </cell>
        </row>
        <row r="184">
          <cell r="B184" t="str">
            <v>Operating Profit - % New Zealand</v>
          </cell>
          <cell r="C184" t="str">
            <v>OP_NZ</v>
          </cell>
        </row>
        <row r="185">
          <cell r="B185" t="str">
            <v>Operating Profit - % Other AEJ (incl Taiwan)</v>
          </cell>
          <cell r="C185" t="str">
            <v>OP_OTH_AEJ</v>
          </cell>
        </row>
        <row r="186">
          <cell r="B186" t="str">
            <v>Operating Profit - % Others</v>
          </cell>
          <cell r="C186" t="str">
            <v>OP_OTHER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  <cell r="G188">
            <v>1</v>
          </cell>
          <cell r="H188">
            <v>1</v>
          </cell>
          <cell r="I188">
            <v>1</v>
          </cell>
          <cell r="J188">
            <v>1</v>
          </cell>
          <cell r="K188">
            <v>1</v>
          </cell>
          <cell r="L188">
            <v>1</v>
          </cell>
          <cell r="M188">
            <v>1</v>
          </cell>
          <cell r="N188">
            <v>1</v>
          </cell>
          <cell r="O188">
            <v>1</v>
          </cell>
          <cell r="P188">
            <v>1</v>
          </cell>
          <cell r="Q188">
            <v>1</v>
          </cell>
          <cell r="R188">
            <v>1</v>
          </cell>
          <cell r="S188">
            <v>1</v>
          </cell>
          <cell r="T188">
            <v>1</v>
          </cell>
          <cell r="U188">
            <v>1</v>
          </cell>
          <cell r="V188">
            <v>1</v>
          </cell>
          <cell r="W188">
            <v>1</v>
          </cell>
          <cell r="X188">
            <v>1</v>
          </cell>
        </row>
        <row r="189">
          <cell r="B189" t="str">
            <v>Sales -% Government (G)</v>
          </cell>
          <cell r="C189" t="str">
            <v>SALES_GOV</v>
          </cell>
        </row>
        <row r="190">
          <cell r="B190" t="str">
            <v>Sales - % Industry Sub-Segment: Financial Services</v>
          </cell>
          <cell r="C190" t="str">
            <v>SALES_FINAN</v>
          </cell>
        </row>
        <row r="191">
          <cell r="B191" t="str">
            <v>Operating Profit - % Consumer (C)</v>
          </cell>
          <cell r="C191" t="str">
            <v>OP_CONS</v>
          </cell>
        </row>
        <row r="192">
          <cell r="B192" t="str">
            <v>Operating Profit - % Industry (I)</v>
          </cell>
          <cell r="C192" t="str">
            <v>OP_IND</v>
          </cell>
          <cell r="G192">
            <v>1</v>
          </cell>
          <cell r="H192">
            <v>1</v>
          </cell>
          <cell r="I192">
            <v>1</v>
          </cell>
          <cell r="J192">
            <v>1</v>
          </cell>
          <cell r="K192">
            <v>1</v>
          </cell>
          <cell r="L192">
            <v>1</v>
          </cell>
          <cell r="M192">
            <v>1</v>
          </cell>
          <cell r="N192">
            <v>1</v>
          </cell>
          <cell r="O192">
            <v>1</v>
          </cell>
          <cell r="P192">
            <v>1</v>
          </cell>
          <cell r="Q192">
            <v>1</v>
          </cell>
          <cell r="R192">
            <v>1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W192">
            <v>1</v>
          </cell>
          <cell r="X192">
            <v>1</v>
          </cell>
        </row>
        <row r="193">
          <cell r="B193" t="str">
            <v>Operating Profit - % Government (G)</v>
          </cell>
          <cell r="C193" t="str">
            <v>OP_GOV</v>
          </cell>
        </row>
        <row r="194">
          <cell r="A194" t="str">
            <v>Commodities Exposure - Sales</v>
          </cell>
        </row>
        <row r="195">
          <cell r="B195" t="str">
            <v>Sales - % Paper/pulp</v>
          </cell>
          <cell r="C195" t="str">
            <v>SALES_PAPER_PULP</v>
          </cell>
        </row>
        <row r="196">
          <cell r="B196" t="str">
            <v>Sales - % Lumber</v>
          </cell>
          <cell r="C196" t="str">
            <v>SALES_LUMBER</v>
          </cell>
        </row>
        <row r="197">
          <cell r="B197" t="str">
            <v>Sales - % Rubber</v>
          </cell>
          <cell r="C197" t="str">
            <v>SALES_RUBBER</v>
          </cell>
        </row>
        <row r="198">
          <cell r="B198" t="str">
            <v>Sales - % Potash</v>
          </cell>
          <cell r="C198" t="str">
            <v>SALES_POTASH</v>
          </cell>
        </row>
        <row r="199">
          <cell r="B199" t="str">
            <v>Sales - % Nitrogen</v>
          </cell>
          <cell r="C199" t="str">
            <v>SALES_NITROGEN</v>
          </cell>
        </row>
        <row r="200">
          <cell r="B200" t="str">
            <v>Sales - % Phosphate</v>
          </cell>
          <cell r="C200" t="str">
            <v>SALES_PHOSPHATE</v>
          </cell>
        </row>
        <row r="201">
          <cell r="B201" t="str">
            <v>Sales - % Wheat</v>
          </cell>
          <cell r="C201" t="str">
            <v>SALES_WHEAT</v>
          </cell>
        </row>
        <row r="202">
          <cell r="B202" t="str">
            <v>Sales - % Sugar</v>
          </cell>
          <cell r="C202" t="str">
            <v>SALES_SUGAR</v>
          </cell>
        </row>
        <row r="203">
          <cell r="B203" t="str">
            <v>Sales - % Soybean</v>
          </cell>
          <cell r="C203" t="str">
            <v>SALES_SOYBEAN</v>
          </cell>
        </row>
        <row r="204">
          <cell r="B204" t="str">
            <v>Sales - % Corn</v>
          </cell>
          <cell r="C204" t="str">
            <v>SALES_CORN</v>
          </cell>
        </row>
        <row r="205">
          <cell r="B205" t="str">
            <v>Sales - % Cotton</v>
          </cell>
          <cell r="C205" t="str">
            <v>SALES_COTTON</v>
          </cell>
        </row>
        <row r="206">
          <cell r="B206" t="str">
            <v>Sales - % Coffee</v>
          </cell>
          <cell r="C206" t="str">
            <v>SALES_COFFEE</v>
          </cell>
        </row>
        <row r="207">
          <cell r="B207" t="str">
            <v>Sales - % Cocoa</v>
          </cell>
          <cell r="C207" t="str">
            <v>SALES_COCOA</v>
          </cell>
        </row>
        <row r="208">
          <cell r="B208" t="str">
            <v>Sales - % Beef</v>
          </cell>
          <cell r="C208" t="str">
            <v>SALES_BEEF</v>
          </cell>
        </row>
        <row r="209">
          <cell r="B209" t="str">
            <v>Sales - % Pork</v>
          </cell>
          <cell r="C209" t="str">
            <v>SALES_PORK</v>
          </cell>
        </row>
        <row r="210">
          <cell r="B210" t="str">
            <v>Sales - % Chicken</v>
          </cell>
          <cell r="C210" t="str">
            <v>SALES_CHICKEN</v>
          </cell>
        </row>
        <row r="211">
          <cell r="B211" t="str">
            <v>Sales - % Dairy</v>
          </cell>
          <cell r="C211" t="str">
            <v>SALES_DAIRY</v>
          </cell>
        </row>
        <row r="212">
          <cell r="B212" t="str">
            <v>Sales - % Nuts</v>
          </cell>
          <cell r="C212" t="str">
            <v>SALES_NUTS</v>
          </cell>
        </row>
        <row r="213">
          <cell r="B213" t="str">
            <v>Sales - % Palm oil</v>
          </cell>
          <cell r="C213" t="str">
            <v>SALES_PALM_OIL</v>
          </cell>
        </row>
        <row r="214">
          <cell r="B214" t="str">
            <v>Sales - % Other edible oil</v>
          </cell>
          <cell r="C214" t="str">
            <v>SALES_OTH_EDIBLE_OIL</v>
          </cell>
        </row>
        <row r="215">
          <cell r="B215" t="str">
            <v>Sales - % Tobacco leaf</v>
          </cell>
          <cell r="C215" t="str">
            <v>SALES_TOBACCO_LEAF</v>
          </cell>
        </row>
        <row r="216">
          <cell r="B216" t="str">
            <v>Sales - % Other commodity</v>
          </cell>
          <cell r="C216" t="str">
            <v>SALES_OTH_COMMODITY</v>
          </cell>
        </row>
        <row r="217">
          <cell r="A217" t="str">
            <v>Commodities Exposure - Expense</v>
          </cell>
        </row>
        <row r="218">
          <cell r="B218" t="str">
            <v>Expense - % Oil/Petrol/Fuel</v>
          </cell>
          <cell r="C218" t="str">
            <v>EXP_OIL_PETRO_FUEL</v>
          </cell>
        </row>
        <row r="219">
          <cell r="B219" t="str">
            <v>Expense - % Oil derivatives/NGLs/plastics</v>
          </cell>
          <cell r="C219" t="str">
            <v>EXP_OIL_DERIV_NGLS_PLASTICS</v>
          </cell>
        </row>
        <row r="220">
          <cell r="B220" t="str">
            <v>Expense - % Nat Gas</v>
          </cell>
          <cell r="C220" t="str">
            <v>EXP_NAT_GAS</v>
          </cell>
        </row>
        <row r="221">
          <cell r="B221" t="str">
            <v>Expense - % Potash</v>
          </cell>
          <cell r="C221" t="str">
            <v>EXP_POTASH</v>
          </cell>
        </row>
        <row r="222">
          <cell r="B222" t="str">
            <v>Expense - % Nitrogen</v>
          </cell>
          <cell r="C222" t="str">
            <v>EXP_NITROGEN</v>
          </cell>
        </row>
        <row r="223">
          <cell r="B223" t="str">
            <v>Expense - % Phosphate</v>
          </cell>
          <cell r="C223" t="str">
            <v>EXP_PHOSPHATE</v>
          </cell>
        </row>
        <row r="224">
          <cell r="B224" t="str">
            <v>Expense - % Wheat</v>
          </cell>
          <cell r="C224" t="str">
            <v>EXP_WHEAT</v>
          </cell>
        </row>
        <row r="225">
          <cell r="B225" t="str">
            <v>Expense - % Sugar</v>
          </cell>
          <cell r="C225" t="str">
            <v>EXP_SUGAR</v>
          </cell>
        </row>
        <row r="226">
          <cell r="B226" t="str">
            <v>Expense - % Soybean</v>
          </cell>
          <cell r="C226" t="str">
            <v>EXP_SOYBEAN</v>
          </cell>
        </row>
        <row r="227">
          <cell r="B227" t="str">
            <v>Expense - % Corn</v>
          </cell>
          <cell r="C227" t="str">
            <v>EXP_CORN</v>
          </cell>
        </row>
        <row r="228">
          <cell r="B228" t="str">
            <v>Expense - % Cotton</v>
          </cell>
          <cell r="C228" t="str">
            <v>EXP_COTTON</v>
          </cell>
        </row>
        <row r="229">
          <cell r="B229" t="str">
            <v>Expense - % Coffee</v>
          </cell>
          <cell r="C229" t="str">
            <v>EXP_COFFEE</v>
          </cell>
        </row>
        <row r="230">
          <cell r="B230" t="str">
            <v>Expense - % Cocoa</v>
          </cell>
          <cell r="C230" t="str">
            <v>EXP_COCOA</v>
          </cell>
        </row>
        <row r="231">
          <cell r="B231" t="str">
            <v>Expense - % Beef</v>
          </cell>
          <cell r="C231" t="str">
            <v>EXP_BEEF</v>
          </cell>
        </row>
        <row r="232">
          <cell r="B232" t="str">
            <v>Expense - % Pork</v>
          </cell>
          <cell r="C232" t="str">
            <v>EXP_PORK</v>
          </cell>
        </row>
        <row r="233">
          <cell r="B233" t="str">
            <v>Expense - % Chicken</v>
          </cell>
          <cell r="C233" t="str">
            <v>EXP_CHICKEN</v>
          </cell>
        </row>
        <row r="234">
          <cell r="B234" t="str">
            <v>Expense - % Dairy</v>
          </cell>
          <cell r="C234" t="str">
            <v>EXP_DAIRY</v>
          </cell>
        </row>
        <row r="235">
          <cell r="B235" t="str">
            <v>Expense - % Nuts</v>
          </cell>
          <cell r="C235" t="str">
            <v>EXP_NUTS</v>
          </cell>
        </row>
        <row r="236">
          <cell r="B236" t="str">
            <v>Expense - % Palm oil</v>
          </cell>
          <cell r="C236" t="str">
            <v>EXP_PALM_OIL</v>
          </cell>
        </row>
        <row r="237">
          <cell r="B237" t="str">
            <v>Expense - % Other edible oil</v>
          </cell>
          <cell r="C237" t="str">
            <v>EXP_OTH_EDIBLE_OIL</v>
          </cell>
        </row>
        <row r="238">
          <cell r="B238" t="str">
            <v>Expense - % Tobacco leaf</v>
          </cell>
          <cell r="C238" t="str">
            <v>EXP_TOBACCO_LEAF</v>
          </cell>
        </row>
        <row r="239">
          <cell r="B239" t="str">
            <v>Expense - % Water</v>
          </cell>
          <cell r="C239" t="str">
            <v>EXP_WATER</v>
          </cell>
        </row>
        <row r="240">
          <cell r="B240" t="str">
            <v>Expense - % Other commodity</v>
          </cell>
          <cell r="C240" t="str">
            <v>EXP_OTH_COMMODITY</v>
          </cell>
        </row>
        <row r="241">
          <cell r="A241" t="str">
            <v>FX Exposure - Sales</v>
          </cell>
        </row>
        <row r="242">
          <cell r="B242" t="str">
            <v>Sales - % FX: British Pounds/Pence</v>
          </cell>
          <cell r="C242" t="str">
            <v>SALES_FX_GPB</v>
          </cell>
        </row>
        <row r="243">
          <cell r="B243" t="str">
            <v>Sales - % FX: Euro</v>
          </cell>
          <cell r="C243" t="str">
            <v>SALES_FX_EUR</v>
          </cell>
        </row>
        <row r="244">
          <cell r="B244" t="str">
            <v>Sales - % FX: New Russian Ruble</v>
          </cell>
          <cell r="C244" t="str">
            <v>SALES_FX_RUB</v>
          </cell>
        </row>
        <row r="245">
          <cell r="B245" t="str">
            <v>Sales - % FX: U.S. Dollar</v>
          </cell>
          <cell r="C245" t="str">
            <v>SALES_FX_USD</v>
          </cell>
        </row>
        <row r="246">
          <cell r="B246" t="str">
            <v>Sales - % FX: Brazilian Real</v>
          </cell>
          <cell r="C246" t="str">
            <v>SALES_FX_BRL</v>
          </cell>
        </row>
        <row r="247">
          <cell r="B247" t="str">
            <v>Sales - % FX: Japanese Yen</v>
          </cell>
          <cell r="C247" t="str">
            <v>SALES_FX_YEN</v>
          </cell>
        </row>
        <row r="248">
          <cell r="B248" t="str">
            <v>Sales - % FX: Chinese Renminbi</v>
          </cell>
          <cell r="C248" t="str">
            <v>SALES_FX_CNY</v>
          </cell>
        </row>
        <row r="249">
          <cell r="B249" t="str">
            <v>Sales - % FX: Indian Rupee</v>
          </cell>
          <cell r="C249" t="str">
            <v>SALES_FX_INR</v>
          </cell>
        </row>
        <row r="250">
          <cell r="B250" t="str">
            <v>Sales - % FX: South Korean Won</v>
          </cell>
          <cell r="C250" t="str">
            <v>SALES_FX_KRW</v>
          </cell>
        </row>
        <row r="251">
          <cell r="B251" t="str">
            <v>Sales - % FX: Taiwan Dollar</v>
          </cell>
          <cell r="C251" t="str">
            <v>SALES_FX_TWD</v>
          </cell>
        </row>
        <row r="252">
          <cell r="A252" t="str">
            <v>Security: Hubei Yihua Chemical Industry</v>
          </cell>
        </row>
        <row r="253">
          <cell r="A253" t="str">
            <v>Reference Data</v>
          </cell>
        </row>
        <row r="254">
          <cell r="B254" t="str">
            <v>Ticker</v>
          </cell>
          <cell r="C254" t="str">
            <v>Ticker</v>
          </cell>
          <cell r="E254" t="str">
            <v>000422.SZ</v>
          </cell>
        </row>
        <row r="255">
          <cell r="B255" t="str">
            <v>Security Name</v>
          </cell>
          <cell r="C255" t="str">
            <v>Security Name</v>
          </cell>
          <cell r="E255" t="str">
            <v>Hubei Yihua Chemical Industry</v>
          </cell>
        </row>
        <row r="256">
          <cell r="B256" t="str">
            <v>Interim Type</v>
          </cell>
          <cell r="C256" t="str">
            <v>Interim Type</v>
          </cell>
          <cell r="E256" t="str">
            <v>Q</v>
          </cell>
        </row>
        <row r="257">
          <cell r="B257" t="str">
            <v>Publishing Currency</v>
          </cell>
          <cell r="C257" t="str">
            <v>PUB_CURRENCY_ISO</v>
          </cell>
          <cell r="E257" t="str">
            <v>CNY</v>
          </cell>
        </row>
        <row r="258">
          <cell r="B258" t="str">
            <v>Pricing Currency</v>
          </cell>
          <cell r="C258" t="str">
            <v>PRICE_CURRENCY_ISO</v>
          </cell>
          <cell r="E258" t="str">
            <v>CNY</v>
          </cell>
        </row>
        <row r="259">
          <cell r="B259" t="str">
            <v>Reporting Currency</v>
          </cell>
          <cell r="C259" t="str">
            <v>CURRENCY_ISO</v>
          </cell>
          <cell r="E259" t="str">
            <v>CNY</v>
          </cell>
        </row>
        <row r="260">
          <cell r="A260" t="str">
            <v>General Information</v>
          </cell>
        </row>
        <row r="261">
          <cell r="B261" t="str">
            <v>Asia Pacific Investment List</v>
          </cell>
          <cell r="C261" t="str">
            <v>AEJ_LIST</v>
          </cell>
        </row>
        <row r="262">
          <cell r="B262" t="str">
            <v>Asia Pacific Conviction List</v>
          </cell>
          <cell r="C262" t="str">
            <v>AEJ_CONVICTION</v>
          </cell>
        </row>
        <row r="263">
          <cell r="B263" t="str">
            <v>Legal rating</v>
          </cell>
          <cell r="C263" t="str">
            <v>LEGAL_RATING</v>
          </cell>
        </row>
        <row r="264">
          <cell r="B264" t="str">
            <v>Target price</v>
          </cell>
          <cell r="C264" t="str">
            <v>TARGET_PRICE</v>
          </cell>
          <cell r="D264" t="str">
            <v>CNY</v>
          </cell>
          <cell r="E264">
            <v>6.2</v>
          </cell>
        </row>
        <row r="265">
          <cell r="B265" t="str">
            <v>Target price period</v>
          </cell>
          <cell r="C265" t="str">
            <v>TP_PERIOD</v>
          </cell>
          <cell r="E265" t="str">
            <v>12 months</v>
          </cell>
        </row>
        <row r="266">
          <cell r="B266" t="str">
            <v>Current shares outstanding (mn)</v>
          </cell>
          <cell r="C266" t="str">
            <v>NUM_SH</v>
          </cell>
          <cell r="E266">
            <v>897.86671222247992</v>
          </cell>
        </row>
        <row r="267">
          <cell r="B267" t="str">
            <v>Free float</v>
          </cell>
          <cell r="C267" t="str">
            <v>FREE_FLOAT</v>
          </cell>
          <cell r="E267">
            <v>0.90086329430827139</v>
          </cell>
        </row>
        <row r="268">
          <cell r="B268" t="str">
            <v>Foreign ownership</v>
          </cell>
          <cell r="C268" t="str">
            <v>FOREIGN_HOLDNG</v>
          </cell>
        </row>
        <row r="269">
          <cell r="B269" t="str">
            <v>Hubei Yihua Group</v>
          </cell>
          <cell r="C269" t="str">
            <v>ACT1</v>
          </cell>
          <cell r="E269">
            <v>9.9136705691728638E-2</v>
          </cell>
        </row>
        <row r="270">
          <cell r="B270" t="str">
            <v>Catalyst 1 date</v>
          </cell>
          <cell r="C270" t="str">
            <v>CATALYST1_DATE</v>
          </cell>
        </row>
        <row r="271">
          <cell r="B271" t="str">
            <v>Catalyst 1 description</v>
          </cell>
          <cell r="C271" t="str">
            <v>CATALYST1_EVENT</v>
          </cell>
        </row>
        <row r="272">
          <cell r="B272" t="str">
            <v>Catalyst 2 date</v>
          </cell>
          <cell r="C272" t="str">
            <v>CATALYST2_DATE</v>
          </cell>
        </row>
        <row r="273">
          <cell r="B273" t="str">
            <v>Catalyst 2 description</v>
          </cell>
          <cell r="C273" t="str">
            <v>CATALYST2_EVENT</v>
          </cell>
        </row>
        <row r="274">
          <cell r="B274" t="str">
            <v>Catalyst 3 date</v>
          </cell>
          <cell r="C274" t="str">
            <v>CATALYST3_DATE</v>
          </cell>
        </row>
        <row r="275">
          <cell r="B275" t="str">
            <v>Catalyst 3 description</v>
          </cell>
          <cell r="C275" t="str">
            <v>CATALYST3_EVENT</v>
          </cell>
        </row>
        <row r="276">
          <cell r="B276" t="str">
            <v>Catalyst 4 date</v>
          </cell>
          <cell r="C276" t="str">
            <v>CATALYST4_DATE</v>
          </cell>
        </row>
        <row r="277">
          <cell r="B277" t="str">
            <v>Catalyst 4 description</v>
          </cell>
          <cell r="C277" t="str">
            <v>CATALYST4_EVENT</v>
          </cell>
        </row>
        <row r="278">
          <cell r="B278" t="str">
            <v>Catalyst 5 date</v>
          </cell>
          <cell r="C278" t="str">
            <v>CATALYST5_DATE</v>
          </cell>
        </row>
        <row r="279">
          <cell r="B279" t="str">
            <v>Catalyst 5 description</v>
          </cell>
          <cell r="C279" t="str">
            <v>CATALYST5_EVENT</v>
          </cell>
        </row>
        <row r="280">
          <cell r="B280" t="str">
            <v>Target price multiple</v>
          </cell>
          <cell r="C280" t="str">
            <v>PRI_TARG_MULT</v>
          </cell>
          <cell r="E280">
            <v>0.7839688129225193</v>
          </cell>
        </row>
        <row r="281">
          <cell r="B281" t="str">
            <v>Target price methodology</v>
          </cell>
          <cell r="C281" t="str">
            <v>PRI_TARG_METH</v>
          </cell>
          <cell r="E281" t="str">
            <v>2014E P/B vs 14E-15E average ROE</v>
          </cell>
        </row>
        <row r="282">
          <cell r="A282" t="str">
            <v>Publishing Items</v>
          </cell>
        </row>
        <row r="283">
          <cell r="B283" t="str">
            <v>Book value per share, BVPS (Pub)</v>
          </cell>
          <cell r="C283" t="str">
            <v>BVPS_PUB</v>
          </cell>
          <cell r="D283" t="str">
            <v>CNY</v>
          </cell>
          <cell r="F283">
            <v>2.5095435897973122</v>
          </cell>
          <cell r="G283">
            <v>2.8541574320121263</v>
          </cell>
          <cell r="H283">
            <v>3.0442733229612187</v>
          </cell>
          <cell r="I283">
            <v>3.1421773466395666</v>
          </cell>
          <cell r="J283">
            <v>2.5491825926156855</v>
          </cell>
          <cell r="K283">
            <v>2.7626347979044241</v>
          </cell>
          <cell r="L283">
            <v>3.2007619473406108</v>
          </cell>
          <cell r="M283">
            <v>3.244304718185326</v>
          </cell>
          <cell r="N283">
            <v>1.8926342414558113</v>
          </cell>
          <cell r="O283">
            <v>2.3335322086903165</v>
          </cell>
          <cell r="P283">
            <v>2.5606848117716523</v>
          </cell>
          <cell r="Q283">
            <v>2.7932789073988578</v>
          </cell>
          <cell r="R283">
            <v>3.5073373302870423</v>
          </cell>
          <cell r="S283">
            <v>6.7372327465315243</v>
          </cell>
          <cell r="T283">
            <v>6.8434685495696002</v>
          </cell>
          <cell r="U283">
            <v>7.3318267395714374</v>
          </cell>
          <cell r="V283">
            <v>7.9084778600915531</v>
          </cell>
          <cell r="W283">
            <v>8.4843641694518315</v>
          </cell>
          <cell r="X283">
            <v>9.0518939102527511</v>
          </cell>
        </row>
        <row r="284">
          <cell r="B284" t="str">
            <v>DPS, dividend per share (Pub)</v>
          </cell>
          <cell r="C284" t="str">
            <v>DPS_PUB</v>
          </cell>
          <cell r="D284" t="str">
            <v>CNY</v>
          </cell>
          <cell r="F284">
            <v>0</v>
          </cell>
          <cell r="G284">
            <v>0</v>
          </cell>
          <cell r="H284">
            <v>0</v>
          </cell>
          <cell r="I284">
            <v>7.598919372706088E-2</v>
          </cell>
          <cell r="J284">
            <v>6.9796334296522752E-2</v>
          </cell>
          <cell r="K284">
            <v>6.9796334296522752E-2</v>
          </cell>
          <cell r="L284">
            <v>0.10469450144478412</v>
          </cell>
          <cell r="M284">
            <v>0.13959266859304548</v>
          </cell>
          <cell r="N284">
            <v>8.3755601155827294E-2</v>
          </cell>
          <cell r="O284">
            <v>0.15355193545235005</v>
          </cell>
          <cell r="P284">
            <v>0.10469450144478411</v>
          </cell>
          <cell r="Q284">
            <v>6.9796334296522738E-2</v>
          </cell>
          <cell r="R284">
            <v>6.9796334296522738E-2</v>
          </cell>
          <cell r="S284">
            <v>3.4898167148261376E-2</v>
          </cell>
          <cell r="T284">
            <v>9.9999934041158686E-2</v>
          </cell>
          <cell r="U284">
            <v>2.5703062631675627E-2</v>
          </cell>
          <cell r="V284">
            <v>3.035005897474298E-2</v>
          </cell>
          <cell r="W284">
            <v>3.030980575580405E-2</v>
          </cell>
          <cell r="X284">
            <v>2.9869986357943242E-2</v>
          </cell>
        </row>
        <row r="285">
          <cell r="B285" t="str">
            <v>EBITDA (Pub)</v>
          </cell>
          <cell r="C285" t="str">
            <v>EBITDA_PUB</v>
          </cell>
          <cell r="D285" t="str">
            <v>CNY</v>
          </cell>
          <cell r="F285">
            <v>135.28931751999997</v>
          </cell>
          <cell r="G285">
            <v>127.48116244000005</v>
          </cell>
          <cell r="H285">
            <v>84.379751710000107</v>
          </cell>
          <cell r="I285">
            <v>126.94088900000008</v>
          </cell>
          <cell r="J285">
            <v>204.61557814000003</v>
          </cell>
          <cell r="K285">
            <v>257.99840667000001</v>
          </cell>
          <cell r="L285">
            <v>401.75031166000008</v>
          </cell>
          <cell r="M285">
            <v>498.44717166999953</v>
          </cell>
          <cell r="N285">
            <v>701.7966418699998</v>
          </cell>
          <cell r="O285">
            <v>1251.7593754400009</v>
          </cell>
          <cell r="P285">
            <v>1310.571970009998</v>
          </cell>
          <cell r="Q285">
            <v>1519.2151370600013</v>
          </cell>
          <cell r="R285">
            <v>2332.1025810400024</v>
          </cell>
          <cell r="S285">
            <v>2967.9129016499974</v>
          </cell>
          <cell r="T285">
            <v>3589.8344628100003</v>
          </cell>
          <cell r="U285">
            <v>3019.7999393275659</v>
          </cell>
          <cell r="V285">
            <v>3190.7256324708214</v>
          </cell>
          <cell r="W285">
            <v>3263.3586488717556</v>
          </cell>
          <cell r="X285">
            <v>3297.5457851045321</v>
          </cell>
        </row>
        <row r="286">
          <cell r="B286" t="str">
            <v>EPS (Pub)</v>
          </cell>
          <cell r="C286" t="str">
            <v>EPS_PUB</v>
          </cell>
          <cell r="D286" t="str">
            <v>CNY</v>
          </cell>
          <cell r="F286">
            <v>0.48706338205550337</v>
          </cell>
          <cell r="G286">
            <v>0.35730311236109591</v>
          </cell>
          <cell r="H286">
            <v>0.1901158909490922</v>
          </cell>
          <cell r="I286">
            <v>0.16464154833185488</v>
          </cell>
          <cell r="J286">
            <v>0.16589700634041393</v>
          </cell>
          <cell r="K286">
            <v>0.21345220528873876</v>
          </cell>
          <cell r="L286">
            <v>0.32727417749775617</v>
          </cell>
          <cell r="M286">
            <v>0.42968316057128303</v>
          </cell>
          <cell r="N286">
            <v>0.2837051049847179</v>
          </cell>
          <cell r="O286">
            <v>0.52465356839033328</v>
          </cell>
          <cell r="P286">
            <v>0.60926072890789218</v>
          </cell>
          <cell r="Q286">
            <v>0.325257855423213</v>
          </cell>
          <cell r="R286">
            <v>0.73676632839436784</v>
          </cell>
          <cell r="S286">
            <v>1.0522858068955629</v>
          </cell>
          <cell r="T286">
            <v>0.96471618437210949</v>
          </cell>
          <cell r="U286">
            <v>0.51406125263351254</v>
          </cell>
          <cell r="V286">
            <v>0.60700117949485954</v>
          </cell>
          <cell r="W286">
            <v>0.60619611511608096</v>
          </cell>
          <cell r="X286">
            <v>0.5973997271588648</v>
          </cell>
        </row>
        <row r="287">
          <cell r="B287" t="str">
            <v>EV adjustment (Pub)</v>
          </cell>
          <cell r="C287" t="str">
            <v>EV_ADJ_PUB</v>
          </cell>
          <cell r="D287" t="str">
            <v>CNY</v>
          </cell>
        </row>
        <row r="288">
          <cell r="B288" t="str">
            <v>Net debt (Pub)</v>
          </cell>
          <cell r="C288" t="str">
            <v>NET_DEBT_PUB</v>
          </cell>
          <cell r="D288" t="str">
            <v>CNY</v>
          </cell>
          <cell r="F288">
            <v>-0.52273556999999471</v>
          </cell>
          <cell r="G288">
            <v>189.25013761</v>
          </cell>
          <cell r="H288">
            <v>274.71199478</v>
          </cell>
          <cell r="I288">
            <v>294.93584146000001</v>
          </cell>
          <cell r="J288">
            <v>367.60664198000006</v>
          </cell>
          <cell r="K288">
            <v>694.31388608000009</v>
          </cell>
          <cell r="L288">
            <v>599.39393722</v>
          </cell>
          <cell r="M288">
            <v>997.65804629000002</v>
          </cell>
          <cell r="N288">
            <v>1610.1287365500002</v>
          </cell>
          <cell r="O288">
            <v>3550.6392023100002</v>
          </cell>
          <cell r="P288">
            <v>4478.9583358299997</v>
          </cell>
          <cell r="Q288">
            <v>5533.0301408399991</v>
          </cell>
          <cell r="R288">
            <v>8560.2883650000003</v>
          </cell>
          <cell r="S288">
            <v>11711.473233640001</v>
          </cell>
          <cell r="T288">
            <v>14970.37350725</v>
          </cell>
          <cell r="U288">
            <v>15330.713234213188</v>
          </cell>
          <cell r="V288">
            <v>15309.351852074607</v>
          </cell>
          <cell r="W288">
            <v>15450.227644599167</v>
          </cell>
          <cell r="X288">
            <v>15278.208218821661</v>
          </cell>
        </row>
        <row r="289">
          <cell r="B289" t="str">
            <v>Net income (Pub)</v>
          </cell>
          <cell r="C289" t="str">
            <v>NI_PUB</v>
          </cell>
          <cell r="D289" t="str">
            <v>CNY</v>
          </cell>
          <cell r="F289">
            <v>101.05271274999997</v>
          </cell>
          <cell r="G289">
            <v>74.130903920000037</v>
          </cell>
          <cell r="H289">
            <v>39.443996870000092</v>
          </cell>
          <cell r="I289">
            <v>40.508238150000118</v>
          </cell>
          <cell r="J289">
            <v>50.836642719999979</v>
          </cell>
          <cell r="K289">
            <v>65.409218269999954</v>
          </cell>
          <cell r="L289">
            <v>115.60019151000034</v>
          </cell>
          <cell r="M289">
            <v>166.95054113999959</v>
          </cell>
          <cell r="N289">
            <v>220.46347237999987</v>
          </cell>
          <cell r="O289">
            <v>407.70132596000036</v>
          </cell>
          <cell r="P289">
            <v>473.4484276799987</v>
          </cell>
          <cell r="Q289">
            <v>252.75356335000072</v>
          </cell>
          <cell r="R289">
            <v>572.5313370700012</v>
          </cell>
          <cell r="S289">
            <v>817.71733693999704</v>
          </cell>
          <cell r="T289">
            <v>866.1865486900017</v>
          </cell>
          <cell r="U289">
            <v>461.55848678302158</v>
          </cell>
          <cell r="V289">
            <v>545.00615334821691</v>
          </cell>
          <cell r="W289">
            <v>544.28331284131559</v>
          </cell>
          <cell r="X289">
            <v>536.3853289067365</v>
          </cell>
          <cell r="Z289">
            <v>10.150637910000009</v>
          </cell>
          <cell r="AA289">
            <v>23.765177310000034</v>
          </cell>
          <cell r="AB289">
            <v>15.859944820000004</v>
          </cell>
          <cell r="AC289">
            <v>1.0608826799999362</v>
          </cell>
          <cell r="AD289">
            <v>11.869997409999991</v>
          </cell>
          <cell r="AE289">
            <v>21.66600585999997</v>
          </cell>
          <cell r="AF289">
            <v>15.93668001000006</v>
          </cell>
          <cell r="AG289">
            <v>15.936534989999913</v>
          </cell>
          <cell r="AH289">
            <v>16.639648039999994</v>
          </cell>
          <cell r="AI289">
            <v>39.448960949999986</v>
          </cell>
          <cell r="AJ289">
            <v>43.650199530000009</v>
          </cell>
          <cell r="AK289">
            <v>15.861382990000305</v>
          </cell>
          <cell r="AL289">
            <v>32.892771029999963</v>
          </cell>
          <cell r="AM289">
            <v>41.126330400000001</v>
          </cell>
          <cell r="AN289">
            <v>44.545682089999971</v>
          </cell>
          <cell r="AO289">
            <v>48.385757619999623</v>
          </cell>
          <cell r="AP289">
            <v>45.377274899999975</v>
          </cell>
          <cell r="AQ289">
            <v>50.833529359999943</v>
          </cell>
          <cell r="AR289">
            <v>44.528795440000032</v>
          </cell>
          <cell r="AS289">
            <v>79.723872680000284</v>
          </cell>
          <cell r="AT289">
            <v>65.317747009999977</v>
          </cell>
          <cell r="AU289">
            <v>107.77801220000001</v>
          </cell>
          <cell r="AV289">
            <v>81.863789679999869</v>
          </cell>
          <cell r="AW289">
            <v>152.74177707000024</v>
          </cell>
          <cell r="AX289">
            <v>171.74701468000009</v>
          </cell>
          <cell r="AY289">
            <v>183.87054203999969</v>
          </cell>
          <cell r="AZ289">
            <v>53.483944829999885</v>
          </cell>
          <cell r="BA289">
            <v>64.34692612999919</v>
          </cell>
          <cell r="BB289">
            <v>105.66043624000011</v>
          </cell>
          <cell r="BC289">
            <v>6.1729298500004433</v>
          </cell>
          <cell r="BD289">
            <v>66.11920104999966</v>
          </cell>
          <cell r="BE289">
            <v>74.800996210000648</v>
          </cell>
          <cell r="BF289">
            <v>170.78017573000008</v>
          </cell>
          <cell r="BG289">
            <v>171.44113160000066</v>
          </cell>
          <cell r="BH289">
            <v>106.47165047999948</v>
          </cell>
          <cell r="BI289">
            <v>123.83837926000029</v>
          </cell>
          <cell r="BJ289">
            <v>141.84108130999988</v>
          </cell>
          <cell r="BK289">
            <v>332.09034361999954</v>
          </cell>
          <cell r="BL289">
            <v>296.06033754000129</v>
          </cell>
          <cell r="BM289">
            <v>47.725574469996332</v>
          </cell>
          <cell r="BN289">
            <v>190.89960852000047</v>
          </cell>
          <cell r="BO289">
            <v>283.57690940999794</v>
          </cell>
          <cell r="BP289">
            <v>159.05194426000122</v>
          </cell>
          <cell r="BQ289">
            <v>232.6580865000023</v>
          </cell>
          <cell r="BR289">
            <v>104.76348347000032</v>
          </cell>
          <cell r="BS289">
            <v>100.95854652700046</v>
          </cell>
          <cell r="BT289">
            <v>28.905876382999494</v>
          </cell>
          <cell r="BU289">
            <v>226.93058040302128</v>
          </cell>
          <cell r="BV289">
            <v>143.17870833840448</v>
          </cell>
          <cell r="BW289">
            <v>151.09646132589623</v>
          </cell>
          <cell r="BX289">
            <v>117.48625339427664</v>
          </cell>
          <cell r="BY289">
            <v>133.24473028963951</v>
          </cell>
        </row>
        <row r="290">
          <cell r="B290" t="str">
            <v>EBIT, operating profit (Pub)</v>
          </cell>
          <cell r="C290" t="str">
            <v>EBIT_PUB</v>
          </cell>
          <cell r="D290" t="str">
            <v>CNY</v>
          </cell>
          <cell r="F290">
            <v>115.54661781999997</v>
          </cell>
          <cell r="G290">
            <v>88.11584337000005</v>
          </cell>
          <cell r="H290">
            <v>46.052765930000078</v>
          </cell>
          <cell r="I290">
            <v>74.658086100000105</v>
          </cell>
          <cell r="J290">
            <v>97.980688620000024</v>
          </cell>
          <cell r="K290">
            <v>126.16301397999996</v>
          </cell>
          <cell r="L290">
            <v>220.14887234000025</v>
          </cell>
          <cell r="M290">
            <v>265.46703211999966</v>
          </cell>
          <cell r="N290">
            <v>414.64160025000001</v>
          </cell>
          <cell r="O290">
            <v>868.08171591000064</v>
          </cell>
          <cell r="P290">
            <v>809.80519687999822</v>
          </cell>
          <cell r="Q290">
            <v>864.64435271000093</v>
          </cell>
          <cell r="R290">
            <v>1586.5453628900013</v>
          </cell>
          <cell r="S290">
            <v>2072.4844553099974</v>
          </cell>
          <cell r="T290">
            <v>2410.6639102900008</v>
          </cell>
          <cell r="U290">
            <v>1736.7878319351221</v>
          </cell>
          <cell r="V290">
            <v>1864.9024194578014</v>
          </cell>
          <cell r="W290">
            <v>1885.4267696490169</v>
          </cell>
          <cell r="X290">
            <v>1868.0305223483847</v>
          </cell>
          <cell r="Z290">
            <v>19.63609232000001</v>
          </cell>
          <cell r="AA290">
            <v>34.560138610000031</v>
          </cell>
          <cell r="AB290">
            <v>33.646697790000005</v>
          </cell>
          <cell r="AC290">
            <v>10.137759899999939</v>
          </cell>
          <cell r="AD290">
            <v>24.64083291999999</v>
          </cell>
          <cell r="AE290">
            <v>41.470927159999974</v>
          </cell>
          <cell r="AF290">
            <v>34.166750140000055</v>
          </cell>
          <cell r="AG290">
            <v>25.884503759999909</v>
          </cell>
          <cell r="AH290">
            <v>34.823914659999993</v>
          </cell>
          <cell r="AI290">
            <v>66.023884519999982</v>
          </cell>
          <cell r="AJ290">
            <v>63.754244210000003</v>
          </cell>
          <cell r="AK290">
            <v>55.546828950000304</v>
          </cell>
          <cell r="AL290">
            <v>56.670890489999962</v>
          </cell>
          <cell r="AM290">
            <v>62.841943309999998</v>
          </cell>
          <cell r="AN290">
            <v>70.675427589999984</v>
          </cell>
          <cell r="AO290">
            <v>75.278770729999607</v>
          </cell>
          <cell r="AP290">
            <v>71.283649169999975</v>
          </cell>
          <cell r="AQ290">
            <v>98.945090149999942</v>
          </cell>
          <cell r="AR290">
            <v>90.777056260000023</v>
          </cell>
          <cell r="AS290">
            <v>153.63580467000028</v>
          </cell>
          <cell r="AT290">
            <v>135.79689055999995</v>
          </cell>
          <cell r="AU290">
            <v>203.05558822999998</v>
          </cell>
          <cell r="AV290">
            <v>202.78116420999987</v>
          </cell>
          <cell r="AW290">
            <v>326.44807291000029</v>
          </cell>
          <cell r="AX290">
            <v>294.58446147000006</v>
          </cell>
          <cell r="AY290">
            <v>367.62217624999971</v>
          </cell>
          <cell r="AZ290">
            <v>173.9898826999999</v>
          </cell>
          <cell r="BA290">
            <v>-26.391323540000883</v>
          </cell>
          <cell r="BB290">
            <v>257.34498923000012</v>
          </cell>
          <cell r="BC290">
            <v>210.24979449000045</v>
          </cell>
          <cell r="BD290">
            <v>179.67961781999972</v>
          </cell>
          <cell r="BE290">
            <v>217.36995117000063</v>
          </cell>
          <cell r="BF290">
            <v>397.74784286000011</v>
          </cell>
          <cell r="BG290">
            <v>383.53238688000067</v>
          </cell>
          <cell r="BH290">
            <v>281.57355818999952</v>
          </cell>
          <cell r="BI290">
            <v>523.69157496000025</v>
          </cell>
          <cell r="BJ290">
            <v>357.41505585999988</v>
          </cell>
          <cell r="BK290">
            <v>559.66895993999958</v>
          </cell>
          <cell r="BL290">
            <v>757.05790632000128</v>
          </cell>
          <cell r="BM290">
            <v>398.34253318999617</v>
          </cell>
          <cell r="BN290">
            <v>531.65055784000049</v>
          </cell>
          <cell r="BO290">
            <v>789.77908670999807</v>
          </cell>
          <cell r="BP290">
            <v>418.99245962000123</v>
          </cell>
          <cell r="BQ290">
            <v>670.24180612000237</v>
          </cell>
          <cell r="BR290">
            <v>427.28908819000031</v>
          </cell>
          <cell r="BS290">
            <v>394.52081105000048</v>
          </cell>
          <cell r="BT290">
            <v>337.59327503999941</v>
          </cell>
          <cell r="BU290">
            <v>577.38465765512296</v>
          </cell>
          <cell r="BV290">
            <v>435.17541826266182</v>
          </cell>
          <cell r="BW290">
            <v>535.24693866715575</v>
          </cell>
          <cell r="BX290">
            <v>424.06847321592824</v>
          </cell>
          <cell r="BY290">
            <v>470.41158931205496</v>
          </cell>
        </row>
        <row r="291">
          <cell r="B291" t="str">
            <v>Pre-tax profit (Pub)</v>
          </cell>
          <cell r="C291" t="str">
            <v>PTP_PUB</v>
          </cell>
          <cell r="D291" t="str">
            <v>CNY</v>
          </cell>
          <cell r="F291">
            <v>140.47246180999997</v>
          </cell>
          <cell r="G291">
            <v>104.60500517000004</v>
          </cell>
          <cell r="H291">
            <v>46.029846900000088</v>
          </cell>
          <cell r="I291">
            <v>54.053115750000117</v>
          </cell>
          <cell r="J291">
            <v>71.725328879999978</v>
          </cell>
          <cell r="K291">
            <v>90.567053499999957</v>
          </cell>
          <cell r="L291">
            <v>159.68430846000035</v>
          </cell>
          <cell r="M291">
            <v>232.0138129299996</v>
          </cell>
          <cell r="N291">
            <v>329.08061058999988</v>
          </cell>
          <cell r="O291">
            <v>659.72303650000038</v>
          </cell>
          <cell r="P291">
            <v>611.80571257999873</v>
          </cell>
          <cell r="Q291">
            <v>559.05053251000072</v>
          </cell>
          <cell r="R291">
            <v>1159.6959564400013</v>
          </cell>
          <cell r="S291">
            <v>1494.222171529997</v>
          </cell>
          <cell r="T291">
            <v>1604.0217978000017</v>
          </cell>
          <cell r="U291">
            <v>902.53948015649826</v>
          </cell>
          <cell r="V291">
            <v>1065.7144964517347</v>
          </cell>
          <cell r="W291">
            <v>1089.3434190209562</v>
          </cell>
          <cell r="X291">
            <v>1073.5361792623944</v>
          </cell>
        </row>
        <row r="292">
          <cell r="B292" t="str">
            <v>Sales, revenue (Pub)</v>
          </cell>
          <cell r="C292" t="str">
            <v>REVS_PUB</v>
          </cell>
          <cell r="D292" t="str">
            <v>CNY</v>
          </cell>
          <cell r="F292">
            <v>342.37589609999998</v>
          </cell>
          <cell r="G292">
            <v>422.32967823000001</v>
          </cell>
          <cell r="H292">
            <v>399.57442123000004</v>
          </cell>
          <cell r="I292">
            <v>576.55374510000013</v>
          </cell>
          <cell r="J292">
            <v>791.76806367999995</v>
          </cell>
          <cell r="K292">
            <v>995.08515722999994</v>
          </cell>
          <cell r="L292">
            <v>1630.5808875100001</v>
          </cell>
          <cell r="M292">
            <v>2309.2304123499998</v>
          </cell>
          <cell r="N292">
            <v>3017.8035718699998</v>
          </cell>
          <cell r="O292">
            <v>5074.9631944299999</v>
          </cell>
          <cell r="P292">
            <v>7130.7207549799996</v>
          </cell>
          <cell r="Q292">
            <v>8760.6186315100003</v>
          </cell>
          <cell r="R292">
            <v>11544.950317209999</v>
          </cell>
          <cell r="S292">
            <v>17764.855169659997</v>
          </cell>
          <cell r="T292">
            <v>19317.607373260002</v>
          </cell>
          <cell r="U292">
            <v>18529.429299644591</v>
          </cell>
          <cell r="V292">
            <v>20682.473007658809</v>
          </cell>
          <cell r="W292">
            <v>22828.515130735734</v>
          </cell>
          <cell r="X292">
            <v>23271.150862735733</v>
          </cell>
          <cell r="Z292">
            <v>163.08677435000001</v>
          </cell>
          <cell r="AA292">
            <v>235.95743325000004</v>
          </cell>
          <cell r="AB292">
            <v>185.29673845000002</v>
          </cell>
          <cell r="AC292">
            <v>207.42711762999988</v>
          </cell>
          <cell r="AD292">
            <v>224.17810890999999</v>
          </cell>
          <cell r="AE292">
            <v>263.08384182999998</v>
          </cell>
          <cell r="AF292">
            <v>229.36231282000006</v>
          </cell>
          <cell r="AG292">
            <v>278.46089366999996</v>
          </cell>
          <cell r="AH292">
            <v>240.60947623999999</v>
          </cell>
          <cell r="AI292">
            <v>529.85507848999998</v>
          </cell>
          <cell r="AJ292">
            <v>424.86481660000004</v>
          </cell>
          <cell r="AK292">
            <v>435.25151618000018</v>
          </cell>
          <cell r="AL292">
            <v>550.89467880999996</v>
          </cell>
          <cell r="AM292">
            <v>582.44928945000004</v>
          </cell>
          <cell r="AN292">
            <v>581.96076591999997</v>
          </cell>
          <cell r="AO292">
            <v>593.92567816999986</v>
          </cell>
          <cell r="AP292">
            <v>590.12303476</v>
          </cell>
          <cell r="AQ292">
            <v>681.50611876999994</v>
          </cell>
          <cell r="AR292">
            <v>753.26683922999996</v>
          </cell>
          <cell r="AS292">
            <v>992.90757910999992</v>
          </cell>
          <cell r="AT292">
            <v>1022.82770261</v>
          </cell>
          <cell r="AU292">
            <v>1198.4295300199999</v>
          </cell>
          <cell r="AV292">
            <v>1312.24645854</v>
          </cell>
          <cell r="AW292">
            <v>1541.45950326</v>
          </cell>
          <cell r="AX292">
            <v>1752.8384209200001</v>
          </cell>
          <cell r="AY292">
            <v>2222.9457392199997</v>
          </cell>
          <cell r="AZ292">
            <v>1612.58609845</v>
          </cell>
          <cell r="BA292">
            <v>1542.3504963899995</v>
          </cell>
          <cell r="BB292">
            <v>1981.2507665000001</v>
          </cell>
          <cell r="BC292">
            <v>2168.2110112500004</v>
          </cell>
          <cell r="BD292">
            <v>2225.4900519499997</v>
          </cell>
          <cell r="BE292">
            <v>2385.6668018099999</v>
          </cell>
          <cell r="BF292">
            <v>2326.8658245000001</v>
          </cell>
          <cell r="BG292">
            <v>2692.21743079</v>
          </cell>
          <cell r="BH292">
            <v>3247.9284412799998</v>
          </cell>
          <cell r="BI292">
            <v>3277.9386206399995</v>
          </cell>
          <cell r="BJ292">
            <v>3208.5903398</v>
          </cell>
          <cell r="BK292">
            <v>4123.5207160499995</v>
          </cell>
          <cell r="BL292">
            <v>5255.103212160001</v>
          </cell>
          <cell r="BM292">
            <v>5177.6409016499965</v>
          </cell>
          <cell r="BN292">
            <v>4559.1649021000003</v>
          </cell>
          <cell r="BO292">
            <v>4823.5717223199981</v>
          </cell>
          <cell r="BP292">
            <v>4483.1155461900016</v>
          </cell>
          <cell r="BQ292">
            <v>5451.7552026500016</v>
          </cell>
          <cell r="BR292">
            <v>3798.4879958000001</v>
          </cell>
          <cell r="BS292">
            <v>4525.3544174800008</v>
          </cell>
          <cell r="BT292">
            <v>5560.1161699599998</v>
          </cell>
          <cell r="BU292">
            <v>4645.4707164045903</v>
          </cell>
          <cell r="BV292">
            <v>4394.2396372605044</v>
          </cell>
          <cell r="BW292">
            <v>5129.9050813570011</v>
          </cell>
          <cell r="BX292">
            <v>5311.1927297929433</v>
          </cell>
          <cell r="BY292">
            <v>5847.1355592483596</v>
          </cell>
        </row>
        <row r="293">
          <cell r="B293" t="str">
            <v>Total shareholders' equity (Pub)</v>
          </cell>
          <cell r="C293" t="str">
            <v>EQ_PUB</v>
          </cell>
          <cell r="D293" t="str">
            <v>CNY</v>
          </cell>
          <cell r="F293">
            <v>520.66362789000004</v>
          </cell>
          <cell r="G293">
            <v>592.16184535000002</v>
          </cell>
          <cell r="H293">
            <v>631.60584222000011</v>
          </cell>
          <cell r="I293">
            <v>861.14705823999998</v>
          </cell>
          <cell r="J293">
            <v>872.7957796899999</v>
          </cell>
          <cell r="K293">
            <v>944.84863238999992</v>
          </cell>
          <cell r="L293">
            <v>1254.8415113800002</v>
          </cell>
          <cell r="M293">
            <v>1574.3554162399996</v>
          </cell>
          <cell r="N293">
            <v>2068.7377769099999</v>
          </cell>
          <cell r="O293">
            <v>2761.0819579099998</v>
          </cell>
          <cell r="P293">
            <v>3169.57219463</v>
          </cell>
          <cell r="Q293">
            <v>3678.9733057699996</v>
          </cell>
          <cell r="R293">
            <v>5155.68700119</v>
          </cell>
          <cell r="S293">
            <v>7059.2598592100003</v>
          </cell>
          <cell r="T293">
            <v>7781.0374045400004</v>
          </cell>
          <cell r="U293">
            <v>8543.1688279370028</v>
          </cell>
          <cell r="V293">
            <v>9443.0901321826004</v>
          </cell>
          <cell r="W293">
            <v>10341.817872708347</v>
          </cell>
          <cell r="X293">
            <v>11227.504358636046</v>
          </cell>
        </row>
        <row r="294">
          <cell r="B294" t="str">
            <v>EPS (consensus)</v>
          </cell>
          <cell r="C294" t="str">
            <v>EPS_CONS_PUB</v>
          </cell>
          <cell r="D294" t="str">
            <v>CNY</v>
          </cell>
        </row>
        <row r="295">
          <cell r="A295" t="str">
            <v>Income Statement</v>
          </cell>
        </row>
        <row r="296">
          <cell r="B296" t="str">
            <v>Provision for income tax</v>
          </cell>
          <cell r="C296" t="str">
            <v>PROV_INC_TAX</v>
          </cell>
          <cell r="D296" t="str">
            <v>CNY</v>
          </cell>
          <cell r="F296">
            <v>-39.419749060000001</v>
          </cell>
          <cell r="G296">
            <v>-30.47410125</v>
          </cell>
          <cell r="H296">
            <v>-6.5858500299999996</v>
          </cell>
          <cell r="I296">
            <v>-13.231904589999999</v>
          </cell>
          <cell r="J296">
            <v>-17.300533430000002</v>
          </cell>
          <cell r="K296">
            <v>-18.514200800000001</v>
          </cell>
          <cell r="L296">
            <v>-18.100461509999999</v>
          </cell>
          <cell r="M296">
            <v>-25.525328609999999</v>
          </cell>
          <cell r="N296">
            <v>-29.467035299999999</v>
          </cell>
          <cell r="O296">
            <v>-52.293489260000001</v>
          </cell>
          <cell r="P296">
            <v>-7.6762738400000003</v>
          </cell>
          <cell r="Q296">
            <v>-96.072430240000003</v>
          </cell>
          <cell r="R296">
            <v>-132.36659218</v>
          </cell>
          <cell r="S296">
            <v>-227.99533522999999</v>
          </cell>
          <cell r="T296">
            <v>-130.45388736000001</v>
          </cell>
          <cell r="U296">
            <v>-117.33013242034478</v>
          </cell>
          <cell r="V296">
            <v>-138.5428845387255</v>
          </cell>
          <cell r="W296">
            <v>-163.40151285314343</v>
          </cell>
          <cell r="X296">
            <v>-161.03042688935915</v>
          </cell>
        </row>
        <row r="297">
          <cell r="B297" t="str">
            <v>Minority interest</v>
          </cell>
          <cell r="C297" t="str">
            <v>INC_MINORITY</v>
          </cell>
          <cell r="D297" t="str">
            <v>CNY</v>
          </cell>
          <cell r="F297">
            <v>0</v>
          </cell>
          <cell r="G297">
            <v>0</v>
          </cell>
          <cell r="H297">
            <v>0</v>
          </cell>
          <cell r="I297">
            <v>-0.31297301</v>
          </cell>
          <cell r="J297">
            <v>-3.58815273</v>
          </cell>
          <cell r="K297">
            <v>-6.6436344299999996</v>
          </cell>
          <cell r="L297">
            <v>-25.98365544</v>
          </cell>
          <cell r="M297">
            <v>-39.537943179999999</v>
          </cell>
          <cell r="N297">
            <v>-79.150102910000001</v>
          </cell>
          <cell r="O297">
            <v>-199.72822128000001</v>
          </cell>
          <cell r="P297">
            <v>-130.68101106</v>
          </cell>
          <cell r="Q297">
            <v>-210.22453891999999</v>
          </cell>
          <cell r="R297">
            <v>-454.79802719000003</v>
          </cell>
          <cell r="S297">
            <v>-448.50949936000001</v>
          </cell>
          <cell r="T297">
            <v>-607.38136175</v>
          </cell>
          <cell r="U297">
            <v>-323.65086095313194</v>
          </cell>
          <cell r="V297">
            <v>-382.16545856479229</v>
          </cell>
          <cell r="W297">
            <v>-381.65859332649711</v>
          </cell>
          <cell r="X297">
            <v>-376.12042346629869</v>
          </cell>
        </row>
        <row r="298">
          <cell r="B298" t="str">
            <v>Net income (pre-preferred dividends)</v>
          </cell>
          <cell r="C298" t="str">
            <v>NI_PRE_PREF</v>
          </cell>
          <cell r="D298" t="str">
            <v>CNY</v>
          </cell>
          <cell r="F298">
            <v>101.05271274999997</v>
          </cell>
          <cell r="G298">
            <v>74.130903920000037</v>
          </cell>
          <cell r="H298">
            <v>39.443996870000092</v>
          </cell>
          <cell r="I298">
            <v>40.508238150000118</v>
          </cell>
          <cell r="J298">
            <v>50.836642719999979</v>
          </cell>
          <cell r="K298">
            <v>65.409218269999954</v>
          </cell>
          <cell r="L298">
            <v>115.60019151000034</v>
          </cell>
          <cell r="M298">
            <v>166.95054113999959</v>
          </cell>
          <cell r="N298">
            <v>220.46347237999987</v>
          </cell>
          <cell r="O298">
            <v>407.70132596000036</v>
          </cell>
          <cell r="P298">
            <v>473.4484276799987</v>
          </cell>
          <cell r="Q298">
            <v>252.75356335000072</v>
          </cell>
          <cell r="R298">
            <v>572.5313370700012</v>
          </cell>
          <cell r="S298">
            <v>817.71733693999704</v>
          </cell>
          <cell r="T298">
            <v>866.1865486900017</v>
          </cell>
          <cell r="U298">
            <v>461.55848678302158</v>
          </cell>
          <cell r="V298">
            <v>545.00615334821691</v>
          </cell>
          <cell r="W298">
            <v>544.28331284131559</v>
          </cell>
          <cell r="X298">
            <v>536.3853289067365</v>
          </cell>
        </row>
        <row r="299">
          <cell r="B299" t="str">
            <v>Preferred dividends</v>
          </cell>
          <cell r="C299" t="str">
            <v>PREF_DIV</v>
          </cell>
          <cell r="D299" t="str">
            <v>CNY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B300" t="str">
            <v>Net income (pre-exceptionals)</v>
          </cell>
          <cell r="C300" t="str">
            <v>NET_EARNING</v>
          </cell>
          <cell r="D300" t="str">
            <v>CNY</v>
          </cell>
          <cell r="F300">
            <v>101.05271274999997</v>
          </cell>
          <cell r="G300">
            <v>74.130903920000037</v>
          </cell>
          <cell r="H300">
            <v>39.443996870000092</v>
          </cell>
          <cell r="I300">
            <v>40.508238150000118</v>
          </cell>
          <cell r="J300">
            <v>50.836642719999979</v>
          </cell>
          <cell r="K300">
            <v>65.409218269999954</v>
          </cell>
          <cell r="L300">
            <v>115.60019151000034</v>
          </cell>
          <cell r="M300">
            <v>166.95054113999959</v>
          </cell>
          <cell r="N300">
            <v>220.46347237999987</v>
          </cell>
          <cell r="O300">
            <v>407.70132596000036</v>
          </cell>
          <cell r="P300">
            <v>473.4484276799987</v>
          </cell>
          <cell r="Q300">
            <v>252.75356335000072</v>
          </cell>
          <cell r="R300">
            <v>572.5313370700012</v>
          </cell>
          <cell r="S300">
            <v>817.71733693999704</v>
          </cell>
          <cell r="T300">
            <v>866.1865486900017</v>
          </cell>
          <cell r="U300">
            <v>461.55848678302158</v>
          </cell>
          <cell r="V300">
            <v>545.00615334821691</v>
          </cell>
          <cell r="W300">
            <v>544.28331284131559</v>
          </cell>
          <cell r="X300">
            <v>536.3853289067365</v>
          </cell>
        </row>
        <row r="301">
          <cell r="B301" t="str">
            <v>Post-tax exceptionals</v>
          </cell>
          <cell r="C301" t="str">
            <v>TAX_EXC</v>
          </cell>
          <cell r="D301" t="str">
            <v>CNY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-224.89682857</v>
          </cell>
          <cell r="Q301">
            <v>-15.064496780000001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</row>
        <row r="302">
          <cell r="B302" t="str">
            <v>Net income (post-exceptionals)</v>
          </cell>
          <cell r="C302" t="str">
            <v>NET_INC</v>
          </cell>
          <cell r="D302" t="str">
            <v>CNY</v>
          </cell>
          <cell r="F302">
            <v>101.05271274999997</v>
          </cell>
          <cell r="G302">
            <v>74.130903920000037</v>
          </cell>
          <cell r="H302">
            <v>39.443996870000092</v>
          </cell>
          <cell r="I302">
            <v>40.508238150000118</v>
          </cell>
          <cell r="J302">
            <v>50.836642719999979</v>
          </cell>
          <cell r="K302">
            <v>65.409218269999954</v>
          </cell>
          <cell r="L302">
            <v>115.60019151000034</v>
          </cell>
          <cell r="M302">
            <v>166.95054113999959</v>
          </cell>
          <cell r="N302">
            <v>220.46347237999987</v>
          </cell>
          <cell r="O302">
            <v>407.70132596000036</v>
          </cell>
          <cell r="P302">
            <v>248.5515991099987</v>
          </cell>
          <cell r="Q302">
            <v>237.6890665700007</v>
          </cell>
          <cell r="R302">
            <v>572.5313370700012</v>
          </cell>
          <cell r="S302">
            <v>817.71733693999704</v>
          </cell>
          <cell r="T302">
            <v>866.1865486900017</v>
          </cell>
          <cell r="U302">
            <v>461.55848678302158</v>
          </cell>
          <cell r="V302">
            <v>545.00615334821691</v>
          </cell>
          <cell r="W302">
            <v>544.28331284131559</v>
          </cell>
          <cell r="X302">
            <v>536.3853289067365</v>
          </cell>
        </row>
        <row r="303">
          <cell r="B303" t="str">
            <v>EPS (pre-exceptionals, basic)</v>
          </cell>
          <cell r="C303" t="str">
            <v>EPS</v>
          </cell>
          <cell r="D303" t="str">
            <v>CNY</v>
          </cell>
          <cell r="F303">
            <v>0.48706338205550337</v>
          </cell>
          <cell r="G303">
            <v>0.35730311236109591</v>
          </cell>
          <cell r="H303">
            <v>0.1901158909490922</v>
          </cell>
          <cell r="I303">
            <v>0.16464154833185488</v>
          </cell>
          <cell r="J303">
            <v>0.16589700634041393</v>
          </cell>
          <cell r="K303">
            <v>0.21345220528873876</v>
          </cell>
          <cell r="L303">
            <v>0.32727417749775617</v>
          </cell>
          <cell r="M303">
            <v>0.42968316057128303</v>
          </cell>
          <cell r="N303">
            <v>0.2837051049847179</v>
          </cell>
          <cell r="O303">
            <v>0.52465356839033328</v>
          </cell>
          <cell r="P303">
            <v>0.60926072890789218</v>
          </cell>
          <cell r="Q303">
            <v>0.325257855423213</v>
          </cell>
          <cell r="R303">
            <v>0.73676632839436784</v>
          </cell>
          <cell r="S303">
            <v>1.0522858068955629</v>
          </cell>
          <cell r="T303">
            <v>0.96471618437210949</v>
          </cell>
          <cell r="U303">
            <v>0.51406125263351254</v>
          </cell>
          <cell r="V303">
            <v>0.60700117949485954</v>
          </cell>
          <cell r="W303">
            <v>0.60619611511608096</v>
          </cell>
          <cell r="X303">
            <v>0.5973997271588648</v>
          </cell>
        </row>
        <row r="304">
          <cell r="B304" t="str">
            <v>EPS (pre-exceptionals, diluted)</v>
          </cell>
          <cell r="C304" t="str">
            <v>EPS_FUL_DIL</v>
          </cell>
          <cell r="D304" t="str">
            <v>CNY</v>
          </cell>
          <cell r="F304">
            <v>0.48706338205550337</v>
          </cell>
          <cell r="G304">
            <v>0.35730311236109591</v>
          </cell>
          <cell r="H304">
            <v>0.1901158909490922</v>
          </cell>
          <cell r="I304">
            <v>0.16464154833185488</v>
          </cell>
          <cell r="J304">
            <v>0.16589700634041393</v>
          </cell>
          <cell r="K304">
            <v>0.21345220528873876</v>
          </cell>
          <cell r="L304">
            <v>0.32727417749775617</v>
          </cell>
          <cell r="M304">
            <v>0.42968316057128303</v>
          </cell>
          <cell r="N304">
            <v>0.2837051049847179</v>
          </cell>
          <cell r="O304">
            <v>0.52465356839033328</v>
          </cell>
          <cell r="P304">
            <v>0.60926072890789218</v>
          </cell>
          <cell r="Q304">
            <v>0.325257855423213</v>
          </cell>
          <cell r="R304">
            <v>0.73676632839436784</v>
          </cell>
          <cell r="S304">
            <v>1.0522858068955629</v>
          </cell>
          <cell r="T304">
            <v>0.96471618437210949</v>
          </cell>
          <cell r="U304">
            <v>0.51406125263351254</v>
          </cell>
          <cell r="V304">
            <v>0.60700117949485954</v>
          </cell>
          <cell r="W304">
            <v>0.60619611511608096</v>
          </cell>
          <cell r="X304">
            <v>0.5973997271588648</v>
          </cell>
        </row>
        <row r="305">
          <cell r="B305" t="str">
            <v>EPS (post-exceptionals, basic)</v>
          </cell>
          <cell r="C305" t="str">
            <v>EPS_POST_BASIC</v>
          </cell>
          <cell r="D305" t="str">
            <v>CNY</v>
          </cell>
          <cell r="F305">
            <v>0.48706338205550337</v>
          </cell>
          <cell r="G305">
            <v>0.35730311236109591</v>
          </cell>
          <cell r="H305">
            <v>0.1901158909490922</v>
          </cell>
          <cell r="I305">
            <v>0.16464154833185488</v>
          </cell>
          <cell r="J305">
            <v>0.16589700634041393</v>
          </cell>
          <cell r="K305">
            <v>0.21345220528873876</v>
          </cell>
          <cell r="L305">
            <v>0.32727417749775617</v>
          </cell>
          <cell r="M305">
            <v>0.42968316057128303</v>
          </cell>
          <cell r="N305">
            <v>0.2837051049847179</v>
          </cell>
          <cell r="O305">
            <v>0.52465356839033328</v>
          </cell>
          <cell r="P305">
            <v>0.31985052561486715</v>
          </cell>
          <cell r="Q305">
            <v>0.30587199256632563</v>
          </cell>
          <cell r="R305">
            <v>0.73676632839436784</v>
          </cell>
          <cell r="S305">
            <v>1.0522858068955629</v>
          </cell>
          <cell r="T305">
            <v>0.96471618437210949</v>
          </cell>
          <cell r="U305">
            <v>0.51406125263351254</v>
          </cell>
          <cell r="V305">
            <v>0.60700117949485954</v>
          </cell>
          <cell r="W305">
            <v>0.60619611511608096</v>
          </cell>
          <cell r="X305">
            <v>0.5973997271588648</v>
          </cell>
        </row>
        <row r="306">
          <cell r="B306" t="str">
            <v>EPS (post-exceptionals, diluted)</v>
          </cell>
          <cell r="C306" t="str">
            <v>FULLY_DIL_EPS</v>
          </cell>
          <cell r="D306" t="str">
            <v>CNY</v>
          </cell>
          <cell r="F306">
            <v>0.48706338205550337</v>
          </cell>
          <cell r="G306">
            <v>0.35730311236109591</v>
          </cell>
          <cell r="H306">
            <v>0.1901158909490922</v>
          </cell>
          <cell r="I306">
            <v>0.16464154833185488</v>
          </cell>
          <cell r="J306">
            <v>0.16589700634041393</v>
          </cell>
          <cell r="K306">
            <v>0.21345220528873876</v>
          </cell>
          <cell r="L306">
            <v>0.32727417749775617</v>
          </cell>
          <cell r="M306">
            <v>0.42968316057128303</v>
          </cell>
          <cell r="N306">
            <v>0.2837051049847179</v>
          </cell>
          <cell r="O306">
            <v>0.52465356839033328</v>
          </cell>
          <cell r="P306">
            <v>0.31985052561486715</v>
          </cell>
          <cell r="Q306">
            <v>0.30587199256632563</v>
          </cell>
          <cell r="R306">
            <v>0.73676632839436784</v>
          </cell>
          <cell r="S306">
            <v>1.0522858068955629</v>
          </cell>
          <cell r="T306">
            <v>0.96471618437210949</v>
          </cell>
          <cell r="U306">
            <v>0.51406125263351254</v>
          </cell>
          <cell r="V306">
            <v>0.60700117949485954</v>
          </cell>
          <cell r="W306">
            <v>0.60619611511608096</v>
          </cell>
          <cell r="X306">
            <v>0.5973997271588648</v>
          </cell>
        </row>
        <row r="307">
          <cell r="B307" t="str">
            <v>Common dividends paid</v>
          </cell>
          <cell r="C307" t="str">
            <v>COMMON_DIV_PAID</v>
          </cell>
          <cell r="D307" t="str">
            <v>CNY</v>
          </cell>
          <cell r="F307">
            <v>0</v>
          </cell>
          <cell r="G307">
            <v>0</v>
          </cell>
          <cell r="H307">
            <v>0</v>
          </cell>
          <cell r="I307">
            <v>-18.696303499999999</v>
          </cell>
          <cell r="J307">
            <v>-21.388037000000001</v>
          </cell>
          <cell r="K307">
            <v>-21.388037000000001</v>
          </cell>
          <cell r="L307">
            <v>-36.980321850000003</v>
          </cell>
          <cell r="M307">
            <v>-54.237805199999997</v>
          </cell>
          <cell r="N307">
            <v>-65.085366239999999</v>
          </cell>
          <cell r="O307">
            <v>-119.32317144</v>
          </cell>
          <cell r="P307">
            <v>-81.356707799999995</v>
          </cell>
          <cell r="Q307">
            <v>-54.237805199999997</v>
          </cell>
          <cell r="R307">
            <v>-54.237805199999997</v>
          </cell>
          <cell r="S307">
            <v>-27.118902600000002</v>
          </cell>
          <cell r="T307">
            <v>-89.786612000000005</v>
          </cell>
          <cell r="U307">
            <v>-23.077924339151078</v>
          </cell>
          <cell r="V307">
            <v>-27.250307667410848</v>
          </cell>
          <cell r="W307">
            <v>-27.21416564206578</v>
          </cell>
          <cell r="X307">
            <v>-26.819266445336826</v>
          </cell>
        </row>
        <row r="308">
          <cell r="B308" t="str">
            <v>DPS, dividend per share</v>
          </cell>
          <cell r="C308" t="str">
            <v>DPS</v>
          </cell>
          <cell r="D308" t="str">
            <v>CNY</v>
          </cell>
          <cell r="F308">
            <v>0</v>
          </cell>
          <cell r="G308">
            <v>0</v>
          </cell>
          <cell r="H308">
            <v>0</v>
          </cell>
          <cell r="I308">
            <v>7.598919372706088E-2</v>
          </cell>
          <cell r="J308">
            <v>6.9796334296522752E-2</v>
          </cell>
          <cell r="K308">
            <v>6.9796334296522752E-2</v>
          </cell>
          <cell r="L308">
            <v>0.10469450144478412</v>
          </cell>
          <cell r="M308">
            <v>0.13959266859304548</v>
          </cell>
          <cell r="N308">
            <v>8.3755601155827294E-2</v>
          </cell>
          <cell r="O308">
            <v>0.15355193545235005</v>
          </cell>
          <cell r="P308">
            <v>0.10469450144478411</v>
          </cell>
          <cell r="Q308">
            <v>6.9796334296522738E-2</v>
          </cell>
          <cell r="R308">
            <v>6.9796334296522738E-2</v>
          </cell>
          <cell r="S308">
            <v>3.4898167148261376E-2</v>
          </cell>
          <cell r="T308">
            <v>9.9999934041158686E-2</v>
          </cell>
          <cell r="U308">
            <v>2.5703062631675627E-2</v>
          </cell>
          <cell r="V308">
            <v>3.035005897474298E-2</v>
          </cell>
          <cell r="W308">
            <v>3.030980575580405E-2</v>
          </cell>
          <cell r="X308">
            <v>2.9869986357943242E-2</v>
          </cell>
        </row>
        <row r="309">
          <cell r="B309" t="str">
            <v>Weighted average shares outstanding, basic</v>
          </cell>
          <cell r="C309" t="str">
            <v>SH</v>
          </cell>
          <cell r="F309">
            <v>207.47343461448</v>
          </cell>
          <cell r="G309">
            <v>207.47343461448</v>
          </cell>
          <cell r="H309">
            <v>207.47343461448</v>
          </cell>
          <cell r="I309">
            <v>246.03897716237995</v>
          </cell>
          <cell r="J309">
            <v>306.43496131379999</v>
          </cell>
          <cell r="K309">
            <v>306.43496131379999</v>
          </cell>
          <cell r="L309">
            <v>353.22124218246</v>
          </cell>
          <cell r="M309">
            <v>388.54336511124001</v>
          </cell>
          <cell r="N309">
            <v>777.08673022248001</v>
          </cell>
          <cell r="O309">
            <v>777.08673022248001</v>
          </cell>
          <cell r="P309">
            <v>777.08673022248001</v>
          </cell>
          <cell r="Q309">
            <v>777.08673022248001</v>
          </cell>
          <cell r="R309">
            <v>777.08673022248001</v>
          </cell>
          <cell r="S309">
            <v>777.08673022248001</v>
          </cell>
          <cell r="T309">
            <v>897.86671222247992</v>
          </cell>
          <cell r="U309">
            <v>897.86671222247992</v>
          </cell>
          <cell r="V309">
            <v>897.86671222247992</v>
          </cell>
          <cell r="W309">
            <v>897.86671222247992</v>
          </cell>
          <cell r="X309">
            <v>897.86671222247992</v>
          </cell>
        </row>
        <row r="310">
          <cell r="B310" t="str">
            <v>Diluted average shares outstanding (mn)</v>
          </cell>
          <cell r="C310" t="str">
            <v>DILUTE_SHARES</v>
          </cell>
          <cell r="F310">
            <v>207.47343461448</v>
          </cell>
          <cell r="G310">
            <v>207.47343461448</v>
          </cell>
          <cell r="H310">
            <v>207.47343461448</v>
          </cell>
          <cell r="I310">
            <v>246.03897716237995</v>
          </cell>
          <cell r="J310">
            <v>306.43496131379999</v>
          </cell>
          <cell r="K310">
            <v>306.43496131379999</v>
          </cell>
          <cell r="L310">
            <v>353.22124218246</v>
          </cell>
          <cell r="M310">
            <v>388.54336511124001</v>
          </cell>
          <cell r="N310">
            <v>777.08673022248001</v>
          </cell>
          <cell r="O310">
            <v>777.08673022248001</v>
          </cell>
          <cell r="P310">
            <v>777.08673022248001</v>
          </cell>
          <cell r="Q310">
            <v>777.08673022248001</v>
          </cell>
          <cell r="R310">
            <v>777.08673022248001</v>
          </cell>
          <cell r="S310">
            <v>777.08673022248001</v>
          </cell>
          <cell r="T310">
            <v>897.86671222247992</v>
          </cell>
          <cell r="U310">
            <v>897.86671222247992</v>
          </cell>
          <cell r="V310">
            <v>897.86671222247992</v>
          </cell>
          <cell r="W310">
            <v>897.86671222247992</v>
          </cell>
          <cell r="X310">
            <v>897.86671222247992</v>
          </cell>
        </row>
        <row r="311">
          <cell r="B311" t="str">
            <v>Period-end shares outstanding</v>
          </cell>
          <cell r="C311" t="str">
            <v>NON_OP_ADD</v>
          </cell>
          <cell r="F311">
            <v>207.47343461448</v>
          </cell>
          <cell r="G311">
            <v>207.47343461448</v>
          </cell>
          <cell r="H311">
            <v>207.47343461448</v>
          </cell>
          <cell r="I311">
            <v>246.03897716237995</v>
          </cell>
          <cell r="J311">
            <v>306.43496131379999</v>
          </cell>
          <cell r="K311">
            <v>306.43496131379999</v>
          </cell>
          <cell r="L311">
            <v>353.22124218246</v>
          </cell>
          <cell r="M311">
            <v>388.54336511124001</v>
          </cell>
          <cell r="N311">
            <v>777.08673022248001</v>
          </cell>
          <cell r="O311">
            <v>777.08673022248001</v>
          </cell>
          <cell r="P311">
            <v>777.08673022248001</v>
          </cell>
          <cell r="Q311">
            <v>777.08673022248001</v>
          </cell>
          <cell r="R311">
            <v>777.08673022248001</v>
          </cell>
          <cell r="S311">
            <v>777.08673022248001</v>
          </cell>
          <cell r="T311">
            <v>897.86671222247992</v>
          </cell>
          <cell r="U311">
            <v>897.86671222247992</v>
          </cell>
          <cell r="V311">
            <v>897.86671222247992</v>
          </cell>
          <cell r="W311">
            <v>897.86671222247992</v>
          </cell>
          <cell r="X311">
            <v>897.86671222247992</v>
          </cell>
        </row>
        <row r="312">
          <cell r="A312" t="str">
            <v>Additional Income Statement Items</v>
          </cell>
        </row>
        <row r="313">
          <cell r="B313" t="str">
            <v>Marginal tax rate</v>
          </cell>
          <cell r="C313" t="str">
            <v>MARGIN_TAX_RATE</v>
          </cell>
          <cell r="F313">
            <v>0.28062261137929156</v>
          </cell>
          <cell r="G313">
            <v>0.29132546000523263</v>
          </cell>
          <cell r="H313">
            <v>0.14307781740634004</v>
          </cell>
          <cell r="I313">
            <v>0.24479448421065295</v>
          </cell>
          <cell r="J313">
            <v>0.24120535520924066</v>
          </cell>
          <cell r="K313">
            <v>0.20442534105407337</v>
          </cell>
          <cell r="L313">
            <v>0.11335153519191286</v>
          </cell>
          <cell r="M313">
            <v>0.1100164179350011</v>
          </cell>
          <cell r="N313">
            <v>8.9543517155779351E-2</v>
          </cell>
          <cell r="O313">
            <v>7.9265822726807225E-2</v>
          </cell>
          <cell r="P313">
            <v>1.2546914293475583E-2</v>
          </cell>
          <cell r="Q313">
            <v>0.17184927775429923</v>
          </cell>
          <cell r="R313">
            <v>0.11413904777794937</v>
          </cell>
          <cell r="S313">
            <v>0.15258462869450395</v>
          </cell>
          <cell r="T313">
            <v>8.132924847961806E-2</v>
          </cell>
          <cell r="U313">
            <v>0.13</v>
          </cell>
          <cell r="V313">
            <v>0.13</v>
          </cell>
          <cell r="W313">
            <v>0.15</v>
          </cell>
          <cell r="X313">
            <v>0.15</v>
          </cell>
        </row>
        <row r="314">
          <cell r="B314" t="str">
            <v>Net income (consensus) (Pub)</v>
          </cell>
          <cell r="C314" t="str">
            <v>NI_CONS</v>
          </cell>
          <cell r="D314" t="str">
            <v>CNY</v>
          </cell>
        </row>
        <row r="315">
          <cell r="A315" t="str">
            <v>Balance Sheet</v>
          </cell>
        </row>
        <row r="316">
          <cell r="B316" t="str">
            <v>BVPS, book value per share</v>
          </cell>
          <cell r="C316" t="str">
            <v>BVPS</v>
          </cell>
          <cell r="D316" t="str">
            <v>CNY</v>
          </cell>
          <cell r="F316">
            <v>2.5095435897973122</v>
          </cell>
          <cell r="G316">
            <v>2.8541574320121263</v>
          </cell>
          <cell r="H316">
            <v>3.0442733229612187</v>
          </cell>
          <cell r="I316">
            <v>3.1421773466395666</v>
          </cell>
          <cell r="J316">
            <v>2.5491825926156855</v>
          </cell>
          <cell r="K316">
            <v>2.7626347979044241</v>
          </cell>
          <cell r="L316">
            <v>3.2007619473406108</v>
          </cell>
          <cell r="M316">
            <v>3.244304718185326</v>
          </cell>
          <cell r="N316">
            <v>1.8926342414558113</v>
          </cell>
          <cell r="O316">
            <v>2.3335322086903165</v>
          </cell>
          <cell r="P316">
            <v>2.5606848117716523</v>
          </cell>
          <cell r="Q316">
            <v>2.7932789073988578</v>
          </cell>
          <cell r="R316">
            <v>3.5073373302870423</v>
          </cell>
          <cell r="S316">
            <v>6.7372327465315243</v>
          </cell>
          <cell r="T316">
            <v>6.8434685495696002</v>
          </cell>
          <cell r="U316">
            <v>7.3318267395714374</v>
          </cell>
          <cell r="V316">
            <v>7.9084778600915531</v>
          </cell>
          <cell r="W316">
            <v>8.4843641694518315</v>
          </cell>
          <cell r="X316">
            <v>9.0518939102527511</v>
          </cell>
        </row>
        <row r="317">
          <cell r="A317" t="str">
            <v>Cash Flow Statement</v>
          </cell>
        </row>
        <row r="318">
          <cell r="B318" t="str">
            <v>Net income (pre-preferred dividends)</v>
          </cell>
          <cell r="C318" t="str">
            <v>CF_NI_PRE_PREF</v>
          </cell>
          <cell r="D318" t="str">
            <v>CNY</v>
          </cell>
          <cell r="F318">
            <v>101.05271274999997</v>
          </cell>
          <cell r="G318">
            <v>74.130903920000037</v>
          </cell>
          <cell r="H318">
            <v>39.443996870000092</v>
          </cell>
          <cell r="I318">
            <v>40.508238150000118</v>
          </cell>
          <cell r="J318">
            <v>50.836642719999979</v>
          </cell>
          <cell r="K318">
            <v>65.409218269999954</v>
          </cell>
          <cell r="L318">
            <v>115.60019151000034</v>
          </cell>
          <cell r="M318">
            <v>166.95054113999959</v>
          </cell>
          <cell r="N318">
            <v>220.46347237999987</v>
          </cell>
          <cell r="O318">
            <v>407.70132596000036</v>
          </cell>
          <cell r="P318">
            <v>473.4484276799987</v>
          </cell>
          <cell r="Q318">
            <v>252.75356335000072</v>
          </cell>
          <cell r="R318">
            <v>572.5313370700012</v>
          </cell>
          <cell r="S318">
            <v>817.71733693999704</v>
          </cell>
          <cell r="T318">
            <v>866.1865486900017</v>
          </cell>
          <cell r="U318">
            <v>461.55848678302158</v>
          </cell>
          <cell r="V318">
            <v>545.00615334821691</v>
          </cell>
          <cell r="W318">
            <v>544.28331284131559</v>
          </cell>
          <cell r="X318">
            <v>536.3853289067365</v>
          </cell>
        </row>
        <row r="319">
          <cell r="A319" t="str">
            <v>Other Items</v>
          </cell>
        </row>
        <row r="320">
          <cell r="B320" t="str">
            <v>Beta</v>
          </cell>
          <cell r="C320" t="str">
            <v>BETA_ANALYST</v>
          </cell>
        </row>
        <row r="321">
          <cell r="B321" t="str">
            <v>Market equity risk premium</v>
          </cell>
          <cell r="C321" t="str">
            <v>MKT_EQ_RISK_PREM</v>
          </cell>
        </row>
        <row r="322">
          <cell r="B322" t="str">
            <v>Risk-free rate</v>
          </cell>
          <cell r="C322" t="str">
            <v>RISK_FR_RATE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AFOSHEET"/>
      <sheetName val="Act Vs Est (2)"/>
      <sheetName val="Act Vs Est"/>
      <sheetName val="Valuation"/>
      <sheetName val="Model"/>
      <sheetName val="Revenue"/>
      <sheetName val="Company Data"/>
      <sheetName val="Industry Data"/>
      <sheetName val="Raw Data"/>
      <sheetName val="Basic Data"/>
      <sheetName val="M&amp;A"/>
      <sheetName val="Ratios"/>
      <sheetName val="Market Data"/>
      <sheetName val="002405.SZ_Live_Sheet"/>
      <sheetName val="002405.SZ_Validation_Sheet"/>
      <sheetName val="002405.SZ_Annotation_Sheet"/>
      <sheetName val="002405.SZ_Exchange_Sheet"/>
      <sheetName val="Sheet2"/>
      <sheetName val="Sheet1"/>
      <sheetName val="First take"/>
      <sheetName val="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Issuer: NavInfo Co.</v>
          </cell>
          <cell r="C1">
            <v>837667593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 t="str">
            <v>2010 Q1</v>
          </cell>
          <cell r="W1" t="str">
            <v>2010 Q2</v>
          </cell>
          <cell r="X1" t="str">
            <v>2010 Q3</v>
          </cell>
          <cell r="Y1" t="str">
            <v>2010 Q4</v>
          </cell>
          <cell r="Z1">
            <v>2010</v>
          </cell>
          <cell r="AA1" t="str">
            <v>2011 Q1</v>
          </cell>
          <cell r="AB1" t="str">
            <v>2011 Q2</v>
          </cell>
          <cell r="AC1" t="str">
            <v>2011 Q3</v>
          </cell>
          <cell r="AD1" t="str">
            <v>2011 Q4</v>
          </cell>
          <cell r="AE1">
            <v>2011</v>
          </cell>
          <cell r="AF1" t="str">
            <v>2012 Q1</v>
          </cell>
          <cell r="AG1" t="str">
            <v>2012 Q2</v>
          </cell>
          <cell r="AH1" t="str">
            <v>2012 Q3</v>
          </cell>
          <cell r="AI1" t="str">
            <v>2012 Q4</v>
          </cell>
          <cell r="AJ1">
            <v>2012</v>
          </cell>
          <cell r="AK1" t="str">
            <v>2013 Q1</v>
          </cell>
          <cell r="AL1" t="str">
            <v>2013 Q2</v>
          </cell>
          <cell r="AM1" t="str">
            <v>2013 Q3</v>
          </cell>
          <cell r="AN1" t="str">
            <v>2013 Q4</v>
          </cell>
          <cell r="AO1">
            <v>2013</v>
          </cell>
          <cell r="AP1" t="str">
            <v>2014 Q1</v>
          </cell>
          <cell r="AQ1" t="str">
            <v>2014 Q2</v>
          </cell>
          <cell r="AR1" t="str">
            <v>2014 Q3</v>
          </cell>
          <cell r="AS1" t="str">
            <v>2014 Q4</v>
          </cell>
          <cell r="AT1">
            <v>2014</v>
          </cell>
          <cell r="AU1" t="str">
            <v>2015 Q1</v>
          </cell>
          <cell r="AV1" t="str">
            <v>2015 Q2</v>
          </cell>
          <cell r="AW1" t="str">
            <v>2015 Q3</v>
          </cell>
          <cell r="AX1" t="str">
            <v>2015 Q4</v>
          </cell>
          <cell r="AY1">
            <v>2015</v>
          </cell>
          <cell r="AZ1">
            <v>2016</v>
          </cell>
          <cell r="BA1">
            <v>2017</v>
          </cell>
          <cell r="BB1">
            <v>2018</v>
          </cell>
          <cell r="BC1">
            <v>2019</v>
          </cell>
          <cell r="BD1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</row>
        <row r="3"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41729</v>
          </cell>
          <cell r="AQ3">
            <v>41820</v>
          </cell>
          <cell r="AR3">
            <v>41912</v>
          </cell>
          <cell r="AS3">
            <v>42004</v>
          </cell>
          <cell r="AT3">
            <v>42004</v>
          </cell>
          <cell r="AU3">
            <v>42094</v>
          </cell>
          <cell r="AV3">
            <v>42185</v>
          </cell>
          <cell r="AW3">
            <v>42277</v>
          </cell>
          <cell r="AX3">
            <v>42369</v>
          </cell>
          <cell r="AY3">
            <v>42369</v>
          </cell>
          <cell r="AZ3">
            <v>42735</v>
          </cell>
          <cell r="BA3">
            <v>43100</v>
          </cell>
          <cell r="BB3">
            <v>43465</v>
          </cell>
          <cell r="BC3">
            <v>43830</v>
          </cell>
          <cell r="BD3">
            <v>44196</v>
          </cell>
        </row>
        <row r="4">
          <cell r="A4" t="str">
            <v>Issuer: NavInfo Co.</v>
          </cell>
          <cell r="B4" t="str">
            <v>13VRW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NavInfo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S9">
            <v>185.14587972999999</v>
          </cell>
          <cell r="T9">
            <v>325.56347448999998</v>
          </cell>
          <cell r="U9">
            <v>428.05853653000003</v>
          </cell>
          <cell r="V9">
            <v>137.89094829000001</v>
          </cell>
          <cell r="W9">
            <v>173.3187351</v>
          </cell>
          <cell r="X9">
            <v>194.18856145999999</v>
          </cell>
          <cell r="Y9">
            <v>169.86133459000001</v>
          </cell>
          <cell r="Z9">
            <v>675.25957944000004</v>
          </cell>
          <cell r="AA9">
            <v>214.18236060000001</v>
          </cell>
          <cell r="AB9">
            <v>228.59588579999999</v>
          </cell>
          <cell r="AC9">
            <v>229.63133514</v>
          </cell>
          <cell r="AD9">
            <v>194.71488378000001</v>
          </cell>
          <cell r="AE9">
            <v>867.12446532000001</v>
          </cell>
          <cell r="AF9">
            <v>175.19569139000001</v>
          </cell>
          <cell r="AG9">
            <v>192.90395626</v>
          </cell>
          <cell r="AH9">
            <v>164.49970592</v>
          </cell>
          <cell r="AI9">
            <v>240.37083075999999</v>
          </cell>
          <cell r="AJ9">
            <v>772.97018433000005</v>
          </cell>
          <cell r="AK9">
            <v>155.07549098000001</v>
          </cell>
          <cell r="AL9">
            <v>199.32830215999999</v>
          </cell>
          <cell r="AM9">
            <v>191.46117058999999</v>
          </cell>
          <cell r="AN9">
            <v>335.00908411</v>
          </cell>
          <cell r="AO9">
            <v>880.87404784</v>
          </cell>
          <cell r="AP9">
            <v>201.30070258999999</v>
          </cell>
          <cell r="AQ9">
            <v>250.12147181</v>
          </cell>
          <cell r="AR9">
            <v>263.57710313000001</v>
          </cell>
          <cell r="AS9">
            <v>344.01387770000002</v>
          </cell>
          <cell r="AT9">
            <v>1059.0131552299999</v>
          </cell>
          <cell r="AY9">
            <v>1379.1496385555999</v>
          </cell>
          <cell r="AZ9">
            <v>1880.87300992722</v>
          </cell>
          <cell r="BA9">
            <v>2523.4082489141201</v>
          </cell>
          <cell r="BB9">
            <v>3326.3868656637701</v>
          </cell>
          <cell r="BC9">
            <v>4096.0681772349099</v>
          </cell>
          <cell r="BD9">
            <v>5019.6857511202797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S11">
            <v>-17.109807499999999</v>
          </cell>
          <cell r="T11">
            <v>-23.6373131</v>
          </cell>
          <cell r="U11">
            <v>-37.084583039999998</v>
          </cell>
          <cell r="Z11">
            <v>-79.971273280000005</v>
          </cell>
          <cell r="AE11">
            <v>-130.79402263</v>
          </cell>
          <cell r="AJ11">
            <v>-117.04711245</v>
          </cell>
          <cell r="AO11">
            <v>-184.69466181999999</v>
          </cell>
          <cell r="AT11">
            <v>-197.03911836</v>
          </cell>
          <cell r="AY11">
            <v>-348.384281166856</v>
          </cell>
          <cell r="AZ11">
            <v>-493.07088646146298</v>
          </cell>
          <cell r="BA11">
            <v>-692.90210581430904</v>
          </cell>
          <cell r="BB11">
            <v>-930.02375864502096</v>
          </cell>
          <cell r="BC11">
            <v>-1165.69912502123</v>
          </cell>
          <cell r="BD11">
            <v>-1453.6496722342899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-48.143354029999998</v>
          </cell>
          <cell r="T12">
            <v>-115.24599873</v>
          </cell>
          <cell r="U12">
            <v>-161.00729312000001</v>
          </cell>
          <cell r="Z12">
            <v>-202.74850810000001</v>
          </cell>
          <cell r="AE12">
            <v>-246.98069670999999</v>
          </cell>
          <cell r="AJ12">
            <v>-306.92243891999999</v>
          </cell>
          <cell r="AO12">
            <v>-404.55865805000002</v>
          </cell>
          <cell r="AT12">
            <v>-461.57339445999997</v>
          </cell>
          <cell r="AY12">
            <v>-558.01781900904996</v>
          </cell>
          <cell r="AZ12">
            <v>-752.18295015125295</v>
          </cell>
          <cell r="BA12">
            <v>-1019.60127991877</v>
          </cell>
          <cell r="BB12">
            <v>-1299.2188469420601</v>
          </cell>
          <cell r="BC12">
            <v>-1578.36005329099</v>
          </cell>
          <cell r="BD12">
            <v>-1898.21531718861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-65.25316153</v>
          </cell>
          <cell r="T13">
            <v>-138.88331183</v>
          </cell>
          <cell r="U13">
            <v>-198.09187616</v>
          </cell>
          <cell r="Z13">
            <v>-282.71978137999997</v>
          </cell>
          <cell r="AE13">
            <v>-377.77471933999999</v>
          </cell>
          <cell r="AJ13">
            <v>-423.96955136999998</v>
          </cell>
          <cell r="AO13">
            <v>-589.25331987000004</v>
          </cell>
          <cell r="AT13">
            <v>-658.61251282000001</v>
          </cell>
          <cell r="AY13">
            <v>-906.40210017590596</v>
          </cell>
          <cell r="AZ13">
            <v>-1245.2538366127201</v>
          </cell>
          <cell r="BA13">
            <v>-1712.50338573308</v>
          </cell>
          <cell r="BB13">
            <v>-2229.2426055870801</v>
          </cell>
          <cell r="BC13">
            <v>-2744.05917831222</v>
          </cell>
          <cell r="BD13">
            <v>-3351.8649894229102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S14">
            <v>-50.909500000000001</v>
          </cell>
          <cell r="T14">
            <v>-89.671099999999996</v>
          </cell>
          <cell r="U14">
            <v>-97.773160020000006</v>
          </cell>
          <cell r="Z14">
            <v>-181.29647338999999</v>
          </cell>
          <cell r="AE14">
            <v>-235.03896803000001</v>
          </cell>
          <cell r="AJ14">
            <v>-249.76046969000001</v>
          </cell>
          <cell r="AO14">
            <v>-292.06492772000001</v>
          </cell>
          <cell r="AT14">
            <v>-361.32759821000002</v>
          </cell>
          <cell r="AY14">
            <v>-431.41339901822101</v>
          </cell>
          <cell r="AZ14">
            <v>-510.31468692213701</v>
          </cell>
          <cell r="BA14">
            <v>-596.89337068397401</v>
          </cell>
          <cell r="BB14">
            <v>-698.60821655996904</v>
          </cell>
          <cell r="BC14">
            <v>-799.81603692105898</v>
          </cell>
          <cell r="BD14">
            <v>-915.81917482898496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E15">
            <v>0</v>
          </cell>
          <cell r="AJ15">
            <v>0</v>
          </cell>
          <cell r="AO15">
            <v>0</v>
          </cell>
          <cell r="AT15">
            <v>0</v>
          </cell>
          <cell r="AY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S16">
            <v>-116.16266152999999</v>
          </cell>
          <cell r="T16">
            <v>-228.55441182999999</v>
          </cell>
          <cell r="U16">
            <v>-295.86503618</v>
          </cell>
          <cell r="Z16">
            <v>-464.01625476999999</v>
          </cell>
          <cell r="AE16">
            <v>-612.81368737000003</v>
          </cell>
          <cell r="AJ16">
            <v>-673.73002106000001</v>
          </cell>
          <cell r="AO16">
            <v>-881.31824759000006</v>
          </cell>
          <cell r="AT16">
            <v>-1019.94011103</v>
          </cell>
          <cell r="AY16">
            <v>-1337.8154991941301</v>
          </cell>
          <cell r="AZ16">
            <v>-1755.5685235348501</v>
          </cell>
          <cell r="BA16">
            <v>-2309.3967564170498</v>
          </cell>
          <cell r="BB16">
            <v>-2927.8508221470502</v>
          </cell>
          <cell r="BC16">
            <v>-3543.87521523328</v>
          </cell>
          <cell r="BD16">
            <v>-4267.6841642518903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S17">
            <v>-105.25304851999999</v>
          </cell>
          <cell r="T17">
            <v>-184.39018188</v>
          </cell>
          <cell r="U17">
            <v>-224.86374873</v>
          </cell>
          <cell r="Z17">
            <v>-385.19450893999999</v>
          </cell>
          <cell r="AE17">
            <v>-533.19147525999995</v>
          </cell>
          <cell r="AJ17">
            <v>-548.38949717000003</v>
          </cell>
          <cell r="AO17">
            <v>-708.02992002999997</v>
          </cell>
          <cell r="AT17">
            <v>-796.85996117000002</v>
          </cell>
          <cell r="AY17">
            <v>-992.92284000673101</v>
          </cell>
          <cell r="AZ17">
            <v>-1250.6402025402999</v>
          </cell>
          <cell r="BA17">
            <v>-1597.8863176898201</v>
          </cell>
          <cell r="BB17">
            <v>-1954.6688884672101</v>
          </cell>
          <cell r="BC17">
            <v>-2261.5110321871998</v>
          </cell>
          <cell r="BD17">
            <v>-2622.30700012325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S18">
            <v>79.892831209999997</v>
          </cell>
          <cell r="T18">
            <v>141.17329261</v>
          </cell>
          <cell r="U18">
            <v>203.1947878</v>
          </cell>
          <cell r="Z18">
            <v>290.06507049999999</v>
          </cell>
          <cell r="AE18">
            <v>333.93299006000001</v>
          </cell>
          <cell r="AJ18">
            <v>224.58068716</v>
          </cell>
          <cell r="AO18">
            <v>172.84412781</v>
          </cell>
          <cell r="AT18">
            <v>262.15319405999998</v>
          </cell>
          <cell r="AY18">
            <v>386.226798548869</v>
          </cell>
          <cell r="AZ18">
            <v>630.23280738691994</v>
          </cell>
          <cell r="BA18">
            <v>925.52193122429799</v>
          </cell>
          <cell r="BB18">
            <v>1371.71797719655</v>
          </cell>
          <cell r="BC18">
            <v>1834.55714504771</v>
          </cell>
          <cell r="BD18">
            <v>2397.3787509970298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-7.0791909200000003</v>
          </cell>
          <cell r="T19">
            <v>-9.4482120999999992</v>
          </cell>
          <cell r="U19">
            <v>-11.904733439999999</v>
          </cell>
          <cell r="V19">
            <v>0</v>
          </cell>
          <cell r="X19">
            <v>0</v>
          </cell>
          <cell r="Z19">
            <v>-14.07715166</v>
          </cell>
          <cell r="AE19">
            <v>-18.753172960000001</v>
          </cell>
          <cell r="AJ19">
            <v>-29.60255231</v>
          </cell>
          <cell r="AO19">
            <v>-39.76685561</v>
          </cell>
          <cell r="AT19">
            <v>-43.896434139999997</v>
          </cell>
          <cell r="AY19">
            <v>-100.245886875227</v>
          </cell>
          <cell r="AZ19">
            <v>-172.78912654602399</v>
          </cell>
          <cell r="BA19">
            <v>-264.33768454357897</v>
          </cell>
          <cell r="BB19">
            <v>-377.40334057552099</v>
          </cell>
          <cell r="BC19">
            <v>-507.25417754452201</v>
          </cell>
          <cell r="BD19">
            <v>-654.89389073791097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-3.8304220899999999</v>
          </cell>
          <cell r="T20">
            <v>-34.71601785</v>
          </cell>
          <cell r="U20">
            <v>-59.096554009999998</v>
          </cell>
          <cell r="V20">
            <v>0</v>
          </cell>
          <cell r="X20">
            <v>0</v>
          </cell>
          <cell r="Z20">
            <v>-64.744594169999999</v>
          </cell>
          <cell r="AE20">
            <v>-60.869039149999999</v>
          </cell>
          <cell r="AJ20">
            <v>-95.737971580000007</v>
          </cell>
          <cell r="AO20">
            <v>-133.52147195000001</v>
          </cell>
          <cell r="AT20">
            <v>-179.18371572000001</v>
          </cell>
          <cell r="AY20">
            <v>-244.64677231216899</v>
          </cell>
          <cell r="AZ20">
            <v>-332.13919444853002</v>
          </cell>
          <cell r="BA20">
            <v>-447.17275418365398</v>
          </cell>
          <cell r="BB20">
            <v>-595.77859310431199</v>
          </cell>
          <cell r="BC20">
            <v>-775.11000550155597</v>
          </cell>
          <cell r="BD20">
            <v>-990.48327339073103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S21">
            <v>68.983218199999996</v>
          </cell>
          <cell r="T21">
            <v>97.009062659999998</v>
          </cell>
          <cell r="U21">
            <v>132.19350034999999</v>
          </cell>
          <cell r="Z21">
            <v>211.24332466999999</v>
          </cell>
          <cell r="AA21">
            <v>88.299158169999998</v>
          </cell>
          <cell r="AB21">
            <v>87.606012489999998</v>
          </cell>
          <cell r="AC21">
            <v>88.300745710000001</v>
          </cell>
          <cell r="AD21">
            <v>-9.8951384200000003</v>
          </cell>
          <cell r="AE21">
            <v>254.31077794999999</v>
          </cell>
          <cell r="AF21">
            <v>47.229043220000001</v>
          </cell>
          <cell r="AG21">
            <v>47.996542750000003</v>
          </cell>
          <cell r="AH21">
            <v>14.75209727</v>
          </cell>
          <cell r="AI21">
            <v>-10.737519969999999</v>
          </cell>
          <cell r="AJ21">
            <v>99.240163269999996</v>
          </cell>
          <cell r="AK21">
            <v>-9.3276867299999999</v>
          </cell>
          <cell r="AL21">
            <v>-0.58144801999999995</v>
          </cell>
          <cell r="AM21">
            <v>-4.2618326499999997</v>
          </cell>
          <cell r="AN21">
            <v>13.726767649999999</v>
          </cell>
          <cell r="AO21">
            <v>-0.44419975</v>
          </cell>
          <cell r="AP21">
            <v>13.687657270000001</v>
          </cell>
          <cell r="AQ21">
            <v>-2.1604431000000002</v>
          </cell>
          <cell r="AR21">
            <v>-1.18338484</v>
          </cell>
          <cell r="AS21">
            <v>28.72921487</v>
          </cell>
          <cell r="AT21">
            <v>39.073044199999998</v>
          </cell>
          <cell r="AY21">
            <v>41.334139361472999</v>
          </cell>
          <cell r="AZ21">
            <v>125.30448639236501</v>
          </cell>
          <cell r="BA21">
            <v>214.011492497066</v>
          </cell>
          <cell r="BB21">
            <v>398.53604351671902</v>
          </cell>
          <cell r="BC21">
            <v>552.19296200163205</v>
          </cell>
          <cell r="BD21">
            <v>752.00158686838404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S22">
            <v>1.2163142600000001</v>
          </cell>
          <cell r="T22">
            <v>2.22472922</v>
          </cell>
          <cell r="U22">
            <v>7.6139449600000004</v>
          </cell>
          <cell r="Z22">
            <v>13.303279939999999</v>
          </cell>
          <cell r="AE22">
            <v>44.972291720000001</v>
          </cell>
          <cell r="AJ22">
            <v>58.551184059999997</v>
          </cell>
          <cell r="AO22">
            <v>36.325683310000002</v>
          </cell>
          <cell r="AT22">
            <v>35.86830458</v>
          </cell>
          <cell r="AY22">
            <v>17.19367724045</v>
          </cell>
          <cell r="AZ22">
            <v>16.828472695367999</v>
          </cell>
          <cell r="BA22">
            <v>13.095718755270999</v>
          </cell>
          <cell r="BB22">
            <v>11.424109321971001</v>
          </cell>
          <cell r="BC22">
            <v>10.962388460142</v>
          </cell>
          <cell r="BD22">
            <v>12.279805348545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S23">
            <v>0</v>
          </cell>
          <cell r="T23">
            <v>0</v>
          </cell>
          <cell r="U23">
            <v>0</v>
          </cell>
          <cell r="Z23">
            <v>0</v>
          </cell>
          <cell r="AE23">
            <v>0</v>
          </cell>
          <cell r="AJ23">
            <v>0</v>
          </cell>
          <cell r="AO23">
            <v>0</v>
          </cell>
          <cell r="AT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S24">
            <v>1.2163142600000001</v>
          </cell>
          <cell r="T24">
            <v>2.22472922</v>
          </cell>
          <cell r="U24">
            <v>7.6139449600000004</v>
          </cell>
          <cell r="Z24">
            <v>13.303279939999999</v>
          </cell>
          <cell r="AE24">
            <v>44.972291720000001</v>
          </cell>
          <cell r="AJ24">
            <v>58.551184059999997</v>
          </cell>
          <cell r="AO24">
            <v>36.325683310000002</v>
          </cell>
          <cell r="AT24">
            <v>35.86830458</v>
          </cell>
          <cell r="AY24">
            <v>17.19367724045</v>
          </cell>
          <cell r="AZ24">
            <v>16.828472695367999</v>
          </cell>
          <cell r="BA24">
            <v>13.095718755270999</v>
          </cell>
          <cell r="BB24">
            <v>11.424109321971001</v>
          </cell>
          <cell r="BC24">
            <v>10.962388460142</v>
          </cell>
          <cell r="BD24">
            <v>12.279805348545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Z25">
            <v>0</v>
          </cell>
          <cell r="AE25">
            <v>0</v>
          </cell>
          <cell r="AJ25">
            <v>0</v>
          </cell>
          <cell r="AO25">
            <v>0</v>
          </cell>
          <cell r="AT25">
            <v>0</v>
          </cell>
          <cell r="AY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E26">
            <v>0</v>
          </cell>
          <cell r="AJ26">
            <v>0</v>
          </cell>
          <cell r="AO26">
            <v>0</v>
          </cell>
          <cell r="AT26">
            <v>0</v>
          </cell>
          <cell r="AY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18.277418619999999</v>
          </cell>
          <cell r="T27">
            <v>35.13007571</v>
          </cell>
          <cell r="U27">
            <v>33.192374649999998</v>
          </cell>
          <cell r="Z27">
            <v>62.44217639</v>
          </cell>
          <cell r="AE27">
            <v>73.128026019999993</v>
          </cell>
          <cell r="AJ27">
            <v>43.213584269999998</v>
          </cell>
          <cell r="AO27">
            <v>85.576465479999996</v>
          </cell>
          <cell r="AT27">
            <v>98.451238070000002</v>
          </cell>
          <cell r="AY27">
            <v>140.77685736999999</v>
          </cell>
          <cell r="AZ27">
            <v>144.99559094049999</v>
          </cell>
          <cell r="BA27">
            <v>175.00707801435499</v>
          </cell>
          <cell r="BB27">
            <v>217.193205871792</v>
          </cell>
          <cell r="BC27">
            <v>252.88067737130399</v>
          </cell>
          <cell r="BD27">
            <v>294.74296162250198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S28">
            <v>88.476951080000006</v>
          </cell>
          <cell r="T28">
            <v>134.36386759000001</v>
          </cell>
          <cell r="U28">
            <v>172.99981996</v>
          </cell>
          <cell r="Z28">
            <v>286.98878100000002</v>
          </cell>
          <cell r="AE28">
            <v>372.41109569000002</v>
          </cell>
          <cell r="AJ28">
            <v>201.00493159999999</v>
          </cell>
          <cell r="AO28">
            <v>121.45794904</v>
          </cell>
          <cell r="AT28">
            <v>173.39258684999999</v>
          </cell>
          <cell r="AY28">
            <v>199.30467397192299</v>
          </cell>
          <cell r="AZ28">
            <v>287.12855002823301</v>
          </cell>
          <cell r="BA28">
            <v>402.11428926669203</v>
          </cell>
          <cell r="BB28">
            <v>627.15335871048103</v>
          </cell>
          <cell r="BC28">
            <v>816.03602783307701</v>
          </cell>
          <cell r="BD28">
            <v>1059.02435383943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O31">
            <v>0</v>
          </cell>
          <cell r="AT31">
            <v>0</v>
          </cell>
          <cell r="AY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Z34">
            <v>0</v>
          </cell>
          <cell r="AE34">
            <v>0</v>
          </cell>
          <cell r="AJ34">
            <v>0</v>
          </cell>
          <cell r="AO34">
            <v>0</v>
          </cell>
          <cell r="AT34">
            <v>0</v>
          </cell>
          <cell r="AY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276.43808568999998</v>
          </cell>
          <cell r="T37">
            <v>305.21741305</v>
          </cell>
          <cell r="U37">
            <v>339.59532593</v>
          </cell>
          <cell r="Z37">
            <v>1988.0002439899999</v>
          </cell>
          <cell r="AE37">
            <v>2105.3188012099999</v>
          </cell>
          <cell r="AJ37">
            <v>1935.94501902</v>
          </cell>
          <cell r="AO37">
            <v>1848.8224283100001</v>
          </cell>
          <cell r="AT37">
            <v>1731.9098394600001</v>
          </cell>
          <cell r="AY37">
            <v>1558.1919162377701</v>
          </cell>
          <cell r="AZ37">
            <v>1347.2961682378</v>
          </cell>
          <cell r="BA37">
            <v>1175.3198890916899</v>
          </cell>
          <cell r="BB37">
            <v>1127.81774281294</v>
          </cell>
          <cell r="BC37">
            <v>1263.3544597268699</v>
          </cell>
          <cell r="BD37">
            <v>1659.9740859328599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S38">
            <v>33.756701120000002</v>
          </cell>
          <cell r="T38">
            <v>38.754947749999999</v>
          </cell>
          <cell r="U38">
            <v>79.469372680000006</v>
          </cell>
          <cell r="Z38">
            <v>50.74467696</v>
          </cell>
          <cell r="AE38">
            <v>136.62760563000001</v>
          </cell>
          <cell r="AJ38">
            <v>255.51586194999999</v>
          </cell>
          <cell r="AO38">
            <v>282.11411256999997</v>
          </cell>
          <cell r="AT38">
            <v>281.42317107000002</v>
          </cell>
          <cell r="AY38">
            <v>366.496547040596</v>
          </cell>
          <cell r="AZ38">
            <v>499.824996714733</v>
          </cell>
          <cell r="BA38">
            <v>670.57292707508998</v>
          </cell>
          <cell r="BB38">
            <v>883.95723444756004</v>
          </cell>
          <cell r="BC38">
            <v>1088.49308402218</v>
          </cell>
          <cell r="BD38">
            <v>1333.9361035117199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0.33706916999999997</v>
          </cell>
          <cell r="T39">
            <v>0.70479004999999995</v>
          </cell>
          <cell r="U39">
            <v>0.79951260999999996</v>
          </cell>
          <cell r="Z39">
            <v>0.55363768000000002</v>
          </cell>
          <cell r="AE39">
            <v>1.48085256</v>
          </cell>
          <cell r="AJ39">
            <v>8.2796091300000008</v>
          </cell>
          <cell r="AO39">
            <v>31.571883440000001</v>
          </cell>
          <cell r="AT39">
            <v>51.374972829999997</v>
          </cell>
          <cell r="AY39">
            <v>90.835937190124</v>
          </cell>
          <cell r="AZ39">
            <v>128.56078329045201</v>
          </cell>
          <cell r="BA39">
            <v>180.663754265389</v>
          </cell>
          <cell r="BB39">
            <v>242.4896423072</v>
          </cell>
          <cell r="BC39">
            <v>303.93843300954302</v>
          </cell>
          <cell r="BD39">
            <v>379.01718723146701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0.79409118999999995</v>
          </cell>
          <cell r="T40">
            <v>4.6227344099999996</v>
          </cell>
          <cell r="U40">
            <v>8.9559592000000006</v>
          </cell>
          <cell r="Z40">
            <v>13.566790149999999</v>
          </cell>
          <cell r="AE40">
            <v>20.83141938</v>
          </cell>
          <cell r="AJ40">
            <v>31.213693030000002</v>
          </cell>
          <cell r="AO40">
            <v>65.625384429999997</v>
          </cell>
          <cell r="AT40">
            <v>75.630818930000004</v>
          </cell>
          <cell r="AY40">
            <v>75.630818930000004</v>
          </cell>
          <cell r="AZ40">
            <v>75.630818930000004</v>
          </cell>
          <cell r="BA40">
            <v>75.630818930000004</v>
          </cell>
          <cell r="BB40">
            <v>75.630818930000004</v>
          </cell>
          <cell r="BC40">
            <v>75.630818930000004</v>
          </cell>
          <cell r="BD40">
            <v>75.630818930000004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311.32594717000001</v>
          </cell>
          <cell r="T41">
            <v>349.29988526</v>
          </cell>
          <cell r="U41">
            <v>428.82017042000001</v>
          </cell>
          <cell r="Z41">
            <v>2052.8653487800002</v>
          </cell>
          <cell r="AE41">
            <v>2264.2586787800001</v>
          </cell>
          <cell r="AJ41">
            <v>2230.9541831299998</v>
          </cell>
          <cell r="AO41">
            <v>2228.1338087499998</v>
          </cell>
          <cell r="AT41">
            <v>2140.3388022899999</v>
          </cell>
          <cell r="AY41">
            <v>2091.1552193984899</v>
          </cell>
          <cell r="AZ41">
            <v>2051.3127671729799</v>
          </cell>
          <cell r="BA41">
            <v>2102.1873893621701</v>
          </cell>
          <cell r="BB41">
            <v>2329.8954384977001</v>
          </cell>
          <cell r="BC41">
            <v>2731.4167956885899</v>
          </cell>
          <cell r="BD41">
            <v>3448.55819560605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S42">
            <v>24.122158030000001</v>
          </cell>
          <cell r="T42">
            <v>37.427658690000001</v>
          </cell>
          <cell r="U42">
            <v>74.648577020000005</v>
          </cell>
          <cell r="Z42">
            <v>99.656454030000006</v>
          </cell>
          <cell r="AE42">
            <v>139.57473984999999</v>
          </cell>
          <cell r="AJ42">
            <v>198.13491321000001</v>
          </cell>
          <cell r="AO42">
            <v>273.64559369</v>
          </cell>
          <cell r="AT42">
            <v>383.50991655000001</v>
          </cell>
          <cell r="AY42">
            <v>875.81810375267503</v>
          </cell>
          <cell r="AZ42">
            <v>1509.6065272880301</v>
          </cell>
          <cell r="BA42">
            <v>2309.4386896440601</v>
          </cell>
          <cell r="BB42">
            <v>3297.2592531820001</v>
          </cell>
          <cell r="BC42">
            <v>4431.7268842224603</v>
          </cell>
          <cell r="BD42">
            <v>5721.6105660194598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S43">
            <v>0</v>
          </cell>
          <cell r="T43">
            <v>0</v>
          </cell>
          <cell r="U43">
            <v>-33.326179310000001</v>
          </cell>
          <cell r="Z43">
            <v>-44.083434629999999</v>
          </cell>
          <cell r="AE43">
            <v>-59.605377730000001</v>
          </cell>
          <cell r="AJ43">
            <v>-88.782609609999994</v>
          </cell>
          <cell r="AO43">
            <v>-150.51813526999999</v>
          </cell>
          <cell r="AT43">
            <v>-177.98584822999999</v>
          </cell>
          <cell r="AY43">
            <v>-278.23173510522702</v>
          </cell>
          <cell r="AZ43">
            <v>-451.02086165125098</v>
          </cell>
          <cell r="BA43">
            <v>-715.35854619482996</v>
          </cell>
          <cell r="BB43">
            <v>-1092.76188677035</v>
          </cell>
          <cell r="BC43">
            <v>-1600.0160643148699</v>
          </cell>
          <cell r="BD43">
            <v>-2254.9099550527799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24.122158030000001</v>
          </cell>
          <cell r="T44">
            <v>37.427658690000001</v>
          </cell>
          <cell r="U44">
            <v>41.322397709999997</v>
          </cell>
          <cell r="Z44">
            <v>55.5730194</v>
          </cell>
          <cell r="AE44">
            <v>79.96936212</v>
          </cell>
          <cell r="AJ44">
            <v>109.3523036</v>
          </cell>
          <cell r="AO44">
            <v>123.12745842</v>
          </cell>
          <cell r="AT44">
            <v>205.52406832</v>
          </cell>
          <cell r="AY44">
            <v>597.58636864744801</v>
          </cell>
          <cell r="AZ44">
            <v>1058.58566563678</v>
          </cell>
          <cell r="BA44">
            <v>1594.08014344923</v>
          </cell>
          <cell r="BB44">
            <v>2204.4973664116501</v>
          </cell>
          <cell r="BC44">
            <v>2831.7108199075801</v>
          </cell>
          <cell r="BD44">
            <v>3466.70061096667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87.785552899999999</v>
          </cell>
          <cell r="T45">
            <v>121.10546198999999</v>
          </cell>
          <cell r="U45">
            <v>227.29878485</v>
          </cell>
          <cell r="Z45">
            <v>180.48533634</v>
          </cell>
          <cell r="AE45">
            <v>285.57176228999998</v>
          </cell>
          <cell r="AJ45">
            <v>459.31241819000002</v>
          </cell>
          <cell r="AO45">
            <v>541.88783337999996</v>
          </cell>
          <cell r="AT45">
            <v>678.96960485</v>
          </cell>
          <cell r="AY45">
            <v>873.08529143193596</v>
          </cell>
          <cell r="AZ45">
            <v>1132.52401118991</v>
          </cell>
          <cell r="BA45">
            <v>1473.62966054969</v>
          </cell>
          <cell r="BB45">
            <v>1914.2862072166399</v>
          </cell>
          <cell r="BC45">
            <v>2446.0523980327898</v>
          </cell>
          <cell r="BD45">
            <v>3084.6924485296599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-103.67400769</v>
          </cell>
          <cell r="Z46">
            <v>-45.571163249999998</v>
          </cell>
          <cell r="AE46">
            <v>-41.844094069999997</v>
          </cell>
          <cell r="AJ46">
            <v>-62.338442749999999</v>
          </cell>
          <cell r="AO46">
            <v>-91.508708650000003</v>
          </cell>
          <cell r="AT46">
            <v>-154.86972309999999</v>
          </cell>
          <cell r="AY46">
            <v>-399.51649541216898</v>
          </cell>
          <cell r="AZ46">
            <v>-731.655689860699</v>
          </cell>
          <cell r="BA46">
            <v>-1178.8284440443499</v>
          </cell>
          <cell r="BB46">
            <v>-1774.6070371486601</v>
          </cell>
          <cell r="BC46">
            <v>-2549.7170426502198</v>
          </cell>
          <cell r="BD46">
            <v>-3540.2003160409499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87.785552899999999</v>
          </cell>
          <cell r="T47">
            <v>121.10546198999999</v>
          </cell>
          <cell r="U47">
            <v>123.62477715999999</v>
          </cell>
          <cell r="Z47">
            <v>134.91417308999999</v>
          </cell>
          <cell r="AE47">
            <v>243.72766822</v>
          </cell>
          <cell r="AJ47">
            <v>396.97397544</v>
          </cell>
          <cell r="AO47">
            <v>450.37912473</v>
          </cell>
          <cell r="AT47">
            <v>524.09988175000001</v>
          </cell>
          <cell r="AY47">
            <v>473.56879601976698</v>
          </cell>
          <cell r="AZ47">
            <v>400.86832132921597</v>
          </cell>
          <cell r="BA47">
            <v>294.80121650533999</v>
          </cell>
          <cell r="BB47">
            <v>139.67917006797799</v>
          </cell>
          <cell r="BC47">
            <v>-103.664644617435</v>
          </cell>
          <cell r="BD47">
            <v>-455.50786751128999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0.33394499999999999</v>
          </cell>
          <cell r="T49">
            <v>0.62876167999999999</v>
          </cell>
          <cell r="U49">
            <v>2.6607256800000001</v>
          </cell>
          <cell r="Z49">
            <v>34.735411999999997</v>
          </cell>
          <cell r="AE49">
            <v>46.848771499999998</v>
          </cell>
          <cell r="AJ49">
            <v>48.394491899999998</v>
          </cell>
          <cell r="AO49">
            <v>50.860373099999997</v>
          </cell>
          <cell r="AT49">
            <v>33.68978207</v>
          </cell>
          <cell r="AY49">
            <v>33.68978207</v>
          </cell>
          <cell r="AZ49">
            <v>33.68978207</v>
          </cell>
          <cell r="BA49">
            <v>33.68978207</v>
          </cell>
          <cell r="BB49">
            <v>33.68978207</v>
          </cell>
          <cell r="BC49">
            <v>33.68978207</v>
          </cell>
          <cell r="BD49">
            <v>33.68978207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1.92587497</v>
          </cell>
          <cell r="T50">
            <v>4.5466129500000001</v>
          </cell>
          <cell r="U50">
            <v>6.91234006</v>
          </cell>
          <cell r="Z50">
            <v>10.560121970000001</v>
          </cell>
          <cell r="AE50">
            <v>12.79161817</v>
          </cell>
          <cell r="AJ50">
            <v>23.776542410000001</v>
          </cell>
          <cell r="AO50">
            <v>135.47114997</v>
          </cell>
          <cell r="AT50">
            <v>207.60063747000001</v>
          </cell>
          <cell r="AY50">
            <v>207.60063747000001</v>
          </cell>
          <cell r="AZ50">
            <v>207.60063747000001</v>
          </cell>
          <cell r="BA50">
            <v>207.60063746999899</v>
          </cell>
          <cell r="BB50">
            <v>207.60063747000001</v>
          </cell>
          <cell r="BC50">
            <v>207.60063747000001</v>
          </cell>
          <cell r="BD50">
            <v>207.60063747000001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S51">
            <v>425.49347806999998</v>
          </cell>
          <cell r="T51">
            <v>513.00838056999999</v>
          </cell>
          <cell r="U51">
            <v>603.34041103000004</v>
          </cell>
          <cell r="Z51">
            <v>2288.6480752399998</v>
          </cell>
          <cell r="AE51">
            <v>2647.5960987899998</v>
          </cell>
          <cell r="AJ51">
            <v>2809.4514964800001</v>
          </cell>
          <cell r="AO51">
            <v>2987.9719149699999</v>
          </cell>
          <cell r="AT51">
            <v>3111.2531718999999</v>
          </cell>
          <cell r="AY51">
            <v>3403.6008036057101</v>
          </cell>
          <cell r="AZ51">
            <v>3752.0571736789798</v>
          </cell>
          <cell r="BA51">
            <v>4232.3591688567403</v>
          </cell>
          <cell r="BB51">
            <v>4915.3623945173304</v>
          </cell>
          <cell r="BC51">
            <v>5700.7533905187402</v>
          </cell>
          <cell r="BD51">
            <v>6701.0413586014301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17.706373580000001</v>
          </cell>
          <cell r="T52">
            <v>56.514752819999998</v>
          </cell>
          <cell r="U52">
            <v>48.827858550000002</v>
          </cell>
          <cell r="Z52">
            <v>80.425856789999997</v>
          </cell>
          <cell r="AE52">
            <v>119.49067442</v>
          </cell>
          <cell r="AJ52">
            <v>156.16275325000001</v>
          </cell>
          <cell r="AO52">
            <v>186.59195654000001</v>
          </cell>
          <cell r="AT52">
            <v>203.09372662000001</v>
          </cell>
          <cell r="AY52">
            <v>359.08941608607103</v>
          </cell>
          <cell r="AZ52">
            <v>508.22194421478099</v>
          </cell>
          <cell r="BA52">
            <v>714.19356736850602</v>
          </cell>
          <cell r="BB52">
            <v>958.60148259118898</v>
          </cell>
          <cell r="BC52">
            <v>1201.5186699409001</v>
          </cell>
          <cell r="BD52">
            <v>1498.31734729248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3</v>
          </cell>
          <cell r="T53">
            <v>6</v>
          </cell>
          <cell r="U53">
            <v>1.1968719999999999</v>
          </cell>
          <cell r="Z53">
            <v>1.0093680700000001</v>
          </cell>
          <cell r="AE53">
            <v>31.98062406</v>
          </cell>
          <cell r="AJ53">
            <v>14.5558</v>
          </cell>
          <cell r="AO53">
            <v>53.880960000000002</v>
          </cell>
          <cell r="AT53">
            <v>92.449439999999996</v>
          </cell>
          <cell r="AY53">
            <v>92.449439999999996</v>
          </cell>
          <cell r="AZ53">
            <v>92.449439999999996</v>
          </cell>
          <cell r="BA53">
            <v>92.449439999999996</v>
          </cell>
          <cell r="BB53">
            <v>92.449439999999996</v>
          </cell>
          <cell r="BC53">
            <v>92.449439999999996</v>
          </cell>
          <cell r="BD53">
            <v>92.449439999999996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32.24163051</v>
          </cell>
          <cell r="T54">
            <v>32.50355828</v>
          </cell>
          <cell r="U54">
            <v>44.167689060000001</v>
          </cell>
          <cell r="Z54">
            <v>45.815881019999999</v>
          </cell>
          <cell r="AE54">
            <v>98.698857290000007</v>
          </cell>
          <cell r="AJ54">
            <v>123.86786607000001</v>
          </cell>
          <cell r="AO54">
            <v>140.91866655000001</v>
          </cell>
          <cell r="AT54">
            <v>178.08917929</v>
          </cell>
          <cell r="AY54">
            <v>187.553172659436</v>
          </cell>
          <cell r="AZ54">
            <v>210.28452093265301</v>
          </cell>
          <cell r="BA54">
            <v>237.302791546002</v>
          </cell>
          <cell r="BB54">
            <v>293.974562086417</v>
          </cell>
          <cell r="BC54">
            <v>339.49915711240499</v>
          </cell>
          <cell r="BD54">
            <v>398.06432451959603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S55">
            <v>52.948004089999998</v>
          </cell>
          <cell r="T55">
            <v>95.018311100000005</v>
          </cell>
          <cell r="U55">
            <v>94.192419610000002</v>
          </cell>
          <cell r="Z55">
            <v>127.25110588</v>
          </cell>
          <cell r="AE55">
            <v>250.17015577000001</v>
          </cell>
          <cell r="AJ55">
            <v>294.58641932</v>
          </cell>
          <cell r="AO55">
            <v>381.39158308999998</v>
          </cell>
          <cell r="AT55">
            <v>473.63234591000003</v>
          </cell>
          <cell r="AY55">
            <v>639.09202874550704</v>
          </cell>
          <cell r="AZ55">
            <v>810.95590514743401</v>
          </cell>
          <cell r="BA55">
            <v>1043.9457989145101</v>
          </cell>
          <cell r="BB55">
            <v>1345.0254846776099</v>
          </cell>
          <cell r="BC55">
            <v>1633.4672670533</v>
          </cell>
          <cell r="BD55">
            <v>1988.8311118120801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Z56">
            <v>0</v>
          </cell>
          <cell r="AE56">
            <v>0</v>
          </cell>
          <cell r="AJ56">
            <v>0</v>
          </cell>
          <cell r="AO56">
            <v>0</v>
          </cell>
          <cell r="AT56">
            <v>0</v>
          </cell>
          <cell r="AY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12.47934966</v>
          </cell>
          <cell r="T57">
            <v>14.16786892</v>
          </cell>
          <cell r="U57">
            <v>10.82613385</v>
          </cell>
          <cell r="Z57">
            <v>35.971264929999997</v>
          </cell>
          <cell r="AE57">
            <v>35.911875000000002</v>
          </cell>
          <cell r="AJ57">
            <v>25.705173630000001</v>
          </cell>
          <cell r="AO57">
            <v>21.256544210000001</v>
          </cell>
          <cell r="AT57">
            <v>7.5798262300000001</v>
          </cell>
          <cell r="AY57">
            <v>7.5798262300000001</v>
          </cell>
          <cell r="AZ57">
            <v>7.5798262300000001</v>
          </cell>
          <cell r="BA57">
            <v>7.5798262300000001</v>
          </cell>
          <cell r="BB57">
            <v>7.5798262300000001</v>
          </cell>
          <cell r="BC57">
            <v>7.5798262300000001</v>
          </cell>
          <cell r="BD57">
            <v>7.5798262300000001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S58">
            <v>12.47934966</v>
          </cell>
          <cell r="T58">
            <v>14.16786892</v>
          </cell>
          <cell r="U58">
            <v>10.82613385</v>
          </cell>
          <cell r="Z58">
            <v>35.971264929999997</v>
          </cell>
          <cell r="AE58">
            <v>35.911875000000002</v>
          </cell>
          <cell r="AJ58">
            <v>25.705173630000001</v>
          </cell>
          <cell r="AO58">
            <v>21.256544210000001</v>
          </cell>
          <cell r="AT58">
            <v>7.5798262300000001</v>
          </cell>
          <cell r="AY58">
            <v>7.5798262300000001</v>
          </cell>
          <cell r="AZ58">
            <v>7.5798262300000001</v>
          </cell>
          <cell r="BA58">
            <v>7.5798262300000001</v>
          </cell>
          <cell r="BB58">
            <v>7.5798262300000001</v>
          </cell>
          <cell r="BC58">
            <v>7.5798262300000001</v>
          </cell>
          <cell r="BD58">
            <v>7.5798262300000001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65.427353749999995</v>
          </cell>
          <cell r="T59">
            <v>109.18618001999999</v>
          </cell>
          <cell r="U59">
            <v>105.01855346000001</v>
          </cell>
          <cell r="Z59">
            <v>163.22237081</v>
          </cell>
          <cell r="AE59">
            <v>286.08203077000002</v>
          </cell>
          <cell r="AJ59">
            <v>320.29159294999999</v>
          </cell>
          <cell r="AO59">
            <v>402.6481273</v>
          </cell>
          <cell r="AT59">
            <v>481.21217214000001</v>
          </cell>
          <cell r="AY59">
            <v>646.67185497550702</v>
          </cell>
          <cell r="AZ59">
            <v>818.53573137743399</v>
          </cell>
          <cell r="BA59">
            <v>1051.5256251445101</v>
          </cell>
          <cell r="BB59">
            <v>1352.6053109076099</v>
          </cell>
          <cell r="BC59">
            <v>1641.0470932833</v>
          </cell>
          <cell r="BD59">
            <v>1996.41093804208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Z60">
            <v>0</v>
          </cell>
          <cell r="AE60">
            <v>0</v>
          </cell>
          <cell r="AJ60">
            <v>0</v>
          </cell>
          <cell r="AO60">
            <v>0</v>
          </cell>
          <cell r="AT60">
            <v>0</v>
          </cell>
          <cell r="AY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349.70704403000002</v>
          </cell>
          <cell r="T61">
            <v>393.35254659999998</v>
          </cell>
          <cell r="U61">
            <v>480.31955490000001</v>
          </cell>
          <cell r="Z61">
            <v>2091.3850999800002</v>
          </cell>
          <cell r="AE61">
            <v>2310.8785614200001</v>
          </cell>
          <cell r="AJ61">
            <v>2373.1198576699999</v>
          </cell>
          <cell r="AO61">
            <v>2409.80971387</v>
          </cell>
          <cell r="AT61">
            <v>2460.6608579600002</v>
          </cell>
          <cell r="AY61">
            <v>2568.8829169402002</v>
          </cell>
          <cell r="AZ61">
            <v>2732.0956970694601</v>
          </cell>
          <cell r="BA61">
            <v>2960.66994046834</v>
          </cell>
          <cell r="BB61">
            <v>3313.3691754833098</v>
          </cell>
          <cell r="BC61">
            <v>3772.29246555892</v>
          </cell>
          <cell r="BD61">
            <v>4367.8678129179798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10.35908029</v>
          </cell>
          <cell r="T62">
            <v>10.46965395</v>
          </cell>
          <cell r="U62">
            <v>18.002302669999999</v>
          </cell>
          <cell r="Z62">
            <v>34.040604449999996</v>
          </cell>
          <cell r="AE62">
            <v>50.635506599999999</v>
          </cell>
          <cell r="AJ62">
            <v>116.04004586000001</v>
          </cell>
          <cell r="AO62">
            <v>175.51407380000001</v>
          </cell>
          <cell r="AT62">
            <v>169.38014142</v>
          </cell>
          <cell r="AY62">
            <v>188.04603130999999</v>
          </cell>
          <cell r="AZ62">
            <v>201.425744852082</v>
          </cell>
          <cell r="BA62">
            <v>220.163602863893</v>
          </cell>
          <cell r="BB62">
            <v>249.387907746412</v>
          </cell>
          <cell r="BC62">
            <v>287.41383129651302</v>
          </cell>
          <cell r="BD62">
            <v>336.762607261379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S63">
            <v>360.06612431999997</v>
          </cell>
          <cell r="T63">
            <v>403.82220054999999</v>
          </cell>
          <cell r="U63">
            <v>498.32185757000002</v>
          </cell>
          <cell r="Z63">
            <v>2125.4257044300002</v>
          </cell>
          <cell r="AE63">
            <v>2361.5140680200002</v>
          </cell>
          <cell r="AJ63">
            <v>2489.1599035300001</v>
          </cell>
          <cell r="AO63">
            <v>2585.32378767</v>
          </cell>
          <cell r="AT63">
            <v>2630.0409993799999</v>
          </cell>
          <cell r="AY63">
            <v>2756.9289482501999</v>
          </cell>
          <cell r="AZ63">
            <v>2933.5214419215399</v>
          </cell>
          <cell r="BA63">
            <v>3180.83354333223</v>
          </cell>
          <cell r="BB63">
            <v>3562.7570832297201</v>
          </cell>
          <cell r="BC63">
            <v>4059.7062968554301</v>
          </cell>
          <cell r="BD63">
            <v>4704.63042017936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S64">
            <v>425.49347806999998</v>
          </cell>
          <cell r="T64">
            <v>513.00838056999999</v>
          </cell>
          <cell r="U64">
            <v>603.34041103000004</v>
          </cell>
          <cell r="Z64">
            <v>2288.6480752399998</v>
          </cell>
          <cell r="AE64">
            <v>2647.5960987899998</v>
          </cell>
          <cell r="AJ64">
            <v>2809.4514964800001</v>
          </cell>
          <cell r="AO64">
            <v>2987.9719149699999</v>
          </cell>
          <cell r="AT64">
            <v>3111.2531715199998</v>
          </cell>
          <cell r="AY64">
            <v>3403.60080322571</v>
          </cell>
          <cell r="AZ64">
            <v>3752.0571732989802</v>
          </cell>
          <cell r="BA64">
            <v>4232.3591684767398</v>
          </cell>
          <cell r="BB64">
            <v>4915.3623941373298</v>
          </cell>
          <cell r="BC64">
            <v>5700.7533901387396</v>
          </cell>
          <cell r="BD64">
            <v>6701.0413582214296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-273.43808568999998</v>
          </cell>
          <cell r="T66">
            <v>-299.21741305</v>
          </cell>
          <cell r="U66">
            <v>-338.39845393000002</v>
          </cell>
          <cell r="Z66">
            <v>-1986.99087592</v>
          </cell>
          <cell r="AE66">
            <v>-2073.3381771499999</v>
          </cell>
          <cell r="AJ66">
            <v>-1921.3892190199999</v>
          </cell>
          <cell r="AO66">
            <v>-1794.9414683099999</v>
          </cell>
          <cell r="AT66">
            <v>-1639.46039946</v>
          </cell>
          <cell r="AY66">
            <v>-1465.74247623777</v>
          </cell>
          <cell r="AZ66">
            <v>-1254.8467282378001</v>
          </cell>
          <cell r="BA66">
            <v>-1082.87044909169</v>
          </cell>
          <cell r="BB66">
            <v>-1035.3683028129401</v>
          </cell>
          <cell r="BC66">
            <v>-1170.90501972687</v>
          </cell>
          <cell r="BD66">
            <v>-1567.52464593286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Z67">
            <v>0</v>
          </cell>
          <cell r="AE67">
            <v>0</v>
          </cell>
          <cell r="AJ67">
            <v>0</v>
          </cell>
          <cell r="AO67">
            <v>0</v>
          </cell>
          <cell r="AT67">
            <v>0</v>
          </cell>
          <cell r="AY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Z69">
            <v>0</v>
          </cell>
          <cell r="AE69">
            <v>0</v>
          </cell>
          <cell r="AJ69">
            <v>0</v>
          </cell>
          <cell r="AO69">
            <v>0</v>
          </cell>
          <cell r="AT69">
            <v>0</v>
          </cell>
          <cell r="AY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S71">
            <v>0</v>
          </cell>
          <cell r="T71">
            <v>0</v>
          </cell>
          <cell r="U71">
            <v>0</v>
          </cell>
          <cell r="Z71">
            <v>0</v>
          </cell>
          <cell r="AE71">
            <v>0</v>
          </cell>
          <cell r="AJ71">
            <v>0</v>
          </cell>
          <cell r="AO71">
            <v>0</v>
          </cell>
          <cell r="AT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Z72">
            <v>0</v>
          </cell>
          <cell r="AE72">
            <v>0</v>
          </cell>
          <cell r="AJ72">
            <v>0</v>
          </cell>
          <cell r="AO72">
            <v>0</v>
          </cell>
          <cell r="AT72">
            <v>0</v>
          </cell>
          <cell r="AY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Z74">
            <v>0</v>
          </cell>
          <cell r="AE74">
            <v>0</v>
          </cell>
          <cell r="AJ74">
            <v>0</v>
          </cell>
          <cell r="AO74">
            <v>0</v>
          </cell>
          <cell r="AT74">
            <v>0</v>
          </cell>
          <cell r="AY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-87.785552899999999</v>
          </cell>
          <cell r="T75">
            <v>-121.10546198999999</v>
          </cell>
          <cell r="U75">
            <v>-123.62477715999999</v>
          </cell>
          <cell r="Z75">
            <v>-134.91417308999999</v>
          </cell>
          <cell r="AE75">
            <v>-243.72766822</v>
          </cell>
          <cell r="AJ75">
            <v>-396.97397544</v>
          </cell>
          <cell r="AO75">
            <v>-450.37912473</v>
          </cell>
          <cell r="AT75">
            <v>-524.09988175000001</v>
          </cell>
          <cell r="AY75">
            <v>-473.56879601976698</v>
          </cell>
          <cell r="AZ75">
            <v>-400.86832132921597</v>
          </cell>
          <cell r="BA75">
            <v>-294.80121650533999</v>
          </cell>
          <cell r="BB75">
            <v>-139.67917006797799</v>
          </cell>
          <cell r="BC75">
            <v>103.664644617435</v>
          </cell>
          <cell r="BD75">
            <v>455.50786751128999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S76">
            <v>324.34758569000002</v>
          </cell>
          <cell r="T76">
            <v>439.79801305000001</v>
          </cell>
          <cell r="U76">
            <v>576.75221395000005</v>
          </cell>
          <cell r="Z76">
            <v>2406.6411093299998</v>
          </cell>
          <cell r="AE76">
            <v>2728.0273785899999</v>
          </cell>
          <cell r="AJ76">
            <v>2774.92939015</v>
          </cell>
          <cell r="AO76">
            <v>2850.87546716</v>
          </cell>
          <cell r="AT76">
            <v>2958.9488365000002</v>
          </cell>
          <cell r="AY76">
            <v>3035.3478389059901</v>
          </cell>
          <cell r="AZ76">
            <v>3099.7278097981598</v>
          </cell>
          <cell r="BA76">
            <v>3274.8844316460199</v>
          </cell>
          <cell r="BB76">
            <v>3633.9255742072401</v>
          </cell>
          <cell r="BC76">
            <v>4207.9507298322296</v>
          </cell>
          <cell r="BD76">
            <v>5088.97613184898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S77">
            <v>1</v>
          </cell>
          <cell r="T77">
            <v>1</v>
          </cell>
          <cell r="U77">
            <v>1</v>
          </cell>
          <cell r="Z77">
            <v>1</v>
          </cell>
          <cell r="AE77">
            <v>1</v>
          </cell>
          <cell r="AJ77">
            <v>1</v>
          </cell>
          <cell r="AO77">
            <v>1</v>
          </cell>
          <cell r="AT77">
            <v>1</v>
          </cell>
          <cell r="AY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10.35908029</v>
          </cell>
          <cell r="T78">
            <v>10.46965395</v>
          </cell>
          <cell r="U78">
            <v>18.002302669999999</v>
          </cell>
          <cell r="Z78">
            <v>34.040604449999996</v>
          </cell>
          <cell r="AE78">
            <v>50.635506599999999</v>
          </cell>
          <cell r="AJ78">
            <v>116.04004586000001</v>
          </cell>
          <cell r="AO78">
            <v>175.51407380000001</v>
          </cell>
          <cell r="AT78">
            <v>169.38014142</v>
          </cell>
          <cell r="AY78">
            <v>188.04603130999999</v>
          </cell>
          <cell r="AZ78">
            <v>201.425744852082</v>
          </cell>
          <cell r="BA78">
            <v>220.163602863893</v>
          </cell>
          <cell r="BB78">
            <v>249.387907746412</v>
          </cell>
          <cell r="BC78">
            <v>287.41383129651302</v>
          </cell>
          <cell r="BD78">
            <v>336.762607261379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1.56199814</v>
          </cell>
          <cell r="T80">
            <v>-0.31977028000000002</v>
          </cell>
          <cell r="U80">
            <v>12.18874016</v>
          </cell>
          <cell r="Z80">
            <v>22.005842250000001</v>
          </cell>
          <cell r="AE80">
            <v>26.679365369999999</v>
          </cell>
          <cell r="AJ80">
            <v>11.788334450000001</v>
          </cell>
          <cell r="AO80">
            <v>22.965821179999999</v>
          </cell>
          <cell r="AT80">
            <v>11.916389669999999</v>
          </cell>
          <cell r="AY80">
            <v>18.665889889999999</v>
          </cell>
          <cell r="AZ80">
            <v>13.379713542081999</v>
          </cell>
          <cell r="BA80">
            <v>18.737858011810999</v>
          </cell>
          <cell r="BB80">
            <v>29.224304882519</v>
          </cell>
          <cell r="BC80">
            <v>38.025923550100998</v>
          </cell>
          <cell r="BD80">
            <v>49.348775964866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10.909613009999999</v>
          </cell>
          <cell r="T81">
            <v>44.164229949999999</v>
          </cell>
          <cell r="U81">
            <v>71.001287450000007</v>
          </cell>
          <cell r="Z81">
            <v>78.821745829999998</v>
          </cell>
          <cell r="AE81">
            <v>79.622212110000007</v>
          </cell>
          <cell r="AJ81">
            <v>125.34052389</v>
          </cell>
          <cell r="AO81">
            <v>173.28832756</v>
          </cell>
          <cell r="AT81">
            <v>223.08014986000001</v>
          </cell>
          <cell r="AY81">
            <v>344.89265918739602</v>
          </cell>
          <cell r="AZ81">
            <v>504.92832099455399</v>
          </cell>
          <cell r="BA81">
            <v>711.51043872723301</v>
          </cell>
          <cell r="BB81">
            <v>973.18193367983304</v>
          </cell>
          <cell r="BC81">
            <v>1282.3641830460799</v>
          </cell>
          <cell r="BD81">
            <v>1645.3771641286401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0.40971570000000002</v>
          </cell>
          <cell r="T82">
            <v>33.442411730000003</v>
          </cell>
          <cell r="U82">
            <v>-48.496041759999997</v>
          </cell>
          <cell r="Z82">
            <v>60.568568890000002</v>
          </cell>
          <cell r="AE82">
            <v>-47.745325919999999</v>
          </cell>
          <cell r="AJ82">
            <v>-89.014934060000002</v>
          </cell>
          <cell r="AO82">
            <v>-19.461321640000001</v>
          </cell>
          <cell r="AT82">
            <v>-2.6103778100000001</v>
          </cell>
          <cell r="AY82">
            <v>31.461349135351998</v>
          </cell>
          <cell r="AZ82">
            <v>-21.920767645756001</v>
          </cell>
          <cell r="BA82">
            <v>-16.879278181568001</v>
          </cell>
          <cell r="BB82">
            <v>-30.802280191598001</v>
          </cell>
          <cell r="BC82">
            <v>-23.067452927253999</v>
          </cell>
          <cell r="BD82">
            <v>-23.723096359885002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8.4821473800000007</v>
          </cell>
          <cell r="T83">
            <v>-24.038954369999999</v>
          </cell>
          <cell r="U83">
            <v>37.906900800000003</v>
          </cell>
          <cell r="Z83">
            <v>4.2319122699999996</v>
          </cell>
          <cell r="AE83">
            <v>43.855063260000001</v>
          </cell>
          <cell r="AJ83">
            <v>-83.973766400000002</v>
          </cell>
          <cell r="AO83">
            <v>-92.466094429999998</v>
          </cell>
          <cell r="AT83">
            <v>-25.112725489999999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1.77636E-14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S84">
            <v>102.65061837</v>
          </cell>
          <cell r="T84">
            <v>175.15906011999999</v>
          </cell>
          <cell r="U84">
            <v>208.78281000999999</v>
          </cell>
          <cell r="Z84">
            <v>398.50218209000002</v>
          </cell>
          <cell r="AE84">
            <v>383.84671978</v>
          </cell>
          <cell r="AJ84">
            <v>108.08816724</v>
          </cell>
          <cell r="AO84">
            <v>189.65325475</v>
          </cell>
          <cell r="AT84">
            <v>324.77543394999998</v>
          </cell>
          <cell r="AY84">
            <v>547.97738277238204</v>
          </cell>
          <cell r="AZ84">
            <v>727.06682087279705</v>
          </cell>
          <cell r="BA84">
            <v>1036.42830642235</v>
          </cell>
          <cell r="BB84">
            <v>1475.46000839214</v>
          </cell>
          <cell r="BC84">
            <v>1952.92735377694</v>
          </cell>
          <cell r="BD84">
            <v>2521.8247685322799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-50.630429759999998</v>
          </cell>
          <cell r="T85">
            <v>-80.759895749999998</v>
          </cell>
          <cell r="U85">
            <v>-87.594353440000006</v>
          </cell>
          <cell r="Z85">
            <v>-97.277980830000004</v>
          </cell>
          <cell r="AE85">
            <v>-155.72747697</v>
          </cell>
          <cell r="AJ85">
            <v>-214.49454265</v>
          </cell>
          <cell r="AO85">
            <v>-330.49148173999998</v>
          </cell>
          <cell r="AT85">
            <v>-399.21092206999998</v>
          </cell>
          <cell r="AY85">
            <v>-686.42387378461103</v>
          </cell>
          <cell r="AZ85">
            <v>-893.22714329333303</v>
          </cell>
          <cell r="BA85">
            <v>-1140.9378117158101</v>
          </cell>
          <cell r="BB85">
            <v>-1428.4771102048901</v>
          </cell>
          <cell r="BC85">
            <v>-1666.2338218565999</v>
          </cell>
          <cell r="BD85">
            <v>-1928.5237322938799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Z86">
            <v>0</v>
          </cell>
          <cell r="AE86">
            <v>0</v>
          </cell>
          <cell r="AJ86">
            <v>0</v>
          </cell>
          <cell r="AO86">
            <v>0</v>
          </cell>
          <cell r="AT86">
            <v>0</v>
          </cell>
          <cell r="AY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0.12853999999999999</v>
          </cell>
          <cell r="T87">
            <v>0.27695999999999998</v>
          </cell>
          <cell r="U87">
            <v>0.30705902000000002</v>
          </cell>
          <cell r="Z87">
            <v>0.42103699999999999</v>
          </cell>
          <cell r="AE87">
            <v>0.31800650000000003</v>
          </cell>
          <cell r="AJ87">
            <v>0.21877384999999999</v>
          </cell>
          <cell r="AO87">
            <v>1.46695318</v>
          </cell>
          <cell r="AT87">
            <v>0.36141263000000001</v>
          </cell>
          <cell r="AY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-8.1388277500000008</v>
          </cell>
          <cell r="T88">
            <v>-137.10583353000001</v>
          </cell>
          <cell r="U88">
            <v>-48.649398640000001</v>
          </cell>
          <cell r="Z88">
            <v>-1485.62328938</v>
          </cell>
          <cell r="AE88">
            <v>248.5340387</v>
          </cell>
          <cell r="AJ88">
            <v>281.03428299000001</v>
          </cell>
          <cell r="AO88">
            <v>99.549842100000006</v>
          </cell>
          <cell r="AT88">
            <v>318.96771873</v>
          </cell>
          <cell r="AY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S89">
            <v>-58.640717510000002</v>
          </cell>
          <cell r="T89">
            <v>-217.58876928000001</v>
          </cell>
          <cell r="U89">
            <v>-135.93669306000001</v>
          </cell>
          <cell r="Z89">
            <v>-1582.4802332100001</v>
          </cell>
          <cell r="AE89">
            <v>93.124568229999994</v>
          </cell>
          <cell r="AJ89">
            <v>66.75851419</v>
          </cell>
          <cell r="AO89">
            <v>-229.47468645999999</v>
          </cell>
          <cell r="AT89">
            <v>-79.881790710000004</v>
          </cell>
          <cell r="AY89">
            <v>-686.42387378461103</v>
          </cell>
          <cell r="AZ89">
            <v>-893.22714329333303</v>
          </cell>
          <cell r="BA89">
            <v>-1140.9378117158101</v>
          </cell>
          <cell r="BB89">
            <v>-1428.4771102048901</v>
          </cell>
          <cell r="BC89">
            <v>-1666.2338218565999</v>
          </cell>
          <cell r="BD89">
            <v>-1928.5237322938799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-48.880600180000002</v>
          </cell>
          <cell r="Z90">
            <v>0</v>
          </cell>
          <cell r="AE90">
            <v>-60.034436849999999</v>
          </cell>
          <cell r="AJ90">
            <v>-81.646833979999997</v>
          </cell>
          <cell r="AO90">
            <v>-40.343141439999997</v>
          </cell>
          <cell r="AT90">
            <v>-31.813448659999999</v>
          </cell>
          <cell r="AY90">
            <v>-35.27143221</v>
          </cell>
          <cell r="AZ90">
            <v>-44.735425579435997</v>
          </cell>
          <cell r="BA90">
            <v>-67.466773852653006</v>
          </cell>
          <cell r="BB90">
            <v>-94.485044466001995</v>
          </cell>
          <cell r="BC90">
            <v>-151.15681500641699</v>
          </cell>
          <cell r="BD90">
            <v>-196.68141003240501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217.48414345</v>
          </cell>
          <cell r="T91">
            <v>8.7499999999999994E-2</v>
          </cell>
          <cell r="U91">
            <v>0</v>
          </cell>
          <cell r="Z91">
            <v>1384.424</v>
          </cell>
          <cell r="AE91">
            <v>0</v>
          </cell>
          <cell r="AJ91">
            <v>29.3456884</v>
          </cell>
          <cell r="AO91">
            <v>7</v>
          </cell>
          <cell r="AT91">
            <v>13.8</v>
          </cell>
          <cell r="AY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3</v>
          </cell>
          <cell r="T92">
            <v>3</v>
          </cell>
          <cell r="U92">
            <v>-5.9</v>
          </cell>
          <cell r="Z92">
            <v>-0.1</v>
          </cell>
          <cell r="AE92">
            <v>0</v>
          </cell>
          <cell r="AJ92">
            <v>0</v>
          </cell>
          <cell r="AO92">
            <v>19.841275110000002</v>
          </cell>
          <cell r="AT92">
            <v>58.73565</v>
          </cell>
          <cell r="AY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-34.434549840000003</v>
          </cell>
          <cell r="T93">
            <v>-5.3403989799999998</v>
          </cell>
          <cell r="U93">
            <v>-3.75867182</v>
          </cell>
          <cell r="Z93">
            <v>-5.9132934400000003</v>
          </cell>
          <cell r="AE93">
            <v>-9.8400289099999991</v>
          </cell>
          <cell r="AJ93">
            <v>-10.389823440000001</v>
          </cell>
          <cell r="AO93">
            <v>-15.085932870000001</v>
          </cell>
          <cell r="AT93">
            <v>-9.9987037300000008</v>
          </cell>
          <cell r="AY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S94">
            <v>186.04959360999999</v>
          </cell>
          <cell r="T94">
            <v>-2.2528989799999999</v>
          </cell>
          <cell r="U94">
            <v>-58.539271999999997</v>
          </cell>
          <cell r="Z94">
            <v>1378.4107065600001</v>
          </cell>
          <cell r="AE94">
            <v>-69.874465760000007</v>
          </cell>
          <cell r="AJ94">
            <v>-62.690969019999997</v>
          </cell>
          <cell r="AO94">
            <v>-28.587799199999999</v>
          </cell>
          <cell r="AT94">
            <v>30.723497609999999</v>
          </cell>
          <cell r="AY94">
            <v>-35.27143221</v>
          </cell>
          <cell r="AZ94">
            <v>-44.735425579435997</v>
          </cell>
          <cell r="BA94">
            <v>-67.466773852653006</v>
          </cell>
          <cell r="BB94">
            <v>-94.485044466001995</v>
          </cell>
          <cell r="BC94">
            <v>-151.15681500641699</v>
          </cell>
          <cell r="BD94">
            <v>-196.68141003240501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S95">
            <v>230.05949447</v>
          </cell>
          <cell r="T95">
            <v>-44.682608139999999</v>
          </cell>
          <cell r="U95">
            <v>14.30684495</v>
          </cell>
          <cell r="Z95">
            <v>194.43265543999999</v>
          </cell>
          <cell r="AE95">
            <v>407.09682225</v>
          </cell>
          <cell r="AJ95">
            <v>112.15571241000001</v>
          </cell>
          <cell r="AO95">
            <v>-68.409230910000005</v>
          </cell>
          <cell r="AT95">
            <v>275.61714085</v>
          </cell>
          <cell r="AY95">
            <v>-173.71792322222899</v>
          </cell>
          <cell r="AZ95">
            <v>-210.895747999973</v>
          </cell>
          <cell r="BA95">
            <v>-171.976279146107</v>
          </cell>
          <cell r="BB95">
            <v>-47.502146278748</v>
          </cell>
          <cell r="BC95">
            <v>135.53671691392299</v>
          </cell>
          <cell r="BD95">
            <v>396.61962620599297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S100">
            <v>48.797854725793002</v>
          </cell>
          <cell r="T100">
            <v>83.120726984119003</v>
          </cell>
          <cell r="U100">
            <v>90.360632877824003</v>
          </cell>
          <cell r="Z100">
            <v>172.82158081958201</v>
          </cell>
          <cell r="AE100">
            <v>231.10245194630801</v>
          </cell>
          <cell r="AJ100">
            <v>238.535291933331</v>
          </cell>
          <cell r="AO100">
            <v>327.33195733809998</v>
          </cell>
          <cell r="AT100">
            <v>295.033732234708</v>
          </cell>
          <cell r="AY100">
            <v>385.42188660714999</v>
          </cell>
          <cell r="AZ100">
            <v>447.09015282679002</v>
          </cell>
          <cell r="BA100">
            <v>517.61514474963496</v>
          </cell>
          <cell r="BB100">
            <v>602.73148878378902</v>
          </cell>
          <cell r="BC100">
            <v>688.47978906671301</v>
          </cell>
          <cell r="BD100">
            <v>788.30281566721703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S109">
            <v>0.99099999999999999</v>
          </cell>
          <cell r="T109">
            <v>1.25</v>
          </cell>
          <cell r="U109">
            <v>1.3080000000000001</v>
          </cell>
          <cell r="Z109">
            <v>1.8109999999999999</v>
          </cell>
          <cell r="AE109">
            <v>2.3860000000000001</v>
          </cell>
          <cell r="AJ109">
            <v>2.4510000000000001</v>
          </cell>
          <cell r="AO109">
            <v>2.4740000000000002</v>
          </cell>
          <cell r="AT109">
            <v>3.1110000000000002</v>
          </cell>
          <cell r="AY109">
            <v>3.29766</v>
          </cell>
          <cell r="AZ109">
            <v>3.4295664000000001</v>
          </cell>
          <cell r="BA109">
            <v>3.5324533919999999</v>
          </cell>
          <cell r="BB109">
            <v>3.63842699376</v>
          </cell>
          <cell r="BC109">
            <v>3.7475798035730001</v>
          </cell>
          <cell r="BD109">
            <v>3.8600071976799999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J111">
            <v>0</v>
          </cell>
          <cell r="AO111">
            <v>0</v>
          </cell>
          <cell r="AT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</row>
        <row r="112">
          <cell r="B112" t="str">
            <v>Sales - % United States</v>
          </cell>
          <cell r="C112" t="str">
            <v>SALES_US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J112">
            <v>0</v>
          </cell>
          <cell r="AO112">
            <v>0</v>
          </cell>
          <cell r="AT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</row>
        <row r="113">
          <cell r="AZ113">
            <v>0</v>
          </cell>
        </row>
        <row r="114">
          <cell r="B114" t="str">
            <v>Sales - % Brazil</v>
          </cell>
          <cell r="C114" t="str">
            <v>SALES_BRAZIL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J114">
            <v>0</v>
          </cell>
          <cell r="AO114">
            <v>0</v>
          </cell>
          <cell r="AT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J115">
            <v>0</v>
          </cell>
          <cell r="AO115">
            <v>0</v>
          </cell>
          <cell r="AT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</row>
        <row r="116">
          <cell r="B116" t="str">
            <v>Sales - Total % EMEA</v>
          </cell>
          <cell r="C116" t="str">
            <v>SALES_TOT_EMEA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J116">
            <v>0</v>
          </cell>
          <cell r="AO116">
            <v>0</v>
          </cell>
          <cell r="AT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 t="str">
            <v>Sales - % UK</v>
          </cell>
          <cell r="C117" t="str">
            <v>SALES_UK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J117">
            <v>0</v>
          </cell>
          <cell r="AO117">
            <v>0</v>
          </cell>
          <cell r="AT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J118">
            <v>0</v>
          </cell>
          <cell r="AO118">
            <v>0</v>
          </cell>
          <cell r="AT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</row>
        <row r="119">
          <cell r="AZ119">
            <v>0</v>
          </cell>
        </row>
        <row r="120">
          <cell r="AZ120">
            <v>0</v>
          </cell>
        </row>
        <row r="121">
          <cell r="AZ121">
            <v>0</v>
          </cell>
        </row>
        <row r="122">
          <cell r="AZ122">
            <v>0</v>
          </cell>
        </row>
        <row r="123">
          <cell r="AZ123">
            <v>0</v>
          </cell>
        </row>
        <row r="124">
          <cell r="AZ124">
            <v>0</v>
          </cell>
        </row>
        <row r="125">
          <cell r="AZ125">
            <v>0</v>
          </cell>
        </row>
        <row r="126">
          <cell r="AZ126">
            <v>0</v>
          </cell>
        </row>
        <row r="127">
          <cell r="AZ127">
            <v>0</v>
          </cell>
        </row>
        <row r="128">
          <cell r="AZ128">
            <v>0</v>
          </cell>
        </row>
        <row r="129">
          <cell r="AZ129">
            <v>0</v>
          </cell>
        </row>
        <row r="130">
          <cell r="AZ130">
            <v>0</v>
          </cell>
        </row>
        <row r="131">
          <cell r="AZ131">
            <v>0</v>
          </cell>
        </row>
        <row r="132">
          <cell r="AZ132">
            <v>0</v>
          </cell>
        </row>
        <row r="133">
          <cell r="AZ133">
            <v>0</v>
          </cell>
        </row>
        <row r="134">
          <cell r="AZ134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J135">
            <v>0</v>
          </cell>
          <cell r="AO135">
            <v>0</v>
          </cell>
          <cell r="AT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</row>
        <row r="136">
          <cell r="B136" t="str">
            <v>Sales - % Middle East</v>
          </cell>
          <cell r="C136" t="str">
            <v>SALES_ME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J136">
            <v>0</v>
          </cell>
          <cell r="AO136">
            <v>0</v>
          </cell>
          <cell r="AT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J138">
            <v>0</v>
          </cell>
          <cell r="AO138">
            <v>0</v>
          </cell>
          <cell r="AT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Sales - % Other EMEA</v>
          </cell>
          <cell r="C139" t="str">
            <v>SALES_OTH_EMEA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J139">
            <v>0</v>
          </cell>
          <cell r="AO139">
            <v>0</v>
          </cell>
          <cell r="AT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J140">
            <v>0</v>
          </cell>
          <cell r="AO140">
            <v>0</v>
          </cell>
          <cell r="AT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</row>
        <row r="141">
          <cell r="B141" t="str">
            <v>Sales - % Japan</v>
          </cell>
          <cell r="C141" t="str">
            <v>SALES_JAPAN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J141">
            <v>0</v>
          </cell>
          <cell r="AO141">
            <v>0</v>
          </cell>
          <cell r="AT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Sales - % China</v>
          </cell>
          <cell r="C142" t="str">
            <v>SALES_CHINA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J142">
            <v>1</v>
          </cell>
          <cell r="AO142">
            <v>1</v>
          </cell>
          <cell r="AT142">
            <v>1</v>
          </cell>
          <cell r="AY142">
            <v>1</v>
          </cell>
          <cell r="AZ142">
            <v>1</v>
          </cell>
          <cell r="BA142">
            <v>1</v>
          </cell>
          <cell r="BB142">
            <v>1</v>
          </cell>
          <cell r="BC142">
            <v>1</v>
          </cell>
          <cell r="BD142">
            <v>1</v>
          </cell>
        </row>
        <row r="143">
          <cell r="B143" t="str">
            <v>Sales - % India</v>
          </cell>
          <cell r="C143" t="str">
            <v>SALES_INDIA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J143">
            <v>0</v>
          </cell>
          <cell r="AO143">
            <v>0</v>
          </cell>
          <cell r="AT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</row>
        <row r="144">
          <cell r="B144" t="str">
            <v>Sales - % South Korea</v>
          </cell>
          <cell r="C144" t="str">
            <v>SALES_SK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J144">
            <v>0</v>
          </cell>
          <cell r="AO144">
            <v>0</v>
          </cell>
          <cell r="AT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B145" t="str">
            <v>Sales - % Taiwan</v>
          </cell>
          <cell r="C145" t="str">
            <v>SALES_TAIWAN</v>
          </cell>
        </row>
        <row r="146">
          <cell r="AZ146">
            <v>0</v>
          </cell>
        </row>
        <row r="147">
          <cell r="AZ147">
            <v>0</v>
          </cell>
        </row>
        <row r="148">
          <cell r="B148" t="str">
            <v>Sales - % Other Asia</v>
          </cell>
          <cell r="C148" t="str">
            <v>SALES_OTH_AEJ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J148">
            <v>0</v>
          </cell>
          <cell r="AO148">
            <v>0</v>
          </cell>
          <cell r="AT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</row>
        <row r="149">
          <cell r="B149" t="str">
            <v>Sales - % Others</v>
          </cell>
          <cell r="C149" t="str">
            <v>SALES_OTHER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J149">
            <v>0</v>
          </cell>
          <cell r="AO149">
            <v>0</v>
          </cell>
          <cell r="AT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</row>
        <row r="150">
          <cell r="AZ150">
            <v>0</v>
          </cell>
        </row>
        <row r="151">
          <cell r="AZ151">
            <v>0</v>
          </cell>
        </row>
        <row r="152">
          <cell r="AZ152">
            <v>0</v>
          </cell>
        </row>
        <row r="153">
          <cell r="AZ153">
            <v>0</v>
          </cell>
        </row>
        <row r="154">
          <cell r="AZ154">
            <v>0</v>
          </cell>
        </row>
        <row r="155">
          <cell r="AZ155">
            <v>0</v>
          </cell>
        </row>
        <row r="156">
          <cell r="AZ156">
            <v>0</v>
          </cell>
        </row>
        <row r="157">
          <cell r="AZ157">
            <v>0</v>
          </cell>
        </row>
        <row r="158">
          <cell r="AZ158">
            <v>0</v>
          </cell>
        </row>
        <row r="159">
          <cell r="AZ159">
            <v>0</v>
          </cell>
        </row>
        <row r="160">
          <cell r="AZ160">
            <v>0</v>
          </cell>
        </row>
        <row r="161">
          <cell r="AZ161">
            <v>0</v>
          </cell>
        </row>
        <row r="162">
          <cell r="AZ162">
            <v>0</v>
          </cell>
        </row>
        <row r="163">
          <cell r="AZ163">
            <v>0</v>
          </cell>
        </row>
        <row r="164">
          <cell r="AZ164">
            <v>0</v>
          </cell>
        </row>
        <row r="165">
          <cell r="AZ165">
            <v>0</v>
          </cell>
        </row>
        <row r="166">
          <cell r="AZ166">
            <v>0</v>
          </cell>
        </row>
        <row r="167">
          <cell r="AZ167">
            <v>0</v>
          </cell>
        </row>
        <row r="168">
          <cell r="AZ168">
            <v>0</v>
          </cell>
        </row>
        <row r="169">
          <cell r="AZ169">
            <v>0</v>
          </cell>
        </row>
        <row r="170">
          <cell r="AZ170">
            <v>0</v>
          </cell>
        </row>
        <row r="171">
          <cell r="AZ171">
            <v>0</v>
          </cell>
        </row>
        <row r="172">
          <cell r="AZ172">
            <v>0</v>
          </cell>
        </row>
        <row r="173">
          <cell r="AZ173">
            <v>0</v>
          </cell>
        </row>
        <row r="174">
          <cell r="AZ174">
            <v>0</v>
          </cell>
        </row>
        <row r="175">
          <cell r="AZ175">
            <v>0</v>
          </cell>
        </row>
        <row r="176">
          <cell r="AZ176">
            <v>0</v>
          </cell>
        </row>
        <row r="177">
          <cell r="AZ177">
            <v>0</v>
          </cell>
        </row>
        <row r="178">
          <cell r="AZ178">
            <v>0</v>
          </cell>
        </row>
        <row r="179">
          <cell r="AZ179">
            <v>0</v>
          </cell>
        </row>
        <row r="180">
          <cell r="AZ180">
            <v>0</v>
          </cell>
        </row>
        <row r="181">
          <cell r="AZ181">
            <v>0</v>
          </cell>
        </row>
        <row r="182">
          <cell r="AZ182">
            <v>0</v>
          </cell>
        </row>
        <row r="183">
          <cell r="AZ183">
            <v>0</v>
          </cell>
        </row>
        <row r="184">
          <cell r="AZ184">
            <v>0</v>
          </cell>
        </row>
        <row r="185">
          <cell r="AZ185">
            <v>0</v>
          </cell>
        </row>
        <row r="186">
          <cell r="AZ186">
            <v>0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0">
          <cell r="B190" t="str">
            <v>Sales - % Industry Sub-Segment: Financial Services</v>
          </cell>
          <cell r="C190" t="str">
            <v>SALES_FINAN</v>
          </cell>
        </row>
        <row r="191">
          <cell r="AZ191">
            <v>0</v>
          </cell>
        </row>
        <row r="192">
          <cell r="AZ192">
            <v>0</v>
          </cell>
        </row>
        <row r="193">
          <cell r="AZ193">
            <v>0</v>
          </cell>
        </row>
        <row r="194">
          <cell r="A194" t="str">
            <v>FX Exposure - Sales</v>
          </cell>
        </row>
        <row r="195">
          <cell r="B195" t="str">
            <v>Sales - % FX: British Pounds/Pence</v>
          </cell>
          <cell r="C195" t="str">
            <v>SALES_FX_GPB</v>
          </cell>
        </row>
        <row r="196">
          <cell r="B196" t="str">
            <v>Sales - % FX: Euro</v>
          </cell>
          <cell r="C196" t="str">
            <v>SALES_FX_EUR</v>
          </cell>
        </row>
        <row r="197">
          <cell r="B197" t="str">
            <v>Sales - % FX: New Russian Ruble</v>
          </cell>
          <cell r="C197" t="str">
            <v>SALES_FX_RUB</v>
          </cell>
        </row>
        <row r="198">
          <cell r="B198" t="str">
            <v>Sales - % FX: U.S. Dollar</v>
          </cell>
          <cell r="C198" t="str">
            <v>SALES_FX_USD</v>
          </cell>
        </row>
        <row r="199">
          <cell r="B199" t="str">
            <v>Sales - % FX: Brazilian Real</v>
          </cell>
          <cell r="C199" t="str">
            <v>SALES_FX_BRL</v>
          </cell>
        </row>
        <row r="200">
          <cell r="B200" t="str">
            <v>Sales - % FX: Japanese Yen</v>
          </cell>
          <cell r="C200" t="str">
            <v>SALES_FX_YEN</v>
          </cell>
        </row>
        <row r="201">
          <cell r="B201" t="str">
            <v>Sales - % FX: Chinese Renminbi</v>
          </cell>
          <cell r="C201" t="str">
            <v>SALES_FX_CNY</v>
          </cell>
        </row>
        <row r="202">
          <cell r="B202" t="str">
            <v>Sales - % FX: Indian Rupee</v>
          </cell>
          <cell r="C202" t="str">
            <v>SALES_FX_INR</v>
          </cell>
        </row>
        <row r="203">
          <cell r="B203" t="str">
            <v>Sales - % FX: South Korean Won</v>
          </cell>
          <cell r="C203" t="str">
            <v>SALES_FX_KRW</v>
          </cell>
        </row>
        <row r="204">
          <cell r="B204" t="str">
            <v>Sales - % FX: Taiwan Dollar</v>
          </cell>
          <cell r="C204" t="str">
            <v>SALES_FX_TWD</v>
          </cell>
        </row>
        <row r="205">
          <cell r="B205" t="str">
            <v>Sales - % FX: Other Currency</v>
          </cell>
          <cell r="C205" t="str">
            <v>SALES_FX_OTH</v>
          </cell>
        </row>
        <row r="206">
          <cell r="A206" t="str">
            <v>Security: NavInfo Co.</v>
          </cell>
          <cell r="B206" t="str">
            <v>13VRW</v>
          </cell>
        </row>
        <row r="207">
          <cell r="A207" t="str">
            <v>Reference Data</v>
          </cell>
        </row>
        <row r="208">
          <cell r="B208" t="str">
            <v>Ticker</v>
          </cell>
          <cell r="C208" t="str">
            <v>Ticker</v>
          </cell>
          <cell r="E208" t="str">
            <v>002405.SZ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NavInfo Co.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</row>
        <row r="215">
          <cell r="B215" t="str">
            <v>Asia Pacific Investment List</v>
          </cell>
          <cell r="C215" t="str">
            <v>AEJ_LIST</v>
          </cell>
        </row>
        <row r="216">
          <cell r="B216" t="str">
            <v>Asia Pacific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21.3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Current shares outstanding (mn)</v>
          </cell>
          <cell r="C220" t="str">
            <v>NUM_SH</v>
          </cell>
          <cell r="E220">
            <v>691.59671000000003</v>
          </cell>
        </row>
        <row r="221">
          <cell r="B221" t="str">
            <v>Free float</v>
          </cell>
          <cell r="C221" t="str">
            <v>FREE_FLOAT</v>
          </cell>
        </row>
        <row r="222">
          <cell r="B222" t="str">
            <v>Foreign ownership</v>
          </cell>
          <cell r="C222" t="str">
            <v>FOREIGN_HOLDNG</v>
          </cell>
        </row>
        <row r="223">
          <cell r="B223" t="str">
            <v>Exceptionals (pre-tax)</v>
          </cell>
          <cell r="C223" t="str">
            <v>ACT1</v>
          </cell>
          <cell r="E223">
            <v>0.23569999999999999</v>
          </cell>
        </row>
        <row r="224">
          <cell r="B224" t="str">
            <v>Catalyst 1 date</v>
          </cell>
          <cell r="C224" t="str">
            <v>CATALYST1_DATE</v>
          </cell>
        </row>
        <row r="225">
          <cell r="B225" t="str">
            <v>Catalyst 1 description</v>
          </cell>
          <cell r="C225" t="str">
            <v>CATALYST1_EVENT</v>
          </cell>
        </row>
        <row r="226">
          <cell r="B226" t="str">
            <v>Catalyst 2 date</v>
          </cell>
          <cell r="C226" t="str">
            <v>CATALYST2_DATE</v>
          </cell>
        </row>
        <row r="227">
          <cell r="B227" t="str">
            <v>Catalyst 2 description</v>
          </cell>
          <cell r="C227" t="str">
            <v>CATALYST2_EVENT</v>
          </cell>
        </row>
        <row r="228">
          <cell r="B228" t="str">
            <v>Catalyst 3 date</v>
          </cell>
          <cell r="C228" t="str">
            <v>CATALYST3_DATE</v>
          </cell>
        </row>
        <row r="229">
          <cell r="B229" t="str">
            <v>Catalyst 3 description</v>
          </cell>
          <cell r="C229" t="str">
            <v>CATALYST3_EVENT</v>
          </cell>
        </row>
        <row r="230">
          <cell r="B230" t="str">
            <v>Catalyst 4 date</v>
          </cell>
          <cell r="C230" t="str">
            <v>CATALYST4_DATE</v>
          </cell>
        </row>
        <row r="231">
          <cell r="B231" t="str">
            <v>Catalyst 4 description</v>
          </cell>
          <cell r="C231" t="str">
            <v>CATALYST4_EVENT</v>
          </cell>
        </row>
        <row r="232">
          <cell r="B232" t="str">
            <v>Catalyst 5 date</v>
          </cell>
          <cell r="C232" t="str">
            <v>CATALYST5_DATE</v>
          </cell>
        </row>
        <row r="233">
          <cell r="B233" t="str">
            <v>Catalyst 5 description</v>
          </cell>
          <cell r="C233" t="str">
            <v>CATALYST5_EVENT</v>
          </cell>
        </row>
        <row r="234">
          <cell r="B234" t="str">
            <v>Target price multiple</v>
          </cell>
          <cell r="C234" t="str">
            <v>PRI_TARG_MULT</v>
          </cell>
          <cell r="E234">
            <v>63.859191977434001</v>
          </cell>
        </row>
        <row r="235">
          <cell r="B235" t="str">
            <v>Target price methodology</v>
          </cell>
          <cell r="C235" t="str">
            <v>PRI_TARG_METH</v>
          </cell>
          <cell r="E235" t="str">
            <v>Long-term growth discounted P/E</v>
          </cell>
        </row>
        <row r="236">
          <cell r="A236" t="str">
            <v>Publishing Items</v>
          </cell>
        </row>
        <row r="237">
          <cell r="B237" t="str">
            <v>Book value per share, BVPS (Pub)</v>
          </cell>
          <cell r="C237" t="str">
            <v>BVPS_PUB</v>
          </cell>
          <cell r="D237" t="str">
            <v>CNY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S237">
            <v>2.2396719963640002</v>
          </cell>
          <cell r="T237">
            <v>0.66128708706600003</v>
          </cell>
          <cell r="U237">
            <v>0.80749221548399996</v>
          </cell>
          <cell r="Z237">
            <v>3.0239951436200001</v>
          </cell>
          <cell r="AE237">
            <v>3.341367191981</v>
          </cell>
          <cell r="AJ237">
            <v>3.4313637152749998</v>
          </cell>
          <cell r="AO237">
            <v>3.484414658176</v>
          </cell>
          <cell r="AT237">
            <v>3.5579418212670002</v>
          </cell>
          <cell r="AY237">
            <v>3.7144232755819999</v>
          </cell>
          <cell r="AZ237">
            <v>3.950417429067</v>
          </cell>
          <cell r="BA237">
            <v>4.2809196424150002</v>
          </cell>
          <cell r="BB237">
            <v>4.7908978275549998</v>
          </cell>
          <cell r="BC237">
            <v>5.4544684944480002</v>
          </cell>
          <cell r="BD237">
            <v>6.3156283853890001</v>
          </cell>
        </row>
        <row r="238">
          <cell r="B238" t="str">
            <v>DPS, dividend per share (Pub)</v>
          </cell>
          <cell r="C238" t="str">
            <v>DPS_PUB</v>
          </cell>
          <cell r="D238" t="str">
            <v>CNY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S238">
            <v>0</v>
          </cell>
          <cell r="T238">
            <v>8.2175925861999996E-2</v>
          </cell>
          <cell r="U238">
            <v>0</v>
          </cell>
          <cell r="Z238">
            <v>8.6805555556000003E-2</v>
          </cell>
          <cell r="AE238">
            <v>0.118055555556</v>
          </cell>
          <cell r="AJ238">
            <v>5.8333333332999997E-2</v>
          </cell>
          <cell r="AO238">
            <v>4.5999999999999999E-2</v>
          </cell>
          <cell r="AT238">
            <v>5.0999999999999997E-2</v>
          </cell>
          <cell r="AY238">
            <v>6.4684266035999999E-2</v>
          </cell>
          <cell r="AZ238">
            <v>9.7552190282000004E-2</v>
          </cell>
          <cell r="BA238">
            <v>0.136618701477</v>
          </cell>
          <cell r="BB238">
            <v>0.218562079346</v>
          </cell>
          <cell r="BC238">
            <v>0.28438742866799999</v>
          </cell>
          <cell r="BD238">
            <v>0.36906852468899998</v>
          </cell>
        </row>
        <row r="239">
          <cell r="B239" t="str">
            <v>Special dividend per share</v>
          </cell>
          <cell r="C239" t="str">
            <v>DPS_SPECIAL_PUB</v>
          </cell>
          <cell r="D239" t="str">
            <v>CNY</v>
          </cell>
        </row>
        <row r="240">
          <cell r="B240" t="str">
            <v>EBITDA (Pub)</v>
          </cell>
          <cell r="C240" t="str">
            <v>EBITDA_PUB</v>
          </cell>
          <cell r="D240" t="str">
            <v>CNY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S240">
            <v>79.892831209999997</v>
          </cell>
          <cell r="T240">
            <v>141.17329261</v>
          </cell>
          <cell r="U240">
            <v>203.1947878</v>
          </cell>
          <cell r="Z240">
            <v>290.06507049999999</v>
          </cell>
          <cell r="AE240">
            <v>333.93299006000001</v>
          </cell>
          <cell r="AJ240">
            <v>224.58068716</v>
          </cell>
          <cell r="AO240">
            <v>172.84412781</v>
          </cell>
          <cell r="AT240">
            <v>262.15319405999998</v>
          </cell>
          <cell r="AY240">
            <v>386.226798548869</v>
          </cell>
          <cell r="AZ240">
            <v>630.23280738691994</v>
          </cell>
          <cell r="BA240">
            <v>925.52193122429799</v>
          </cell>
          <cell r="BB240">
            <v>1371.71797719655</v>
          </cell>
          <cell r="BC240">
            <v>1834.55714504771</v>
          </cell>
          <cell r="BD240">
            <v>2397.3787509970298</v>
          </cell>
        </row>
        <row r="241">
          <cell r="B241" t="str">
            <v>EPS (Pub)</v>
          </cell>
          <cell r="C241" t="str">
            <v>EPS_PUB</v>
          </cell>
          <cell r="D241" t="str">
            <v>CNY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S241">
            <v>0.52059729279900002</v>
          </cell>
          <cell r="T241">
            <v>0.20495167856800001</v>
          </cell>
          <cell r="U241">
            <v>0.22894308982600001</v>
          </cell>
          <cell r="Z241">
            <v>0.34892488543200001</v>
          </cell>
          <cell r="AE241">
            <v>0.40693571877899998</v>
          </cell>
          <cell r="AJ241">
            <v>0.20813865529600001</v>
          </cell>
          <cell r="AO241">
            <v>0.15229471242699999</v>
          </cell>
          <cell r="AT241">
            <v>0.16989959035499999</v>
          </cell>
          <cell r="AY241">
            <v>0.22116572035099999</v>
          </cell>
          <cell r="AZ241">
            <v>0.33354634376699999</v>
          </cell>
          <cell r="BA241">
            <v>0.46712091482500001</v>
          </cell>
          <cell r="BB241">
            <v>0.72854026448599996</v>
          </cell>
          <cell r="BC241">
            <v>0.94795809556099997</v>
          </cell>
          <cell r="BD241">
            <v>1.2302284156309999</v>
          </cell>
        </row>
        <row r="242">
          <cell r="B242" t="str">
            <v>EV adjustment (Pub)</v>
          </cell>
          <cell r="C242" t="str">
            <v>EV_ADJ_PUB</v>
          </cell>
          <cell r="D242" t="str">
            <v>CNY</v>
          </cell>
        </row>
        <row r="243">
          <cell r="B243" t="str">
            <v>Net debt (Pub)</v>
          </cell>
          <cell r="C243" t="str">
            <v>NET_DEBT_PUB</v>
          </cell>
          <cell r="D243" t="str">
            <v>CNY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S243">
            <v>-273.43808568999998</v>
          </cell>
          <cell r="T243">
            <v>-299.21741305</v>
          </cell>
          <cell r="U243">
            <v>-338.39845393000002</v>
          </cell>
          <cell r="Z243">
            <v>-1986.99087592</v>
          </cell>
          <cell r="AE243">
            <v>-2073.3381771499999</v>
          </cell>
          <cell r="AJ243">
            <v>-1921.3892190199999</v>
          </cell>
          <cell r="AO243">
            <v>-1794.9414683099999</v>
          </cell>
          <cell r="AT243">
            <v>-1639.46039946</v>
          </cell>
          <cell r="AY243">
            <v>-1465.74247623777</v>
          </cell>
          <cell r="AZ243">
            <v>-1254.8467282378001</v>
          </cell>
          <cell r="BA243">
            <v>-1082.87044909169</v>
          </cell>
          <cell r="BB243">
            <v>-1035.3683028129401</v>
          </cell>
          <cell r="BC243">
            <v>-1170.90501972687</v>
          </cell>
          <cell r="BD243">
            <v>-1567.52464593286</v>
          </cell>
        </row>
        <row r="244">
          <cell r="B244" t="str">
            <v>Net income (Pub)</v>
          </cell>
          <cell r="C244" t="str">
            <v>NI_PUB</v>
          </cell>
          <cell r="D244" t="str">
            <v>CNY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S244">
            <v>81.287144139999995</v>
          </cell>
          <cell r="T244">
            <v>121.91114309</v>
          </cell>
          <cell r="U244">
            <v>136.18192336000001</v>
          </cell>
          <cell r="Z244">
            <v>232.87411284999999</v>
          </cell>
          <cell r="AA244">
            <v>73.513012009999997</v>
          </cell>
          <cell r="AB244">
            <v>68.657090969999999</v>
          </cell>
          <cell r="AC244">
            <v>77.641892089999999</v>
          </cell>
          <cell r="AD244">
            <v>61.623409889999998</v>
          </cell>
          <cell r="AE244">
            <v>281.43540496000003</v>
          </cell>
          <cell r="AF244">
            <v>60.003503539999997</v>
          </cell>
          <cell r="AG244">
            <v>58.281726929999998</v>
          </cell>
          <cell r="AH244">
            <v>36.018089969999998</v>
          </cell>
          <cell r="AI244">
            <v>-10.35531108</v>
          </cell>
          <cell r="AJ244">
            <v>143.94800935999999</v>
          </cell>
          <cell r="AK244">
            <v>40.632080879999997</v>
          </cell>
          <cell r="AL244">
            <v>6.2010293499999998</v>
          </cell>
          <cell r="AM244">
            <v>10.315725580000001</v>
          </cell>
          <cell r="AN244">
            <v>48.177686270000002</v>
          </cell>
          <cell r="AO244">
            <v>105.32652208</v>
          </cell>
          <cell r="AP244">
            <v>29.316800140000002</v>
          </cell>
          <cell r="AQ244">
            <v>29.34148098</v>
          </cell>
          <cell r="AR244">
            <v>13.12315132</v>
          </cell>
          <cell r="AS244">
            <v>45.720565280000002</v>
          </cell>
          <cell r="AT244">
            <v>117.50199772000001</v>
          </cell>
          <cell r="AY244">
            <v>152.95748455963499</v>
          </cell>
          <cell r="AZ244">
            <v>230.679553981916</v>
          </cell>
          <cell r="BA244">
            <v>323.05928786487698</v>
          </cell>
          <cell r="BB244">
            <v>503.85605002138999</v>
          </cell>
          <cell r="BC244">
            <v>655.60470010801498</v>
          </cell>
          <cell r="BD244">
            <v>850.82192479865103</v>
          </cell>
        </row>
        <row r="245">
          <cell r="B245" t="str">
            <v>EBIT, operating profit (Pub)</v>
          </cell>
          <cell r="C245" t="str">
            <v>EBIT_PUB</v>
          </cell>
          <cell r="D245" t="str">
            <v>CNY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S245">
            <v>68.983218199999996</v>
          </cell>
          <cell r="T245">
            <v>97.009062659999998</v>
          </cell>
          <cell r="U245">
            <v>132.19350034999999</v>
          </cell>
          <cell r="Z245">
            <v>211.24332466999999</v>
          </cell>
          <cell r="AA245">
            <v>88.299158169999998</v>
          </cell>
          <cell r="AB245">
            <v>87.606012489999998</v>
          </cell>
          <cell r="AC245">
            <v>88.300745710000001</v>
          </cell>
          <cell r="AD245">
            <v>-9.8951384200000003</v>
          </cell>
          <cell r="AE245">
            <v>254.31077794999999</v>
          </cell>
          <cell r="AF245">
            <v>47.229043220000001</v>
          </cell>
          <cell r="AG245">
            <v>47.996542750000003</v>
          </cell>
          <cell r="AH245">
            <v>14.75209727</v>
          </cell>
          <cell r="AI245">
            <v>-10.737519969999999</v>
          </cell>
          <cell r="AJ245">
            <v>99.240163269999996</v>
          </cell>
          <cell r="AK245">
            <v>-9.3276867299999999</v>
          </cell>
          <cell r="AL245">
            <v>-0.58144801999999995</v>
          </cell>
          <cell r="AM245">
            <v>-4.2618326499999997</v>
          </cell>
          <cell r="AN245">
            <v>13.726767649999999</v>
          </cell>
          <cell r="AO245">
            <v>-0.44419975</v>
          </cell>
          <cell r="AP245">
            <v>13.687657270000001</v>
          </cell>
          <cell r="AQ245">
            <v>-2.1604431000000002</v>
          </cell>
          <cell r="AR245">
            <v>-1.18338484</v>
          </cell>
          <cell r="AS245">
            <v>28.72921487</v>
          </cell>
          <cell r="AT245">
            <v>39.073044199999998</v>
          </cell>
          <cell r="AY245">
            <v>41.334139361472999</v>
          </cell>
          <cell r="AZ245">
            <v>125.30448639236501</v>
          </cell>
          <cell r="BA245">
            <v>214.011492497066</v>
          </cell>
          <cell r="BB245">
            <v>398.53604351671902</v>
          </cell>
          <cell r="BC245">
            <v>552.19296200163205</v>
          </cell>
          <cell r="BD245">
            <v>752.00158686838404</v>
          </cell>
        </row>
        <row r="246">
          <cell r="B246" t="str">
            <v>Pre-tax profit (Pub)</v>
          </cell>
          <cell r="C246" t="str">
            <v>PTP_PUB</v>
          </cell>
          <cell r="D246" t="str">
            <v>CNY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S246">
            <v>88.476951080000006</v>
          </cell>
          <cell r="T246">
            <v>134.36386759000001</v>
          </cell>
          <cell r="U246">
            <v>172.99981996</v>
          </cell>
          <cell r="Z246">
            <v>286.98878100000002</v>
          </cell>
          <cell r="AE246">
            <v>372.41109569000002</v>
          </cell>
          <cell r="AJ246">
            <v>201.00493159999999</v>
          </cell>
          <cell r="AO246">
            <v>121.45794904</v>
          </cell>
          <cell r="AT246">
            <v>173.39258684999999</v>
          </cell>
          <cell r="AY246">
            <v>199.30467397192299</v>
          </cell>
          <cell r="AZ246">
            <v>287.12855002823301</v>
          </cell>
          <cell r="BA246">
            <v>402.11428926669203</v>
          </cell>
          <cell r="BB246">
            <v>627.15335871048103</v>
          </cell>
          <cell r="BC246">
            <v>816.03602783307701</v>
          </cell>
          <cell r="BD246">
            <v>1059.02435383943</v>
          </cell>
        </row>
        <row r="247">
          <cell r="B247" t="str">
            <v>Sales, revenue (Pub)</v>
          </cell>
          <cell r="C247" t="str">
            <v>REVS_PUB</v>
          </cell>
          <cell r="D247" t="str">
            <v>CNY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S247">
            <v>185.14587972999999</v>
          </cell>
          <cell r="T247">
            <v>325.56347448999998</v>
          </cell>
          <cell r="U247">
            <v>428.05853653000003</v>
          </cell>
          <cell r="Z247">
            <v>675.25957944000004</v>
          </cell>
          <cell r="AA247">
            <v>214.18236060000001</v>
          </cell>
          <cell r="AB247">
            <v>228.59588579999999</v>
          </cell>
          <cell r="AC247">
            <v>229.63133514</v>
          </cell>
          <cell r="AD247">
            <v>194.71488378000001</v>
          </cell>
          <cell r="AE247">
            <v>867.12446532000001</v>
          </cell>
          <cell r="AF247">
            <v>175.19569139000001</v>
          </cell>
          <cell r="AG247">
            <v>192.90395626</v>
          </cell>
          <cell r="AH247">
            <v>164.49970592</v>
          </cell>
          <cell r="AI247">
            <v>240.37083075999999</v>
          </cell>
          <cell r="AJ247">
            <v>772.97018433000005</v>
          </cell>
          <cell r="AK247">
            <v>155.07549098000001</v>
          </cell>
          <cell r="AL247">
            <v>199.32830215999999</v>
          </cell>
          <cell r="AM247">
            <v>191.46117058999999</v>
          </cell>
          <cell r="AN247">
            <v>335.00908411</v>
          </cell>
          <cell r="AO247">
            <v>880.87404784</v>
          </cell>
          <cell r="AP247">
            <v>201.30070258999999</v>
          </cell>
          <cell r="AQ247">
            <v>250.12147181</v>
          </cell>
          <cell r="AR247">
            <v>263.57710313000001</v>
          </cell>
          <cell r="AS247">
            <v>344.01387770000002</v>
          </cell>
          <cell r="AT247">
            <v>1059.0131552299999</v>
          </cell>
          <cell r="AY247">
            <v>1379.1496385555999</v>
          </cell>
          <cell r="AZ247">
            <v>1880.87300992722</v>
          </cell>
          <cell r="BA247">
            <v>2523.4082489141201</v>
          </cell>
          <cell r="BB247">
            <v>3326.3868656637701</v>
          </cell>
          <cell r="BC247">
            <v>4096.0681772349099</v>
          </cell>
          <cell r="BD247">
            <v>5019.6857511202797</v>
          </cell>
        </row>
        <row r="248">
          <cell r="B248" t="str">
            <v>Total shareholders' equity (Pub)</v>
          </cell>
          <cell r="C248" t="str">
            <v>EQ_PUB</v>
          </cell>
          <cell r="D248" t="str">
            <v>CNY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S248">
            <v>360.06612431999997</v>
          </cell>
          <cell r="T248">
            <v>403.82220054999999</v>
          </cell>
          <cell r="U248">
            <v>498.32185757000002</v>
          </cell>
          <cell r="Z248">
            <v>2125.4257044300002</v>
          </cell>
          <cell r="AE248">
            <v>2361.5140680200002</v>
          </cell>
          <cell r="AJ248">
            <v>2489.1599035300001</v>
          </cell>
          <cell r="AO248">
            <v>2585.32378767</v>
          </cell>
          <cell r="AT248">
            <v>2630.0409993799999</v>
          </cell>
          <cell r="AY248">
            <v>2756.9289482501999</v>
          </cell>
          <cell r="AZ248">
            <v>2933.5214419215399</v>
          </cell>
          <cell r="BA248">
            <v>3180.83354333223</v>
          </cell>
          <cell r="BB248">
            <v>3562.7570832297201</v>
          </cell>
          <cell r="BC248">
            <v>4059.7062968554301</v>
          </cell>
          <cell r="BD248">
            <v>4704.63042017936</v>
          </cell>
        </row>
        <row r="249">
          <cell r="B249" t="str">
            <v>EPS (consensus)</v>
          </cell>
          <cell r="C249" t="str">
            <v>EPS_CONS_PUB</v>
          </cell>
          <cell r="D249" t="str">
            <v>CNY</v>
          </cell>
        </row>
        <row r="250">
          <cell r="A250" t="str">
            <v>Income Statement</v>
          </cell>
        </row>
        <row r="251">
          <cell r="B251" t="str">
            <v>Provision for income tax</v>
          </cell>
          <cell r="C251" t="str">
            <v>PROV_INC_TAX</v>
          </cell>
          <cell r="D251" t="str">
            <v>CNY</v>
          </cell>
          <cell r="S251">
            <v>-5.6278088000000004</v>
          </cell>
          <cell r="T251">
            <v>-12.772494780000001</v>
          </cell>
          <cell r="U251">
            <v>-24.629156439999999</v>
          </cell>
          <cell r="Z251">
            <v>-32.108825899999999</v>
          </cell>
          <cell r="AE251">
            <v>-64.296325359999997</v>
          </cell>
          <cell r="AJ251">
            <v>-45.268587789999998</v>
          </cell>
          <cell r="AO251">
            <v>6.8343942200000001</v>
          </cell>
          <cell r="AT251">
            <v>-43.974199460000001</v>
          </cell>
          <cell r="AY251">
            <v>-27.681299522288999</v>
          </cell>
          <cell r="AZ251">
            <v>-43.069282504234998</v>
          </cell>
          <cell r="BA251">
            <v>-60.317143390003999</v>
          </cell>
          <cell r="BB251">
            <v>-94.073003806572004</v>
          </cell>
          <cell r="BC251">
            <v>-122.40540417496101</v>
          </cell>
          <cell r="BD251">
            <v>-158.853653075914</v>
          </cell>
        </row>
        <row r="252">
          <cell r="B252" t="str">
            <v>Minority interest</v>
          </cell>
          <cell r="C252" t="str">
            <v>INC_MINORITY</v>
          </cell>
          <cell r="D252" t="str">
            <v>CNY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-1.56199814</v>
          </cell>
          <cell r="T252">
            <v>0.31977028000000002</v>
          </cell>
          <cell r="U252">
            <v>-12.18874016</v>
          </cell>
          <cell r="Z252">
            <v>-22.005842250000001</v>
          </cell>
          <cell r="AE252">
            <v>-26.679365369999999</v>
          </cell>
          <cell r="AJ252">
            <v>-11.788334450000001</v>
          </cell>
          <cell r="AO252">
            <v>-22.965821179999999</v>
          </cell>
          <cell r="AT252">
            <v>-11.916389669999999</v>
          </cell>
          <cell r="AY252">
            <v>-18.665889889999999</v>
          </cell>
          <cell r="AZ252">
            <v>-13.379713542081999</v>
          </cell>
          <cell r="BA252">
            <v>-18.737858011810999</v>
          </cell>
          <cell r="BB252">
            <v>-29.224304882519</v>
          </cell>
          <cell r="BC252">
            <v>-38.025923550100998</v>
          </cell>
          <cell r="BD252">
            <v>-49.348775964866</v>
          </cell>
        </row>
        <row r="253">
          <cell r="B253" t="str">
            <v>Net income (pre-preferred dividends)</v>
          </cell>
          <cell r="C253" t="str">
            <v>NI_PRE_PREF</v>
          </cell>
          <cell r="D253" t="str">
            <v>CNY</v>
          </cell>
          <cell r="S253">
            <v>81.287144139999995</v>
          </cell>
          <cell r="T253">
            <v>121.91114309</v>
          </cell>
          <cell r="U253">
            <v>136.18192336000001</v>
          </cell>
          <cell r="Z253">
            <v>232.87411284999999</v>
          </cell>
          <cell r="AE253">
            <v>281.43540496000003</v>
          </cell>
          <cell r="AJ253">
            <v>143.94800935999999</v>
          </cell>
          <cell r="AO253">
            <v>105.32652208</v>
          </cell>
          <cell r="AT253">
            <v>117.50199772000001</v>
          </cell>
          <cell r="AY253">
            <v>152.95748455963499</v>
          </cell>
          <cell r="AZ253">
            <v>230.679553981916</v>
          </cell>
          <cell r="BA253">
            <v>323.05928786487698</v>
          </cell>
          <cell r="BB253">
            <v>503.85605002138999</v>
          </cell>
          <cell r="BC253">
            <v>655.60470010801498</v>
          </cell>
          <cell r="BD253">
            <v>850.82192479865103</v>
          </cell>
        </row>
        <row r="254">
          <cell r="B254" t="str">
            <v>Preferred dividends</v>
          </cell>
          <cell r="C254" t="str">
            <v>PREF_DIV</v>
          </cell>
          <cell r="D254" t="str">
            <v>CNY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Z254">
            <v>0</v>
          </cell>
          <cell r="AE254">
            <v>0</v>
          </cell>
          <cell r="AJ254">
            <v>0</v>
          </cell>
          <cell r="AO254">
            <v>0</v>
          </cell>
          <cell r="AT254">
            <v>0</v>
          </cell>
          <cell r="AY254">
            <v>0</v>
          </cell>
        </row>
        <row r="255">
          <cell r="B255" t="str">
            <v>Net income (pre-exceptionals)</v>
          </cell>
          <cell r="C255" t="str">
            <v>NET_EARNING</v>
          </cell>
          <cell r="D255" t="str">
            <v>CNY</v>
          </cell>
          <cell r="S255">
            <v>81.287144139999995</v>
          </cell>
          <cell r="T255">
            <v>121.91114309</v>
          </cell>
          <cell r="U255">
            <v>136.18192336000001</v>
          </cell>
          <cell r="Z255">
            <v>232.87411284999999</v>
          </cell>
          <cell r="AE255">
            <v>281.43540496000003</v>
          </cell>
          <cell r="AJ255">
            <v>143.94800935999999</v>
          </cell>
          <cell r="AO255">
            <v>105.32652208</v>
          </cell>
          <cell r="AT255">
            <v>117.50199772000001</v>
          </cell>
          <cell r="AY255">
            <v>152.95748455963499</v>
          </cell>
          <cell r="AZ255">
            <v>230.679553981916</v>
          </cell>
          <cell r="BA255">
            <v>323.05928786487698</v>
          </cell>
          <cell r="BB255">
            <v>503.85605002138999</v>
          </cell>
          <cell r="BC255">
            <v>655.60470010801498</v>
          </cell>
          <cell r="BD255">
            <v>850.82192479865103</v>
          </cell>
        </row>
        <row r="256">
          <cell r="B256" t="str">
            <v>Post-tax exceptionals</v>
          </cell>
          <cell r="C256" t="str">
            <v>TAX_EXC</v>
          </cell>
          <cell r="D256" t="str">
            <v>CNY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Z256">
            <v>0</v>
          </cell>
          <cell r="AE256">
            <v>0</v>
          </cell>
          <cell r="AJ256">
            <v>0</v>
          </cell>
          <cell r="AO256">
            <v>0</v>
          </cell>
          <cell r="AT256">
            <v>0</v>
          </cell>
          <cell r="AY256">
            <v>0</v>
          </cell>
        </row>
        <row r="257">
          <cell r="B257" t="str">
            <v>Net income (post-exceptionals)</v>
          </cell>
          <cell r="C257" t="str">
            <v>NET_INC</v>
          </cell>
          <cell r="D257" t="str">
            <v>CNY</v>
          </cell>
          <cell r="S257">
            <v>81.287144139999995</v>
          </cell>
          <cell r="T257">
            <v>121.91114309</v>
          </cell>
          <cell r="U257">
            <v>136.18192336000001</v>
          </cell>
          <cell r="Z257">
            <v>232.87411284999999</v>
          </cell>
          <cell r="AA257">
            <v>73.513012009999997</v>
          </cell>
          <cell r="AB257">
            <v>68.657090969999999</v>
          </cell>
          <cell r="AC257">
            <v>77.641892089999999</v>
          </cell>
          <cell r="AD257">
            <v>61.623409889999998</v>
          </cell>
          <cell r="AE257">
            <v>281.43540496000003</v>
          </cell>
          <cell r="AF257">
            <v>60.003503539999997</v>
          </cell>
          <cell r="AG257">
            <v>58.281726929999998</v>
          </cell>
          <cell r="AH257">
            <v>36.018089969999998</v>
          </cell>
          <cell r="AI257">
            <v>-10.35531108</v>
          </cell>
          <cell r="AJ257">
            <v>143.94800935999999</v>
          </cell>
          <cell r="AK257">
            <v>40.632080879999997</v>
          </cell>
          <cell r="AL257">
            <v>6.2010293499999998</v>
          </cell>
          <cell r="AM257">
            <v>10.315725580000001</v>
          </cell>
          <cell r="AN257">
            <v>48.177686270000002</v>
          </cell>
          <cell r="AO257">
            <v>105.32652208</v>
          </cell>
          <cell r="AP257">
            <v>29.316800140000002</v>
          </cell>
          <cell r="AQ257">
            <v>29.34148098</v>
          </cell>
          <cell r="AR257">
            <v>13.12315132</v>
          </cell>
          <cell r="AS257">
            <v>45.720565280000002</v>
          </cell>
          <cell r="AT257">
            <v>117.50199772000001</v>
          </cell>
          <cell r="AY257">
            <v>152.95748455963499</v>
          </cell>
          <cell r="AZ257">
            <v>230.679553981916</v>
          </cell>
          <cell r="BA257">
            <v>323.05928786487698</v>
          </cell>
          <cell r="BB257">
            <v>503.85605002138999</v>
          </cell>
          <cell r="BC257">
            <v>655.60470010801498</v>
          </cell>
          <cell r="BD257">
            <v>850.82192479865103</v>
          </cell>
        </row>
        <row r="258">
          <cell r="B258" t="str">
            <v>EPS (pre-exceptionals, basic)</v>
          </cell>
          <cell r="C258" t="str">
            <v>EPS</v>
          </cell>
          <cell r="D258" t="str">
            <v>CNY</v>
          </cell>
          <cell r="S258">
            <v>0.52059729279900002</v>
          </cell>
          <cell r="T258">
            <v>0.20495167856800001</v>
          </cell>
          <cell r="U258">
            <v>0.22894308982600001</v>
          </cell>
          <cell r="Z258">
            <v>0.34892488543200001</v>
          </cell>
          <cell r="AE258">
            <v>0.40693571877899998</v>
          </cell>
          <cell r="AJ258">
            <v>0.20813865529600001</v>
          </cell>
          <cell r="AO258">
            <v>0.15229471242699999</v>
          </cell>
          <cell r="AT258">
            <v>0.16989959035499999</v>
          </cell>
          <cell r="AY258">
            <v>0.22116572035099999</v>
          </cell>
          <cell r="AZ258">
            <v>0.33354634376699999</v>
          </cell>
          <cell r="BA258">
            <v>0.46712091482500001</v>
          </cell>
          <cell r="BB258">
            <v>0.72854026448599996</v>
          </cell>
          <cell r="BC258">
            <v>0.94795809556099997</v>
          </cell>
          <cell r="BD258">
            <v>1.2302284156309999</v>
          </cell>
        </row>
        <row r="259">
          <cell r="B259" t="str">
            <v>EPS (pre-exceptionals, diluted)</v>
          </cell>
          <cell r="C259" t="str">
            <v>EPS_FUL_DIL</v>
          </cell>
          <cell r="D259" t="str">
            <v>CNY</v>
          </cell>
          <cell r="S259">
            <v>0.52059729279900002</v>
          </cell>
          <cell r="T259">
            <v>0.20495167856800001</v>
          </cell>
          <cell r="U259">
            <v>0.22894308982600001</v>
          </cell>
          <cell r="Z259">
            <v>0.336719519681</v>
          </cell>
          <cell r="AE259">
            <v>0.40693571894899999</v>
          </cell>
          <cell r="AJ259">
            <v>0.208138655369</v>
          </cell>
          <cell r="AO259">
            <v>0.152294712449</v>
          </cell>
          <cell r="AT259">
            <v>0.16989959035499999</v>
          </cell>
          <cell r="AY259">
            <v>0.22116572035099999</v>
          </cell>
          <cell r="AZ259">
            <v>0.33354634376699999</v>
          </cell>
          <cell r="BA259">
            <v>0.46712091482500001</v>
          </cell>
          <cell r="BB259">
            <v>0.72854026448599996</v>
          </cell>
          <cell r="BC259">
            <v>0.94795809556099997</v>
          </cell>
          <cell r="BD259">
            <v>1.2302284156309999</v>
          </cell>
        </row>
        <row r="260">
          <cell r="B260" t="str">
            <v>EPS (post-exceptionals, basic)</v>
          </cell>
          <cell r="C260" t="str">
            <v>EPS_POST_BASIC</v>
          </cell>
          <cell r="D260" t="str">
            <v>CNY</v>
          </cell>
          <cell r="S260">
            <v>0.52059729279900002</v>
          </cell>
          <cell r="T260">
            <v>0.20495167856800001</v>
          </cell>
          <cell r="U260">
            <v>0.22894308982600001</v>
          </cell>
          <cell r="Z260">
            <v>0.34892488543200001</v>
          </cell>
          <cell r="AE260">
            <v>0.40693571877899998</v>
          </cell>
          <cell r="AJ260">
            <v>0.20813865529600001</v>
          </cell>
          <cell r="AO260">
            <v>0.15229471242699999</v>
          </cell>
          <cell r="AT260">
            <v>0.16989959035499999</v>
          </cell>
          <cell r="AY260">
            <v>0.22116572035099999</v>
          </cell>
          <cell r="AZ260">
            <v>0.33354634376699999</v>
          </cell>
          <cell r="BA260">
            <v>0.46712091482500001</v>
          </cell>
          <cell r="BB260">
            <v>0.72854026448599996</v>
          </cell>
          <cell r="BC260">
            <v>0.94795809556099997</v>
          </cell>
          <cell r="BD260">
            <v>1.2302284156309999</v>
          </cell>
        </row>
        <row r="261">
          <cell r="B261" t="str">
            <v>EPS (post-exceptionals, diluted)</v>
          </cell>
          <cell r="C261" t="str">
            <v>FULLY_DIL_EPS</v>
          </cell>
          <cell r="D261" t="str">
            <v>CNY</v>
          </cell>
          <cell r="S261">
            <v>0.52059729279900002</v>
          </cell>
          <cell r="T261">
            <v>0.20495167856800001</v>
          </cell>
          <cell r="U261">
            <v>0.22894308982600001</v>
          </cell>
          <cell r="Z261">
            <v>0.336719519681</v>
          </cell>
          <cell r="AE261">
            <v>0.40693571894899999</v>
          </cell>
          <cell r="AJ261">
            <v>0.208138655369</v>
          </cell>
          <cell r="AO261">
            <v>0.152294712449</v>
          </cell>
          <cell r="AT261">
            <v>0.16989959035499999</v>
          </cell>
          <cell r="AY261">
            <v>0.22116572035099999</v>
          </cell>
          <cell r="AZ261">
            <v>0.33354634376699999</v>
          </cell>
          <cell r="BA261">
            <v>0.46712091482500001</v>
          </cell>
          <cell r="BB261">
            <v>0.72854026448599996</v>
          </cell>
          <cell r="BC261">
            <v>0.94795809556099997</v>
          </cell>
          <cell r="BD261">
            <v>1.2302284156309999</v>
          </cell>
        </row>
        <row r="262">
          <cell r="B262" t="str">
            <v>Common dividends paid</v>
          </cell>
          <cell r="C262" t="str">
            <v>COMMON_DIV_PAID</v>
          </cell>
          <cell r="D262" t="str">
            <v>CNY</v>
          </cell>
          <cell r="S262">
            <v>0</v>
          </cell>
          <cell r="T262">
            <v>-48.880600180000002</v>
          </cell>
          <cell r="U262">
            <v>0</v>
          </cell>
          <cell r="Z262">
            <v>-60.034436849999999</v>
          </cell>
          <cell r="AE262">
            <v>-81.646833979999997</v>
          </cell>
          <cell r="AJ262">
            <v>-40.343141439999997</v>
          </cell>
          <cell r="AO262">
            <v>-31.813448659999999</v>
          </cell>
          <cell r="AT262">
            <v>-35.27143221</v>
          </cell>
          <cell r="AY262">
            <v>-44.735425579435997</v>
          </cell>
          <cell r="AZ262">
            <v>-67.466773852653006</v>
          </cell>
          <cell r="BA262">
            <v>-94.485044466001995</v>
          </cell>
          <cell r="BB262">
            <v>-151.15681500641699</v>
          </cell>
          <cell r="BC262">
            <v>-196.68141003240501</v>
          </cell>
          <cell r="BD262">
            <v>-255.246577439595</v>
          </cell>
        </row>
        <row r="263">
          <cell r="B263" t="str">
            <v>DPS, dividend per share</v>
          </cell>
          <cell r="C263" t="str">
            <v>DPS</v>
          </cell>
          <cell r="D263" t="str">
            <v>CNY</v>
          </cell>
          <cell r="S263">
            <v>0</v>
          </cell>
          <cell r="T263">
            <v>8.2175925861999996E-2</v>
          </cell>
          <cell r="U263">
            <v>0</v>
          </cell>
          <cell r="Z263">
            <v>8.6805555556000003E-2</v>
          </cell>
          <cell r="AE263">
            <v>0.118055555556</v>
          </cell>
          <cell r="AJ263">
            <v>5.8333333332999997E-2</v>
          </cell>
          <cell r="AO263">
            <v>4.5999999999999999E-2</v>
          </cell>
          <cell r="AT263">
            <v>5.0999999999999997E-2</v>
          </cell>
          <cell r="AY263">
            <v>6.4684266035999999E-2</v>
          </cell>
          <cell r="AZ263">
            <v>9.7552190282000004E-2</v>
          </cell>
          <cell r="BA263">
            <v>0.136618701477</v>
          </cell>
          <cell r="BB263">
            <v>0.218562079346</v>
          </cell>
          <cell r="BC263">
            <v>0.28438742866799999</v>
          </cell>
          <cell r="BD263">
            <v>0.36906852468899998</v>
          </cell>
        </row>
        <row r="264">
          <cell r="B264" t="str">
            <v>Weighted average shares outstanding, basic</v>
          </cell>
          <cell r="C264" t="str">
            <v>SH</v>
          </cell>
          <cell r="S264">
            <v>156.14207999999999</v>
          </cell>
          <cell r="T264">
            <v>594.82871251200004</v>
          </cell>
          <cell r="U264">
            <v>594.82871251200004</v>
          </cell>
          <cell r="Z264">
            <v>667.40471251199995</v>
          </cell>
          <cell r="AE264">
            <v>691.596711648</v>
          </cell>
          <cell r="AJ264">
            <v>691.59671063999997</v>
          </cell>
          <cell r="AO264">
            <v>691.5967101</v>
          </cell>
          <cell r="AT264">
            <v>691.59671042766399</v>
          </cell>
          <cell r="AY264">
            <v>691.59671042766399</v>
          </cell>
          <cell r="AZ264">
            <v>691.59671040000001</v>
          </cell>
          <cell r="BA264">
            <v>691.59671000000003</v>
          </cell>
          <cell r="BB264">
            <v>691.59671000000003</v>
          </cell>
          <cell r="BC264">
            <v>691.59671000000003</v>
          </cell>
          <cell r="BD264">
            <v>691.59671000000003</v>
          </cell>
        </row>
        <row r="265">
          <cell r="B265" t="str">
            <v>Diluted average shares outstanding (mn)</v>
          </cell>
          <cell r="C265" t="str">
            <v>DILUTE_SHARES</v>
          </cell>
          <cell r="S265">
            <v>156.14207999999999</v>
          </cell>
          <cell r="T265">
            <v>594.82871251200004</v>
          </cell>
          <cell r="U265">
            <v>594.82871251200004</v>
          </cell>
          <cell r="Z265">
            <v>691.59671251199995</v>
          </cell>
          <cell r="AE265">
            <v>691.59671135999997</v>
          </cell>
          <cell r="AJ265">
            <v>691.59671040000001</v>
          </cell>
          <cell r="AO265">
            <v>691.59671042766399</v>
          </cell>
          <cell r="AT265">
            <v>691.59671042766399</v>
          </cell>
          <cell r="AY265">
            <v>691.59671042766399</v>
          </cell>
          <cell r="AZ265">
            <v>691.59671040000001</v>
          </cell>
          <cell r="BA265">
            <v>691.59671000000003</v>
          </cell>
          <cell r="BB265">
            <v>691.59671000000003</v>
          </cell>
          <cell r="BC265">
            <v>691.59671000000003</v>
          </cell>
          <cell r="BD265">
            <v>691.59671000000003</v>
          </cell>
        </row>
        <row r="266">
          <cell r="B266" t="str">
            <v>Period-end shares outstanding</v>
          </cell>
          <cell r="C266" t="str">
            <v>NON_OP_ADD</v>
          </cell>
          <cell r="S266">
            <v>156.14207999999999</v>
          </cell>
          <cell r="T266">
            <v>594.82871251200004</v>
          </cell>
          <cell r="U266">
            <v>594.82871251200004</v>
          </cell>
          <cell r="Z266">
            <v>691.59671251199995</v>
          </cell>
          <cell r="AE266">
            <v>691.59671135999997</v>
          </cell>
          <cell r="AJ266">
            <v>691.59671040000001</v>
          </cell>
          <cell r="AO266">
            <v>691.59671042766399</v>
          </cell>
          <cell r="AT266">
            <v>691.59671042766399</v>
          </cell>
          <cell r="AY266">
            <v>691.59671042766399</v>
          </cell>
          <cell r="AZ266">
            <v>691.59671040000001</v>
          </cell>
          <cell r="BA266">
            <v>691.59671000000003</v>
          </cell>
          <cell r="BB266">
            <v>691.59671000000003</v>
          </cell>
          <cell r="BC266">
            <v>691.59671000000003</v>
          </cell>
          <cell r="BD266">
            <v>691.59671000000003</v>
          </cell>
        </row>
        <row r="267">
          <cell r="A267" t="str">
            <v>Additional Income Statement Items</v>
          </cell>
        </row>
        <row r="268">
          <cell r="B268" t="str">
            <v>Marginal tax rate</v>
          </cell>
          <cell r="C268" t="str">
            <v>MARGIN_TAX_RATE</v>
          </cell>
          <cell r="S268">
            <v>6.3607611270000003E-2</v>
          </cell>
          <cell r="T268">
            <v>9.5058981139000007E-2</v>
          </cell>
          <cell r="U268">
            <v>0.14236524434699999</v>
          </cell>
          <cell r="Z268">
            <v>0.11188173148</v>
          </cell>
          <cell r="AE268">
            <v>0.172648790823</v>
          </cell>
          <cell r="AJ268">
            <v>0.22521132904400001</v>
          </cell>
          <cell r="AO268">
            <v>0</v>
          </cell>
          <cell r="AT268">
            <v>0.25361060849799999</v>
          </cell>
          <cell r="AY268">
            <v>0.13888936456199999</v>
          </cell>
          <cell r="AZ268">
            <v>0.15</v>
          </cell>
          <cell r="BA268">
            <v>0.15</v>
          </cell>
          <cell r="BB268">
            <v>0.15</v>
          </cell>
          <cell r="BC268">
            <v>0.15</v>
          </cell>
          <cell r="BD268">
            <v>0.15</v>
          </cell>
        </row>
        <row r="269">
          <cell r="B269" t="str">
            <v>Net income (consensus) (Pub)</v>
          </cell>
          <cell r="C269" t="str">
            <v>NI_CONS</v>
          </cell>
          <cell r="D269" t="str">
            <v>CNY</v>
          </cell>
        </row>
        <row r="270">
          <cell r="A270" t="str">
            <v>Balance Sheet</v>
          </cell>
        </row>
        <row r="271">
          <cell r="B271" t="str">
            <v>BVPS, book value per share</v>
          </cell>
          <cell r="C271" t="str">
            <v>BVPS</v>
          </cell>
          <cell r="D271" t="str">
            <v>CNY</v>
          </cell>
          <cell r="S271">
            <v>2.2396719963640002</v>
          </cell>
          <cell r="T271">
            <v>0.66128708706600003</v>
          </cell>
          <cell r="U271">
            <v>0.80749221548399996</v>
          </cell>
          <cell r="Z271">
            <v>3.0239951436200001</v>
          </cell>
          <cell r="AE271">
            <v>3.341367191981</v>
          </cell>
          <cell r="AJ271">
            <v>3.4313637152749998</v>
          </cell>
          <cell r="AO271">
            <v>3.484414658176</v>
          </cell>
          <cell r="AT271">
            <v>3.5579418212670002</v>
          </cell>
          <cell r="AY271">
            <v>3.7144232755819999</v>
          </cell>
          <cell r="AZ271">
            <v>3.950417429067</v>
          </cell>
          <cell r="BA271">
            <v>4.2809196424150002</v>
          </cell>
          <cell r="BB271">
            <v>4.7908978275549998</v>
          </cell>
          <cell r="BC271">
            <v>5.4544684944480002</v>
          </cell>
          <cell r="BD271">
            <v>6.3156283853890001</v>
          </cell>
        </row>
        <row r="272">
          <cell r="A272" t="str">
            <v>Cash Flow Statement</v>
          </cell>
        </row>
        <row r="273">
          <cell r="B273" t="str">
            <v>Net income (pre-preferred dividends)</v>
          </cell>
          <cell r="C273" t="str">
            <v>CF_NI_PRE_PREF</v>
          </cell>
          <cell r="D273" t="str">
            <v>CNY</v>
          </cell>
          <cell r="S273">
            <v>81.287144139999995</v>
          </cell>
          <cell r="T273">
            <v>121.91114309</v>
          </cell>
          <cell r="U273">
            <v>136.18192336000001</v>
          </cell>
          <cell r="Z273">
            <v>232.87411284999999</v>
          </cell>
          <cell r="AE273">
            <v>281.43540496000003</v>
          </cell>
          <cell r="AJ273">
            <v>143.94800935999999</v>
          </cell>
          <cell r="AO273">
            <v>105.32652208</v>
          </cell>
          <cell r="AT273">
            <v>117.50199772000001</v>
          </cell>
          <cell r="AY273">
            <v>152.95748455963499</v>
          </cell>
          <cell r="AZ273">
            <v>230.679553981916</v>
          </cell>
          <cell r="BA273">
            <v>323.05928786487698</v>
          </cell>
          <cell r="BB273">
            <v>503.85605002138999</v>
          </cell>
          <cell r="BC273">
            <v>655.60470010801498</v>
          </cell>
          <cell r="BD273">
            <v>850.82192479865103</v>
          </cell>
        </row>
        <row r="274">
          <cell r="A274" t="str">
            <v>Other Items</v>
          </cell>
        </row>
        <row r="275">
          <cell r="B275" t="str">
            <v>Beta</v>
          </cell>
          <cell r="C275" t="str">
            <v>BETA_ANALYST</v>
          </cell>
        </row>
        <row r="276">
          <cell r="B276" t="str">
            <v>Market equity risk premium</v>
          </cell>
          <cell r="C276" t="str">
            <v>MKT_EQ_RISK_PREM</v>
          </cell>
        </row>
        <row r="277">
          <cell r="B277" t="str">
            <v>Risk-free rate</v>
          </cell>
          <cell r="C277" t="str">
            <v>RISK_FR_RATE</v>
          </cell>
        </row>
      </sheetData>
      <sheetData sheetId="18" refreshError="1">
        <row r="1">
          <cell r="A1" t="str">
            <v>55bc4e23-aa9c-4025-947b-63a12a658a25</v>
          </cell>
        </row>
        <row r="2">
          <cell r="A2" t="str">
            <v>N:\DLu\CJin\Models\NavInfo\WIP\[GS NavInfo model20151026WIP.xlsm]002405.SZ_Validation_Sheet</v>
          </cell>
        </row>
        <row r="3">
          <cell r="A3" t="e">
            <v>#NAME?</v>
          </cell>
        </row>
        <row r="7">
          <cell r="A7" t="str">
            <v>Scalar|||208009698|||ISSR|||CURRENCY_ISO|||False|||</v>
          </cell>
          <cell r="C7" t="str">
            <v>V_KEYWORD_ISSR_208009698_CURRENCY_ISO</v>
          </cell>
        </row>
        <row r="9">
          <cell r="A9" t="str">
            <v>Vector|||208009698|||ISSR|||SALES|||False|||</v>
          </cell>
          <cell r="C9" t="str">
            <v>V_KEYWORD_ISSR_208009698_SALES</v>
          </cell>
        </row>
        <row r="10">
          <cell r="A10" t="str">
            <v>Vector|||208009698|||ISSR|||PERSONNEL|||False|||</v>
          </cell>
          <cell r="C10" t="str">
            <v>V_KEYWORD_ISSR_208009698_PERSONNEL</v>
          </cell>
        </row>
        <row r="11">
          <cell r="A11" t="str">
            <v>Vector|||208009698|||ISSR|||COST_GD_SD|||False|||</v>
          </cell>
          <cell r="C11" t="str">
            <v>V_KEYWORD_ISSR_208009698_COST_GD_SD</v>
          </cell>
        </row>
        <row r="12">
          <cell r="A12" t="str">
            <v>Vector|||208009698|||ISSR|||SEL_GL_AD|||False|||</v>
          </cell>
          <cell r="C12" t="str">
            <v>V_KEYWORD_ISSR_208009698_SEL_GL_AD</v>
          </cell>
        </row>
        <row r="13">
          <cell r="A13" t="str">
            <v>Vector|||208009698|||ISSR|||OP_COST|||False|||</v>
          </cell>
          <cell r="C13" t="str">
            <v>V_KEYWORD_ISSR_208009698_OP_COST</v>
          </cell>
        </row>
        <row r="14">
          <cell r="A14" t="str">
            <v>Vector|||208009698|||ISSR|||RD_EXP|||False|||</v>
          </cell>
          <cell r="C14" t="str">
            <v>V_KEYWORD_ISSR_208009698_RD_EXP</v>
          </cell>
        </row>
        <row r="15">
          <cell r="A15" t="str">
            <v>Vector|||208009698|||ISSR|||OTH_OP_INC_EXP|||False|||</v>
          </cell>
          <cell r="C15" t="str">
            <v>V_KEYWORD_ISSR_208009698_OTH_OP_INC_EXP</v>
          </cell>
        </row>
        <row r="16">
          <cell r="A16" t="str">
            <v>Vector|||208009698|||ISSR|||TOT_OPS_EXP_DDA|||False|||</v>
          </cell>
          <cell r="C16" t="str">
            <v>V_KEYWORD_ISSR_208009698_TOT_OPS_EXP_DDA</v>
          </cell>
        </row>
        <row r="17">
          <cell r="A17" t="str">
            <v>Vector|||208009698|||ISSR|||TOT_OPS_EXP|||False|||</v>
          </cell>
          <cell r="C17" t="str">
            <v>V_KEYWORD_ISSR_208009698_TOT_OPS_EXP</v>
          </cell>
        </row>
        <row r="18">
          <cell r="A18" t="str">
            <v>Vector|||208009698|||ISSR|||EBITDA_CALC|||False|||</v>
          </cell>
          <cell r="C18" t="str">
            <v>V_KEYWORD_ISSR_208009698_EBITDA_CALC</v>
          </cell>
        </row>
        <row r="19">
          <cell r="A19" t="str">
            <v>Vector|||208009698|||ISSR|||DEPREC|||False|||</v>
          </cell>
          <cell r="C19" t="str">
            <v>V_KEYWORD_ISSR_208009698_DEPREC</v>
          </cell>
        </row>
        <row r="20">
          <cell r="A20" t="str">
            <v>Vector|||208009698|||ISSR|||GOODWILL_AMORT|||False|||</v>
          </cell>
          <cell r="C20" t="str">
            <v>V_KEYWORD_ISSR_208009698_GOODWILL_AMORT</v>
          </cell>
        </row>
        <row r="21">
          <cell r="A21" t="str">
            <v>Vector|||208009698|||ISSR|||EBIT|||False|||</v>
          </cell>
          <cell r="C21" t="str">
            <v>V_KEYWORD_ISSR_208009698_EBIT</v>
          </cell>
        </row>
        <row r="22">
          <cell r="A22" t="str">
            <v>Vector|||208009698|||ISSR|||INT_INC_IND|||False|||</v>
          </cell>
          <cell r="C22" t="str">
            <v>V_KEYWORD_ISSR_208009698_INT_INC_IND</v>
          </cell>
        </row>
        <row r="23">
          <cell r="A23" t="str">
            <v>Vector|||208009698|||ISSR|||INT_EXP_IND|||False|||</v>
          </cell>
          <cell r="C23" t="str">
            <v>V_KEYWORD_ISSR_208009698_INT_EXP_IND</v>
          </cell>
        </row>
        <row r="24">
          <cell r="A24" t="str">
            <v>Vector|||208009698|||ISSR|||NET_INT_EXP|||False|||</v>
          </cell>
          <cell r="C24" t="str">
            <v>V_KEYWORD_ISSR_208009698_NET_INT_EXP</v>
          </cell>
        </row>
        <row r="25">
          <cell r="A25" t="str">
            <v>Vector|||208009698|||ISSR|||ASSOCIATE|||False|||</v>
          </cell>
          <cell r="C25" t="str">
            <v>V_KEYWORD_ISSR_208009698_ASSOCIATE</v>
          </cell>
        </row>
        <row r="26">
          <cell r="A26" t="str">
            <v>Vector|||208009698|||ISSR|||PROFIT_ON_DISP|||False|||</v>
          </cell>
          <cell r="C26" t="str">
            <v>V_KEYWORD_ISSR_208009698_PROFIT_ON_DISP</v>
          </cell>
        </row>
        <row r="27">
          <cell r="A27" t="str">
            <v>Vector|||208009698|||ISSR|||OTH_COST_INC|||False|||</v>
          </cell>
          <cell r="C27" t="str">
            <v>V_KEYWORD_ISSR_208009698_OTH_COST_INC</v>
          </cell>
        </row>
        <row r="28">
          <cell r="A28" t="str">
            <v>Vector|||208009698|||ISSR|||PT_PROF|||False|||</v>
          </cell>
          <cell r="C28" t="str">
            <v>V_KEYWORD_ISSR_208009698_PT_PROF</v>
          </cell>
        </row>
        <row r="30">
          <cell r="A30" t="str">
            <v>Vector|||208009698|||ISSR|||CONTRIB_MARGIN_RATIO|||False|||</v>
          </cell>
          <cell r="C30" t="str">
            <v>V_KEYWORD_ISSR_208009698_CONTRIB_MARGIN_RATIO</v>
          </cell>
        </row>
        <row r="31">
          <cell r="A31" t="str">
            <v>Vector|||208009698|||ISSR|||LEASE_PAY|||False|||</v>
          </cell>
          <cell r="C31" t="str">
            <v>V_KEYWORD_ISSR_208009698_LEASE_PAY</v>
          </cell>
        </row>
        <row r="32">
          <cell r="A32" t="str">
            <v>Vector|||208009698|||ISSR|||LEASE_DEEM_INT|||False|||</v>
          </cell>
          <cell r="C32" t="str">
            <v>V_KEYWORD_ISSR_208009698_LEASE_DEEM_INT</v>
          </cell>
        </row>
        <row r="33">
          <cell r="A33" t="str">
            <v>Vector|||208009698|||ISSR|||LEASE_DEEM_DEPR|||False|||</v>
          </cell>
          <cell r="C33" t="str">
            <v>V_KEYWORD_ISSR_208009698_LEASE_DEEM_DEPR</v>
          </cell>
        </row>
        <row r="34">
          <cell r="A34" t="str">
            <v>Vector|||208009698|||ISSR|||NET_INT_CH|||False|||</v>
          </cell>
          <cell r="C34" t="str">
            <v>V_KEYWORD_ISSR_208009698_NET_INT_CH</v>
          </cell>
        </row>
        <row r="35">
          <cell r="A35" t="str">
            <v>Vector|||208009698|||ISSR|||ASSOCIATE_OP|||False|||</v>
          </cell>
          <cell r="C35" t="str">
            <v>V_KEYWORD_ISSR_208009698_ASSOCIATE_OP</v>
          </cell>
        </row>
        <row r="37">
          <cell r="A37" t="str">
            <v>Vector|||208009698|||ISSR|||CASH_EQ|||False|||</v>
          </cell>
          <cell r="C37" t="str">
            <v>V_KEYWORD_ISSR_208009698_CASH_EQ</v>
          </cell>
        </row>
        <row r="38">
          <cell r="A38" t="str">
            <v>Vector|||208009698|||ISSR|||DEBTORS|||False|||</v>
          </cell>
          <cell r="C38" t="str">
            <v>V_KEYWORD_ISSR_208009698_DEBTORS</v>
          </cell>
        </row>
        <row r="39">
          <cell r="A39" t="str">
            <v>Vector|||208009698|||ISSR|||STOCKS|||False|||</v>
          </cell>
          <cell r="C39" t="str">
            <v>V_KEYWORD_ISSR_208009698_STOCKS</v>
          </cell>
        </row>
        <row r="40">
          <cell r="A40" t="str">
            <v>Vector|||208009698|||ISSR|||OTH_CUR_ASS|||False|||</v>
          </cell>
          <cell r="C40" t="str">
            <v>V_KEYWORD_ISSR_208009698_OTH_CUR_ASS</v>
          </cell>
        </row>
        <row r="41">
          <cell r="A41" t="str">
            <v>Vector|||208009698|||ISSR|||CUR_ASS|||False|||</v>
          </cell>
          <cell r="C41" t="str">
            <v>V_KEYWORD_ISSR_208009698_CUR_ASS</v>
          </cell>
        </row>
        <row r="42">
          <cell r="A42" t="str">
            <v>Vector|||208009698|||ISSR|||GR_FIX_ASS|||False|||</v>
          </cell>
          <cell r="C42" t="str">
            <v>V_KEYWORD_ISSR_208009698_GR_FIX_ASS</v>
          </cell>
        </row>
        <row r="43">
          <cell r="A43" t="str">
            <v>Vector|||208009698|||ISSR|||ACC_DDA|||False|||</v>
          </cell>
          <cell r="C43" t="str">
            <v>V_KEYWORD_ISSR_208009698_ACC_DDA</v>
          </cell>
        </row>
        <row r="44">
          <cell r="A44" t="str">
            <v>Vector|||208009698|||ISSR|||NET_FIX_ASS|||False|||</v>
          </cell>
          <cell r="C44" t="str">
            <v>V_KEYWORD_ISSR_208009698_NET_FIX_ASS</v>
          </cell>
        </row>
        <row r="45">
          <cell r="A45" t="str">
            <v>Vector|||208009698|||ISSR|||GR_INTANG|||False|||</v>
          </cell>
          <cell r="C45" t="str">
            <v>V_KEYWORD_ISSR_208009698_GR_INTANG</v>
          </cell>
        </row>
        <row r="46">
          <cell r="A46" t="str">
            <v>Vector|||208009698|||ISSR|||ACC_AMORT|||False|||</v>
          </cell>
          <cell r="C46" t="str">
            <v>V_KEYWORD_ISSR_208009698_ACC_AMORT</v>
          </cell>
        </row>
        <row r="47">
          <cell r="A47" t="str">
            <v>Vector|||208009698|||ISSR|||NET_INTANG|||False|||</v>
          </cell>
          <cell r="C47" t="str">
            <v>V_KEYWORD_ISSR_208009698_NET_INTANG</v>
          </cell>
        </row>
        <row r="48">
          <cell r="A48" t="str">
            <v>Vector|||208009698|||ISSR|||FIX_ASS_INV|||False|||</v>
          </cell>
          <cell r="C48" t="str">
            <v>V_KEYWORD_ISSR_208009698_FIX_ASS_INV</v>
          </cell>
        </row>
        <row r="49">
          <cell r="A49" t="str">
            <v>Vector|||208009698|||ISSR|||INV_SECUR|||False|||</v>
          </cell>
          <cell r="C49" t="str">
            <v>V_KEYWORD_ISSR_208009698_INV_SECUR</v>
          </cell>
        </row>
        <row r="50">
          <cell r="A50" t="str">
            <v>Vector|||208009698|||ISSR|||OTH_LT_ASS|||False|||</v>
          </cell>
          <cell r="C50" t="str">
            <v>V_KEYWORD_ISSR_208009698_OTH_LT_ASS</v>
          </cell>
        </row>
        <row r="51">
          <cell r="A51" t="str">
            <v>Vector|||208009698|||ISSR|||TOT_ASSET|||False|||</v>
          </cell>
          <cell r="C51" t="str">
            <v>V_KEYWORD_ISSR_208009698_TOT_ASSET</v>
          </cell>
        </row>
        <row r="52">
          <cell r="A52" t="str">
            <v>Vector|||208009698|||ISSR|||ACC_PAY_GQ|||False|||</v>
          </cell>
          <cell r="C52" t="str">
            <v>V_KEYWORD_ISSR_208009698_ACC_PAY_GQ</v>
          </cell>
        </row>
        <row r="53">
          <cell r="A53" t="str">
            <v>Vector|||208009698|||ISSR|||SHORT_T_DEBT|||False|||</v>
          </cell>
          <cell r="C53" t="str">
            <v>V_KEYWORD_ISSR_208009698_SHORT_T_DEBT</v>
          </cell>
        </row>
        <row r="54">
          <cell r="A54" t="str">
            <v>Vector|||208009698|||ISSR|||OTH_CUR_LIABS|||False|||</v>
          </cell>
          <cell r="C54" t="str">
            <v>V_KEYWORD_ISSR_208009698_OTH_CUR_LIABS</v>
          </cell>
        </row>
        <row r="55">
          <cell r="A55" t="str">
            <v>Vector|||208009698|||ISSR|||SHORT_TERM_LIABS|||False|||</v>
          </cell>
          <cell r="C55" t="str">
            <v>V_KEYWORD_ISSR_208009698_SHORT_TERM_LIABS</v>
          </cell>
        </row>
        <row r="56">
          <cell r="A56" t="str">
            <v>Vector|||208009698|||ISSR|||LT_DEBT|||False|||</v>
          </cell>
          <cell r="C56" t="str">
            <v>V_KEYWORD_ISSR_208009698_LT_DEBT</v>
          </cell>
        </row>
        <row r="57">
          <cell r="A57" t="str">
            <v>Vector|||208009698|||ISSR|||OTH_LT_CRED_GQ|||False|||</v>
          </cell>
          <cell r="C57" t="str">
            <v>V_KEYWORD_ISSR_208009698_OTH_LT_CRED_GQ</v>
          </cell>
        </row>
        <row r="58">
          <cell r="A58" t="str">
            <v>Vector|||208009698|||ISSR|||TOT_LT_LIAB|||False|||</v>
          </cell>
          <cell r="C58" t="str">
            <v>V_KEYWORD_ISSR_208009698_TOT_LT_LIAB</v>
          </cell>
        </row>
        <row r="59">
          <cell r="A59" t="str">
            <v>Vector|||208009698|||ISSR|||TOT_LIAB|||False|||</v>
          </cell>
          <cell r="C59" t="str">
            <v>V_KEYWORD_ISSR_208009698_TOT_LIAB</v>
          </cell>
        </row>
        <row r="60">
          <cell r="A60" t="str">
            <v>Vector|||208009698|||ISSR|||PREF_SH|||False|||</v>
          </cell>
          <cell r="C60" t="str">
            <v>V_KEYWORD_ISSR_208009698_PREF_SH</v>
          </cell>
        </row>
        <row r="61">
          <cell r="A61" t="str">
            <v>Vector|||208009698|||ISSR|||ORD_SH_FUND|||False|||</v>
          </cell>
          <cell r="C61" t="str">
            <v>V_KEYWORD_ISSR_208009698_ORD_SH_FUND</v>
          </cell>
        </row>
        <row r="62">
          <cell r="A62" t="str">
            <v>Vector|||208009698|||ISSR|||MINORITIES|||False|||</v>
          </cell>
          <cell r="C62" t="str">
            <v>V_KEYWORD_ISSR_208009698_MINORITIES</v>
          </cell>
        </row>
        <row r="63">
          <cell r="A63" t="str">
            <v>Vector|||208009698|||ISSR|||EQ|||False|||</v>
          </cell>
          <cell r="C63" t="str">
            <v>V_KEYWORD_ISSR_208009698_EQ</v>
          </cell>
        </row>
        <row r="64">
          <cell r="A64" t="str">
            <v>Vector|||208009698|||ISSR|||TOT_LIAB_EQ|||False|||</v>
          </cell>
          <cell r="C64" t="str">
            <v>V_KEYWORD_ISSR_208009698_TOT_LIAB_EQ</v>
          </cell>
        </row>
        <row r="66">
          <cell r="A66" t="str">
            <v>Vector|||208009698|||ISSR|||NET_DEBT|||False|||</v>
          </cell>
          <cell r="C66" t="str">
            <v>V_KEYWORD_ISSR_208009698_NET_DEBT</v>
          </cell>
        </row>
        <row r="67">
          <cell r="A67" t="str">
            <v>Vector|||208009698|||ISSR|||CAP_LEASES|||False|||</v>
          </cell>
          <cell r="C67" t="str">
            <v>V_KEYWORD_ISSR_208009698_CAP_LEASES</v>
          </cell>
        </row>
        <row r="68">
          <cell r="A68" t="str">
            <v>Vector|||208009698|||ISSR|||DEF_INC_TAX|||False|||</v>
          </cell>
          <cell r="C68" t="str">
            <v>V_KEYWORD_ISSR_208009698_DEF_INC_TAX</v>
          </cell>
        </row>
        <row r="69">
          <cell r="A69" t="str">
            <v>Vector|||208009698|||ISSR|||MV_ASSOCIATES|||False|||</v>
          </cell>
          <cell r="C69" t="str">
            <v>V_KEYWORD_ISSR_208009698_MV_ASSOCIATES</v>
          </cell>
        </row>
        <row r="70">
          <cell r="A70" t="str">
            <v>Vector|||208009698|||ISSR|||NET_DEBT_ADJ|||False|||</v>
          </cell>
          <cell r="C70" t="str">
            <v>V_KEYWORD_ISSR_208009698_NET_DEBT_ADJ</v>
          </cell>
        </row>
        <row r="71">
          <cell r="A71" t="str">
            <v>Vector|||208009698|||ISSR|||CO_BOR_MARGIN|||False|||</v>
          </cell>
          <cell r="C71" t="str">
            <v>V_KEYWORD_ISSR_208009698_CO_BOR_MARGIN</v>
          </cell>
        </row>
        <row r="72">
          <cell r="A72" t="str">
            <v>Vector|||208009698|||ISSR|||UNF_PENS|||False|||</v>
          </cell>
          <cell r="C72" t="str">
            <v>V_KEYWORD_ISSR_208009698_UNF_PENS</v>
          </cell>
        </row>
        <row r="73">
          <cell r="A73" t="str">
            <v>Vector|||208009698|||ISSR|||UNF_PENS_OFF|||False|||</v>
          </cell>
          <cell r="C73" t="str">
            <v>V_KEYWORD_ISSR_208009698_UNF_PENS_OFF</v>
          </cell>
        </row>
        <row r="74">
          <cell r="A74" t="str">
            <v>Vector|||208009698|||ISSR|||UNF_PENS_LIAB_OTH|||False|||</v>
          </cell>
          <cell r="C74" t="str">
            <v>V_KEYWORD_ISSR_208009698_UNF_PENS_LIAB_OTH</v>
          </cell>
        </row>
        <row r="75">
          <cell r="A75" t="str">
            <v>Vector|||208009698|||ISSR|||ADJ_UNF_PENS_GOOD|||False|||</v>
          </cell>
          <cell r="C75" t="str">
            <v>V_KEYWORD_ISSR_208009698_ADJ_UNF_PENS_GOOD</v>
          </cell>
        </row>
        <row r="76">
          <cell r="A76" t="str">
            <v>Vector|||208009698|||ISSR|||OTH_GCI_ADJ|||False|||</v>
          </cell>
          <cell r="C76" t="str">
            <v>V_KEYWORD_ISSR_208009698_OTH_GCI_ADJ</v>
          </cell>
        </row>
        <row r="77">
          <cell r="A77" t="str">
            <v>Vector|||208009698|||ISSR|||GCI_INFL|||False|||</v>
          </cell>
          <cell r="C77" t="str">
            <v>V_KEYWORD_ISSR_208009698_GCI_INFL</v>
          </cell>
        </row>
        <row r="78">
          <cell r="A78" t="str">
            <v>Vector|||208009698|||ISSR|||BAL_MINO_INT|||False|||</v>
          </cell>
          <cell r="C78" t="str">
            <v>V_KEYWORD_ISSR_208009698_BAL_MINO_INT</v>
          </cell>
        </row>
        <row r="80">
          <cell r="A80" t="str">
            <v>Vector|||208009698|||ISSR|||CF_INC_MINORITY|||False|||</v>
          </cell>
          <cell r="C80" t="str">
            <v>V_KEYWORD_ISSR_208009698_CF_INC_MINORITY</v>
          </cell>
        </row>
        <row r="81">
          <cell r="A81" t="str">
            <v>Vector|||208009698|||ISSR|||DEPR_AMORT|||False|||</v>
          </cell>
          <cell r="C81" t="str">
            <v>V_KEYWORD_ISSR_208009698_DEPR_AMORT</v>
          </cell>
        </row>
        <row r="82">
          <cell r="A82" t="str">
            <v>Vector|||208009698|||ISSR|||WORK_CAP|||False|||</v>
          </cell>
          <cell r="C82" t="str">
            <v>V_KEYWORD_ISSR_208009698_WORK_CAP</v>
          </cell>
        </row>
        <row r="83">
          <cell r="A83" t="str">
            <v>Vector|||208009698|||ISSR|||OTH_OP_CF|||False|||</v>
          </cell>
          <cell r="C83" t="str">
            <v>V_KEYWORD_ISSR_208009698_OTH_OP_CF</v>
          </cell>
        </row>
        <row r="84">
          <cell r="A84" t="str">
            <v>Vector|||208009698|||ISSR|||CF_OPS|||False|||</v>
          </cell>
          <cell r="C84" t="str">
            <v>V_KEYWORD_ISSR_208009698_CF_OPS</v>
          </cell>
        </row>
        <row r="85">
          <cell r="A85" t="str">
            <v>Vector|||208009698|||ISSR|||CAPEX|||False|||</v>
          </cell>
          <cell r="C85" t="str">
            <v>V_KEYWORD_ISSR_208009698_CAPEX</v>
          </cell>
        </row>
        <row r="86">
          <cell r="A86" t="str">
            <v>Vector|||208009698|||ISSR|||ACQ|||False|||</v>
          </cell>
          <cell r="C86" t="str">
            <v>V_KEYWORD_ISSR_208009698_ACQ</v>
          </cell>
        </row>
        <row r="87">
          <cell r="A87" t="str">
            <v>Vector|||208009698|||ISSR|||DIVEST|||False|||</v>
          </cell>
          <cell r="C87" t="str">
            <v>V_KEYWORD_ISSR_208009698_DIVEST</v>
          </cell>
        </row>
        <row r="88">
          <cell r="A88" t="str">
            <v>Vector|||208009698|||ISSR|||OTH_INV_CF|||False|||</v>
          </cell>
          <cell r="C88" t="str">
            <v>V_KEYWORD_ISSR_208009698_OTH_INV_CF</v>
          </cell>
        </row>
        <row r="89">
          <cell r="A89" t="str">
            <v>Vector|||208009698|||ISSR|||CF_INV|||False|||</v>
          </cell>
          <cell r="C89" t="str">
            <v>V_KEYWORD_ISSR_208009698_CF_INV</v>
          </cell>
        </row>
        <row r="90">
          <cell r="A90" t="str">
            <v>Vector|||208009698|||ISSR|||DIV_PAID|||False|||</v>
          </cell>
          <cell r="C90" t="str">
            <v>V_KEYWORD_ISSR_208009698_DIV_PAID</v>
          </cell>
        </row>
        <row r="91">
          <cell r="A91" t="str">
            <v>Vector|||208009698|||ISSR|||SH_REPUR|||False|||</v>
          </cell>
          <cell r="C91" t="str">
            <v>V_KEYWORD_ISSR_208009698_SH_REPUR</v>
          </cell>
        </row>
        <row r="92">
          <cell r="A92" t="str">
            <v>Vector|||208009698|||ISSR|||CHG_LT_DEBT|||False|||</v>
          </cell>
          <cell r="C92" t="str">
            <v>V_KEYWORD_ISSR_208009698_CHG_LT_DEBT</v>
          </cell>
        </row>
        <row r="93">
          <cell r="A93" t="str">
            <v>Vector|||208009698|||ISSR|||OTH_FIN_CF|||False|||</v>
          </cell>
          <cell r="C93" t="str">
            <v>V_KEYWORD_ISSR_208009698_OTH_FIN_CF</v>
          </cell>
        </row>
        <row r="94">
          <cell r="A94" t="str">
            <v>Vector|||208009698|||ISSR|||CF_FIN|||False|||</v>
          </cell>
          <cell r="C94" t="str">
            <v>V_KEYWORD_ISSR_208009698_CF_FIN</v>
          </cell>
        </row>
        <row r="95">
          <cell r="A95" t="str">
            <v>Vector|||208009698|||ISSR|||TOT_CF|||False|||</v>
          </cell>
          <cell r="C95" t="str">
            <v>V_KEYWORD_ISSR_208009698_TOT_CF</v>
          </cell>
        </row>
        <row r="97">
          <cell r="A97" t="str">
            <v>Vector|||208009698|||ISSR|||ASSOC_JV_ADDBK|||False|||</v>
          </cell>
          <cell r="C97" t="str">
            <v>V_KEYWORD_ISSR_208009698_ASSOC_JV_ADDBK</v>
          </cell>
        </row>
        <row r="98">
          <cell r="A98" t="str">
            <v>Vector|||208009698|||ISSR|||PL_SALE_ASSETS|||False|||</v>
          </cell>
          <cell r="C98" t="str">
            <v>V_KEYWORD_ISSR_208009698_PL_SALE_ASSETS</v>
          </cell>
        </row>
        <row r="99">
          <cell r="A99" t="str">
            <v>Vector|||208009698|||ISSR|||OTH_NONCASH_ADJ|||False|||</v>
          </cell>
          <cell r="C99" t="str">
            <v>V_KEYWORD_ISSR_208009698_OTH_NONCASH_ADJ</v>
          </cell>
        </row>
        <row r="100">
          <cell r="A100" t="str">
            <v>Vector|||208009698|||ISSR|||OTH_DACF_ADJ|||False|||</v>
          </cell>
          <cell r="C100" t="str">
            <v>V_KEYWORD_ISSR_208009698_OTH_DACF_ADJ</v>
          </cell>
        </row>
        <row r="101">
          <cell r="A101" t="str">
            <v>Vector|||208009698|||ISSR|||CASH_INT_EXP|||False|||</v>
          </cell>
          <cell r="C101" t="str">
            <v>V_KEYWORD_ISSR_208009698_CASH_INT_EXP</v>
          </cell>
        </row>
        <row r="102">
          <cell r="A102" t="str">
            <v>Vector|||208009698|||ISSR|||CASH_TAX_EXP|||False|||</v>
          </cell>
          <cell r="C102" t="str">
            <v>V_KEYWORD_ISSR_208009698_CASH_TAX_EXP</v>
          </cell>
        </row>
        <row r="103">
          <cell r="A103" t="str">
            <v>Vector|||208009698|||ISSR|||DIVDS_ASSOC_JV|||False|||</v>
          </cell>
          <cell r="C103" t="str">
            <v>V_KEYWORD_ISSR_208009698_DIVDS_ASSOC_JV</v>
          </cell>
        </row>
        <row r="104">
          <cell r="A104" t="str">
            <v>Vector|||208009698|||ISSR|||CAPEX_MAINTENANCE|||False|||</v>
          </cell>
          <cell r="C104" t="str">
            <v>V_KEYWORD_ISSR_208009698_CAPEX_MAINTENANCE</v>
          </cell>
        </row>
        <row r="105">
          <cell r="A105" t="str">
            <v>Vector|||208009698|||ISSR|||CAPEX_EXPANSION|||False|||</v>
          </cell>
          <cell r="C105" t="str">
            <v>V_KEYWORD_ISSR_208009698_CAPEX_EXPANSION</v>
          </cell>
        </row>
        <row r="106">
          <cell r="A106" t="str">
            <v>Vector|||208009698|||ISSR|||NONPPE_CAPEX|||False|||</v>
          </cell>
          <cell r="C106" t="str">
            <v>V_KEYWORD_ISSR_208009698_NONPPE_CAPEX</v>
          </cell>
        </row>
        <row r="107">
          <cell r="A107" t="str">
            <v>Vector|||208009698|||ISSR|||DIVDS_PD_MINORITIES|||False|||</v>
          </cell>
          <cell r="C107" t="str">
            <v>V_KEYWORD_ISSR_208009698_DIVDS_PD_MINORITIES</v>
          </cell>
        </row>
        <row r="109">
          <cell r="A109" t="str">
            <v>Vector|||208009698|||ISSR|||EMPLOYEES|||False|||</v>
          </cell>
          <cell r="C109" t="str">
            <v>V_KEYWORD_ISSR_208009698_EMPLOYEES</v>
          </cell>
        </row>
        <row r="111">
          <cell r="A111" t="str">
            <v>Vector|||208009698|||ISSR|||SALES_TOT_AM|||False|||</v>
          </cell>
          <cell r="C111" t="str">
            <v>V_KEYWORD_ISSR_208009698_SALES_TOT_AM</v>
          </cell>
        </row>
        <row r="112">
          <cell r="A112" t="str">
            <v>Vector|||208009698|||ISSR|||SALES_US|||False|||</v>
          </cell>
          <cell r="C112" t="str">
            <v>V_KEYWORD_ISSR_208009698_SALES_US</v>
          </cell>
        </row>
        <row r="114">
          <cell r="A114" t="str">
            <v>Vector|||208009698|||ISSR|||SALES_BRAZIL|||False|||</v>
          </cell>
          <cell r="C114" t="str">
            <v>V_KEYWORD_ISSR_208009698_SALES_BRAZIL</v>
          </cell>
        </row>
        <row r="115">
          <cell r="A115" t="str">
            <v>Vector|||208009698|||ISSR|||SALES_OTH_AM|||False|||</v>
          </cell>
          <cell r="C115" t="str">
            <v>V_KEYWORD_ISSR_208009698_SALES_OTH_AM</v>
          </cell>
        </row>
        <row r="116">
          <cell r="A116" t="str">
            <v>Vector|||208009698|||ISSR|||SALES_TOT_EMEA|||False|||</v>
          </cell>
          <cell r="C116" t="str">
            <v>V_KEYWORD_ISSR_208009698_SALES_TOT_EMEA</v>
          </cell>
        </row>
        <row r="117">
          <cell r="A117" t="str">
            <v>Vector|||208009698|||ISSR|||SALES_UK|||False|||</v>
          </cell>
          <cell r="C117" t="str">
            <v>V_KEYWORD_ISSR_208009698_SALES_UK</v>
          </cell>
        </row>
        <row r="118">
          <cell r="A118" t="str">
            <v>Vector|||208009698|||ISSR|||SALES_EU_EX_UK|||False|||</v>
          </cell>
          <cell r="C118" t="str">
            <v>V_KEYWORD_ISSR_208009698_SALES_EU_EX_UK</v>
          </cell>
        </row>
        <row r="135">
          <cell r="A135" t="str">
            <v>Vector|||208009698|||ISSR|||SALES_CEE|||False|||</v>
          </cell>
          <cell r="C135" t="str">
            <v>V_KEYWORD_ISSR_208009698_SALES_CEE</v>
          </cell>
        </row>
        <row r="136">
          <cell r="A136" t="str">
            <v>Vector|||208009698|||ISSR|||SALES_ME|||False|||</v>
          </cell>
          <cell r="C136" t="str">
            <v>V_KEYWORD_ISSR_208009698_SALES_ME</v>
          </cell>
        </row>
        <row r="137">
          <cell r="A137" t="str">
            <v>Vector|||208009698|||ISSR|||SALES_TOT_AFRICA|||False|||</v>
          </cell>
          <cell r="C137" t="str">
            <v>V_KEYWORD_ISSR_208009698_SALES_TOT_AFRICA</v>
          </cell>
        </row>
        <row r="138">
          <cell r="A138" t="str">
            <v>Vector|||208009698|||ISSR|||SALES_RUSSIA|||False|||</v>
          </cell>
          <cell r="C138" t="str">
            <v>V_KEYWORD_ISSR_208009698_SALES_RUSSIA</v>
          </cell>
        </row>
        <row r="139">
          <cell r="A139" t="str">
            <v>Vector|||208009698|||ISSR|||SALES_OTH_EMEA|||False|||</v>
          </cell>
          <cell r="C139" t="str">
            <v>V_KEYWORD_ISSR_208009698_SALES_OTH_EMEA</v>
          </cell>
        </row>
        <row r="140">
          <cell r="A140" t="str">
            <v>Vector|||208009698|||ISSR|||SALES_TOT_ASIA|||False|||</v>
          </cell>
          <cell r="C140" t="str">
            <v>V_KEYWORD_ISSR_208009698_SALES_TOT_ASIA</v>
          </cell>
        </row>
        <row r="141">
          <cell r="A141" t="str">
            <v>Vector|||208009698|||ISSR|||SALES_JAPAN|||False|||</v>
          </cell>
          <cell r="C141" t="str">
            <v>V_KEYWORD_ISSR_208009698_SALES_JAPAN</v>
          </cell>
        </row>
        <row r="142">
          <cell r="A142" t="str">
            <v>Vector|||208009698|||ISSR|||SALES_CHINA|||False|||</v>
          </cell>
          <cell r="C142" t="str">
            <v>V_KEYWORD_ISSR_208009698_SALES_CHINA</v>
          </cell>
        </row>
        <row r="143">
          <cell r="A143" t="str">
            <v>Vector|||208009698|||ISSR|||SALES_INDIA|||False|||</v>
          </cell>
          <cell r="C143" t="str">
            <v>V_KEYWORD_ISSR_208009698_SALES_INDIA</v>
          </cell>
        </row>
        <row r="144">
          <cell r="A144" t="str">
            <v>Vector|||208009698|||ISSR|||SALES_SK|||False|||</v>
          </cell>
          <cell r="C144" t="str">
            <v>V_KEYWORD_ISSR_208009698_SALES_SK</v>
          </cell>
        </row>
        <row r="145">
          <cell r="A145" t="str">
            <v>Vector|||208009698|||ISSR|||SALES_TAIWAN|||False|||</v>
          </cell>
          <cell r="C145" t="str">
            <v>V_KEYWORD_ISSR_208009698_SALES_TAIWAN</v>
          </cell>
        </row>
        <row r="148">
          <cell r="A148" t="str">
            <v>Vector|||208009698|||ISSR|||SALES_OTH_AEJ|||False|||</v>
          </cell>
          <cell r="C148" t="str">
            <v>V_KEYWORD_ISSR_208009698_SALES_OTH_AEJ</v>
          </cell>
        </row>
        <row r="149">
          <cell r="A149" t="str">
            <v>Vector|||208009698|||ISSR|||SALES_OTHER|||False|||</v>
          </cell>
          <cell r="C149" t="str">
            <v>V_KEYWORD_ISSR_208009698_SALES_OTHER</v>
          </cell>
        </row>
        <row r="187">
          <cell r="A187" t="str">
            <v>Vector|||208009698|||ISSR|||SALES_CONS|||False|||</v>
          </cell>
          <cell r="C187" t="str">
            <v>V_KEYWORD_ISSR_208009698_SALES_CONS</v>
          </cell>
        </row>
        <row r="188">
          <cell r="A188" t="str">
            <v>Vector|||208009698|||ISSR|||SALES_IND|||False|||</v>
          </cell>
          <cell r="C188" t="str">
            <v>V_KEYWORD_ISSR_208009698_SALES_IND</v>
          </cell>
        </row>
        <row r="189">
          <cell r="A189" t="str">
            <v>Vector|||208009698|||ISSR|||SALES_GOV|||False|||</v>
          </cell>
          <cell r="C189" t="str">
            <v>V_KEYWORD_ISSR_208009698_SALES_GOV</v>
          </cell>
        </row>
        <row r="190">
          <cell r="A190" t="str">
            <v>Vector|||208009698|||ISSR|||SALES_FINAN|||False|||</v>
          </cell>
          <cell r="C190" t="str">
            <v>V_KEYWORD_ISSR_208009698_SALES_FINAN</v>
          </cell>
        </row>
        <row r="195">
          <cell r="A195" t="str">
            <v>Vector|||208009698|||ISSR|||SALES_FX_GPB|||False|||</v>
          </cell>
          <cell r="C195" t="str">
            <v>V_KEYWORD_ISSR_208009698_SALES_FX_GPB</v>
          </cell>
        </row>
        <row r="196">
          <cell r="A196" t="str">
            <v>Vector|||208009698|||ISSR|||SALES_FX_EUR|||False|||</v>
          </cell>
          <cell r="C196" t="str">
            <v>V_KEYWORD_ISSR_208009698_SALES_FX_EUR</v>
          </cell>
        </row>
        <row r="197">
          <cell r="A197" t="str">
            <v>Vector|||208009698|||ISSR|||SALES_FX_RUB|||False|||</v>
          </cell>
          <cell r="C197" t="str">
            <v>V_KEYWORD_ISSR_208009698_SALES_FX_RUB</v>
          </cell>
        </row>
        <row r="198">
          <cell r="A198" t="str">
            <v>Vector|||208009698|||ISSR|||SALES_FX_USD|||False|||</v>
          </cell>
          <cell r="C198" t="str">
            <v>V_KEYWORD_ISSR_208009698_SALES_FX_USD</v>
          </cell>
        </row>
        <row r="199">
          <cell r="A199" t="str">
            <v>Vector|||208009698|||ISSR|||SALES_FX_BRL|||False|||</v>
          </cell>
          <cell r="C199" t="str">
            <v>V_KEYWORD_ISSR_208009698_SALES_FX_BRL</v>
          </cell>
        </row>
        <row r="200">
          <cell r="A200" t="str">
            <v>Vector|||208009698|||ISSR|||SALES_FX_YEN|||False|||</v>
          </cell>
          <cell r="C200" t="str">
            <v>V_KEYWORD_ISSR_208009698_SALES_FX_YEN</v>
          </cell>
        </row>
        <row r="201">
          <cell r="A201" t="str">
            <v>Vector|||208009698|||ISSR|||SALES_FX_CNY|||False|||</v>
          </cell>
          <cell r="C201" t="str">
            <v>V_KEYWORD_ISSR_208009698_SALES_FX_CNY</v>
          </cell>
        </row>
        <row r="202">
          <cell r="A202" t="str">
            <v>Vector|||208009698|||ISSR|||SALES_FX_INR|||False|||</v>
          </cell>
          <cell r="C202" t="str">
            <v>V_KEYWORD_ISSR_208009698_SALES_FX_INR</v>
          </cell>
        </row>
        <row r="203">
          <cell r="A203" t="str">
            <v>Vector|||208009698|||ISSR|||SALES_FX_KRW|||False|||</v>
          </cell>
          <cell r="C203" t="str">
            <v>V_KEYWORD_ISSR_208009698_SALES_FX_KRW</v>
          </cell>
        </row>
        <row r="204">
          <cell r="A204" t="str">
            <v>Vector|||208009698|||ISSR|||SALES_FX_TWD|||False|||</v>
          </cell>
          <cell r="C204" t="str">
            <v>V_KEYWORD_ISSR_208009698_SALES_FX_TWD</v>
          </cell>
        </row>
        <row r="205">
          <cell r="A205" t="str">
            <v>Vector|||208009698|||ISSR|||SALES_FX_OTH|||False|||</v>
          </cell>
          <cell r="C205" t="str">
            <v>V_KEYWORD_ISSR_208009698_SALES_FX_OTH</v>
          </cell>
        </row>
        <row r="211">
          <cell r="A211" t="str">
            <v>Scalar|||200012735|||EQTY|||PUB_CURRENCY_ISO|||False|||</v>
          </cell>
          <cell r="C211" t="str">
            <v>V_KEYWORD_EQTY_200012735_PUB_CURRENCY_ISO</v>
          </cell>
        </row>
        <row r="212">
          <cell r="A212" t="str">
            <v>Scalar|||200012735|||EQTY|||PRICE_CURRENCY_ISO|||False|||</v>
          </cell>
          <cell r="C212" t="str">
            <v>V_KEYWORD_EQTY_200012735_PRICE_CURRENCY_ISO</v>
          </cell>
        </row>
        <row r="213">
          <cell r="A213" t="str">
            <v>Scalar|||200012735|||EQTY|||CURRENCY_ISO|||False|||</v>
          </cell>
          <cell r="C213" t="str">
            <v>V_KEYWORD_EQTY_200012735_CURRENCY_ISO</v>
          </cell>
        </row>
        <row r="215">
          <cell r="A215" t="str">
            <v>Scalar|||200012735|||EQTY|||AEJ_LIST|||False|||</v>
          </cell>
          <cell r="C215" t="str">
            <v>V_KEYWORD_EQTY_200012735_AEJ_LIST</v>
          </cell>
        </row>
        <row r="216">
          <cell r="A216" t="str">
            <v>Scalar|||200012735|||EQTY|||AEJ_CONVICTION|||False|||</v>
          </cell>
          <cell r="C216" t="str">
            <v>V_KEYWORD_EQTY_200012735_AEJ_CONVICTION</v>
          </cell>
        </row>
        <row r="217">
          <cell r="A217" t="str">
            <v>Scalar|||200012735|||EQTY|||LEGAL_RATING|||False|||</v>
          </cell>
          <cell r="C217" t="str">
            <v>V_KEYWORD_EQTY_200012735_LEGAL_RATING</v>
          </cell>
        </row>
        <row r="218">
          <cell r="A218" t="str">
            <v>Scalar|||200012735|||EQTY|||TARGET_PRICE|||False|||</v>
          </cell>
          <cell r="C218" t="str">
            <v>V_KEYWORD_EQTY_200012735_TARGET_PRICE</v>
          </cell>
        </row>
        <row r="219">
          <cell r="A219" t="str">
            <v>Scalar|||200012735|||EQTY|||TP_PERIOD|||False|||</v>
          </cell>
          <cell r="C219" t="str">
            <v>V_KEYWORD_EQTY_200012735_TP_PERIOD</v>
          </cell>
        </row>
        <row r="220">
          <cell r="A220" t="str">
            <v>Scalar|||200012735|||EQTY|||NUM_SH|||False|||</v>
          </cell>
          <cell r="C220" t="str">
            <v>V_KEYWORD_EQTY_200012735_NUM_SH</v>
          </cell>
        </row>
        <row r="221">
          <cell r="A221" t="str">
            <v>Scalar|||200012735|||EQTY|||FREE_FLOAT|||False|||</v>
          </cell>
          <cell r="C221" t="str">
            <v>V_KEYWORD_EQTY_200012735_FREE_FLOAT</v>
          </cell>
        </row>
        <row r="222">
          <cell r="A222" t="str">
            <v>Scalar|||200012735|||EQTY|||FOREIGN_HOLDNG|||False|||</v>
          </cell>
          <cell r="C222" t="str">
            <v>V_KEYWORD_EQTY_200012735_FOREIGN_HOLDNG</v>
          </cell>
        </row>
        <row r="223">
          <cell r="A223" t="str">
            <v>BreakdownScalar|||200012735|||EQTY|||ACT|||False|||1</v>
          </cell>
          <cell r="C223" t="str">
            <v>V_KEYWORD_EQTY_200012735_ACT1</v>
          </cell>
        </row>
        <row r="224">
          <cell r="A224" t="str">
            <v>Scalar|||200012735|||EQTY|||CATALYST1_DATE|||True|||</v>
          </cell>
          <cell r="C224" t="str">
            <v>V_KEYWORD_EQTY_200012735_CATALYST1_DATE</v>
          </cell>
        </row>
        <row r="225">
          <cell r="A225" t="str">
            <v>Scalar|||200012735|||EQTY|||CATALYST1_EVENT|||False|||</v>
          </cell>
          <cell r="C225" t="str">
            <v>V_KEYWORD_EQTY_200012735_CATALYST1_EVENT</v>
          </cell>
        </row>
        <row r="226">
          <cell r="A226" t="str">
            <v>Scalar|||200012735|||EQTY|||CATALYST2_DATE|||True|||</v>
          </cell>
          <cell r="C226" t="str">
            <v>V_KEYWORD_EQTY_200012735_CATALYST2_DATE</v>
          </cell>
        </row>
        <row r="227">
          <cell r="A227" t="str">
            <v>Scalar|||200012735|||EQTY|||CATALYST2_EVENT|||False|||</v>
          </cell>
          <cell r="C227" t="str">
            <v>V_KEYWORD_EQTY_200012735_CATALYST2_EVENT</v>
          </cell>
        </row>
        <row r="228">
          <cell r="A228" t="str">
            <v>Scalar|||200012735|||EQTY|||CATALYST3_DATE|||True|||</v>
          </cell>
          <cell r="C228" t="str">
            <v>V_KEYWORD_EQTY_200012735_CATALYST3_DATE</v>
          </cell>
        </row>
        <row r="229">
          <cell r="A229" t="str">
            <v>Scalar|||200012735|||EQTY|||CATALYST3_EVENT|||False|||</v>
          </cell>
          <cell r="C229" t="str">
            <v>V_KEYWORD_EQTY_200012735_CATALYST3_EVENT</v>
          </cell>
        </row>
        <row r="230">
          <cell r="A230" t="str">
            <v>Scalar|||200012735|||EQTY|||CATALYST4_DATE|||True|||</v>
          </cell>
          <cell r="C230" t="str">
            <v>V_KEYWORD_EQTY_200012735_CATALYST4_DATE</v>
          </cell>
        </row>
        <row r="231">
          <cell r="A231" t="str">
            <v>Scalar|||200012735|||EQTY|||CATALYST4_EVENT|||False|||</v>
          </cell>
          <cell r="C231" t="str">
            <v>V_KEYWORD_EQTY_200012735_CATALYST4_EVENT</v>
          </cell>
        </row>
        <row r="232">
          <cell r="A232" t="str">
            <v>Scalar|||200012735|||EQTY|||CATALYST5_DATE|||True|||</v>
          </cell>
          <cell r="C232" t="str">
            <v>V_KEYWORD_EQTY_200012735_CATALYST5_DATE</v>
          </cell>
        </row>
        <row r="233">
          <cell r="A233" t="str">
            <v>Scalar|||200012735|||EQTY|||CATALYST5_EVENT|||False|||</v>
          </cell>
          <cell r="C233" t="str">
            <v>V_KEYWORD_EQTY_200012735_CATALYST5_EVENT</v>
          </cell>
        </row>
        <row r="234">
          <cell r="A234" t="str">
            <v>Scalar|||200012735|||EQTY|||PRI_TARG_MULT|||False|||</v>
          </cell>
          <cell r="C234" t="str">
            <v>V_KEYWORD_EQTY_200012735_PRI_TARG_MULT</v>
          </cell>
        </row>
        <row r="235">
          <cell r="A235" t="str">
            <v>Scalar|||200012735|||EQTY|||PRI_TARG_METH|||False|||</v>
          </cell>
          <cell r="C235" t="str">
            <v>V_KEYWORD_EQTY_200012735_PRI_TARG_METH</v>
          </cell>
        </row>
        <row r="237">
          <cell r="A237" t="str">
            <v>Vector|||200012735|||EQTY|||BVPS_PUB|||False|||</v>
          </cell>
          <cell r="C237" t="str">
            <v>V_KEYWORD_EQTY_200012735_BVPS_PUB</v>
          </cell>
        </row>
        <row r="238">
          <cell r="A238" t="str">
            <v>Vector|||200012735|||EQTY|||DPS_PUB|||False|||</v>
          </cell>
          <cell r="C238" t="str">
            <v>V_KEYWORD_EQTY_200012735_DPS_PUB</v>
          </cell>
        </row>
        <row r="239">
          <cell r="A239" t="str">
            <v>Vector|||200012735|||EQTY|||DPS_SPECIAL_PUB|||False|||</v>
          </cell>
          <cell r="C239" t="str">
            <v>V_KEYWORD_EQTY_200012735_DPS_SPECIAL_PUB</v>
          </cell>
        </row>
        <row r="240">
          <cell r="A240" t="str">
            <v>Vector|||200012735|||EQTY|||EBITDA_PUB|||False|||</v>
          </cell>
          <cell r="C240" t="str">
            <v>V_KEYWORD_EQTY_200012735_EBITDA_PUB</v>
          </cell>
        </row>
        <row r="241">
          <cell r="A241" t="str">
            <v>Vector|||200012735|||EQTY|||EPS_PUB|||False|||</v>
          </cell>
          <cell r="C241" t="str">
            <v>V_KEYWORD_EQTY_200012735_EPS_PUB</v>
          </cell>
        </row>
        <row r="242">
          <cell r="A242" t="str">
            <v>Vector|||200012735|||EQTY|||EV_ADJ_PUB|||False|||</v>
          </cell>
          <cell r="C242" t="str">
            <v>V_KEYWORD_EQTY_200012735_EV_ADJ_PUB</v>
          </cell>
        </row>
        <row r="243">
          <cell r="A243" t="str">
            <v>Vector|||200012735|||EQTY|||NET_DEBT_PUB|||False|||</v>
          </cell>
          <cell r="C243" t="str">
            <v>V_KEYWORD_EQTY_200012735_NET_DEBT_PUB</v>
          </cell>
        </row>
        <row r="244">
          <cell r="A244" t="str">
            <v>Vector|||200012735|||EQTY|||NI_PUB|||False|||</v>
          </cell>
          <cell r="C244" t="str">
            <v>V_KEYWORD_EQTY_200012735_NI_PUB</v>
          </cell>
        </row>
        <row r="245">
          <cell r="A245" t="str">
            <v>Vector|||200012735|||EQTY|||EBIT_PUB|||False|||</v>
          </cell>
          <cell r="C245" t="str">
            <v>V_KEYWORD_EQTY_200012735_EBIT_PUB</v>
          </cell>
        </row>
        <row r="246">
          <cell r="A246" t="str">
            <v>Vector|||200012735|||EQTY|||PTP_PUB|||False|||</v>
          </cell>
          <cell r="C246" t="str">
            <v>V_KEYWORD_EQTY_200012735_PTP_PUB</v>
          </cell>
        </row>
        <row r="247">
          <cell r="A247" t="str">
            <v>Vector|||200012735|||EQTY|||REVS_PUB|||False|||</v>
          </cell>
          <cell r="C247" t="str">
            <v>V_KEYWORD_EQTY_200012735_REVS_PUB</v>
          </cell>
        </row>
        <row r="248">
          <cell r="A248" t="str">
            <v>Vector|||200012735|||EQTY|||EQ_PUB|||False|||</v>
          </cell>
          <cell r="C248" t="str">
            <v>V_KEYWORD_EQTY_200012735_EQ_PUB</v>
          </cell>
        </row>
        <row r="249">
          <cell r="A249" t="str">
            <v>Vector|||200012735|||EQTY|||EPS_CONS_PUB|||False|||</v>
          </cell>
          <cell r="C249" t="str">
            <v>V_KEYWORD_EQTY_200012735_EPS_CONS_PUB</v>
          </cell>
        </row>
        <row r="251">
          <cell r="A251" t="str">
            <v>Vector|||200012735|||EQTY|||PROV_INC_TAX|||False|||</v>
          </cell>
          <cell r="C251" t="str">
            <v>V_KEYWORD_EQTY_200012735_PROV_INC_TAX</v>
          </cell>
        </row>
        <row r="252">
          <cell r="A252" t="str">
            <v>Vector|||200012735|||EQTY|||INC_MINORITY|||False|||</v>
          </cell>
          <cell r="C252" t="str">
            <v>V_KEYWORD_EQTY_200012735_INC_MINORITY</v>
          </cell>
        </row>
        <row r="253">
          <cell r="A253" t="str">
            <v>Vector|||200012735|||EQTY|||NI_PRE_PREF|||False|||</v>
          </cell>
          <cell r="C253" t="str">
            <v>V_KEYWORD_EQTY_200012735_NI_PRE_PREF</v>
          </cell>
        </row>
        <row r="254">
          <cell r="A254" t="str">
            <v>Vector|||200012735|||EQTY|||PREF_DIV|||False|||</v>
          </cell>
          <cell r="C254" t="str">
            <v>V_KEYWORD_EQTY_200012735_PREF_DIV</v>
          </cell>
        </row>
        <row r="255">
          <cell r="A255" t="str">
            <v>Vector|||200012735|||EQTY|||NET_EARNING|||False|||</v>
          </cell>
          <cell r="C255" t="str">
            <v>V_KEYWORD_EQTY_200012735_NET_EARNING</v>
          </cell>
        </row>
        <row r="256">
          <cell r="A256" t="str">
            <v>Vector|||200012735|||EQTY|||TAX_EXC|||False|||</v>
          </cell>
          <cell r="C256" t="str">
            <v>V_KEYWORD_EQTY_200012735_TAX_EXC</v>
          </cell>
        </row>
        <row r="257">
          <cell r="A257" t="str">
            <v>Vector|||200012735|||EQTY|||NET_INC|||False|||</v>
          </cell>
          <cell r="C257" t="str">
            <v>V_KEYWORD_EQTY_200012735_NET_INC</v>
          </cell>
        </row>
        <row r="258">
          <cell r="A258" t="str">
            <v>Vector|||200012735|||EQTY|||EPS|||False|||</v>
          </cell>
          <cell r="C258" t="str">
            <v>V_KEYWORD_EQTY_200012735_EPS</v>
          </cell>
        </row>
        <row r="259">
          <cell r="A259" t="str">
            <v>Vector|||200012735|||EQTY|||EPS_FUL_DIL|||False|||</v>
          </cell>
          <cell r="C259" t="str">
            <v>V_KEYWORD_EQTY_200012735_EPS_FUL_DIL</v>
          </cell>
        </row>
        <row r="260">
          <cell r="A260" t="str">
            <v>Vector|||200012735|||EQTY|||EPS_POST_BASIC|||False|||</v>
          </cell>
          <cell r="C260" t="str">
            <v>V_KEYWORD_EQTY_200012735_EPS_POST_BASIC</v>
          </cell>
        </row>
        <row r="261">
          <cell r="A261" t="str">
            <v>Vector|||200012735|||EQTY|||FULLY_DIL_EPS|||False|||</v>
          </cell>
          <cell r="C261" t="str">
            <v>V_KEYWORD_EQTY_200012735_FULLY_DIL_EPS</v>
          </cell>
        </row>
        <row r="262">
          <cell r="A262" t="str">
            <v>Vector|||200012735|||EQTY|||COMMON_DIV_PAID|||False|||</v>
          </cell>
          <cell r="C262" t="str">
            <v>V_KEYWORD_EQTY_200012735_COMMON_DIV_PAID</v>
          </cell>
        </row>
        <row r="263">
          <cell r="A263" t="str">
            <v>Vector|||200012735|||EQTY|||DPS|||False|||</v>
          </cell>
          <cell r="C263" t="str">
            <v>V_KEYWORD_EQTY_200012735_DPS</v>
          </cell>
        </row>
        <row r="264">
          <cell r="A264" t="str">
            <v>Vector|||200012735|||EQTY|||SH|||False|||</v>
          </cell>
          <cell r="C264" t="str">
            <v>V_KEYWORD_EQTY_200012735_SH</v>
          </cell>
        </row>
        <row r="265">
          <cell r="A265" t="str">
            <v>Vector|||200012735|||EQTY|||DILUTE_SHARES|||False|||</v>
          </cell>
          <cell r="C265" t="str">
            <v>V_KEYWORD_EQTY_200012735_DILUTE_SHARES</v>
          </cell>
        </row>
        <row r="266">
          <cell r="A266" t="str">
            <v>Vector|||200012735|||EQTY|||NON_OP_ADD|||False|||</v>
          </cell>
          <cell r="C266" t="str">
            <v>V_KEYWORD_EQTY_200012735_NON_OP_ADD</v>
          </cell>
        </row>
        <row r="268">
          <cell r="A268" t="str">
            <v>Vector|||200012735|||EQTY|||MARGIN_TAX_RATE|||False|||</v>
          </cell>
          <cell r="C268" t="str">
            <v>V_KEYWORD_EQTY_200012735_MARGIN_TAX_RATE</v>
          </cell>
        </row>
        <row r="269">
          <cell r="A269" t="str">
            <v>Vector|||200012735|||EQTY|||NI_CONS|||False|||</v>
          </cell>
          <cell r="C269" t="str">
            <v>V_KEYWORD_EQTY_200012735_NI_CONS</v>
          </cell>
        </row>
        <row r="271">
          <cell r="A271" t="str">
            <v>Vector|||200012735|||EQTY|||BVPS|||False|||</v>
          </cell>
          <cell r="C271" t="str">
            <v>V_KEYWORD_EQTY_200012735_BVPS</v>
          </cell>
        </row>
        <row r="273">
          <cell r="A273" t="str">
            <v>Vector|||200012735|||EQTY|||CF_NI_PRE_PREF|||False|||</v>
          </cell>
          <cell r="C273" t="str">
            <v>V_KEYWORD_EQTY_200012735_CF_NI_PRE_PREF</v>
          </cell>
        </row>
        <row r="275">
          <cell r="A275" t="str">
            <v>Scalar|||200012735|||EQTY|||BETA_ANALYST|||False|||</v>
          </cell>
          <cell r="C275" t="str">
            <v>V_KEYWORD_EQTY_200012735_BETA_ANALYST</v>
          </cell>
        </row>
        <row r="276">
          <cell r="A276" t="str">
            <v>Scalar|||200012735|||EQTY|||MKT_EQ_RISK_PREM|||False|||</v>
          </cell>
          <cell r="C276" t="str">
            <v>V_KEYWORD_EQTY_200012735_MKT_EQ_RISK_PREM</v>
          </cell>
        </row>
        <row r="277">
          <cell r="A277" t="str">
            <v>Scalar|||200012735|||EQTY|||RISK_FR_RATE|||False|||</v>
          </cell>
          <cell r="C277" t="str">
            <v>V_KEYWORD_EQTY_200012735_RISK_FR_RATE</v>
          </cell>
        </row>
      </sheetData>
      <sheetData sheetId="19" refreshError="1"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Estimate</v>
          </cell>
          <cell r="AL2" t="str">
            <v>Estimate</v>
          </cell>
          <cell r="AM2" t="str">
            <v>Estimate</v>
          </cell>
          <cell r="AN2" t="str">
            <v>Estimate</v>
          </cell>
          <cell r="AO2" t="str">
            <v>Estimate</v>
          </cell>
          <cell r="AT2" t="str">
            <v>Estimate</v>
          </cell>
          <cell r="AY2" t="str">
            <v>Estimate</v>
          </cell>
        </row>
        <row r="5">
          <cell r="A5" t="str">
            <v>Reference Data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4">
          <cell r="B114" t="str">
            <v>Sales - % Brazil</v>
          </cell>
          <cell r="C114" t="str">
            <v>SALES_BRAZIL</v>
          </cell>
        </row>
        <row r="115">
          <cell r="B115" t="str">
            <v>Sales - % Other Americas</v>
          </cell>
          <cell r="C115" t="str">
            <v>SALES_OTH_AM</v>
          </cell>
        </row>
        <row r="116">
          <cell r="B116" t="str">
            <v>Sales - Total % EMEA</v>
          </cell>
          <cell r="C116" t="str">
            <v>SALES_TOT_EMEA</v>
          </cell>
        </row>
        <row r="117">
          <cell r="B117" t="str">
            <v>Sales - % UK</v>
          </cell>
          <cell r="C117" t="str">
            <v>SALES_UK</v>
          </cell>
        </row>
        <row r="118">
          <cell r="B118" t="str">
            <v>Sales - % Western Europe-Ex UK</v>
          </cell>
          <cell r="C118" t="str">
            <v>SALES_EU_EX_UK</v>
          </cell>
        </row>
        <row r="135">
          <cell r="B135" t="str">
            <v>Sales - % Central &amp; Eastern Europe</v>
          </cell>
          <cell r="C135" t="str">
            <v>SALES_CEE</v>
          </cell>
        </row>
        <row r="136">
          <cell r="B136" t="str">
            <v>Sales - % Middle East</v>
          </cell>
          <cell r="C136" t="str">
            <v>SALES_ME</v>
          </cell>
        </row>
        <row r="137">
          <cell r="B137" t="str">
            <v>Sales - % Total Africa</v>
          </cell>
          <cell r="C137" t="str">
            <v>SALES_TOT_AFRICA</v>
          </cell>
        </row>
        <row r="138">
          <cell r="B138" t="str">
            <v>Sales - % Russia</v>
          </cell>
          <cell r="C138" t="str">
            <v>SALES_RUSSIA</v>
          </cell>
        </row>
        <row r="139">
          <cell r="B139" t="str">
            <v>Sales - % Other EMEA</v>
          </cell>
          <cell r="C139" t="str">
            <v>SALES_OTH_EMEA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</row>
        <row r="141">
          <cell r="B141" t="str">
            <v>Sales - % Japan</v>
          </cell>
          <cell r="C141" t="str">
            <v>SALES_JAPAN</v>
          </cell>
        </row>
        <row r="142">
          <cell r="B142" t="str">
            <v>Sales - % China</v>
          </cell>
          <cell r="C142" t="str">
            <v>SALES_CHINA</v>
          </cell>
        </row>
        <row r="143">
          <cell r="B143" t="str">
            <v>Sales - % India</v>
          </cell>
          <cell r="C143" t="str">
            <v>SALES_INDIA</v>
          </cell>
        </row>
        <row r="144">
          <cell r="B144" t="str">
            <v>Sales - % South Korea</v>
          </cell>
          <cell r="C144" t="str">
            <v>SALES_SK</v>
          </cell>
        </row>
        <row r="148">
          <cell r="B148" t="str">
            <v>Sales - % Other Asia</v>
          </cell>
          <cell r="C148" t="str">
            <v>SALES_OTH_AEJ</v>
          </cell>
        </row>
        <row r="149">
          <cell r="B149" t="str">
            <v>Sales - % Others</v>
          </cell>
          <cell r="C149" t="str">
            <v>SALES_OTHER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5">
          <cell r="C195" t="str">
            <v>SALES_FX_GPB</v>
          </cell>
        </row>
        <row r="205">
          <cell r="B205" t="str">
            <v>Sales - % FX: Other Currency</v>
          </cell>
          <cell r="C205" t="str">
            <v>SALES_FX_OTH</v>
          </cell>
        </row>
        <row r="207">
          <cell r="A207" t="str">
            <v>Reference Data</v>
          </cell>
        </row>
        <row r="214">
          <cell r="A214" t="str">
            <v>General Information</v>
          </cell>
        </row>
        <row r="215">
          <cell r="B215" t="str">
            <v>Asia Pacific Investment List</v>
          </cell>
          <cell r="C215" t="str">
            <v>AEJ_LIST</v>
          </cell>
        </row>
        <row r="216">
          <cell r="B216" t="str">
            <v>Asia Pacific Conviction List</v>
          </cell>
          <cell r="C216" t="str">
            <v>AEJ_CONVICTION</v>
          </cell>
        </row>
        <row r="217">
          <cell r="B217" t="str">
            <v>Legal rating</v>
          </cell>
          <cell r="C217" t="str">
            <v>LEGAL_RATING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</row>
        <row r="219">
          <cell r="B219" t="str">
            <v>Target price period</v>
          </cell>
          <cell r="C219" t="str">
            <v>TP_PERIOD</v>
          </cell>
        </row>
        <row r="220">
          <cell r="B220" t="str">
            <v>Current shares outstanding (mn)</v>
          </cell>
          <cell r="C220" t="str">
            <v>NUM_SH</v>
          </cell>
        </row>
        <row r="221">
          <cell r="B221" t="str">
            <v>Free float</v>
          </cell>
          <cell r="C221" t="str">
            <v>FREE_FLOAT</v>
          </cell>
        </row>
        <row r="222">
          <cell r="B222" t="str">
            <v>Foreign ownership</v>
          </cell>
          <cell r="C222" t="str">
            <v>FOREIGN_HOLDNG</v>
          </cell>
        </row>
        <row r="223">
          <cell r="C223" t="str">
            <v>ACT1</v>
          </cell>
        </row>
        <row r="224">
          <cell r="B224" t="str">
            <v>Catalyst 1 date</v>
          </cell>
          <cell r="C224" t="str">
            <v>CATALYST1_DATE</v>
          </cell>
        </row>
        <row r="225">
          <cell r="B225" t="str">
            <v>Catalyst 1 description</v>
          </cell>
          <cell r="C225" t="str">
            <v>CATALYST1_EVENT</v>
          </cell>
        </row>
        <row r="226">
          <cell r="B226" t="str">
            <v>Catalyst 2 date</v>
          </cell>
          <cell r="C226" t="str">
            <v>CATALYST2_DATE</v>
          </cell>
        </row>
        <row r="227">
          <cell r="B227" t="str">
            <v>Catalyst 2 description</v>
          </cell>
          <cell r="C227" t="str">
            <v>CATALYST2_EVENT</v>
          </cell>
        </row>
        <row r="228">
          <cell r="B228" t="str">
            <v>Catalyst 3 date</v>
          </cell>
          <cell r="C228" t="str">
            <v>CATALYST3_DATE</v>
          </cell>
        </row>
        <row r="229">
          <cell r="B229" t="str">
            <v>Catalyst 3 description</v>
          </cell>
          <cell r="C229" t="str">
            <v>CATALYST3_EVENT</v>
          </cell>
        </row>
        <row r="230">
          <cell r="B230" t="str">
            <v>Catalyst 4 date</v>
          </cell>
          <cell r="C230" t="str">
            <v>CATALYST4_DATE</v>
          </cell>
        </row>
        <row r="231">
          <cell r="B231" t="str">
            <v>Catalyst 4 description</v>
          </cell>
          <cell r="C231" t="str">
            <v>CATALYST4_EVENT</v>
          </cell>
        </row>
        <row r="232">
          <cell r="B232" t="str">
            <v>Catalyst 5 date</v>
          </cell>
          <cell r="C232" t="str">
            <v>CATALYST5_DATE</v>
          </cell>
        </row>
        <row r="233">
          <cell r="B233" t="str">
            <v>Catalyst 5 description</v>
          </cell>
          <cell r="C233" t="str">
            <v>CATALYST5_EVENT</v>
          </cell>
        </row>
        <row r="234">
          <cell r="B234" t="str">
            <v>Target price multiple</v>
          </cell>
          <cell r="C234" t="str">
            <v>PRI_TARG_MULT</v>
          </cell>
        </row>
        <row r="235">
          <cell r="B235" t="str">
            <v>Target price methodology</v>
          </cell>
          <cell r="C235" t="str">
            <v>PRI_TARG_METH</v>
          </cell>
        </row>
        <row r="236">
          <cell r="A236" t="str">
            <v>Publishing Items</v>
          </cell>
        </row>
        <row r="237">
          <cell r="B237" t="str">
            <v>Book value per share, BVPS (Pub)</v>
          </cell>
          <cell r="C237" t="str">
            <v>BVPS_PUB</v>
          </cell>
          <cell r="D237" t="str">
            <v>CNY</v>
          </cell>
        </row>
        <row r="238">
          <cell r="B238" t="str">
            <v>DPS, dividend per share (Pub)</v>
          </cell>
          <cell r="C238" t="str">
            <v>DPS_PUB</v>
          </cell>
          <cell r="D238" t="str">
            <v>CNY</v>
          </cell>
        </row>
        <row r="239">
          <cell r="B239" t="str">
            <v>Special dividend per share</v>
          </cell>
          <cell r="C239" t="str">
            <v>DPS_SPECIAL_PUB</v>
          </cell>
          <cell r="D239" t="str">
            <v>CNY</v>
          </cell>
        </row>
        <row r="240">
          <cell r="B240" t="str">
            <v>EBITDA (Pub)</v>
          </cell>
          <cell r="C240" t="str">
            <v>EBITDA_PUB</v>
          </cell>
          <cell r="D240" t="str">
            <v>CNY</v>
          </cell>
        </row>
        <row r="241">
          <cell r="B241" t="str">
            <v>EPS (Pub)</v>
          </cell>
          <cell r="C241" t="str">
            <v>EPS_PUB</v>
          </cell>
          <cell r="D241" t="str">
            <v>CNY</v>
          </cell>
        </row>
        <row r="242">
          <cell r="B242" t="str">
            <v>EV adjustment (Pub)</v>
          </cell>
          <cell r="C242" t="str">
            <v>EV_ADJ_PUB</v>
          </cell>
          <cell r="D242" t="str">
            <v>CNY</v>
          </cell>
        </row>
        <row r="243">
          <cell r="B243" t="str">
            <v>Net debt (Pub)</v>
          </cell>
          <cell r="C243" t="str">
            <v>NET_DEBT_PUB</v>
          </cell>
          <cell r="D243" t="str">
            <v>CNY</v>
          </cell>
        </row>
        <row r="244">
          <cell r="B244" t="str">
            <v>Net income (Pub)</v>
          </cell>
          <cell r="C244" t="str">
            <v>NI_PUB</v>
          </cell>
          <cell r="D244" t="str">
            <v>CNY</v>
          </cell>
        </row>
        <row r="245">
          <cell r="B245" t="str">
            <v>EBIT, operating profit (Pub)</v>
          </cell>
          <cell r="C245" t="str">
            <v>EBIT_PUB</v>
          </cell>
          <cell r="D245" t="str">
            <v>CNY</v>
          </cell>
        </row>
        <row r="246">
          <cell r="B246" t="str">
            <v>Pre-tax profit (Pub)</v>
          </cell>
          <cell r="C246" t="str">
            <v>PTP_PUB</v>
          </cell>
          <cell r="D246" t="str">
            <v>CNY</v>
          </cell>
        </row>
        <row r="247">
          <cell r="B247" t="str">
            <v>Sales, revenue (Pub)</v>
          </cell>
          <cell r="C247" t="str">
            <v>REVS_PUB</v>
          </cell>
          <cell r="D247" t="str">
            <v>CNY</v>
          </cell>
        </row>
        <row r="248">
          <cell r="B248" t="str">
            <v>Total shareholders' equity (Pub)</v>
          </cell>
          <cell r="C248" t="str">
            <v>EQ_PUB</v>
          </cell>
          <cell r="D248" t="str">
            <v>CNY</v>
          </cell>
        </row>
        <row r="249">
          <cell r="B249" t="str">
            <v>EPS (consensus)</v>
          </cell>
          <cell r="C249" t="str">
            <v>EPS_CONS_PUB</v>
          </cell>
          <cell r="D249" t="str">
            <v>CNY</v>
          </cell>
        </row>
        <row r="250">
          <cell r="A250" t="str">
            <v>Income Statement</v>
          </cell>
        </row>
        <row r="251">
          <cell r="B251" t="str">
            <v>Provision for income tax</v>
          </cell>
          <cell r="C251" t="str">
            <v>PROV_INC_TAX</v>
          </cell>
          <cell r="D251" t="str">
            <v>CNY</v>
          </cell>
        </row>
        <row r="252">
          <cell r="B252" t="str">
            <v>Minority interest</v>
          </cell>
          <cell r="C252" t="str">
            <v>INC_MINORITY</v>
          </cell>
          <cell r="D252" t="str">
            <v>CNY</v>
          </cell>
        </row>
        <row r="253">
          <cell r="B253" t="str">
            <v>Net income (pre-preferred dividends)</v>
          </cell>
          <cell r="C253" t="str">
            <v>NI_PRE_PREF</v>
          </cell>
          <cell r="D253" t="str">
            <v>CNY</v>
          </cell>
        </row>
        <row r="254">
          <cell r="B254" t="str">
            <v>Preferred dividends</v>
          </cell>
          <cell r="C254" t="str">
            <v>PREF_DIV</v>
          </cell>
          <cell r="D254" t="str">
            <v>CNY</v>
          </cell>
        </row>
        <row r="255">
          <cell r="B255" t="str">
            <v>Net income (pre-exceptionals)</v>
          </cell>
          <cell r="C255" t="str">
            <v>NET_EARNING</v>
          </cell>
          <cell r="D255" t="str">
            <v>CNY</v>
          </cell>
        </row>
        <row r="256">
          <cell r="B256" t="str">
            <v>Post-tax exceptionals</v>
          </cell>
          <cell r="C256" t="str">
            <v>TAX_EXC</v>
          </cell>
          <cell r="D256" t="str">
            <v>CNY</v>
          </cell>
        </row>
        <row r="257">
          <cell r="B257" t="str">
            <v>Net income (post-exceptionals)</v>
          </cell>
          <cell r="C257" t="str">
            <v>NET_INC</v>
          </cell>
          <cell r="D257" t="str">
            <v>CNY</v>
          </cell>
        </row>
        <row r="258">
          <cell r="B258" t="str">
            <v>EPS (pre-exceptionals, basic)</v>
          </cell>
          <cell r="C258" t="str">
            <v>EPS</v>
          </cell>
          <cell r="D258" t="str">
            <v>CNY</v>
          </cell>
        </row>
        <row r="259">
          <cell r="B259" t="str">
            <v>EPS (pre-exceptionals, diluted)</v>
          </cell>
          <cell r="C259" t="str">
            <v>EPS_FUL_DIL</v>
          </cell>
          <cell r="D259" t="str">
            <v>CNY</v>
          </cell>
        </row>
        <row r="260">
          <cell r="B260" t="str">
            <v>EPS (post-exceptionals, basic)</v>
          </cell>
          <cell r="C260" t="str">
            <v>EPS_POST_BASIC</v>
          </cell>
          <cell r="D260" t="str">
            <v>CNY</v>
          </cell>
        </row>
        <row r="261">
          <cell r="B261" t="str">
            <v>EPS (post-exceptionals, diluted)</v>
          </cell>
          <cell r="C261" t="str">
            <v>FULLY_DIL_EPS</v>
          </cell>
          <cell r="D261" t="str">
            <v>CNY</v>
          </cell>
        </row>
        <row r="262">
          <cell r="B262" t="str">
            <v>Common dividends paid</v>
          </cell>
          <cell r="C262" t="str">
            <v>COMMON_DIV_PAID</v>
          </cell>
          <cell r="D262" t="str">
            <v>CNY</v>
          </cell>
        </row>
        <row r="263">
          <cell r="B263" t="str">
            <v>DPS, dividend per share</v>
          </cell>
          <cell r="C263" t="str">
            <v>DPS</v>
          </cell>
          <cell r="D263" t="str">
            <v>CNY</v>
          </cell>
        </row>
        <row r="264">
          <cell r="B264" t="str">
            <v>Weighted average shares outstanding, basic</v>
          </cell>
          <cell r="C264" t="str">
            <v>SH</v>
          </cell>
        </row>
        <row r="265">
          <cell r="B265" t="str">
            <v>Diluted average shares outstanding (mn)</v>
          </cell>
          <cell r="C265" t="str">
            <v>DILUTE_SHARES</v>
          </cell>
        </row>
        <row r="266">
          <cell r="B266" t="str">
            <v>Period-end shares outstanding</v>
          </cell>
          <cell r="C266" t="str">
            <v>NON_OP_ADD</v>
          </cell>
        </row>
        <row r="267">
          <cell r="A267" t="str">
            <v>Additional Income Statement Items</v>
          </cell>
        </row>
        <row r="268">
          <cell r="B268" t="str">
            <v>Marginal tax rate</v>
          </cell>
          <cell r="C268" t="str">
            <v>MARGIN_TAX_RATE</v>
          </cell>
        </row>
        <row r="269">
          <cell r="B269" t="str">
            <v>Net income (consensus) (Pub)</v>
          </cell>
          <cell r="C269" t="str">
            <v>NI_CONS</v>
          </cell>
          <cell r="D269" t="str">
            <v>CNY</v>
          </cell>
        </row>
        <row r="270">
          <cell r="A270" t="str">
            <v>Balance Sheet</v>
          </cell>
        </row>
        <row r="271">
          <cell r="B271" t="str">
            <v>BVPS, book value per share</v>
          </cell>
          <cell r="C271" t="str">
            <v>BVPS</v>
          </cell>
          <cell r="D271" t="str">
            <v>CNY</v>
          </cell>
        </row>
        <row r="272">
          <cell r="A272" t="str">
            <v>Cash Flow Statement</v>
          </cell>
        </row>
        <row r="273">
          <cell r="B273" t="str">
            <v>Net income (pre-preferred dividends)</v>
          </cell>
          <cell r="C273" t="str">
            <v>CF_NI_PRE_PREF</v>
          </cell>
          <cell r="D273" t="str">
            <v>CNY</v>
          </cell>
        </row>
        <row r="274">
          <cell r="A274" t="str">
            <v>Other Items</v>
          </cell>
        </row>
        <row r="275">
          <cell r="B275" t="str">
            <v>Beta</v>
          </cell>
          <cell r="C275" t="str">
            <v>BETA_ANALYST</v>
          </cell>
        </row>
        <row r="276">
          <cell r="B276" t="str">
            <v>Market equity risk premium</v>
          </cell>
          <cell r="C276" t="str">
            <v>MKT_EQ_RISK_PREM</v>
          </cell>
        </row>
        <row r="277">
          <cell r="B277" t="str">
            <v>Risk-free rate</v>
          </cell>
          <cell r="C277" t="str">
            <v>RISK_FR_RATE</v>
          </cell>
        </row>
      </sheetData>
      <sheetData sheetId="20" refreshError="1">
        <row r="1">
          <cell r="A1" t="str">
            <v>Issuer: NavInfo Co.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 t="str">
            <v>2010 Q1</v>
          </cell>
          <cell r="W1" t="str">
            <v>2010 Q2</v>
          </cell>
          <cell r="X1" t="str">
            <v>2010 Q3</v>
          </cell>
          <cell r="Y1" t="str">
            <v>2010 Q4</v>
          </cell>
          <cell r="Z1">
            <v>2010</v>
          </cell>
          <cell r="AA1" t="str">
            <v>2011 Q1</v>
          </cell>
          <cell r="AB1" t="str">
            <v>2011 Q2</v>
          </cell>
          <cell r="AC1" t="str">
            <v>2011 Q3</v>
          </cell>
          <cell r="AD1" t="str">
            <v>2011 Q4</v>
          </cell>
          <cell r="AE1">
            <v>2011</v>
          </cell>
          <cell r="AF1" t="str">
            <v>2012 Q1</v>
          </cell>
          <cell r="AG1" t="str">
            <v>2012 Q2</v>
          </cell>
          <cell r="AH1" t="str">
            <v>2012 Q3</v>
          </cell>
          <cell r="AI1" t="str">
            <v>2012 Q4</v>
          </cell>
          <cell r="AJ1">
            <v>2012</v>
          </cell>
          <cell r="AK1" t="str">
            <v>2013 Q1</v>
          </cell>
          <cell r="AL1" t="str">
            <v>2013 Q2</v>
          </cell>
          <cell r="AM1" t="str">
            <v>2013 Q3</v>
          </cell>
          <cell r="AN1" t="str">
            <v>2013 Q4</v>
          </cell>
          <cell r="AO1">
            <v>2013</v>
          </cell>
          <cell r="AP1" t="str">
            <v>2014 Q1</v>
          </cell>
          <cell r="AQ1" t="str">
            <v>2014 Q2</v>
          </cell>
          <cell r="AR1" t="str">
            <v>2014 Q3</v>
          </cell>
          <cell r="AS1" t="str">
            <v>2014 Q4</v>
          </cell>
          <cell r="AT1">
            <v>2014</v>
          </cell>
          <cell r="AU1" t="str">
            <v>2015 Q1</v>
          </cell>
          <cell r="AV1" t="str">
            <v>2015 Q2</v>
          </cell>
          <cell r="AW1" t="str">
            <v>2015 Q3</v>
          </cell>
          <cell r="AX1" t="str">
            <v>2015 Q4</v>
          </cell>
          <cell r="AY1">
            <v>2015</v>
          </cell>
          <cell r="AZ1" t="str">
            <v>2016</v>
          </cell>
          <cell r="BA1" t="str">
            <v>2017</v>
          </cell>
          <cell r="BB1" t="str">
            <v>2018</v>
          </cell>
          <cell r="BC1" t="str">
            <v>2019</v>
          </cell>
          <cell r="BD1" t="str">
            <v>2020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Actual</v>
          </cell>
          <cell r="AU2" t="str">
            <v>Actual</v>
          </cell>
          <cell r="AV2" t="str">
            <v>Actual</v>
          </cell>
          <cell r="AW2" t="str">
            <v>Actual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40268</v>
          </cell>
          <cell r="W3">
            <v>40359</v>
          </cell>
          <cell r="X3">
            <v>40451</v>
          </cell>
          <cell r="Y3">
            <v>40543</v>
          </cell>
          <cell r="Z3">
            <v>40543</v>
          </cell>
          <cell r="AA3">
            <v>40633</v>
          </cell>
          <cell r="AB3">
            <v>40724</v>
          </cell>
          <cell r="AC3">
            <v>40816</v>
          </cell>
          <cell r="AD3">
            <v>40908</v>
          </cell>
          <cell r="AE3">
            <v>40908</v>
          </cell>
          <cell r="AF3">
            <v>40999</v>
          </cell>
          <cell r="AG3">
            <v>41090</v>
          </cell>
          <cell r="AH3">
            <v>41182</v>
          </cell>
          <cell r="AI3">
            <v>41274</v>
          </cell>
          <cell r="AJ3">
            <v>41274</v>
          </cell>
          <cell r="AK3">
            <v>41364</v>
          </cell>
          <cell r="AL3">
            <v>41455</v>
          </cell>
          <cell r="AM3">
            <v>41547</v>
          </cell>
          <cell r="AN3">
            <v>41639</v>
          </cell>
          <cell r="AO3">
            <v>41639</v>
          </cell>
          <cell r="AP3">
            <v>41729</v>
          </cell>
          <cell r="AQ3">
            <v>41820</v>
          </cell>
          <cell r="AR3">
            <v>41912</v>
          </cell>
          <cell r="AS3">
            <v>42004</v>
          </cell>
          <cell r="AT3">
            <v>42004</v>
          </cell>
          <cell r="AU3">
            <v>42094</v>
          </cell>
          <cell r="AV3">
            <v>42185</v>
          </cell>
          <cell r="AW3">
            <v>42277</v>
          </cell>
          <cell r="AX3">
            <v>42369</v>
          </cell>
          <cell r="AY3">
            <v>42369</v>
          </cell>
          <cell r="AZ3">
            <v>42735</v>
          </cell>
          <cell r="BA3">
            <v>43100</v>
          </cell>
          <cell r="BB3">
            <v>43465</v>
          </cell>
          <cell r="BC3">
            <v>43830</v>
          </cell>
          <cell r="BD3">
            <v>44196</v>
          </cell>
        </row>
        <row r="4">
          <cell r="A4" t="str">
            <v>Issuer: NavInfo Co.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6">
          <cell r="B6" t="str">
            <v>Issuer Name</v>
          </cell>
          <cell r="C6" t="str">
            <v>Issuer Name</v>
          </cell>
          <cell r="E6" t="str">
            <v>NavInfo Co.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185.14587972999999</v>
          </cell>
          <cell r="T9">
            <v>325.56347449000003</v>
          </cell>
          <cell r="U9">
            <v>428.05853652999997</v>
          </cell>
          <cell r="V9">
            <v>137.89094828999998</v>
          </cell>
          <cell r="W9">
            <v>173.31873510000003</v>
          </cell>
          <cell r="X9">
            <v>194.18856146000002</v>
          </cell>
          <cell r="Y9">
            <v>169.86133459000001</v>
          </cell>
          <cell r="Z9">
            <v>675.25957944000004</v>
          </cell>
          <cell r="AA9">
            <v>214.18236059999998</v>
          </cell>
          <cell r="AB9">
            <v>228.59588580000002</v>
          </cell>
          <cell r="AC9">
            <v>229.63133513999998</v>
          </cell>
          <cell r="AD9">
            <v>194.71488378000004</v>
          </cell>
          <cell r="AE9">
            <v>867.12446532000001</v>
          </cell>
          <cell r="AF9">
            <v>175.19569138999998</v>
          </cell>
          <cell r="AG9">
            <v>192.90395625999997</v>
          </cell>
          <cell r="AH9">
            <v>164.49970592</v>
          </cell>
          <cell r="AI9">
            <v>240.3708307600001</v>
          </cell>
          <cell r="AJ9">
            <v>772.97018433000005</v>
          </cell>
          <cell r="AK9">
            <v>155.07549097999998</v>
          </cell>
          <cell r="AL9">
            <v>199.32830216000002</v>
          </cell>
          <cell r="AM9">
            <v>191.46117058999999</v>
          </cell>
          <cell r="AN9">
            <v>335.00908411</v>
          </cell>
          <cell r="AO9">
            <v>880.87404784</v>
          </cell>
          <cell r="AP9">
            <v>201.30070259000001</v>
          </cell>
          <cell r="AQ9">
            <v>250.12147180999995</v>
          </cell>
          <cell r="AR9">
            <v>263.57710313000001</v>
          </cell>
          <cell r="AS9">
            <v>344.01387769999997</v>
          </cell>
          <cell r="AT9">
            <v>1059.0131552299999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1379.1496385555999</v>
          </cell>
          <cell r="AZ9">
            <v>1880.8730099272198</v>
          </cell>
          <cell r="BA9">
            <v>2523.4082489141192</v>
          </cell>
          <cell r="BB9">
            <v>3326.386865663766</v>
          </cell>
          <cell r="BC9">
            <v>4096.0681772349071</v>
          </cell>
          <cell r="BD9">
            <v>5019.685751120277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-17.109807499999999</v>
          </cell>
          <cell r="T11">
            <v>-23.6373131</v>
          </cell>
          <cell r="U11">
            <v>-37.084583039999998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-79.971273280000005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-130.79402263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-117.04711245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-184.69466181999999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-197.03911836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-348.384281166856</v>
          </cell>
          <cell r="AZ11">
            <v>-493.07088646146337</v>
          </cell>
          <cell r="BA11">
            <v>-692.90210581430915</v>
          </cell>
          <cell r="BB11">
            <v>-930.02375864502119</v>
          </cell>
          <cell r="BC11">
            <v>-1165.6991250212279</v>
          </cell>
          <cell r="BD11">
            <v>-1453.6496722342949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-48.143354030000005</v>
          </cell>
          <cell r="T12">
            <v>-115.24599872999998</v>
          </cell>
          <cell r="U12">
            <v>-161.00729312000001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-202.74850810000001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-246.98069671000005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-306.92243891999999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-404.55865804999996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-461.57339445999997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-558.01781900905007</v>
          </cell>
          <cell r="AZ12">
            <v>-752.18295015125341</v>
          </cell>
          <cell r="BA12">
            <v>-1019.6012799187699</v>
          </cell>
          <cell r="BB12">
            <v>-1299.2188469420573</v>
          </cell>
          <cell r="BC12">
            <v>-1578.3600532909882</v>
          </cell>
          <cell r="BD12">
            <v>-1898.2153171886123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-65.25316153</v>
          </cell>
          <cell r="T13">
            <v>-138.88331182999997</v>
          </cell>
          <cell r="U13">
            <v>-198.09187616000003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-282.71978138000003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-377.77471934000005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-423.96955136999998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-589.25331986999993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-658.61251282000001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-906.40210017590607</v>
          </cell>
          <cell r="AZ13">
            <v>-1245.2538366127169</v>
          </cell>
          <cell r="BA13">
            <v>-1712.5033857330791</v>
          </cell>
          <cell r="BB13">
            <v>-2229.2426055870783</v>
          </cell>
          <cell r="BC13">
            <v>-2744.0591783122163</v>
          </cell>
          <cell r="BD13">
            <v>-3351.8649894229075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-50.909500000000001</v>
          </cell>
          <cell r="T14">
            <v>-89.67110000000001</v>
          </cell>
          <cell r="U14">
            <v>-97.773160020000006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-181.29647338999999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-235.03896803000001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-249.76046969000001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-292.06492772000001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-361.32759820999996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-431.41339901822084</v>
          </cell>
          <cell r="AZ14">
            <v>-510.3146869221373</v>
          </cell>
          <cell r="BA14">
            <v>-596.89337068397435</v>
          </cell>
          <cell r="BB14">
            <v>-698.60821655996915</v>
          </cell>
          <cell r="BC14">
            <v>-799.81603692105909</v>
          </cell>
          <cell r="BD14">
            <v>-915.8191748289853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-116.16266153000001</v>
          </cell>
          <cell r="T16">
            <v>-228.55441182999999</v>
          </cell>
          <cell r="U16">
            <v>-295.86503618000006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-464.01625477000005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-612.81368737000003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-673.73002106000001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-881.31824758999994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-1019.94011103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-1337.8154991941269</v>
          </cell>
          <cell r="AZ16">
            <v>-1755.5685235348544</v>
          </cell>
          <cell r="BA16">
            <v>-2309.3967564170534</v>
          </cell>
          <cell r="BB16">
            <v>-2927.8508221470474</v>
          </cell>
          <cell r="BC16">
            <v>-3543.8752152332754</v>
          </cell>
          <cell r="BD16">
            <v>-4267.684164251893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-105.25304852000001</v>
          </cell>
          <cell r="T17">
            <v>-184.39018188</v>
          </cell>
          <cell r="U17">
            <v>-224.86374873000005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-385.19450894000005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-533.19147526000006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-548.38949717000003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-708.02992002999997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-796.85996117000002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-992.92284000673135</v>
          </cell>
          <cell r="AZ17">
            <v>-1250.6402025402999</v>
          </cell>
          <cell r="BA17">
            <v>-1597.8863176898208</v>
          </cell>
          <cell r="BB17">
            <v>-1954.6688884672144</v>
          </cell>
          <cell r="BC17">
            <v>-2261.511032187198</v>
          </cell>
          <cell r="BD17">
            <v>-2622.30700012325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79.892831209999983</v>
          </cell>
          <cell r="T18">
            <v>141.17329261000003</v>
          </cell>
          <cell r="U18">
            <v>203.19478779999992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290.06507049999999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333.93299005999995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224.58068716000002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172.84412781000003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262.15319405999992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386.2267985488686</v>
          </cell>
          <cell r="AZ18">
            <v>630.23280738691983</v>
          </cell>
          <cell r="BA18">
            <v>925.52193122429844</v>
          </cell>
          <cell r="BB18">
            <v>1371.7179771965516</v>
          </cell>
          <cell r="BC18">
            <v>1834.5571450477091</v>
          </cell>
          <cell r="BD18">
            <v>2397.3787509970271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-7.0791909200000003</v>
          </cell>
          <cell r="T19">
            <v>-9.4482120999999992</v>
          </cell>
          <cell r="U19">
            <v>-11.904733439999999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-14.07715166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-18.753172960000001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-29.60255231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-39.76685561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-43.896434140000004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-100.24588687522686</v>
          </cell>
          <cell r="AZ19">
            <v>-172.78912654602411</v>
          </cell>
          <cell r="BA19">
            <v>-264.33768454357926</v>
          </cell>
          <cell r="BB19">
            <v>-377.40334057552087</v>
          </cell>
          <cell r="BC19">
            <v>-507.25417754452195</v>
          </cell>
          <cell r="BD19">
            <v>-654.89389073791142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-3.8304220899999999</v>
          </cell>
          <cell r="T20">
            <v>-34.71601785</v>
          </cell>
          <cell r="U20">
            <v>-59.096554010000006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-64.744594169999999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-60.869039149999992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-95.737971579999993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-133.52147195000001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-179.18371572000001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-244.64677231216865</v>
          </cell>
          <cell r="AZ20">
            <v>-332.1391944485303</v>
          </cell>
          <cell r="BA20">
            <v>-447.17275418365352</v>
          </cell>
          <cell r="BB20">
            <v>-595.77859310431222</v>
          </cell>
          <cell r="BC20">
            <v>-775.11000550155563</v>
          </cell>
          <cell r="BD20">
            <v>-990.48327339073148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68.983218199999982</v>
          </cell>
          <cell r="T21">
            <v>97.009062660000041</v>
          </cell>
          <cell r="U21">
            <v>132.19350034999991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211.24332466999999</v>
          </cell>
          <cell r="AA21">
            <v>88.299158169999984</v>
          </cell>
          <cell r="AB21">
            <v>87.606012490000012</v>
          </cell>
          <cell r="AC21">
            <v>88.300745710000001</v>
          </cell>
          <cell r="AD21">
            <v>-9.8951384200000234</v>
          </cell>
          <cell r="AE21">
            <v>254.31077794999999</v>
          </cell>
          <cell r="AF21">
            <v>47.22904321999998</v>
          </cell>
          <cell r="AG21">
            <v>47.996542749999982</v>
          </cell>
          <cell r="AH21">
            <v>14.752097270000007</v>
          </cell>
          <cell r="AI21">
            <v>-10.737519969999909</v>
          </cell>
          <cell r="AJ21">
            <v>99.240163270000039</v>
          </cell>
          <cell r="AK21">
            <v>-9.3276867299999964</v>
          </cell>
          <cell r="AL21">
            <v>-0.58144801999995366</v>
          </cell>
          <cell r="AM21">
            <v>-4.2618326500000023</v>
          </cell>
          <cell r="AN21">
            <v>13.726767650000056</v>
          </cell>
          <cell r="AO21">
            <v>-0.44419974999993883</v>
          </cell>
          <cell r="AP21">
            <v>13.687657269999988</v>
          </cell>
          <cell r="AQ21">
            <v>-2.1604431000000375</v>
          </cell>
          <cell r="AR21">
            <v>-1.1833848399999738</v>
          </cell>
          <cell r="AS21">
            <v>28.729214869999964</v>
          </cell>
          <cell r="AT21">
            <v>39.073044199999913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41.334139361473035</v>
          </cell>
          <cell r="AZ21">
            <v>125.30448639236533</v>
          </cell>
          <cell r="BA21">
            <v>214.01149249706577</v>
          </cell>
          <cell r="BB21">
            <v>398.53604351671856</v>
          </cell>
          <cell r="BC21">
            <v>552.19296200163171</v>
          </cell>
          <cell r="BD21">
            <v>752.00158686838404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1.2163142600000001</v>
          </cell>
          <cell r="T22">
            <v>2.2247292200000004</v>
          </cell>
          <cell r="U22">
            <v>7.6139449599999995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13.303279939999999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44.972291720000001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58.551184060000004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36.325683310000002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35.86830458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17.19367724045</v>
          </cell>
          <cell r="AZ22">
            <v>16.828472695367932</v>
          </cell>
          <cell r="BA22">
            <v>13.095718755271406</v>
          </cell>
          <cell r="BB22">
            <v>11.424109321971248</v>
          </cell>
          <cell r="BC22">
            <v>10.962388460141812</v>
          </cell>
          <cell r="BD22">
            <v>12.279805348545139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1.2163142600000001</v>
          </cell>
          <cell r="T24">
            <v>2.2247292200000004</v>
          </cell>
          <cell r="U24">
            <v>7.6139449599999995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13.303279939999999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44.972291720000001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58.551184060000004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36.325683310000002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35.86830458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17.19367724045</v>
          </cell>
          <cell r="AZ24">
            <v>16.828472695367932</v>
          </cell>
          <cell r="BA24">
            <v>13.095718755271406</v>
          </cell>
          <cell r="BB24">
            <v>11.424109321971248</v>
          </cell>
          <cell r="BC24">
            <v>10.962388460141812</v>
          </cell>
          <cell r="BD24">
            <v>12.279805348545139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18.277418620000009</v>
          </cell>
          <cell r="T27">
            <v>35.130075710000028</v>
          </cell>
          <cell r="U27">
            <v>33.192374650000062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62.442176390000029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73.128026019999922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43.213584269999977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85.576465479999996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98.45123807000013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140.77685736999999</v>
          </cell>
          <cell r="AZ27">
            <v>144.99559094050019</v>
          </cell>
          <cell r="BA27">
            <v>175.00707801435502</v>
          </cell>
          <cell r="BB27">
            <v>217.19320587179155</v>
          </cell>
          <cell r="BC27">
            <v>252.88067737130393</v>
          </cell>
          <cell r="BD27">
            <v>294.74296162250215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88.476951079999992</v>
          </cell>
          <cell r="T28">
            <v>134.36386759000007</v>
          </cell>
          <cell r="U28">
            <v>172.99981995999997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286.98878100000002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372.41109568999991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201.00493160000002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121.45794904000006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173.39258685000004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199.30467397192302</v>
          </cell>
          <cell r="AZ28">
            <v>287.12855002823346</v>
          </cell>
          <cell r="BA28">
            <v>402.1142892666922</v>
          </cell>
          <cell r="BB28">
            <v>627.15335871048137</v>
          </cell>
          <cell r="BC28">
            <v>816.03602783307747</v>
          </cell>
          <cell r="BD28">
            <v>1059.0243538394313</v>
          </cell>
        </row>
        <row r="29">
          <cell r="A29" t="str">
            <v>Additional Income Statement Items</v>
          </cell>
          <cell r="B29">
            <v>0</v>
          </cell>
          <cell r="C29">
            <v>0</v>
          </cell>
          <cell r="D29">
            <v>0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A36" t="str">
            <v>Balance Sheet</v>
          </cell>
          <cell r="B36">
            <v>0</v>
          </cell>
          <cell r="C36">
            <v>0</v>
          </cell>
          <cell r="D36">
            <v>0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276.43808568999998</v>
          </cell>
          <cell r="T37">
            <v>305.21741305</v>
          </cell>
          <cell r="U37">
            <v>339.59532593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1988.0002439899999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2105.3188012099999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1935.94501902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1848.8224283099999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1731.9098394600001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1558.1919162377715</v>
          </cell>
          <cell r="AZ37">
            <v>1347.2961682377988</v>
          </cell>
          <cell r="BA37">
            <v>1175.3198890916919</v>
          </cell>
          <cell r="BB37">
            <v>1127.8177428129434</v>
          </cell>
          <cell r="BC37">
            <v>1263.354459726866</v>
          </cell>
          <cell r="BD37">
            <v>1659.9740859328592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33.756701120000002</v>
          </cell>
          <cell r="T38">
            <v>38.754947749999999</v>
          </cell>
          <cell r="U38">
            <v>79.469372680000006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50.744676960000007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136.62760563000001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255.51586194999999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282.11411257000003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281.42317106999997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366.49654704059554</v>
          </cell>
          <cell r="AZ38">
            <v>499.82499671473289</v>
          </cell>
          <cell r="BA38">
            <v>670.57292707508952</v>
          </cell>
          <cell r="BB38">
            <v>883.95723444755959</v>
          </cell>
          <cell r="BC38">
            <v>1088.4930840221798</v>
          </cell>
          <cell r="BD38">
            <v>1333.9361035117242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0.33706916999999997</v>
          </cell>
          <cell r="T39">
            <v>0.70479005000000006</v>
          </cell>
          <cell r="U39">
            <v>0.79951260999999996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0.55363768000000002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1.48085256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8.2796091300000008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31.571883440000001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51.374972829999997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90.835937190123659</v>
          </cell>
          <cell r="AZ39">
            <v>128.56078329045204</v>
          </cell>
          <cell r="BA39">
            <v>180.66375426538886</v>
          </cell>
          <cell r="BB39">
            <v>242.48964230719992</v>
          </cell>
          <cell r="BC39">
            <v>303.93843300954336</v>
          </cell>
          <cell r="BD39">
            <v>379.01718723146695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0.79409119000002404</v>
          </cell>
          <cell r="T40">
            <v>4.6227344099999925</v>
          </cell>
          <cell r="U40">
            <v>8.9559592000000023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13.566790150000253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20.831419380000131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31.213693029999813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65.625384429999968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75.630818929999862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75.630818929999649</v>
          </cell>
          <cell r="AZ40">
            <v>75.630818929999748</v>
          </cell>
          <cell r="BA40">
            <v>75.63081892999972</v>
          </cell>
          <cell r="BB40">
            <v>75.630818929999919</v>
          </cell>
          <cell r="BC40">
            <v>75.63081893000026</v>
          </cell>
          <cell r="BD40">
            <v>75.630818929999634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311.32594717000001</v>
          </cell>
          <cell r="T41">
            <v>349.29988526</v>
          </cell>
          <cell r="U41">
            <v>428.82017042000001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2052.8653487800002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2264.2586787800001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2230.9541831299998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2228.1338087499998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2140.3388022899999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2091.1552193984903</v>
          </cell>
          <cell r="AZ41">
            <v>2051.3127671729835</v>
          </cell>
          <cell r="BA41">
            <v>2102.1873893621701</v>
          </cell>
          <cell r="BB41">
            <v>2329.8954384977028</v>
          </cell>
          <cell r="BC41">
            <v>2731.4167956885894</v>
          </cell>
          <cell r="BD41">
            <v>3448.55819560605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24.122158030000001</v>
          </cell>
          <cell r="T42">
            <v>37.427658689999994</v>
          </cell>
          <cell r="U42">
            <v>74.648577020000005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99.656454029999992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139.57473984999999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198.13491320999998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273.64559369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383.50991654999996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875.81810375267514</v>
          </cell>
          <cell r="AZ42">
            <v>1509.6065272880292</v>
          </cell>
          <cell r="BA42">
            <v>2309.4386896440583</v>
          </cell>
          <cell r="BB42">
            <v>3297.2592531819996</v>
          </cell>
          <cell r="BC42">
            <v>4431.7268842224566</v>
          </cell>
          <cell r="BD42">
            <v>5721.6105660194571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-33.326179310000001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-44.083434629999999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-59.605377729999994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-88.782609609999994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-150.51813527000002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-177.98584822999999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-278.23173510522685</v>
          </cell>
          <cell r="AZ43">
            <v>-451.02086165125093</v>
          </cell>
          <cell r="BA43">
            <v>-715.35854619483018</v>
          </cell>
          <cell r="BB43">
            <v>-1092.7618867703511</v>
          </cell>
          <cell r="BC43">
            <v>-1600.0160643148731</v>
          </cell>
          <cell r="BD43">
            <v>-2254.9099550527844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24.122158030000001</v>
          </cell>
          <cell r="T44">
            <v>37.427658689999994</v>
          </cell>
          <cell r="U44">
            <v>41.322397710000004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55.573019399999993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79.96936212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109.35230359999998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123.12745841999998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205.52406831999997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597.58636864744835</v>
          </cell>
          <cell r="AZ44">
            <v>1058.5856656367782</v>
          </cell>
          <cell r="BA44">
            <v>1594.0801434492282</v>
          </cell>
          <cell r="BB44">
            <v>2204.4973664116487</v>
          </cell>
          <cell r="BC44">
            <v>2831.7108199075838</v>
          </cell>
          <cell r="BD44">
            <v>3466.7006109666727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87.785552899999999</v>
          </cell>
          <cell r="T45">
            <v>121.10546198999999</v>
          </cell>
          <cell r="U45">
            <v>227.29878485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180.48533634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285.57176229000004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459.31241819000002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541.88783337999996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678.96960485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873.0852914319355</v>
          </cell>
          <cell r="AZ45">
            <v>1132.5240111899147</v>
          </cell>
          <cell r="BA45">
            <v>1473.6296605496921</v>
          </cell>
          <cell r="BB45">
            <v>1914.2862072166424</v>
          </cell>
          <cell r="BC45">
            <v>2446.0523980327853</v>
          </cell>
          <cell r="BD45">
            <v>3084.6924485296622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-103.67400769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-45.571163249999998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-41.844094069999997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-62.338442749999999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-91.508708650000003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-154.86972309999999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-399.51649541216864</v>
          </cell>
          <cell r="AZ46">
            <v>-731.65568986069889</v>
          </cell>
          <cell r="BA46">
            <v>-1178.8284440443524</v>
          </cell>
          <cell r="BB46">
            <v>-1774.6070371486646</v>
          </cell>
          <cell r="BC46">
            <v>-2549.7170426502203</v>
          </cell>
          <cell r="BD46">
            <v>-3540.2003160409517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87.785552899999999</v>
          </cell>
          <cell r="T47">
            <v>121.10546198999999</v>
          </cell>
          <cell r="U47">
            <v>123.62477716000001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134.91417309000002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243.72766822000006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396.97397544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450.37912472999994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524.09988175000001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473.56879601976686</v>
          </cell>
          <cell r="AZ47">
            <v>400.86832132921586</v>
          </cell>
          <cell r="BA47">
            <v>294.80121650533965</v>
          </cell>
          <cell r="BB47">
            <v>139.67917006797779</v>
          </cell>
          <cell r="BC47">
            <v>-103.66464461743499</v>
          </cell>
          <cell r="BD47">
            <v>-455.50786751128953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0.33394499999999999</v>
          </cell>
          <cell r="T49">
            <v>0.6287616800000001</v>
          </cell>
          <cell r="U49">
            <v>2.6607256800000001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34.735411999999997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46.848771499999998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48.394491899999998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50.860373100000004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33.68978207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33.68978207</v>
          </cell>
          <cell r="AZ49">
            <v>33.68978207</v>
          </cell>
          <cell r="BA49">
            <v>33.68978207</v>
          </cell>
          <cell r="BB49">
            <v>33.68978207</v>
          </cell>
          <cell r="BC49">
            <v>33.68978207</v>
          </cell>
          <cell r="BD49">
            <v>33.68978207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1.9258749699999669</v>
          </cell>
          <cell r="T50">
            <v>4.5466129500000072</v>
          </cell>
          <cell r="U50">
            <v>6.9123400600001172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10.56012197000004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12.791618170000106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23.776542409999813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135.47114997000011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207.60063747000001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207.60063747000001</v>
          </cell>
          <cell r="AZ50">
            <v>207.6006374699999</v>
          </cell>
          <cell r="BA50">
            <v>207.60063746999967</v>
          </cell>
          <cell r="BB50">
            <v>207.60063747000012</v>
          </cell>
          <cell r="BC50">
            <v>207.60063747000012</v>
          </cell>
          <cell r="BD50">
            <v>207.60063747000058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425.49347806999998</v>
          </cell>
          <cell r="T51">
            <v>513.00838056999999</v>
          </cell>
          <cell r="U51">
            <v>603.34041103000015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2288.6480752400003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2647.5960987900003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2809.4514964799996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2987.9719149699999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3111.2531718999999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3403.6008036057056</v>
          </cell>
          <cell r="AZ51">
            <v>3752.0571736789775</v>
          </cell>
          <cell r="BA51">
            <v>4232.3591688567376</v>
          </cell>
          <cell r="BB51">
            <v>4915.3623945173294</v>
          </cell>
          <cell r="BC51">
            <v>5700.7533905187383</v>
          </cell>
          <cell r="BD51">
            <v>6701.0413586014338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17.706373580000001</v>
          </cell>
          <cell r="T52">
            <v>56.514752819999998</v>
          </cell>
          <cell r="U52">
            <v>48.827858550000002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80.425856789999997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119.49067442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156.16275324999998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186.59195653999998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203.09372662000001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359.0894160860712</v>
          </cell>
          <cell r="AZ52">
            <v>508.22194421478076</v>
          </cell>
          <cell r="BA52">
            <v>714.19356736850568</v>
          </cell>
          <cell r="BB52">
            <v>958.60148259118921</v>
          </cell>
          <cell r="BC52">
            <v>1201.5186699408985</v>
          </cell>
          <cell r="BD52">
            <v>1498.3173472924818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3</v>
          </cell>
          <cell r="T53">
            <v>6</v>
          </cell>
          <cell r="U53">
            <v>1.1968720000000002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1.0093680699999998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31.98062406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14.5558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53.880959999999995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92.449439999999996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92.449439999999996</v>
          </cell>
          <cell r="AZ53">
            <v>92.449439999999996</v>
          </cell>
          <cell r="BA53">
            <v>92.449439999999996</v>
          </cell>
          <cell r="BB53">
            <v>92.449439999999996</v>
          </cell>
          <cell r="BC53">
            <v>92.449439999999996</v>
          </cell>
          <cell r="BD53">
            <v>92.449439999999996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32.241630509999993</v>
          </cell>
          <cell r="T54">
            <v>32.503558280000007</v>
          </cell>
          <cell r="U54">
            <v>44.167689060000001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45.815881019999985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98.698857290000007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123.86786607000002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140.91866654999995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178.08917929000006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187.55317265943597</v>
          </cell>
          <cell r="AZ54">
            <v>210.28452093265304</v>
          </cell>
          <cell r="BA54">
            <v>237.30279154600169</v>
          </cell>
          <cell r="BB54">
            <v>293.97456208641688</v>
          </cell>
          <cell r="BC54">
            <v>339.49915711240476</v>
          </cell>
          <cell r="BD54">
            <v>398.06432451959552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52.948004089999998</v>
          </cell>
          <cell r="T55">
            <v>95.018311100000005</v>
          </cell>
          <cell r="U55">
            <v>94.192419610000002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127.25110587999998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250.17015577000001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294.58641932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381.39158308999993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473.63234591000003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639.09202874550715</v>
          </cell>
          <cell r="AZ55">
            <v>810.95590514743378</v>
          </cell>
          <cell r="BA55">
            <v>1043.9457989145073</v>
          </cell>
          <cell r="BB55">
            <v>1345.0254846776061</v>
          </cell>
          <cell r="BC55">
            <v>1633.4672670533032</v>
          </cell>
          <cell r="BD55">
            <v>1988.8311118120773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12.47934966</v>
          </cell>
          <cell r="T57">
            <v>14.16786892</v>
          </cell>
          <cell r="U57">
            <v>10.82613385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35.971264930000004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35.911874999999995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25.705173630000001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21.256544210000001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7.5798262300000001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7.5798262300000001</v>
          </cell>
          <cell r="AZ57">
            <v>7.5798262300000001</v>
          </cell>
          <cell r="BA57">
            <v>7.5798262300000001</v>
          </cell>
          <cell r="BB57">
            <v>7.5798262300000001</v>
          </cell>
          <cell r="BC57">
            <v>7.5798262300000001</v>
          </cell>
          <cell r="BD57">
            <v>7.5798262300000001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12.47934966</v>
          </cell>
          <cell r="T58">
            <v>14.16786892</v>
          </cell>
          <cell r="U58">
            <v>10.82613385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35.971264930000004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35.911874999999995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25.705173630000001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21.256544210000001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7.5798262300000001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7.5798262300000001</v>
          </cell>
          <cell r="AZ58">
            <v>7.5798262300000001</v>
          </cell>
          <cell r="BA58">
            <v>7.5798262300000001</v>
          </cell>
          <cell r="BB58">
            <v>7.5798262300000001</v>
          </cell>
          <cell r="BC58">
            <v>7.5798262300000001</v>
          </cell>
          <cell r="BD58">
            <v>7.5798262300000001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65.427353749999995</v>
          </cell>
          <cell r="T59">
            <v>109.18618002000001</v>
          </cell>
          <cell r="U59">
            <v>105.01855346000001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163.22237080999997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286.08203077000002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320.29159294999999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402.64812729999994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481.21217214000001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646.67185497550713</v>
          </cell>
          <cell r="AZ59">
            <v>818.53573137743376</v>
          </cell>
          <cell r="BA59">
            <v>1051.5256251445073</v>
          </cell>
          <cell r="BB59">
            <v>1352.6053109076061</v>
          </cell>
          <cell r="BC59">
            <v>1641.0470932833032</v>
          </cell>
          <cell r="BD59">
            <v>1996.4109380420773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349.70704402999996</v>
          </cell>
          <cell r="T61">
            <v>393.35254659999998</v>
          </cell>
          <cell r="U61">
            <v>480.31955490000001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2091.3850999800002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2310.8785614200001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2373.1198576699999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2409.80971387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2460.6608579599997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2568.8829169401984</v>
          </cell>
          <cell r="AZ61">
            <v>2732.0956970694619</v>
          </cell>
          <cell r="BA61">
            <v>2960.6699404683372</v>
          </cell>
          <cell r="BB61">
            <v>3313.3691754833103</v>
          </cell>
          <cell r="BC61">
            <v>3772.2924655589209</v>
          </cell>
          <cell r="BD61">
            <v>4367.8678129179771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10.35908029</v>
          </cell>
          <cell r="T62">
            <v>10.46965395</v>
          </cell>
          <cell r="U62">
            <v>18.002302670000002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34.040604450000004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50.635506599999999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116.04004586000001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175.51407380000001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169.38014142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188.04603130999999</v>
          </cell>
          <cell r="AZ62">
            <v>201.42574485208195</v>
          </cell>
          <cell r="BA62">
            <v>220.16360286389295</v>
          </cell>
          <cell r="BB62">
            <v>249.38790774641228</v>
          </cell>
          <cell r="BC62">
            <v>287.41383129651337</v>
          </cell>
          <cell r="BD62">
            <v>336.762607261379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360.06612431999997</v>
          </cell>
          <cell r="T63">
            <v>403.82220054999999</v>
          </cell>
          <cell r="U63">
            <v>498.32185757000002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2125.4257044300002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2361.5140680200002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2489.1599035300001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2585.32378767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2630.0409993799999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2756.9289482501981</v>
          </cell>
          <cell r="AZ63">
            <v>2933.521441921544</v>
          </cell>
          <cell r="BA63">
            <v>3180.83354333223</v>
          </cell>
          <cell r="BB63">
            <v>3562.7570832297224</v>
          </cell>
          <cell r="BC63">
            <v>4059.7062968554342</v>
          </cell>
          <cell r="BD63">
            <v>4704.6304201793564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425.49347806999998</v>
          </cell>
          <cell r="T64">
            <v>513.00838056999999</v>
          </cell>
          <cell r="U64">
            <v>603.34041103000004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2288.6480752400003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2647.5960987900003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2809.4514964800001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2987.9719149699999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3111.2531715199998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3403.600803225705</v>
          </cell>
          <cell r="AZ64">
            <v>3752.0571732989779</v>
          </cell>
          <cell r="BA64">
            <v>4232.3591684767371</v>
          </cell>
          <cell r="BB64">
            <v>4915.362394137328</v>
          </cell>
          <cell r="BC64">
            <v>5700.7533901387378</v>
          </cell>
          <cell r="BD64">
            <v>6701.0413582214333</v>
          </cell>
        </row>
        <row r="65">
          <cell r="A65" t="str">
            <v>Additional Balance Sheet Items</v>
          </cell>
          <cell r="B65">
            <v>0</v>
          </cell>
          <cell r="C65">
            <v>0</v>
          </cell>
          <cell r="D65">
            <v>0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-273.43808568999998</v>
          </cell>
          <cell r="T66">
            <v>-299.21741305</v>
          </cell>
          <cell r="U66">
            <v>-338.39845393000002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-1986.99087592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-2073.3381771499999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-1921.3892190199999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-1794.9414683099999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-1639.46039946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-1465.7424762377714</v>
          </cell>
          <cell r="AZ66">
            <v>-1254.8467282377987</v>
          </cell>
          <cell r="BA66">
            <v>-1082.8704490916919</v>
          </cell>
          <cell r="BB66">
            <v>-1035.3683028129433</v>
          </cell>
          <cell r="BC66">
            <v>-1170.9050197268659</v>
          </cell>
          <cell r="BD66">
            <v>-1567.5246459328591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</row>
        <row r="71">
          <cell r="B71" t="str">
            <v>Company borrowing margin</v>
          </cell>
          <cell r="C71" t="str">
            <v>CO_BOR_MARGIN</v>
          </cell>
          <cell r="F71" t="e">
            <v>#VALUE!</v>
          </cell>
          <cell r="G71" t="e">
            <v>#VALUE!</v>
          </cell>
          <cell r="H71" t="e">
            <v>#VALUE!</v>
          </cell>
          <cell r="I71" t="e">
            <v>#VALUE!</v>
          </cell>
          <cell r="J71" t="e">
            <v>#VALUE!</v>
          </cell>
          <cell r="K71" t="e">
            <v>#VALUE!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-87.785552899999999</v>
          </cell>
          <cell r="T75">
            <v>-121.10546198999999</v>
          </cell>
          <cell r="U75">
            <v>-123.62477716000001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-134.91417309000002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-243.72766822000006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-396.97397544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-450.37912472999994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-524.09988175000001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-473.56879601976686</v>
          </cell>
          <cell r="AZ75">
            <v>-400.86832132921586</v>
          </cell>
          <cell r="BA75">
            <v>-294.80121650533965</v>
          </cell>
          <cell r="BB75">
            <v>-139.67917006797779</v>
          </cell>
          <cell r="BC75">
            <v>103.66464461743499</v>
          </cell>
          <cell r="BD75">
            <v>455.50786751128953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324.34758568999996</v>
          </cell>
          <cell r="T76">
            <v>439.79801305000001</v>
          </cell>
          <cell r="U76">
            <v>576.75221395000005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2406.6411093299998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2728.0273785899999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2774.92939015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2850.87546716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2958.9488364999997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3035.3478389059919</v>
          </cell>
          <cell r="AZ76">
            <v>3099.7278097981571</v>
          </cell>
          <cell r="BA76">
            <v>3274.8844316460245</v>
          </cell>
          <cell r="BB76">
            <v>3633.9255742072446</v>
          </cell>
          <cell r="BC76">
            <v>4207.9507298322269</v>
          </cell>
          <cell r="BD76">
            <v>5088.9761318489846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1</v>
          </cell>
          <cell r="T77">
            <v>1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1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1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1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1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1</v>
          </cell>
          <cell r="AZ77">
            <v>1</v>
          </cell>
          <cell r="BA77">
            <v>1</v>
          </cell>
          <cell r="BB77">
            <v>1</v>
          </cell>
          <cell r="BC77">
            <v>1</v>
          </cell>
          <cell r="BD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10.35908029</v>
          </cell>
          <cell r="T78">
            <v>10.46965395</v>
          </cell>
          <cell r="U78">
            <v>18.002302670000002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34.040604450000004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50.635506599999999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116.04004586000001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175.51407380000001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169.38014142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188.04603130999999</v>
          </cell>
          <cell r="AZ78">
            <v>201.42574485208195</v>
          </cell>
          <cell r="BA78">
            <v>220.16360286389295</v>
          </cell>
          <cell r="BB78">
            <v>249.38790774641228</v>
          </cell>
          <cell r="BC78">
            <v>287.41383129651337</v>
          </cell>
          <cell r="BD78">
            <v>336.762607261379</v>
          </cell>
        </row>
        <row r="79">
          <cell r="A79" t="str">
            <v>Cash Flow Statement</v>
          </cell>
          <cell r="B79">
            <v>0</v>
          </cell>
          <cell r="C79">
            <v>0</v>
          </cell>
          <cell r="D79">
            <v>0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1.5619981399999998</v>
          </cell>
          <cell r="T80">
            <v>-0.31977028000000002</v>
          </cell>
          <cell r="U80">
            <v>12.18874016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22.005842250000001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26.679365369999999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11.788334449999999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22.965821179999999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11.916389669999999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18.665889889999999</v>
          </cell>
          <cell r="AZ80">
            <v>13.379713542081959</v>
          </cell>
          <cell r="BA80">
            <v>18.737858011811014</v>
          </cell>
          <cell r="BB80">
            <v>29.224304882519327</v>
          </cell>
          <cell r="BC80">
            <v>38.025923550101076</v>
          </cell>
          <cell r="BD80">
            <v>49.348775964865638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10.909613010000001</v>
          </cell>
          <cell r="T81">
            <v>44.164229949999999</v>
          </cell>
          <cell r="U81">
            <v>71.001287450000007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78.821745829999998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79.622212109999992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125.34052388999999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173.28832756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223.08014986000001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344.89265918739551</v>
          </cell>
          <cell r="AZ81">
            <v>504.92832099455438</v>
          </cell>
          <cell r="BA81">
            <v>711.51043872723278</v>
          </cell>
          <cell r="BB81">
            <v>973.18193367983304</v>
          </cell>
          <cell r="BC81">
            <v>1282.3641830460776</v>
          </cell>
          <cell r="BD81">
            <v>1645.377164128643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0.40971569999999469</v>
          </cell>
          <cell r="T82">
            <v>33.442411729999996</v>
          </cell>
          <cell r="U82">
            <v>-48.496041760000004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60.568568889999995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-47.745325919999985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-89.014934060000002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-19.461321640000037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-2.6103778099999033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31.461349135351952</v>
          </cell>
          <cell r="AZ82">
            <v>-21.920767645756143</v>
          </cell>
          <cell r="BA82">
            <v>-16.879278181568537</v>
          </cell>
          <cell r="BB82">
            <v>-30.802280191597561</v>
          </cell>
          <cell r="BC82">
            <v>-23.067452927254408</v>
          </cell>
          <cell r="BD82">
            <v>-23.723096359884664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8.4821473800000131</v>
          </cell>
          <cell r="T83">
            <v>-24.03895437000007</v>
          </cell>
          <cell r="U83">
            <v>37.906900800000031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4.2319122699999525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43.855063260000023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-83.973766400000017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-92.466094430000012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-25.112725490000173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-5.6843418860808015E-14</v>
          </cell>
          <cell r="AZ83">
            <v>-5.6843418860808015E-14</v>
          </cell>
          <cell r="BA83">
            <v>8.5265128291212022E-14</v>
          </cell>
          <cell r="BB83">
            <v>-2.2737367544323206E-13</v>
          </cell>
          <cell r="BC83">
            <v>2.2737367544323206E-13</v>
          </cell>
          <cell r="BD83">
            <v>1.7053025658242404E-13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102.65061837</v>
          </cell>
          <cell r="T84">
            <v>175.15906011999999</v>
          </cell>
          <cell r="U84">
            <v>208.78281000999999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398.50218208999996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383.84671977999994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108.08816723999999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189.65325475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324.77543394999998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547.97738277238204</v>
          </cell>
          <cell r="AZ84">
            <v>727.0668208727966</v>
          </cell>
          <cell r="BA84">
            <v>1036.4283064223528</v>
          </cell>
          <cell r="BB84">
            <v>1475.4600083921446</v>
          </cell>
          <cell r="BC84">
            <v>1952.9273537769393</v>
          </cell>
          <cell r="BD84">
            <v>2521.8247685322754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-50.630429759999998</v>
          </cell>
          <cell r="T85">
            <v>-80.759895749999998</v>
          </cell>
          <cell r="U85">
            <v>-87.594353439999992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-97.277980830000004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-155.72747697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-214.49454265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-330.49148173999998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-399.21092206999998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-686.42387378461069</v>
          </cell>
          <cell r="AZ85">
            <v>-893.22714329333326</v>
          </cell>
          <cell r="BA85">
            <v>-1140.9378117158067</v>
          </cell>
          <cell r="BB85">
            <v>-1428.4771102048915</v>
          </cell>
          <cell r="BC85">
            <v>-1666.2338218565997</v>
          </cell>
          <cell r="BD85">
            <v>-1928.5237322938776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 t="str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 t="str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 t="str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 t="str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 t="str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0.12853999999999999</v>
          </cell>
          <cell r="T87">
            <v>0.27695999999999998</v>
          </cell>
          <cell r="U87">
            <v>0.30705902000000002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0.42103699999999999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0.31800650000000003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0.21877385000000002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1.46695318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0.36141263000000001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-8.1388277499999955</v>
          </cell>
          <cell r="T88">
            <v>-137.10583353000001</v>
          </cell>
          <cell r="U88">
            <v>-48.649398639999987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-1485.6232893800002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248.53403869999997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281.03428299000001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99.549842100000021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318.96771873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-58.640717509999995</v>
          </cell>
          <cell r="T89">
            <v>-217.58876928000001</v>
          </cell>
          <cell r="U89">
            <v>-135.93669305999998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-1582.4802332100001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93.124568229999966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66.75851419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-229.47468645999996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-79.881790709999962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-686.42387378461069</v>
          </cell>
          <cell r="AZ89">
            <v>-893.22714329333326</v>
          </cell>
          <cell r="BA89">
            <v>-1140.9378117158067</v>
          </cell>
          <cell r="BB89">
            <v>-1428.4771102048915</v>
          </cell>
          <cell r="BC89">
            <v>-1666.2338218565997</v>
          </cell>
          <cell r="BD89">
            <v>-1928.5237322938776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-48.880600180000002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-60.034436849999999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-81.646833979999997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-40.343141439999997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-31.813448659999999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-35.27143221</v>
          </cell>
          <cell r="AZ90">
            <v>-44.735425579436061</v>
          </cell>
          <cell r="BA90">
            <v>-67.466773852652992</v>
          </cell>
          <cell r="BB90">
            <v>-94.485044466001654</v>
          </cell>
          <cell r="BC90">
            <v>-151.15681500641699</v>
          </cell>
          <cell r="BD90">
            <v>-196.6814100324045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217.48414344999998</v>
          </cell>
          <cell r="T91">
            <v>8.7499999999999994E-2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1384.424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29.3456884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7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13.8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3</v>
          </cell>
          <cell r="T92">
            <v>3</v>
          </cell>
          <cell r="U92">
            <v>-5.9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-0.1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19.841275110000005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58.73565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-34.434549839999988</v>
          </cell>
          <cell r="T93">
            <v>-5.3403989799999998</v>
          </cell>
          <cell r="U93">
            <v>-3.7586718199999947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-5.9132934399998707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-9.840028910000008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-10.389823440000001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-15.085932870000008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-9.9987037299999955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186.04959360999999</v>
          </cell>
          <cell r="T94">
            <v>-2.2528989800000003</v>
          </cell>
          <cell r="U94">
            <v>-58.539271999999997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1378.4107065600001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-69.874465760000007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-62.690969019999997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-28.587799199999999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30.723497610000003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-35.27143221</v>
          </cell>
          <cell r="AZ94">
            <v>-44.735425579436061</v>
          </cell>
          <cell r="BA94">
            <v>-67.466773852652992</v>
          </cell>
          <cell r="BB94">
            <v>-94.485044466001654</v>
          </cell>
          <cell r="BC94">
            <v>-151.15681500641699</v>
          </cell>
          <cell r="BD94">
            <v>-196.6814100324045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230.05949447</v>
          </cell>
          <cell r="T95">
            <v>-44.682608140000013</v>
          </cell>
          <cell r="U95">
            <v>14.306844950000013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194.43265543999996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407.09682224999989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112.15571240999999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-68.409230909999962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275.61714085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-173.71792322222865</v>
          </cell>
          <cell r="AZ95">
            <v>-210.89574799997271</v>
          </cell>
          <cell r="BA95">
            <v>-171.97627914610689</v>
          </cell>
          <cell r="BB95">
            <v>-47.50214627874854</v>
          </cell>
          <cell r="BC95">
            <v>135.53671691392265</v>
          </cell>
          <cell r="BD95">
            <v>396.6196262059932</v>
          </cell>
        </row>
        <row r="96">
          <cell r="A96" t="str">
            <v>Additional Cash Flow Items</v>
          </cell>
          <cell r="B96">
            <v>0</v>
          </cell>
          <cell r="C96">
            <v>0</v>
          </cell>
          <cell r="D96">
            <v>0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48.797854725793044</v>
          </cell>
          <cell r="T100">
            <v>83.120726984118704</v>
          </cell>
          <cell r="U100">
            <v>90.360632877824401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172.82158081958158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231.10245194630835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238.535291933331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327.33195733809953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295.03373223470771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385.42188660715021</v>
          </cell>
          <cell r="AZ100">
            <v>447.09015282678968</v>
          </cell>
          <cell r="BA100">
            <v>517.61514474963508</v>
          </cell>
          <cell r="BB100">
            <v>602.73148878378868</v>
          </cell>
          <cell r="BC100">
            <v>688.47978906671335</v>
          </cell>
          <cell r="BD100">
            <v>788.30281566721737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A108" t="str">
            <v>Other Items</v>
          </cell>
          <cell r="B108">
            <v>0</v>
          </cell>
          <cell r="C108">
            <v>0</v>
          </cell>
          <cell r="D108">
            <v>0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0.99099999999999999</v>
          </cell>
          <cell r="T109">
            <v>1.25</v>
          </cell>
          <cell r="U109">
            <v>1.3080000000000001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1.8109999999999999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2.3860000000000001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2.4510000000000001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2.4740000000000002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3.1110000000000002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3.2976600000000005</v>
          </cell>
          <cell r="AZ109">
            <v>3.4295664000000006</v>
          </cell>
          <cell r="BA109">
            <v>3.5324533920000007</v>
          </cell>
          <cell r="BB109">
            <v>3.6384269937600009</v>
          </cell>
          <cell r="BC109">
            <v>3.7475798035728012</v>
          </cell>
          <cell r="BD109">
            <v>3.8600071976799852</v>
          </cell>
        </row>
        <row r="110">
          <cell r="A110" t="str">
            <v>Geographical Breakdown</v>
          </cell>
          <cell r="B110">
            <v>0</v>
          </cell>
          <cell r="C110">
            <v>0</v>
          </cell>
          <cell r="D110">
            <v>0</v>
          </cell>
        </row>
        <row r="111">
          <cell r="B111" t="str">
            <v>Sales - Total %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</row>
        <row r="113">
          <cell r="A113">
            <v>0</v>
          </cell>
          <cell r="B113" t="str">
            <v>Sales - % Canada</v>
          </cell>
          <cell r="C113" t="str">
            <v>SALES_CANADA</v>
          </cell>
          <cell r="D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</row>
        <row r="114">
          <cell r="B114" t="str">
            <v>Sales - % Brazil</v>
          </cell>
          <cell r="C114" t="str">
            <v>SALES_BRAZIL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</row>
        <row r="116">
          <cell r="B116" t="str">
            <v>Sales - Total % EMEA</v>
          </cell>
          <cell r="C116" t="str">
            <v>SALES_TOT_EMEA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 t="str">
            <v>Sales - % UK</v>
          </cell>
          <cell r="C117" t="str">
            <v>SALES_UK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</row>
        <row r="119">
          <cell r="A119">
            <v>0</v>
          </cell>
          <cell r="B119" t="str">
            <v>Sales - % Austria</v>
          </cell>
          <cell r="C119" t="str">
            <v>SALES_AUSTRIA</v>
          </cell>
          <cell r="D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</row>
        <row r="120">
          <cell r="A120">
            <v>0</v>
          </cell>
          <cell r="B120" t="str">
            <v>Sales - % Belgium</v>
          </cell>
          <cell r="C120" t="str">
            <v>SALES_BEL</v>
          </cell>
          <cell r="D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</row>
        <row r="121">
          <cell r="A121">
            <v>0</v>
          </cell>
          <cell r="B121" t="str">
            <v>Sales - % Denmark</v>
          </cell>
          <cell r="C121" t="str">
            <v>SALES_DEN</v>
          </cell>
          <cell r="D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A122">
            <v>0</v>
          </cell>
          <cell r="B122" t="str">
            <v>Sales - % Finland</v>
          </cell>
          <cell r="C122" t="str">
            <v>SALES_FIN</v>
          </cell>
          <cell r="D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A123">
            <v>0</v>
          </cell>
          <cell r="B123" t="str">
            <v>Sales - % France</v>
          </cell>
          <cell r="C123" t="str">
            <v>SALES_FRA</v>
          </cell>
          <cell r="D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</row>
        <row r="124">
          <cell r="A124">
            <v>0</v>
          </cell>
          <cell r="B124" t="str">
            <v>Sales - % Germany</v>
          </cell>
          <cell r="C124" t="str">
            <v>SALES_GER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</row>
        <row r="125">
          <cell r="A125">
            <v>0</v>
          </cell>
          <cell r="B125" t="str">
            <v>Sales - % Greece</v>
          </cell>
          <cell r="C125" t="str">
            <v>SALES_GRE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</row>
        <row r="126">
          <cell r="A126">
            <v>0</v>
          </cell>
          <cell r="B126" t="str">
            <v>Sales - % Iceland</v>
          </cell>
          <cell r="C126" t="str">
            <v>SALES_ICE</v>
          </cell>
          <cell r="D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A127">
            <v>0</v>
          </cell>
          <cell r="B127" t="str">
            <v>Sales - % Ireland</v>
          </cell>
          <cell r="C127" t="str">
            <v>SALES_IRE</v>
          </cell>
          <cell r="D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</row>
        <row r="128">
          <cell r="A128">
            <v>0</v>
          </cell>
          <cell r="B128" t="str">
            <v>Sales - % Italy</v>
          </cell>
          <cell r="C128" t="str">
            <v>SALES_ITA</v>
          </cell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</row>
        <row r="129">
          <cell r="A129">
            <v>0</v>
          </cell>
          <cell r="B129" t="str">
            <v>Sales - % Netherlands</v>
          </cell>
          <cell r="C129" t="str">
            <v>SALES_NETH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</row>
        <row r="130">
          <cell r="A130">
            <v>0</v>
          </cell>
          <cell r="B130" t="str">
            <v>Sales - % Norway</v>
          </cell>
          <cell r="C130" t="str">
            <v>SALES_NOR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A131">
            <v>0</v>
          </cell>
          <cell r="B131" t="str">
            <v>Sales - % Portugal</v>
          </cell>
          <cell r="C131" t="str">
            <v>SALES_POR</v>
          </cell>
          <cell r="D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</row>
        <row r="132">
          <cell r="A132">
            <v>0</v>
          </cell>
          <cell r="B132" t="str">
            <v>Sales - % Spain</v>
          </cell>
          <cell r="C132" t="str">
            <v>SALES_SPA</v>
          </cell>
          <cell r="D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</row>
        <row r="133">
          <cell r="A133">
            <v>0</v>
          </cell>
          <cell r="B133" t="str">
            <v>Sales - % Sweden</v>
          </cell>
          <cell r="C133" t="str">
            <v>SALES_SWE</v>
          </cell>
          <cell r="D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</row>
        <row r="134">
          <cell r="A134">
            <v>0</v>
          </cell>
          <cell r="B134" t="str">
            <v>Sales - % Switzerland</v>
          </cell>
          <cell r="C134" t="str">
            <v>SALES_SWIT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</row>
        <row r="136">
          <cell r="B136" t="str">
            <v>Sales - % Middle East</v>
          </cell>
          <cell r="C136" t="str">
            <v>SALES_ME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</row>
        <row r="137">
          <cell r="B137" t="str">
            <v>Sales - % Total Africa</v>
          </cell>
          <cell r="C137" t="str">
            <v>SALES_TOT_AFRICA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 t="str">
            <v>Sales - % Russia</v>
          </cell>
          <cell r="C138" t="str">
            <v>SALES_RUSSIA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Sales - % Other EMEA</v>
          </cell>
          <cell r="C139" t="str">
            <v>SALES_OTH_EMEA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</row>
        <row r="141">
          <cell r="B141" t="str">
            <v>Sales - % Japan</v>
          </cell>
          <cell r="C141" t="str">
            <v>SALES_JAPAN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Sales - % China</v>
          </cell>
          <cell r="C142" t="str">
            <v>SALES_CHINA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1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1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1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1</v>
          </cell>
          <cell r="AZ142">
            <v>1</v>
          </cell>
          <cell r="BA142">
            <v>1</v>
          </cell>
          <cell r="BB142">
            <v>1</v>
          </cell>
          <cell r="BC142">
            <v>1</v>
          </cell>
          <cell r="BD142">
            <v>1</v>
          </cell>
        </row>
        <row r="143">
          <cell r="B143" t="str">
            <v>Sales - % India</v>
          </cell>
          <cell r="C143" t="str">
            <v>SALES_INDIA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</row>
        <row r="144">
          <cell r="B144" t="str">
            <v>Sales - % South Korea</v>
          </cell>
          <cell r="C144" t="str">
            <v>SALES_SK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B145" t="str">
            <v>Sales - % Taiwan</v>
          </cell>
          <cell r="C145" t="str">
            <v>SALES_TAIWAN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</row>
        <row r="146">
          <cell r="A146">
            <v>0</v>
          </cell>
          <cell r="B146" t="str">
            <v>Sales - % Australia</v>
          </cell>
          <cell r="C146" t="str">
            <v>SALES_AUSTRA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</row>
        <row r="147">
          <cell r="A147">
            <v>0</v>
          </cell>
          <cell r="B147" t="str">
            <v>Sales - % New Zealand</v>
          </cell>
          <cell r="C147" t="str">
            <v>SALES_NZ</v>
          </cell>
          <cell r="D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</row>
        <row r="148">
          <cell r="B148" t="str">
            <v>Sales - % Other Asia</v>
          </cell>
          <cell r="C148" t="str">
            <v>SALES_OTH_AEJ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</row>
        <row r="149">
          <cell r="B149" t="str">
            <v>Sales - % Others</v>
          </cell>
          <cell r="C149" t="str">
            <v>SALES_OTHER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</row>
        <row r="150">
          <cell r="A150">
            <v>0</v>
          </cell>
          <cell r="B150" t="str">
            <v>Operating Profit - % Total Americas</v>
          </cell>
          <cell r="C150" t="str">
            <v>OP_TOT_AM</v>
          </cell>
          <cell r="D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</row>
        <row r="151">
          <cell r="A151">
            <v>0</v>
          </cell>
          <cell r="B151" t="str">
            <v>Operating Profit - % United States</v>
          </cell>
          <cell r="C151" t="str">
            <v>OP_US</v>
          </cell>
          <cell r="D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A152">
            <v>0</v>
          </cell>
          <cell r="B152" t="str">
            <v>Operating Profit - % Canada</v>
          </cell>
          <cell r="C152" t="str">
            <v>OP_CANADA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</row>
        <row r="153">
          <cell r="A153">
            <v>0</v>
          </cell>
          <cell r="B153" t="str">
            <v>Operating Profit - % Brazil</v>
          </cell>
          <cell r="C153" t="str">
            <v>OP_BRAZIL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A154">
            <v>0</v>
          </cell>
          <cell r="B154" t="str">
            <v>Operating Profit - % Other Americas</v>
          </cell>
          <cell r="C154" t="str">
            <v>OP_OTH_AM</v>
          </cell>
          <cell r="D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A155">
            <v>0</v>
          </cell>
          <cell r="B155" t="str">
            <v>Operating Profit - Total % EMEA</v>
          </cell>
          <cell r="C155" t="str">
            <v>OP_TOT_EMEA</v>
          </cell>
          <cell r="D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A156">
            <v>0</v>
          </cell>
          <cell r="B156" t="str">
            <v>Operating Profit - % UK</v>
          </cell>
          <cell r="C156" t="str">
            <v>OP_UK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A157">
            <v>0</v>
          </cell>
          <cell r="B157" t="str">
            <v>Operating Profit - % Europe-Ex UK</v>
          </cell>
          <cell r="C157" t="str">
            <v>OP_EU_EX_UK</v>
          </cell>
          <cell r="D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</row>
        <row r="158">
          <cell r="A158">
            <v>0</v>
          </cell>
          <cell r="B158" t="str">
            <v>Operating Profit - % Austria</v>
          </cell>
          <cell r="C158" t="str">
            <v>OP_AUSTRIA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</row>
        <row r="159">
          <cell r="A159">
            <v>0</v>
          </cell>
          <cell r="B159" t="str">
            <v>Operating Profit - % Belgium</v>
          </cell>
          <cell r="C159" t="str">
            <v>OP_BEL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</row>
        <row r="160">
          <cell r="A160">
            <v>0</v>
          </cell>
          <cell r="B160" t="str">
            <v>Operating Profit - % Denmark</v>
          </cell>
          <cell r="C160" t="str">
            <v>OP_DEN</v>
          </cell>
          <cell r="D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</row>
        <row r="161">
          <cell r="A161">
            <v>0</v>
          </cell>
          <cell r="B161" t="str">
            <v>Operating Profit - % Finland</v>
          </cell>
          <cell r="C161" t="str">
            <v>OP_FIN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</row>
        <row r="162">
          <cell r="A162">
            <v>0</v>
          </cell>
          <cell r="B162" t="str">
            <v>Operating Profit - % France</v>
          </cell>
          <cell r="C162" t="str">
            <v>OP_FRA</v>
          </cell>
          <cell r="D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</row>
        <row r="163">
          <cell r="A163">
            <v>0</v>
          </cell>
          <cell r="B163" t="str">
            <v>Operating Profit - % Germany</v>
          </cell>
          <cell r="C163" t="str">
            <v>OP_GER</v>
          </cell>
          <cell r="D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</row>
        <row r="164">
          <cell r="A164">
            <v>0</v>
          </cell>
          <cell r="B164" t="str">
            <v>Operating Profit - % Greece</v>
          </cell>
          <cell r="C164" t="str">
            <v>OP_GRE</v>
          </cell>
          <cell r="D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</row>
        <row r="165">
          <cell r="A165">
            <v>0</v>
          </cell>
          <cell r="B165" t="str">
            <v>Operating Profit - % Iceland</v>
          </cell>
          <cell r="C165" t="str">
            <v>OP_ICE</v>
          </cell>
          <cell r="D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A166">
            <v>0</v>
          </cell>
          <cell r="B166" t="str">
            <v>Operating Profit - % Ireland</v>
          </cell>
          <cell r="C166" t="str">
            <v>OP_IRE</v>
          </cell>
          <cell r="D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A167">
            <v>0</v>
          </cell>
          <cell r="B167" t="str">
            <v>Operating Profit - % Italy</v>
          </cell>
          <cell r="C167" t="str">
            <v>OP_ITA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A168">
            <v>0</v>
          </cell>
          <cell r="B168" t="str">
            <v>Operating Profit - % Netherlands</v>
          </cell>
          <cell r="C168" t="str">
            <v>OP_NETH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</row>
        <row r="169">
          <cell r="A169">
            <v>0</v>
          </cell>
          <cell r="B169" t="str">
            <v>Operating Profit - % Norway</v>
          </cell>
          <cell r="C169" t="str">
            <v>OP_NOR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</row>
        <row r="170">
          <cell r="A170">
            <v>0</v>
          </cell>
          <cell r="B170" t="str">
            <v>Operating Profit - % Portugal</v>
          </cell>
          <cell r="C170" t="str">
            <v>OP_POR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</row>
        <row r="171">
          <cell r="A171">
            <v>0</v>
          </cell>
          <cell r="B171" t="str">
            <v>Operating Profit - % Spain</v>
          </cell>
          <cell r="C171" t="str">
            <v>OP_SPA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</row>
        <row r="172">
          <cell r="A172">
            <v>0</v>
          </cell>
          <cell r="B172" t="str">
            <v>Operating Profit - % Sweden</v>
          </cell>
          <cell r="C172" t="str">
            <v>OP_SWE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</row>
        <row r="173">
          <cell r="A173">
            <v>0</v>
          </cell>
          <cell r="B173" t="str">
            <v>Operating Profit - % Switzerland</v>
          </cell>
          <cell r="C173" t="str">
            <v>OP_SWIT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</row>
        <row r="174">
          <cell r="A174">
            <v>0</v>
          </cell>
          <cell r="B174" t="str">
            <v>Operating Profit - % Central &amp; Eastern Europe</v>
          </cell>
          <cell r="C174" t="str">
            <v>OP_CEE</v>
          </cell>
          <cell r="D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</row>
        <row r="175">
          <cell r="A175">
            <v>0</v>
          </cell>
          <cell r="B175" t="str">
            <v>Operating Profit - % Middle East</v>
          </cell>
          <cell r="C175" t="str">
            <v>OP_ME</v>
          </cell>
          <cell r="D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</row>
        <row r="176">
          <cell r="A176">
            <v>0</v>
          </cell>
          <cell r="B176" t="str">
            <v>Operating Profit - % Russia</v>
          </cell>
          <cell r="C176" t="str">
            <v>OP_RUSSIA</v>
          </cell>
          <cell r="D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</row>
        <row r="177">
          <cell r="A177">
            <v>0</v>
          </cell>
          <cell r="B177" t="str">
            <v>Operating Profit - % Other EMEA</v>
          </cell>
          <cell r="C177" t="str">
            <v>OP_OTH_EMEA</v>
          </cell>
          <cell r="D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</row>
        <row r="178">
          <cell r="A178">
            <v>0</v>
          </cell>
          <cell r="B178" t="str">
            <v>Operating Profit - Total % Asia (incl Australia &amp; New Zealand)</v>
          </cell>
          <cell r="C178" t="str">
            <v>OP_TOT_ASIA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A179">
            <v>0</v>
          </cell>
          <cell r="B179" t="str">
            <v>Operating Profit - % Japan</v>
          </cell>
          <cell r="C179" t="str">
            <v>OP_JAPAN</v>
          </cell>
          <cell r="D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A180">
            <v>0</v>
          </cell>
          <cell r="B180" t="str">
            <v>Operating Profit - % Greater China (incl HK)</v>
          </cell>
          <cell r="C180" t="str">
            <v>OP_CHINA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1</v>
          </cell>
          <cell r="AA180">
            <v>1</v>
          </cell>
          <cell r="AB180">
            <v>1</v>
          </cell>
          <cell r="AC180">
            <v>1</v>
          </cell>
          <cell r="AD180">
            <v>1</v>
          </cell>
          <cell r="AE180">
            <v>1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1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1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1</v>
          </cell>
          <cell r="AZ180">
            <v>1</v>
          </cell>
          <cell r="BA180">
            <v>1</v>
          </cell>
          <cell r="BB180">
            <v>1</v>
          </cell>
          <cell r="BC180">
            <v>1</v>
          </cell>
          <cell r="BD180">
            <v>1</v>
          </cell>
        </row>
        <row r="181">
          <cell r="A181">
            <v>0</v>
          </cell>
          <cell r="B181" t="str">
            <v>Operating Profit - % India</v>
          </cell>
          <cell r="C181" t="str">
            <v>OP_INDIA</v>
          </cell>
          <cell r="D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</row>
        <row r="182">
          <cell r="A182">
            <v>0</v>
          </cell>
          <cell r="B182" t="str">
            <v>Operating Profit - % South Korea</v>
          </cell>
          <cell r="C182" t="str">
            <v>OP_SK</v>
          </cell>
          <cell r="D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</row>
        <row r="183">
          <cell r="A183">
            <v>0</v>
          </cell>
          <cell r="B183" t="str">
            <v>Operating Profit - % Australia</v>
          </cell>
          <cell r="C183" t="str">
            <v>OP_AUSTRA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</row>
        <row r="184">
          <cell r="A184">
            <v>0</v>
          </cell>
          <cell r="B184" t="str">
            <v>Operating Profit - % New Zealand</v>
          </cell>
          <cell r="C184" t="str">
            <v>OP_NZ</v>
          </cell>
          <cell r="D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</row>
        <row r="185">
          <cell r="A185">
            <v>0</v>
          </cell>
          <cell r="B185" t="str">
            <v>Operating Profit - % Other AEJ (incl Taiwan)</v>
          </cell>
          <cell r="C185" t="str">
            <v>OP_OTH_AEJ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</row>
        <row r="186">
          <cell r="A186">
            <v>0</v>
          </cell>
          <cell r="B186" t="str">
            <v>Operating Profit - % Others</v>
          </cell>
          <cell r="C186" t="str">
            <v>OP_OTHER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</row>
        <row r="187">
          <cell r="B187" t="str">
            <v>Sales -% Consumer (C)</v>
          </cell>
          <cell r="C187" t="str">
            <v>SALES_CONS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</row>
        <row r="188">
          <cell r="B188" t="str">
            <v>Sales -% Industry (I)</v>
          </cell>
          <cell r="C188" t="str">
            <v>SALES_IND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 t="str">
            <v>Sales -% Government (G)</v>
          </cell>
          <cell r="C189" t="str">
            <v>SALES_GOV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 t="str">
            <v>Sales - % Industry Sub-Segment: Financial Services</v>
          </cell>
          <cell r="C190" t="str">
            <v>SALES_FINAN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A191">
            <v>0</v>
          </cell>
          <cell r="B191" t="str">
            <v>Operating Profit - % Consumer (C)</v>
          </cell>
          <cell r="C191" t="str">
            <v>OP_CONS</v>
          </cell>
          <cell r="D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</row>
        <row r="192">
          <cell r="A192">
            <v>0</v>
          </cell>
          <cell r="B192" t="str">
            <v>Operating Profit - % Industry (I)</v>
          </cell>
          <cell r="C192" t="str">
            <v>OP_IND</v>
          </cell>
          <cell r="D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</row>
        <row r="193">
          <cell r="A193">
            <v>0</v>
          </cell>
          <cell r="B193" t="str">
            <v>Operating Profit - % Government (G)</v>
          </cell>
          <cell r="C193" t="str">
            <v>OP_GOV</v>
          </cell>
          <cell r="D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</row>
        <row r="194">
          <cell r="A194" t="str">
            <v>FX Exposure - Sales</v>
          </cell>
          <cell r="B194">
            <v>0</v>
          </cell>
          <cell r="C194">
            <v>0</v>
          </cell>
          <cell r="D194">
            <v>0</v>
          </cell>
        </row>
        <row r="195">
          <cell r="B195" t="str">
            <v>Sales - % FX: British Pounds/Pence</v>
          </cell>
          <cell r="C195" t="str">
            <v>SALES_FX_GPB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</row>
        <row r="196">
          <cell r="B196" t="str">
            <v>Sales - % FX: Euro</v>
          </cell>
          <cell r="C196" t="str">
            <v>SALES_FX_EUR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</row>
        <row r="197">
          <cell r="B197" t="str">
            <v>Sales - % FX: New Russian Ruble</v>
          </cell>
          <cell r="C197" t="str">
            <v>SALES_FX_RUB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</row>
        <row r="198">
          <cell r="B198" t="str">
            <v>Sales - % FX: U.S. Dollar</v>
          </cell>
          <cell r="C198" t="str">
            <v>SALES_FX_USD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</row>
        <row r="199">
          <cell r="B199" t="str">
            <v>Sales - % FX: Brazilian Real</v>
          </cell>
          <cell r="C199" t="str">
            <v>SALES_FX_BRL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</row>
        <row r="200">
          <cell r="B200" t="str">
            <v>Sales - % FX: Japanese Yen</v>
          </cell>
          <cell r="C200" t="str">
            <v>SALES_FX_YEN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</row>
        <row r="201">
          <cell r="B201" t="str">
            <v>Sales - % FX: Chinese Renminbi</v>
          </cell>
          <cell r="C201" t="str">
            <v>SALES_FX_CNY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</row>
        <row r="202">
          <cell r="B202" t="str">
            <v>Sales - % FX: Indian Rupee</v>
          </cell>
          <cell r="C202" t="str">
            <v>SALES_FX_INR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</row>
        <row r="203">
          <cell r="B203" t="str">
            <v>Sales - % FX: South Korean Won</v>
          </cell>
          <cell r="C203" t="str">
            <v>SALES_FX_KRW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</row>
        <row r="204">
          <cell r="B204" t="str">
            <v>Sales - % FX: Taiwan Dollar</v>
          </cell>
          <cell r="C204" t="str">
            <v>SALES_FX_TWD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</row>
        <row r="205">
          <cell r="B205" t="str">
            <v>Sales - % FX: Other Currency</v>
          </cell>
          <cell r="C205" t="str">
            <v>SALES_FX_OTH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</row>
        <row r="206">
          <cell r="A206" t="str">
            <v>Security: NavInfo Co.</v>
          </cell>
          <cell r="B206">
            <v>0</v>
          </cell>
          <cell r="C206">
            <v>0</v>
          </cell>
          <cell r="D206">
            <v>0</v>
          </cell>
        </row>
        <row r="207">
          <cell r="A207" t="str">
            <v>Reference Data</v>
          </cell>
          <cell r="B207">
            <v>0</v>
          </cell>
          <cell r="C207">
            <v>0</v>
          </cell>
          <cell r="D207">
            <v>0</v>
          </cell>
        </row>
        <row r="208">
          <cell r="B208" t="str">
            <v>Ticker</v>
          </cell>
          <cell r="C208" t="str">
            <v>Ticker</v>
          </cell>
          <cell r="E208" t="str">
            <v>002405.SZ</v>
          </cell>
        </row>
        <row r="209">
          <cell r="B209" t="str">
            <v>Security Name</v>
          </cell>
          <cell r="C209" t="str">
            <v>Security Name</v>
          </cell>
          <cell r="E209" t="str">
            <v>NavInfo Co.</v>
          </cell>
        </row>
        <row r="210">
          <cell r="B210" t="str">
            <v>Interim Type</v>
          </cell>
          <cell r="C210" t="str">
            <v>Interim Type</v>
          </cell>
          <cell r="E210" t="str">
            <v>Q</v>
          </cell>
        </row>
        <row r="211">
          <cell r="B211" t="str">
            <v>Publishing Currency</v>
          </cell>
          <cell r="C211" t="str">
            <v>PUB_CURRENCY_ISO</v>
          </cell>
          <cell r="E211" t="str">
            <v>CNY</v>
          </cell>
        </row>
        <row r="212">
          <cell r="B212" t="str">
            <v>Pricing Currency</v>
          </cell>
          <cell r="C212" t="str">
            <v>PRICE_CURRENCY_ISO</v>
          </cell>
          <cell r="E212" t="str">
            <v>CNY</v>
          </cell>
        </row>
        <row r="213">
          <cell r="B213" t="str">
            <v>Reporting Currency</v>
          </cell>
          <cell r="C213" t="str">
            <v>CURRENCY_ISO</v>
          </cell>
          <cell r="E213" t="str">
            <v>CNY</v>
          </cell>
        </row>
        <row r="214">
          <cell r="A214" t="str">
            <v>General Information</v>
          </cell>
          <cell r="B214">
            <v>0</v>
          </cell>
          <cell r="C214">
            <v>0</v>
          </cell>
          <cell r="D214">
            <v>0</v>
          </cell>
        </row>
        <row r="215">
          <cell r="B215" t="str">
            <v>Asia Pacific Investment List</v>
          </cell>
          <cell r="C215" t="str">
            <v>AEJ_LIST</v>
          </cell>
          <cell r="E215">
            <v>0</v>
          </cell>
          <cell r="F215" t="str">
            <v>Acceptable values include BUY or SELL</v>
          </cell>
        </row>
        <row r="216">
          <cell r="B216" t="str">
            <v>Asia Pacific Conviction List</v>
          </cell>
          <cell r="C216" t="str">
            <v>AEJ_CONVICTION</v>
          </cell>
          <cell r="E216">
            <v>0</v>
          </cell>
          <cell r="F216" t="str">
            <v>Acceptable values include BUY or SELL</v>
          </cell>
        </row>
        <row r="217">
          <cell r="B217" t="str">
            <v>Legal rating</v>
          </cell>
          <cell r="C217" t="str">
            <v>LEGAL_RATING</v>
          </cell>
          <cell r="E217">
            <v>0</v>
          </cell>
          <cell r="F217" t="str">
            <v>Acceptable values include RS, CS or NR</v>
          </cell>
        </row>
        <row r="218">
          <cell r="B218" t="str">
            <v>Target price</v>
          </cell>
          <cell r="C218" t="str">
            <v>TARGET_PRICE</v>
          </cell>
          <cell r="D218" t="str">
            <v>CNY</v>
          </cell>
          <cell r="E218">
            <v>21.3</v>
          </cell>
        </row>
        <row r="219">
          <cell r="B219" t="str">
            <v>Target price period</v>
          </cell>
          <cell r="C219" t="str">
            <v>TP_PERIOD</v>
          </cell>
          <cell r="E219" t="str">
            <v>12 months</v>
          </cell>
        </row>
        <row r="220">
          <cell r="B220" t="str">
            <v>Current shares outstanding (mn)</v>
          </cell>
          <cell r="C220" t="str">
            <v>NUM_SH</v>
          </cell>
          <cell r="E220">
            <v>691.59671000000003</v>
          </cell>
        </row>
        <row r="221">
          <cell r="B221" t="str">
            <v>Free float</v>
          </cell>
          <cell r="C221" t="str">
            <v>FREE_FLOAT</v>
          </cell>
          <cell r="E221">
            <v>0</v>
          </cell>
        </row>
        <row r="222">
          <cell r="B222" t="str">
            <v>Foreign ownership</v>
          </cell>
          <cell r="C222" t="str">
            <v>FOREIGN_HOLDNG</v>
          </cell>
          <cell r="E222">
            <v>0</v>
          </cell>
        </row>
        <row r="223">
          <cell r="B223" t="str">
            <v>Exceptionals (pre-tax)</v>
          </cell>
          <cell r="C223" t="str">
            <v>ACT1</v>
          </cell>
          <cell r="E223">
            <v>0.23569999999999999</v>
          </cell>
        </row>
        <row r="224">
          <cell r="B224" t="str">
            <v>Catalyst 1 date</v>
          </cell>
          <cell r="C224" t="str">
            <v>CATALYST1_DATE</v>
          </cell>
          <cell r="E224">
            <v>0</v>
          </cell>
        </row>
        <row r="225">
          <cell r="B225" t="str">
            <v>Catalyst 1 description</v>
          </cell>
          <cell r="C225" t="str">
            <v>CATALYST1_EVENT</v>
          </cell>
          <cell r="E225">
            <v>0</v>
          </cell>
        </row>
        <row r="226">
          <cell r="B226" t="str">
            <v>Catalyst 2 date</v>
          </cell>
          <cell r="C226" t="str">
            <v>CATALYST2_DATE</v>
          </cell>
          <cell r="E226">
            <v>0</v>
          </cell>
        </row>
        <row r="227">
          <cell r="B227" t="str">
            <v>Catalyst 2 description</v>
          </cell>
          <cell r="C227" t="str">
            <v>CATALYST2_EVENT</v>
          </cell>
          <cell r="E227">
            <v>0</v>
          </cell>
        </row>
        <row r="228">
          <cell r="B228" t="str">
            <v>Catalyst 3 date</v>
          </cell>
          <cell r="C228" t="str">
            <v>CATALYST3_DATE</v>
          </cell>
          <cell r="E228">
            <v>0</v>
          </cell>
        </row>
        <row r="229">
          <cell r="B229" t="str">
            <v>Catalyst 3 description</v>
          </cell>
          <cell r="C229" t="str">
            <v>CATALYST3_EVENT</v>
          </cell>
          <cell r="E229">
            <v>0</v>
          </cell>
        </row>
        <row r="230">
          <cell r="B230" t="str">
            <v>Catalyst 4 date</v>
          </cell>
          <cell r="C230" t="str">
            <v>CATALYST4_DATE</v>
          </cell>
          <cell r="E230">
            <v>0</v>
          </cell>
        </row>
        <row r="231">
          <cell r="B231" t="str">
            <v>Catalyst 4 description</v>
          </cell>
          <cell r="C231" t="str">
            <v>CATALYST4_EVENT</v>
          </cell>
          <cell r="E231">
            <v>0</v>
          </cell>
        </row>
        <row r="232">
          <cell r="B232" t="str">
            <v>Catalyst 5 date</v>
          </cell>
          <cell r="C232" t="str">
            <v>CATALYST5_DATE</v>
          </cell>
          <cell r="E232">
            <v>0</v>
          </cell>
        </row>
        <row r="233">
          <cell r="B233" t="str">
            <v>Catalyst 5 description</v>
          </cell>
          <cell r="C233" t="str">
            <v>CATALYST5_EVENT</v>
          </cell>
          <cell r="E233">
            <v>0</v>
          </cell>
        </row>
        <row r="234">
          <cell r="B234" t="str">
            <v>Target price multiple</v>
          </cell>
          <cell r="C234" t="str">
            <v>PRI_TARG_MULT</v>
          </cell>
          <cell r="E234">
            <v>63.859191977433774</v>
          </cell>
        </row>
        <row r="235">
          <cell r="B235" t="str">
            <v>Target price methodology</v>
          </cell>
          <cell r="C235" t="str">
            <v>PRI_TARG_METH</v>
          </cell>
          <cell r="E235" t="str">
            <v>Long-term growth discounted P/E</v>
          </cell>
        </row>
        <row r="236">
          <cell r="A236" t="str">
            <v>Publishing Items</v>
          </cell>
          <cell r="B236">
            <v>0</v>
          </cell>
          <cell r="C236">
            <v>0</v>
          </cell>
          <cell r="D236">
            <v>0</v>
          </cell>
        </row>
        <row r="237">
          <cell r="B237" t="str">
            <v>Book value per share, BVPS (Pub)</v>
          </cell>
          <cell r="C237" t="str">
            <v>BVPS_PUB</v>
          </cell>
          <cell r="D237" t="str">
            <v>CNY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2.2396719963638243</v>
          </cell>
          <cell r="T237">
            <v>0.66128708706552985</v>
          </cell>
          <cell r="U237">
            <v>0.80749221548431904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3.0239951436202244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3.3413671919806283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3.4313637152748373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3.4844146581755715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3.5579418212674834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3.7144232755823814</v>
          </cell>
          <cell r="AZ237">
            <v>3.9504174290670959</v>
          </cell>
          <cell r="BA237">
            <v>4.2809196424146334</v>
          </cell>
          <cell r="BB237">
            <v>4.7908978275551801</v>
          </cell>
          <cell r="BC237">
            <v>5.4544684944480446</v>
          </cell>
          <cell r="BD237">
            <v>6.3156283853894806</v>
          </cell>
        </row>
        <row r="238">
          <cell r="B238" t="str">
            <v>DPS, dividend per share (Pub)</v>
          </cell>
          <cell r="C238" t="str">
            <v>DPS_PUB</v>
          </cell>
          <cell r="D238" t="str">
            <v>CNY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8.217592586204199E-2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8.6805555555555566E-2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0.11805555555555555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5.8333333333333327E-2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4.5999999999999999E-2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5.0999999999999997E-2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6.4684266036251187E-2</v>
          </cell>
          <cell r="AZ238">
            <v>9.7552190282473999E-2</v>
          </cell>
          <cell r="BA238">
            <v>0.13661870147705249</v>
          </cell>
          <cell r="BB238">
            <v>0.21856207934594857</v>
          </cell>
          <cell r="BC238">
            <v>0.28438742866837019</v>
          </cell>
          <cell r="BD238">
            <v>0.36906852468918677</v>
          </cell>
        </row>
        <row r="239">
          <cell r="B239" t="str">
            <v>Special dividend per share</v>
          </cell>
          <cell r="C239" t="str">
            <v>DPS_SPECIAL_PUB</v>
          </cell>
          <cell r="D239" t="str">
            <v>CNY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</row>
        <row r="240">
          <cell r="B240" t="str">
            <v>EBITDA (Pub)</v>
          </cell>
          <cell r="C240" t="str">
            <v>EBITDA_PUB</v>
          </cell>
          <cell r="D240" t="str">
            <v>CNY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79.892831209999983</v>
          </cell>
          <cell r="T240">
            <v>141.17329261000003</v>
          </cell>
          <cell r="U240">
            <v>203.19478779999992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290.06507049999999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333.93299005999995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224.58068716000002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172.84412781000003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262.15319405999992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386.2267985488686</v>
          </cell>
          <cell r="AZ240">
            <v>630.23280738691983</v>
          </cell>
          <cell r="BA240">
            <v>925.52193122429844</v>
          </cell>
          <cell r="BB240">
            <v>1371.7179771965516</v>
          </cell>
          <cell r="BC240">
            <v>1834.5571450477091</v>
          </cell>
          <cell r="BD240">
            <v>2397.3787509970271</v>
          </cell>
        </row>
        <row r="241">
          <cell r="B241" t="str">
            <v>EPS (Pub)</v>
          </cell>
          <cell r="C241" t="str">
            <v>EPS_PUB</v>
          </cell>
          <cell r="D241" t="str">
            <v>CNY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0.52059729279896871</v>
          </cell>
          <cell r="T241">
            <v>0.20495167856837548</v>
          </cell>
          <cell r="U241">
            <v>0.22894308982647274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0.34892488543196032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0.4069357187794746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0.20813865529636666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0.15229471242679943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0.1698995903551942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0.22116572035114884</v>
          </cell>
          <cell r="AZ241">
            <v>0.33354634376718834</v>
          </cell>
          <cell r="BA241">
            <v>0.46712091482459106</v>
          </cell>
          <cell r="BB241">
            <v>0.72854026448649523</v>
          </cell>
          <cell r="BC241">
            <v>0.94795809556123389</v>
          </cell>
          <cell r="BD241">
            <v>1.2302284156306227</v>
          </cell>
        </row>
        <row r="242">
          <cell r="B242" t="str">
            <v>EV adjustment (Pub)</v>
          </cell>
          <cell r="C242" t="str">
            <v>EV_ADJ_PUB</v>
          </cell>
          <cell r="D242" t="str">
            <v>CNY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</row>
        <row r="243">
          <cell r="B243" t="str">
            <v>Net debt (Pub)</v>
          </cell>
          <cell r="C243" t="str">
            <v>NET_DEBT_PUB</v>
          </cell>
          <cell r="D243" t="str">
            <v>CNY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-273.43808568999998</v>
          </cell>
          <cell r="T243">
            <v>-299.21741305</v>
          </cell>
          <cell r="U243">
            <v>-338.39845393000002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-1986.99087592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-2073.3381771499999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-1921.3892190199999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-1794.9414683099999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-1639.46039946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-1465.7424762377714</v>
          </cell>
          <cell r="AZ243">
            <v>-1254.8467282377987</v>
          </cell>
          <cell r="BA243">
            <v>-1082.8704490916919</v>
          </cell>
          <cell r="BB243">
            <v>-1035.3683028129433</v>
          </cell>
          <cell r="BC243">
            <v>-1170.9050197268659</v>
          </cell>
          <cell r="BD243">
            <v>-1567.5246459328591</v>
          </cell>
        </row>
        <row r="244">
          <cell r="B244" t="str">
            <v>Net income (Pub)</v>
          </cell>
          <cell r="C244" t="str">
            <v>NI_PUB</v>
          </cell>
          <cell r="D244" t="str">
            <v>CNY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81.287144139999995</v>
          </cell>
          <cell r="T244">
            <v>121.91114309000007</v>
          </cell>
          <cell r="U244">
            <v>136.18192335999996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232.87411285000002</v>
          </cell>
          <cell r="AA244">
            <v>73.513012009999983</v>
          </cell>
          <cell r="AB244">
            <v>68.657090970000013</v>
          </cell>
          <cell r="AC244">
            <v>77.641892089999999</v>
          </cell>
          <cell r="AD244">
            <v>61.623409889999962</v>
          </cell>
          <cell r="AE244">
            <v>281.43540495999991</v>
          </cell>
          <cell r="AF244">
            <v>60.003503539999976</v>
          </cell>
          <cell r="AG244">
            <v>58.281726929999977</v>
          </cell>
          <cell r="AH244">
            <v>36.018089970000005</v>
          </cell>
          <cell r="AI244">
            <v>-10.355311079999909</v>
          </cell>
          <cell r="AJ244">
            <v>143.94800936000001</v>
          </cell>
          <cell r="AK244">
            <v>40.632080880000011</v>
          </cell>
          <cell r="AL244">
            <v>6.201029350000038</v>
          </cell>
          <cell r="AM244">
            <v>10.315725580000006</v>
          </cell>
          <cell r="AN244">
            <v>48.177686270000059</v>
          </cell>
          <cell r="AO244">
            <v>105.32652208000005</v>
          </cell>
          <cell r="AP244">
            <v>29.316800139999984</v>
          </cell>
          <cell r="AQ244">
            <v>29.341480979999957</v>
          </cell>
          <cell r="AR244">
            <v>13.123151320000026</v>
          </cell>
          <cell r="AS244">
            <v>45.72056527999996</v>
          </cell>
          <cell r="AT244">
            <v>117.50199772000005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152.95748455963459</v>
          </cell>
          <cell r="AZ244">
            <v>230.67955398191646</v>
          </cell>
          <cell r="BA244">
            <v>323.05928786487743</v>
          </cell>
          <cell r="BB244">
            <v>503.85605002138999</v>
          </cell>
          <cell r="BC244">
            <v>655.60470010801498</v>
          </cell>
          <cell r="BD244">
            <v>850.82192479865125</v>
          </cell>
        </row>
        <row r="245">
          <cell r="B245" t="str">
            <v>EBIT, operating profit (Pub)</v>
          </cell>
          <cell r="C245" t="str">
            <v>EBIT_PUB</v>
          </cell>
          <cell r="D245" t="str">
            <v>CNY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68.983218199999982</v>
          </cell>
          <cell r="T245">
            <v>97.009062660000041</v>
          </cell>
          <cell r="U245">
            <v>132.19350034999991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211.24332466999999</v>
          </cell>
          <cell r="AA245">
            <v>88.299158169999984</v>
          </cell>
          <cell r="AB245">
            <v>87.606012490000012</v>
          </cell>
          <cell r="AC245">
            <v>88.300745710000001</v>
          </cell>
          <cell r="AD245">
            <v>-9.8951384200000234</v>
          </cell>
          <cell r="AE245">
            <v>254.31077794999999</v>
          </cell>
          <cell r="AF245">
            <v>47.22904321999998</v>
          </cell>
          <cell r="AG245">
            <v>47.996542749999982</v>
          </cell>
          <cell r="AH245">
            <v>14.752097270000007</v>
          </cell>
          <cell r="AI245">
            <v>-10.737519969999909</v>
          </cell>
          <cell r="AJ245">
            <v>99.240163270000039</v>
          </cell>
          <cell r="AK245">
            <v>-9.3276867299999964</v>
          </cell>
          <cell r="AL245">
            <v>-0.58144801999995366</v>
          </cell>
          <cell r="AM245">
            <v>-4.2618326500000023</v>
          </cell>
          <cell r="AN245">
            <v>13.726767650000056</v>
          </cell>
          <cell r="AO245">
            <v>-0.44419974999993883</v>
          </cell>
          <cell r="AP245">
            <v>13.687657269999988</v>
          </cell>
          <cell r="AQ245">
            <v>-2.1604431000000375</v>
          </cell>
          <cell r="AR245">
            <v>-1.1833848399999738</v>
          </cell>
          <cell r="AS245">
            <v>28.729214869999964</v>
          </cell>
          <cell r="AT245">
            <v>39.073044199999913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41.334139361473035</v>
          </cell>
          <cell r="AZ245">
            <v>125.30448639236533</v>
          </cell>
          <cell r="BA245">
            <v>214.01149249706577</v>
          </cell>
          <cell r="BB245">
            <v>398.53604351671856</v>
          </cell>
          <cell r="BC245">
            <v>552.19296200163171</v>
          </cell>
          <cell r="BD245">
            <v>752.00158686838404</v>
          </cell>
        </row>
        <row r="246">
          <cell r="B246" t="str">
            <v>Pre-tax profit (Pub)</v>
          </cell>
          <cell r="C246" t="str">
            <v>PTP_PUB</v>
          </cell>
          <cell r="D246" t="str">
            <v>CNY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88.476951079999992</v>
          </cell>
          <cell r="T246">
            <v>134.36386759000007</v>
          </cell>
          <cell r="U246">
            <v>172.99981995999997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286.98878100000002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372.41109568999991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201.00493160000002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121.45794904000006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173.39258685000004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199.30467397192302</v>
          </cell>
          <cell r="AZ246">
            <v>287.12855002823346</v>
          </cell>
          <cell r="BA246">
            <v>402.1142892666922</v>
          </cell>
          <cell r="BB246">
            <v>627.15335871048137</v>
          </cell>
          <cell r="BC246">
            <v>816.03602783307747</v>
          </cell>
          <cell r="BD246">
            <v>1059.0243538394313</v>
          </cell>
        </row>
        <row r="247">
          <cell r="B247" t="str">
            <v>Sales, revenue (Pub)</v>
          </cell>
          <cell r="C247" t="str">
            <v>REVS_PUB</v>
          </cell>
          <cell r="D247" t="str">
            <v>CNY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185.14587972999999</v>
          </cell>
          <cell r="T247">
            <v>325.56347449000003</v>
          </cell>
          <cell r="U247">
            <v>428.05853652999997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675.25957944000004</v>
          </cell>
          <cell r="AA247">
            <v>214.18236059999998</v>
          </cell>
          <cell r="AB247">
            <v>228.59588580000002</v>
          </cell>
          <cell r="AC247">
            <v>229.63133513999998</v>
          </cell>
          <cell r="AD247">
            <v>194.71488378000004</v>
          </cell>
          <cell r="AE247">
            <v>867.12446532000001</v>
          </cell>
          <cell r="AF247">
            <v>175.19569138999998</v>
          </cell>
          <cell r="AG247">
            <v>192.90395625999997</v>
          </cell>
          <cell r="AH247">
            <v>164.49970592</v>
          </cell>
          <cell r="AI247">
            <v>240.3708307600001</v>
          </cell>
          <cell r="AJ247">
            <v>772.97018433000005</v>
          </cell>
          <cell r="AK247">
            <v>155.07549097999998</v>
          </cell>
          <cell r="AL247">
            <v>199.32830216000002</v>
          </cell>
          <cell r="AM247">
            <v>191.46117058999999</v>
          </cell>
          <cell r="AN247">
            <v>335.00908411</v>
          </cell>
          <cell r="AO247">
            <v>880.87404784</v>
          </cell>
          <cell r="AP247">
            <v>201.30070259000001</v>
          </cell>
          <cell r="AQ247">
            <v>250.12147180999995</v>
          </cell>
          <cell r="AR247">
            <v>263.57710313000001</v>
          </cell>
          <cell r="AS247">
            <v>344.01387769999997</v>
          </cell>
          <cell r="AT247">
            <v>1059.0131552299999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1379.1496385555999</v>
          </cell>
          <cell r="AZ247">
            <v>1880.8730099272198</v>
          </cell>
          <cell r="BA247">
            <v>2523.4082489141192</v>
          </cell>
          <cell r="BB247">
            <v>3326.386865663766</v>
          </cell>
          <cell r="BC247">
            <v>4096.0681772349071</v>
          </cell>
          <cell r="BD247">
            <v>5019.685751120277</v>
          </cell>
        </row>
        <row r="248">
          <cell r="B248" t="str">
            <v>Total shareholders' equity (Pub)</v>
          </cell>
          <cell r="C248" t="str">
            <v>EQ_PUB</v>
          </cell>
          <cell r="D248" t="str">
            <v>CNY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360.06612431999997</v>
          </cell>
          <cell r="T248">
            <v>403.82220054999999</v>
          </cell>
          <cell r="U248">
            <v>498.32185757000002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2125.4257044300002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2361.5140680200002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2489.1599035300001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2585.32378767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2630.0409993799999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2756.9289482501981</v>
          </cell>
          <cell r="AZ248">
            <v>2933.521441921544</v>
          </cell>
          <cell r="BA248">
            <v>3180.83354333223</v>
          </cell>
          <cell r="BB248">
            <v>3562.7570832297224</v>
          </cell>
          <cell r="BC248">
            <v>4059.7062968554342</v>
          </cell>
          <cell r="BD248">
            <v>4704.6304201793564</v>
          </cell>
        </row>
        <row r="249">
          <cell r="B249" t="str">
            <v>EPS (consensus)</v>
          </cell>
          <cell r="C249" t="str">
            <v>EPS_CONS_PUB</v>
          </cell>
          <cell r="D249" t="str">
            <v>CNY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</row>
        <row r="250">
          <cell r="A250" t="str">
            <v>Income Statement</v>
          </cell>
          <cell r="B250">
            <v>0</v>
          </cell>
          <cell r="C250">
            <v>0</v>
          </cell>
          <cell r="D250">
            <v>0</v>
          </cell>
        </row>
        <row r="251">
          <cell r="B251" t="str">
            <v>Provision for income tax</v>
          </cell>
          <cell r="C251" t="str">
            <v>PROV_INC_TAX</v>
          </cell>
          <cell r="D251" t="str">
            <v>CNY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-5.6278087999999995</v>
          </cell>
          <cell r="T251">
            <v>-12.772494779999999</v>
          </cell>
          <cell r="U251">
            <v>-24.629156440000003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-32.108825899999999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-64.296325359999997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-45.268587789999998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6.8343942200000001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-43.974199460000001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-27.681299522288455</v>
          </cell>
          <cell r="AZ251">
            <v>-43.069282504235041</v>
          </cell>
          <cell r="BA251">
            <v>-60.31714339000375</v>
          </cell>
          <cell r="BB251">
            <v>-94.073003806572075</v>
          </cell>
          <cell r="BC251">
            <v>-122.40540417496146</v>
          </cell>
          <cell r="BD251">
            <v>-158.85365307591448</v>
          </cell>
        </row>
        <row r="252">
          <cell r="B252" t="str">
            <v>Minority interest</v>
          </cell>
          <cell r="C252" t="str">
            <v>INC_MINORITY</v>
          </cell>
          <cell r="D252" t="str">
            <v>CNY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-1.5619981399999998</v>
          </cell>
          <cell r="T252">
            <v>0.31977028000000002</v>
          </cell>
          <cell r="U252">
            <v>-12.18874016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-22.005842250000001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-26.679365369999999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-11.788334449999999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-22.965821179999999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-11.916389669999999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-18.665889889999999</v>
          </cell>
          <cell r="AZ252">
            <v>-13.379713542081959</v>
          </cell>
          <cell r="BA252">
            <v>-18.737858011811014</v>
          </cell>
          <cell r="BB252">
            <v>-29.224304882519327</v>
          </cell>
          <cell r="BC252">
            <v>-38.025923550101076</v>
          </cell>
          <cell r="BD252">
            <v>-49.348775964865638</v>
          </cell>
        </row>
        <row r="253">
          <cell r="B253" t="str">
            <v>Net income (pre-preferred dividends)</v>
          </cell>
          <cell r="C253" t="str">
            <v>NI_PRE_PREF</v>
          </cell>
          <cell r="D253" t="str">
            <v>CNY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81.287144139999995</v>
          </cell>
          <cell r="T253">
            <v>121.91114309000007</v>
          </cell>
          <cell r="U253">
            <v>136.18192335999996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232.87411285000002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281.43540495999991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143.94800936000001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105.32652208000005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117.50199772000005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152.95748455963459</v>
          </cell>
          <cell r="AZ253">
            <v>230.67955398191646</v>
          </cell>
          <cell r="BA253">
            <v>323.05928786487743</v>
          </cell>
          <cell r="BB253">
            <v>503.85605002138999</v>
          </cell>
          <cell r="BC253">
            <v>655.60470010801498</v>
          </cell>
          <cell r="BD253">
            <v>850.82192479865125</v>
          </cell>
        </row>
        <row r="254">
          <cell r="B254" t="str">
            <v>Preferred dividends</v>
          </cell>
          <cell r="C254" t="str">
            <v>PREF_DIV</v>
          </cell>
          <cell r="D254" t="str">
            <v>CNY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</row>
        <row r="255">
          <cell r="B255" t="str">
            <v>Net income (pre-exceptionals)</v>
          </cell>
          <cell r="C255" t="str">
            <v>NET_EARNING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81.287144139999995</v>
          </cell>
          <cell r="T255">
            <v>121.91114309000007</v>
          </cell>
          <cell r="U255">
            <v>136.18192335999996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232.87411285000002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281.43540495999991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143.94800936000001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105.32652208000005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117.50199772000005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152.95748455963459</v>
          </cell>
          <cell r="AZ255">
            <v>230.67955398191646</v>
          </cell>
          <cell r="BA255">
            <v>323.05928786487743</v>
          </cell>
          <cell r="BB255">
            <v>503.85605002138999</v>
          </cell>
          <cell r="BC255">
            <v>655.60470010801498</v>
          </cell>
          <cell r="BD255">
            <v>850.82192479865125</v>
          </cell>
        </row>
        <row r="256">
          <cell r="B256" t="str">
            <v>Post-tax exceptionals</v>
          </cell>
          <cell r="C256" t="str">
            <v>TAX_EXC</v>
          </cell>
          <cell r="D256" t="str">
            <v>CNY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</row>
        <row r="257">
          <cell r="B257" t="str">
            <v>Net income (post-exceptionals)</v>
          </cell>
          <cell r="C257" t="str">
            <v>NET_INC</v>
          </cell>
          <cell r="D257" t="str">
            <v>CNY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81.287144139999995</v>
          </cell>
          <cell r="T257">
            <v>121.91114309000007</v>
          </cell>
          <cell r="U257">
            <v>136.18192335999996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232.87411285000002</v>
          </cell>
          <cell r="AA257">
            <v>73.513012009999983</v>
          </cell>
          <cell r="AB257">
            <v>68.657090970000013</v>
          </cell>
          <cell r="AC257">
            <v>77.641892089999999</v>
          </cell>
          <cell r="AD257">
            <v>61.623409889999962</v>
          </cell>
          <cell r="AE257">
            <v>281.43540495999991</v>
          </cell>
          <cell r="AF257">
            <v>60.003503539999976</v>
          </cell>
          <cell r="AG257">
            <v>58.281726929999977</v>
          </cell>
          <cell r="AH257">
            <v>36.018089970000005</v>
          </cell>
          <cell r="AI257">
            <v>-10.355311079999909</v>
          </cell>
          <cell r="AJ257">
            <v>143.94800936000001</v>
          </cell>
          <cell r="AK257">
            <v>40.632080880000011</v>
          </cell>
          <cell r="AL257">
            <v>6.201029350000038</v>
          </cell>
          <cell r="AM257">
            <v>10.315725580000006</v>
          </cell>
          <cell r="AN257">
            <v>48.177686270000059</v>
          </cell>
          <cell r="AO257">
            <v>105.32652208000005</v>
          </cell>
          <cell r="AP257">
            <v>29.316800139999984</v>
          </cell>
          <cell r="AQ257">
            <v>29.341480979999957</v>
          </cell>
          <cell r="AR257">
            <v>13.123151320000026</v>
          </cell>
          <cell r="AS257">
            <v>45.72056527999996</v>
          </cell>
          <cell r="AT257">
            <v>117.50199772000005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152.95748455963459</v>
          </cell>
          <cell r="AZ257">
            <v>230.67955398191646</v>
          </cell>
          <cell r="BA257">
            <v>323.05928786487743</v>
          </cell>
          <cell r="BB257">
            <v>503.85605002138999</v>
          </cell>
          <cell r="BC257">
            <v>655.60470010801498</v>
          </cell>
          <cell r="BD257">
            <v>850.82192479865125</v>
          </cell>
        </row>
        <row r="258">
          <cell r="B258" t="str">
            <v>EPS (pre-exceptionals, basic)</v>
          </cell>
          <cell r="C258" t="str">
            <v>EPS</v>
          </cell>
          <cell r="D258" t="str">
            <v>CNY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0.52059729279896871</v>
          </cell>
          <cell r="T258">
            <v>0.20495167856837548</v>
          </cell>
          <cell r="U258">
            <v>0.22894308982647274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0.34892488543196032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0.4069357187794746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0.20813865529636666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0.15229471242679943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0.1698995903551942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0.22116572035114884</v>
          </cell>
          <cell r="AZ258">
            <v>0.33354634376718834</v>
          </cell>
          <cell r="BA258">
            <v>0.46712091482459106</v>
          </cell>
          <cell r="BB258">
            <v>0.72854026448649523</v>
          </cell>
          <cell r="BC258">
            <v>0.94795809556123389</v>
          </cell>
          <cell r="BD258">
            <v>1.2302284156306227</v>
          </cell>
        </row>
        <row r="259">
          <cell r="B259" t="str">
            <v>EPS (pre-exceptionals, diluted)</v>
          </cell>
          <cell r="C259" t="str">
            <v>EPS_FUL_DIL</v>
          </cell>
          <cell r="D259" t="str">
            <v>CNY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0.52059729279896871</v>
          </cell>
          <cell r="T259">
            <v>0.20495167856837548</v>
          </cell>
          <cell r="U259">
            <v>0.22894308982647274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0.33671951968100111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0.40693571894893393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0.2081386553685956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0.15229471244882012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0.1698995903551942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0.22116572035114884</v>
          </cell>
          <cell r="AZ259">
            <v>0.33354634376718834</v>
          </cell>
          <cell r="BA259">
            <v>0.46712091482459106</v>
          </cell>
          <cell r="BB259">
            <v>0.72854026448649523</v>
          </cell>
          <cell r="BC259">
            <v>0.94795809556123389</v>
          </cell>
          <cell r="BD259">
            <v>1.2302284156306227</v>
          </cell>
        </row>
        <row r="260">
          <cell r="B260" t="str">
            <v>EPS (post-exceptionals, basic)</v>
          </cell>
          <cell r="C260" t="str">
            <v>EPS_POST_BASIC</v>
          </cell>
          <cell r="D260" t="str">
            <v>CNY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0.52059729279896871</v>
          </cell>
          <cell r="T260">
            <v>0.20495167856837548</v>
          </cell>
          <cell r="U260">
            <v>0.22894308982647274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0.34892488543196032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0.4069357187794746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0.20813865529636666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0.15229471242679943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0.1698995903551942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0.22116572035114884</v>
          </cell>
          <cell r="AZ260">
            <v>0.33354634376718834</v>
          </cell>
          <cell r="BA260">
            <v>0.46712091482459106</v>
          </cell>
          <cell r="BB260">
            <v>0.72854026448649523</v>
          </cell>
          <cell r="BC260">
            <v>0.94795809556123389</v>
          </cell>
          <cell r="BD260">
            <v>1.2302284156306227</v>
          </cell>
        </row>
        <row r="261">
          <cell r="B261" t="str">
            <v>EPS (post-exceptionals, diluted)</v>
          </cell>
          <cell r="C261" t="str">
            <v>FULLY_DIL_EPS</v>
          </cell>
          <cell r="D261" t="str">
            <v>CNY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0.52059729279896871</v>
          </cell>
          <cell r="T261">
            <v>0.20495167856837548</v>
          </cell>
          <cell r="U261">
            <v>0.22894308982647274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0.33671951968100111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0.40693571894893393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0.2081386553685956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0.15229471244882012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0.1698995903551942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0.22116572035114884</v>
          </cell>
          <cell r="AZ261">
            <v>0.33354634376718834</v>
          </cell>
          <cell r="BA261">
            <v>0.46712091482459106</v>
          </cell>
          <cell r="BB261">
            <v>0.72854026448649523</v>
          </cell>
          <cell r="BC261">
            <v>0.94795809556123389</v>
          </cell>
          <cell r="BD261">
            <v>1.2302284156306227</v>
          </cell>
        </row>
        <row r="262">
          <cell r="B262" t="str">
            <v>Common dividends paid</v>
          </cell>
          <cell r="C262" t="str">
            <v>COMMON_DIV_PAID</v>
          </cell>
          <cell r="D262" t="str">
            <v>CNY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-48.880600180000002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-60.034436849999999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-81.646833979999997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-40.343141439999997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-31.813448659999999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-35.27143221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-44.735425579436061</v>
          </cell>
          <cell r="AZ262">
            <v>-67.466773852652992</v>
          </cell>
          <cell r="BA262">
            <v>-94.485044466001654</v>
          </cell>
          <cell r="BB262">
            <v>-151.15681500641699</v>
          </cell>
          <cell r="BC262">
            <v>-196.6814100324045</v>
          </cell>
          <cell r="BD262">
            <v>-255.24657743959537</v>
          </cell>
        </row>
        <row r="263">
          <cell r="B263" t="str">
            <v>DPS, dividend per share</v>
          </cell>
          <cell r="C263" t="str">
            <v>DPS</v>
          </cell>
          <cell r="D263" t="str">
            <v>CNY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8.217592586204199E-2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8.6805555555555566E-2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0.11805555555555555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5.8333333333333327E-2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4.5999999999999999E-2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5.0999999999999997E-2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6.4684266036251187E-2</v>
          </cell>
          <cell r="AZ263">
            <v>9.7552190282473999E-2</v>
          </cell>
          <cell r="BA263">
            <v>0.13661870147705249</v>
          </cell>
          <cell r="BB263">
            <v>0.21856207934594857</v>
          </cell>
          <cell r="BC263">
            <v>0.28438742866837019</v>
          </cell>
          <cell r="BD263">
            <v>0.36906852468918677</v>
          </cell>
        </row>
        <row r="264">
          <cell r="B264" t="str">
            <v>Weighted average shares outstanding, basic</v>
          </cell>
          <cell r="C264" t="str">
            <v>SH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156.14207999999999</v>
          </cell>
          <cell r="T264">
            <v>594.82871251200004</v>
          </cell>
          <cell r="U264">
            <v>594.82871251200004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667.40471251200006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691.596711648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691.59671064000008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691.59671009999988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691.59671000000003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691.59671000000003</v>
          </cell>
          <cell r="AZ264">
            <v>691.59671000000003</v>
          </cell>
          <cell r="BA264">
            <v>691.59671000000003</v>
          </cell>
          <cell r="BB264">
            <v>691.59671000000003</v>
          </cell>
          <cell r="BC264">
            <v>691.59671000000003</v>
          </cell>
          <cell r="BD264">
            <v>691.59671000000003</v>
          </cell>
        </row>
        <row r="265">
          <cell r="B265" t="str">
            <v>Diluted average shares outstanding (mn)</v>
          </cell>
          <cell r="C265" t="str">
            <v>DILUTE_SHARES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156.14207999999999</v>
          </cell>
          <cell r="T265">
            <v>594.82871251200004</v>
          </cell>
          <cell r="U265">
            <v>594.82871251200004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691.59671251199995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691.59671135999997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691.59671040000001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691.59671000000003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691.59671000000003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691.59671000000003</v>
          </cell>
          <cell r="AZ265">
            <v>691.59671000000003</v>
          </cell>
          <cell r="BA265">
            <v>691.59671000000003</v>
          </cell>
          <cell r="BB265">
            <v>691.59671000000003</v>
          </cell>
          <cell r="BC265">
            <v>691.59671000000003</v>
          </cell>
          <cell r="BD265">
            <v>691.59671000000003</v>
          </cell>
        </row>
        <row r="266">
          <cell r="B266" t="str">
            <v>Period-end shares outstanding</v>
          </cell>
          <cell r="C266" t="str">
            <v>NON_OP_ADD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156.14207999999999</v>
          </cell>
          <cell r="T266">
            <v>594.82871251200004</v>
          </cell>
          <cell r="U266">
            <v>594.82871251200004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691.59671251199995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691.59671135999997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691.59671040000001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691.59671000000003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691.59671000000003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691.59671000000003</v>
          </cell>
          <cell r="AZ266">
            <v>691.59671000000003</v>
          </cell>
          <cell r="BA266">
            <v>691.59671000000003</v>
          </cell>
          <cell r="BB266">
            <v>691.59671000000003</v>
          </cell>
          <cell r="BC266">
            <v>691.59671000000003</v>
          </cell>
          <cell r="BD266">
            <v>691.59671000000003</v>
          </cell>
        </row>
        <row r="267">
          <cell r="A267" t="str">
            <v>Additional Income Statement Items</v>
          </cell>
          <cell r="B267">
            <v>0</v>
          </cell>
          <cell r="C267">
            <v>0</v>
          </cell>
          <cell r="D267">
            <v>0</v>
          </cell>
        </row>
        <row r="268">
          <cell r="B268" t="str">
            <v>Marginal tax rate</v>
          </cell>
          <cell r="C268" t="str">
            <v>MARGIN_TAX_RATE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6.3607625842705517E-2</v>
          </cell>
          <cell r="T268">
            <v>9.5058999187000046E-2</v>
          </cell>
          <cell r="U268">
            <v>0.14236521428574098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0.11188181568672539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0.17264879082314222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0.22521132904382926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0.25361060849759154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0.13888936456245904</v>
          </cell>
          <cell r="AZ268">
            <v>0.15000000000000008</v>
          </cell>
          <cell r="BA268">
            <v>0.1499999999999998</v>
          </cell>
          <cell r="BB268">
            <v>0.1499999999999998</v>
          </cell>
          <cell r="BC268">
            <v>0.1499999999999998</v>
          </cell>
          <cell r="BD268">
            <v>0.1499999999999998</v>
          </cell>
        </row>
        <row r="269">
          <cell r="B269" t="str">
            <v>Net income (consensus) (Pub)</v>
          </cell>
          <cell r="C269" t="str">
            <v>NI_CONS</v>
          </cell>
          <cell r="D269" t="str">
            <v>CNY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</row>
        <row r="270">
          <cell r="A270" t="str">
            <v>Balance Sheet</v>
          </cell>
          <cell r="B270">
            <v>0</v>
          </cell>
          <cell r="C270">
            <v>0</v>
          </cell>
          <cell r="D270">
            <v>0</v>
          </cell>
        </row>
        <row r="271">
          <cell r="B271" t="str">
            <v>BVPS, book value per share</v>
          </cell>
          <cell r="C271" t="str">
            <v>BVPS</v>
          </cell>
          <cell r="D271" t="str">
            <v>CNY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2.2396719963638243</v>
          </cell>
          <cell r="T271">
            <v>0.66128708706552985</v>
          </cell>
          <cell r="U271">
            <v>0.80749221548431904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3.0239951436202244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3.3413671919806283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3.4313637152748373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3.4844146581755715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3.5579418212674834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3.7144232755823814</v>
          </cell>
          <cell r="AZ271">
            <v>3.9504174290670959</v>
          </cell>
          <cell r="BA271">
            <v>4.2809196424146334</v>
          </cell>
          <cell r="BB271">
            <v>4.7908978275551801</v>
          </cell>
          <cell r="BC271">
            <v>5.4544684944480446</v>
          </cell>
          <cell r="BD271">
            <v>6.3156283853894806</v>
          </cell>
        </row>
        <row r="272">
          <cell r="A272" t="str">
            <v>Cash Flow Statement</v>
          </cell>
          <cell r="B272">
            <v>0</v>
          </cell>
          <cell r="C272">
            <v>0</v>
          </cell>
          <cell r="D272">
            <v>0</v>
          </cell>
        </row>
        <row r="273">
          <cell r="B273" t="str">
            <v>Net income (pre-preferred dividends)</v>
          </cell>
          <cell r="C273" t="str">
            <v>CF_NI_PRE_PREF</v>
          </cell>
          <cell r="D273" t="str">
            <v>CNY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81.287144139999995</v>
          </cell>
          <cell r="T273">
            <v>121.91114309000007</v>
          </cell>
          <cell r="U273">
            <v>136.18192335999996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232.87411285000002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281.43540495999991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143.94800936000001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105.32652208000005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117.50199772000005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152.95748455963459</v>
          </cell>
          <cell r="AZ273">
            <v>230.67955398191646</v>
          </cell>
          <cell r="BA273">
            <v>323.05928786487743</v>
          </cell>
          <cell r="BB273">
            <v>503.85605002138999</v>
          </cell>
          <cell r="BC273">
            <v>655.60470010801498</v>
          </cell>
          <cell r="BD273">
            <v>850.82192479865125</v>
          </cell>
        </row>
        <row r="274">
          <cell r="A274" t="str">
            <v>Other Items</v>
          </cell>
          <cell r="B274">
            <v>0</v>
          </cell>
          <cell r="C274">
            <v>0</v>
          </cell>
          <cell r="D274">
            <v>0</v>
          </cell>
        </row>
        <row r="275">
          <cell r="B275" t="str">
            <v>Beta</v>
          </cell>
          <cell r="C275" t="str">
            <v>BETA_ANALYST</v>
          </cell>
          <cell r="E275">
            <v>0</v>
          </cell>
        </row>
        <row r="276">
          <cell r="B276" t="str">
            <v>Market equity risk premium</v>
          </cell>
          <cell r="C276" t="str">
            <v>MKT_EQ_RISK_PREM</v>
          </cell>
          <cell r="E276">
            <v>0</v>
          </cell>
        </row>
        <row r="277">
          <cell r="B277" t="str">
            <v>Risk-free rate</v>
          </cell>
          <cell r="C277" t="str">
            <v>RISK_FR_RATE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Z277">
            <v>0</v>
          </cell>
          <cell r="AE277">
            <v>0</v>
          </cell>
          <cell r="AJ277">
            <v>0</v>
          </cell>
          <cell r="AO277">
            <v>0</v>
          </cell>
          <cell r="AT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Val-Summary"/>
      <sheetName val="_QP_600875.SS"/>
      <sheetName val="_QP_1072.HK"/>
      <sheetName val="AFOSHEET"/>
      <sheetName val="Act Vs Est"/>
      <sheetName val="Valuation"/>
      <sheetName val="Model"/>
      <sheetName val="Revenue"/>
      <sheetName val="Company Data"/>
      <sheetName val="M&amp;A impact "/>
      <sheetName val="Raw Data"/>
      <sheetName val="Basic Data"/>
      <sheetName val="Industry Data"/>
      <sheetName val="Ratios"/>
      <sheetName val="Market Data"/>
      <sheetName val="300002.SZ_Live_Sheet"/>
      <sheetName val="300002.SZ_Validation_Sheet"/>
      <sheetName val="300002.SZ_Annotation_Sheet"/>
      <sheetName val="300002.SZ_Exchange_Sheet"/>
      <sheetName val="Sheet2"/>
      <sheetName val="Sheet1"/>
      <sheetName val="Exhibit"/>
      <sheetName val="First take"/>
      <sheetName val="exhibits"/>
      <sheetName val="Comment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Issuer: Beijing Ultrapower Software</v>
          </cell>
          <cell r="C1">
            <v>2134135100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 t="str">
            <v>2011 Q1</v>
          </cell>
          <cell r="X1" t="str">
            <v>2011 Q2</v>
          </cell>
          <cell r="Y1" t="str">
            <v>2011 Q3</v>
          </cell>
          <cell r="Z1" t="str">
            <v>2011 Q4</v>
          </cell>
          <cell r="AA1">
            <v>2011</v>
          </cell>
          <cell r="AB1" t="str">
            <v>2012 Q1</v>
          </cell>
          <cell r="AC1" t="str">
            <v>2012 Q2</v>
          </cell>
          <cell r="AD1" t="str">
            <v>2012 Q3</v>
          </cell>
          <cell r="AE1" t="str">
            <v>2012 Q4</v>
          </cell>
          <cell r="AF1">
            <v>2012</v>
          </cell>
          <cell r="AG1" t="str">
            <v>2013 Q1</v>
          </cell>
          <cell r="AH1" t="str">
            <v>2013 Q2</v>
          </cell>
          <cell r="AI1" t="str">
            <v>2013 Q3</v>
          </cell>
          <cell r="AJ1" t="str">
            <v>2013 Q4</v>
          </cell>
          <cell r="AK1">
            <v>2013</v>
          </cell>
          <cell r="AL1" t="str">
            <v>2014 Q1</v>
          </cell>
          <cell r="AM1" t="str">
            <v>2014 Q2</v>
          </cell>
          <cell r="AN1" t="str">
            <v>2014 Q3</v>
          </cell>
          <cell r="AO1" t="str">
            <v>2014 Q4</v>
          </cell>
          <cell r="AP1">
            <v>2014</v>
          </cell>
          <cell r="AQ1" t="str">
            <v>2015 Q1</v>
          </cell>
          <cell r="AR1" t="str">
            <v>2015 Q2</v>
          </cell>
          <cell r="AS1" t="str">
            <v>2015 Q3</v>
          </cell>
          <cell r="AT1" t="str">
            <v>2015 Q4</v>
          </cell>
          <cell r="AU1">
            <v>2015</v>
          </cell>
          <cell r="AV1" t="str">
            <v>2016 Q1</v>
          </cell>
          <cell r="AW1" t="str">
            <v>2016 Q2</v>
          </cell>
          <cell r="AX1" t="str">
            <v>2016 Q3</v>
          </cell>
          <cell r="AY1" t="str">
            <v>2016 Q4</v>
          </cell>
          <cell r="AZ1">
            <v>2016</v>
          </cell>
          <cell r="BA1">
            <v>2017</v>
          </cell>
          <cell r="BB1">
            <v>2018</v>
          </cell>
          <cell r="BC1">
            <v>2019</v>
          </cell>
          <cell r="BD1">
            <v>2020</v>
          </cell>
        </row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</row>
        <row r="3"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40543</v>
          </cell>
          <cell r="W3">
            <v>40633</v>
          </cell>
          <cell r="X3">
            <v>40724</v>
          </cell>
          <cell r="Y3">
            <v>40816</v>
          </cell>
          <cell r="Z3">
            <v>40908</v>
          </cell>
          <cell r="AA3">
            <v>40908</v>
          </cell>
          <cell r="AB3">
            <v>40999</v>
          </cell>
          <cell r="AC3">
            <v>41090</v>
          </cell>
          <cell r="AD3">
            <v>41182</v>
          </cell>
          <cell r="AE3">
            <v>41274</v>
          </cell>
          <cell r="AF3">
            <v>41274</v>
          </cell>
          <cell r="AG3">
            <v>41364</v>
          </cell>
          <cell r="AH3">
            <v>41455</v>
          </cell>
          <cell r="AI3">
            <v>41547</v>
          </cell>
          <cell r="AJ3">
            <v>41639</v>
          </cell>
          <cell r="AK3">
            <v>41639</v>
          </cell>
          <cell r="AL3">
            <v>41729</v>
          </cell>
          <cell r="AM3">
            <v>41820</v>
          </cell>
          <cell r="AN3">
            <v>41912</v>
          </cell>
          <cell r="AO3">
            <v>42004</v>
          </cell>
          <cell r="AP3">
            <v>42004</v>
          </cell>
          <cell r="AQ3">
            <v>42094</v>
          </cell>
          <cell r="AR3">
            <v>42185</v>
          </cell>
          <cell r="AS3">
            <v>42277</v>
          </cell>
          <cell r="AT3">
            <v>42369</v>
          </cell>
          <cell r="AU3">
            <v>42369</v>
          </cell>
          <cell r="AV3">
            <v>42460</v>
          </cell>
          <cell r="AW3">
            <v>42551</v>
          </cell>
          <cell r="AX3">
            <v>42643</v>
          </cell>
          <cell r="AY3">
            <v>42735</v>
          </cell>
          <cell r="AZ3">
            <v>42735</v>
          </cell>
          <cell r="BA3">
            <v>43100</v>
          </cell>
          <cell r="BB3">
            <v>43465</v>
          </cell>
          <cell r="BC3">
            <v>43830</v>
          </cell>
          <cell r="BD3">
            <v>44196</v>
          </cell>
        </row>
        <row r="4">
          <cell r="A4" t="str">
            <v>Issuer: Beijing Ultrapower Software</v>
          </cell>
          <cell r="B4" t="str">
            <v>1310D6</v>
          </cell>
        </row>
        <row r="5">
          <cell r="A5" t="str">
            <v>Reference Data</v>
          </cell>
        </row>
        <row r="6">
          <cell r="B6" t="str">
            <v>Issuer Name</v>
          </cell>
          <cell r="C6" t="str">
            <v>Issuer Name</v>
          </cell>
          <cell r="E6" t="str">
            <v>Beijing Ultrapower Software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R9">
            <v>187.60429084</v>
          </cell>
          <cell r="S9">
            <v>442.76652659000001</v>
          </cell>
          <cell r="T9">
            <v>519.28288069999996</v>
          </cell>
          <cell r="U9">
            <v>722.75869049999994</v>
          </cell>
          <cell r="V9">
            <v>841.62898700000005</v>
          </cell>
          <cell r="W9">
            <v>204.81831707000001</v>
          </cell>
          <cell r="X9">
            <v>330.37986076999999</v>
          </cell>
          <cell r="Y9">
            <v>238.97879821000001</v>
          </cell>
          <cell r="Z9">
            <v>383.08111348</v>
          </cell>
          <cell r="AA9">
            <v>1157.25808953</v>
          </cell>
          <cell r="AB9">
            <v>242.92063012</v>
          </cell>
          <cell r="AC9">
            <v>437.09620760000001</v>
          </cell>
          <cell r="AD9">
            <v>303.38412253000001</v>
          </cell>
          <cell r="AE9">
            <v>426.11194977000002</v>
          </cell>
          <cell r="AF9">
            <v>1409.5129100199999</v>
          </cell>
          <cell r="AG9">
            <v>348.45297110000001</v>
          </cell>
          <cell r="AH9">
            <v>607.13261825999996</v>
          </cell>
          <cell r="AI9">
            <v>432.71126663000001</v>
          </cell>
          <cell r="AJ9">
            <v>518.16965304999997</v>
          </cell>
          <cell r="AK9">
            <v>1906.4665090399999</v>
          </cell>
          <cell r="AL9">
            <v>466.76376913000001</v>
          </cell>
          <cell r="AM9">
            <v>666.34454358999994</v>
          </cell>
          <cell r="AN9">
            <v>555.94271255000001</v>
          </cell>
          <cell r="AO9">
            <v>859.79336721000004</v>
          </cell>
          <cell r="AP9">
            <v>2548.8443924799999</v>
          </cell>
          <cell r="AQ9">
            <v>468.89389055999999</v>
          </cell>
          <cell r="AR9">
            <v>677.11055678000002</v>
          </cell>
          <cell r="AS9">
            <v>668.80091809999999</v>
          </cell>
          <cell r="AT9">
            <v>1093.6131168229999</v>
          </cell>
          <cell r="AU9">
            <v>2908.418482263</v>
          </cell>
          <cell r="AV9">
            <v>548.48560937914101</v>
          </cell>
          <cell r="AW9">
            <v>829.65496779699197</v>
          </cell>
          <cell r="AX9">
            <v>834.90826648739198</v>
          </cell>
          <cell r="AY9">
            <v>1370.43064112665</v>
          </cell>
          <cell r="AZ9">
            <v>3583.4794847901799</v>
          </cell>
          <cell r="BA9">
            <v>4267.4419583407298</v>
          </cell>
          <cell r="BB9">
            <v>4975.9216175718702</v>
          </cell>
          <cell r="BC9">
            <v>5511.3076170949898</v>
          </cell>
          <cell r="BD9">
            <v>5907.4859330467798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R11">
            <v>-115.48163493</v>
          </cell>
          <cell r="S11">
            <v>-273.13157932000001</v>
          </cell>
          <cell r="T11">
            <v>-257.78372918999997</v>
          </cell>
          <cell r="U11">
            <v>-190.6453348</v>
          </cell>
          <cell r="V11">
            <v>-220.05270032000001</v>
          </cell>
          <cell r="AA11">
            <v>-376.95109201999998</v>
          </cell>
          <cell r="AF11">
            <v>-495.68639402000002</v>
          </cell>
          <cell r="AK11">
            <v>-801.25129303999995</v>
          </cell>
          <cell r="AP11">
            <v>-1350.8132951600001</v>
          </cell>
          <cell r="AU11">
            <v>-1752.57972831538</v>
          </cell>
          <cell r="AZ11">
            <v>-2141.5718657177499</v>
          </cell>
          <cell r="BA11">
            <v>-2565.0753076973601</v>
          </cell>
          <cell r="BB11">
            <v>-2980.9766330911898</v>
          </cell>
          <cell r="BC11">
            <v>-3290.69322496722</v>
          </cell>
          <cell r="BD11">
            <v>-3515.4285222491699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-52.937832069999999</v>
          </cell>
          <cell r="S12">
            <v>-55.160707440000003</v>
          </cell>
          <cell r="T12">
            <v>-95.293304660000004</v>
          </cell>
          <cell r="U12">
            <v>-165.20484077</v>
          </cell>
          <cell r="V12">
            <v>-211.30392653000001</v>
          </cell>
          <cell r="AA12">
            <v>-319.28231985000002</v>
          </cell>
          <cell r="AF12">
            <v>-335.39559292000001</v>
          </cell>
          <cell r="AK12">
            <v>-418.14278555999999</v>
          </cell>
          <cell r="AP12">
            <v>-492.92443840999999</v>
          </cell>
          <cell r="AU12">
            <v>-612.42411143280503</v>
          </cell>
          <cell r="AZ12">
            <v>-715.70760335200998</v>
          </cell>
          <cell r="BA12">
            <v>-812.007512694409</v>
          </cell>
          <cell r="BB12">
            <v>-954.84891356243304</v>
          </cell>
          <cell r="BC12">
            <v>-1065.4865961652399</v>
          </cell>
          <cell r="BD12">
            <v>-1149.5328448944699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-168.419467</v>
          </cell>
          <cell r="S13">
            <v>-328.29228676000002</v>
          </cell>
          <cell r="T13">
            <v>-353.07703385000002</v>
          </cell>
          <cell r="U13">
            <v>-355.85017556999998</v>
          </cell>
          <cell r="V13">
            <v>-431.35662685</v>
          </cell>
          <cell r="AA13">
            <v>-696.23341187000005</v>
          </cell>
          <cell r="AF13">
            <v>-831.08198693999998</v>
          </cell>
          <cell r="AK13">
            <v>-1219.3940786000001</v>
          </cell>
          <cell r="AP13">
            <v>-1843.73773357</v>
          </cell>
          <cell r="AU13">
            <v>-2365.0038397481899</v>
          </cell>
          <cell r="AZ13">
            <v>-2857.2794690697601</v>
          </cell>
          <cell r="BA13">
            <v>-3377.0828203917699</v>
          </cell>
          <cell r="BB13">
            <v>-3935.8255466536202</v>
          </cell>
          <cell r="BC13">
            <v>-4356.1798211324603</v>
          </cell>
          <cell r="BD13">
            <v>-4664.96136714363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R14">
            <v>0</v>
          </cell>
          <cell r="S14">
            <v>-49.914000000000001</v>
          </cell>
          <cell r="T14">
            <v>-59.079599999999999</v>
          </cell>
          <cell r="U14">
            <v>-85.297200000000004</v>
          </cell>
          <cell r="V14">
            <v>-81.555700000000002</v>
          </cell>
          <cell r="AA14">
            <v>-142.64226826000001</v>
          </cell>
          <cell r="AF14">
            <v>-191.50270613000001</v>
          </cell>
          <cell r="AK14">
            <v>-185.63509199999999</v>
          </cell>
          <cell r="AP14">
            <v>-167.91112307</v>
          </cell>
          <cell r="AU14">
            <v>-210.758803742851</v>
          </cell>
          <cell r="AZ14">
            <v>-272.66101723675098</v>
          </cell>
          <cell r="BA14">
            <v>-308.467459290254</v>
          </cell>
          <cell r="BB14">
            <v>-341.695193112087</v>
          </cell>
          <cell r="BC14">
            <v>-359.53700479916699</v>
          </cell>
          <cell r="BD14">
            <v>-366.113080331265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AA15">
            <v>0</v>
          </cell>
          <cell r="AF15">
            <v>0</v>
          </cell>
          <cell r="AK15">
            <v>0</v>
          </cell>
          <cell r="AP15">
            <v>0</v>
          </cell>
          <cell r="AU15">
            <v>0</v>
          </cell>
          <cell r="AZ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R16">
            <v>-168.419467</v>
          </cell>
          <cell r="S16">
            <v>-378.20628676000001</v>
          </cell>
          <cell r="T16">
            <v>-412.15663384999999</v>
          </cell>
          <cell r="U16">
            <v>-441.14737557000001</v>
          </cell>
          <cell r="V16">
            <v>-512.91232685</v>
          </cell>
          <cell r="AA16">
            <v>-838.87568012999998</v>
          </cell>
          <cell r="AF16">
            <v>-1022.58469307</v>
          </cell>
          <cell r="AK16">
            <v>-1405.0291706</v>
          </cell>
          <cell r="AP16">
            <v>-2011.6488566400001</v>
          </cell>
          <cell r="AU16">
            <v>-2575.7626434910399</v>
          </cell>
          <cell r="AZ16">
            <v>-3129.9404863065101</v>
          </cell>
          <cell r="BA16">
            <v>-3685.5502796820201</v>
          </cell>
          <cell r="BB16">
            <v>-4277.5207397657095</v>
          </cell>
          <cell r="BC16">
            <v>-4715.7168259316304</v>
          </cell>
          <cell r="BD16">
            <v>-5031.0744474748999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R17">
            <v>-167.00477692999999</v>
          </cell>
          <cell r="S17">
            <v>-376.18642735999998</v>
          </cell>
          <cell r="T17">
            <v>-407.77008452000001</v>
          </cell>
          <cell r="U17">
            <v>-435.28892834999999</v>
          </cell>
          <cell r="V17">
            <v>-503.01359600000001</v>
          </cell>
          <cell r="AA17">
            <v>-812.36425317999999</v>
          </cell>
          <cell r="AF17">
            <v>-989.16020997999999</v>
          </cell>
          <cell r="AK17">
            <v>-1370.6039870300001</v>
          </cell>
          <cell r="AP17">
            <v>-1966.1922582899999</v>
          </cell>
          <cell r="AU17">
            <v>-2514.8398206582201</v>
          </cell>
          <cell r="AZ17">
            <v>-3049.7154931785999</v>
          </cell>
          <cell r="BA17">
            <v>-3582.0129508907198</v>
          </cell>
          <cell r="BB17">
            <v>-4146.3893945892196</v>
          </cell>
          <cell r="BC17">
            <v>-4553.3628112360802</v>
          </cell>
          <cell r="BD17">
            <v>-4834.3389471343398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R18">
            <v>20.599513909999999</v>
          </cell>
          <cell r="S18">
            <v>66.580099230000002</v>
          </cell>
          <cell r="T18">
            <v>111.51279618</v>
          </cell>
          <cell r="U18">
            <v>287.46976215000001</v>
          </cell>
          <cell r="V18">
            <v>338.61539099999999</v>
          </cell>
          <cell r="AA18">
            <v>344.89383635000002</v>
          </cell>
          <cell r="AF18">
            <v>420.35270004</v>
          </cell>
          <cell r="AK18">
            <v>535.86252201000002</v>
          </cell>
          <cell r="AP18">
            <v>582.65213418999997</v>
          </cell>
          <cell r="AU18">
            <v>393.57866160477698</v>
          </cell>
          <cell r="AZ18">
            <v>533.76399161158201</v>
          </cell>
          <cell r="BA18">
            <v>685.42900745000395</v>
          </cell>
          <cell r="BB18">
            <v>829.532222982652</v>
          </cell>
          <cell r="BC18">
            <v>957.94480585891495</v>
          </cell>
          <cell r="BD18">
            <v>1073.14698591244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-1.41469007</v>
          </cell>
          <cell r="S19">
            <v>-1.9729203200000001</v>
          </cell>
          <cell r="T19">
            <v>-3.6781104099999999</v>
          </cell>
          <cell r="U19">
            <v>-4.7938930600000003</v>
          </cell>
          <cell r="V19">
            <v>-9.0941131800000008</v>
          </cell>
          <cell r="AA19">
            <v>-20.636721470000001</v>
          </cell>
          <cell r="AF19">
            <v>-25.591410570000001</v>
          </cell>
          <cell r="AK19">
            <v>-26.316598070000001</v>
          </cell>
          <cell r="AP19">
            <v>-27.36579656</v>
          </cell>
          <cell r="AU19">
            <v>-42.832021042815001</v>
          </cell>
          <cell r="AZ19">
            <v>-62.134191337910003</v>
          </cell>
          <cell r="BA19">
            <v>-85.446527001294996</v>
          </cell>
          <cell r="BB19">
            <v>-113.04054338649</v>
          </cell>
          <cell r="BC19">
            <v>-144.26321290555001</v>
          </cell>
          <cell r="BD19">
            <v>-178.64469855055299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-4.6939080000000001E-2</v>
          </cell>
          <cell r="T20">
            <v>-0.70843891999999997</v>
          </cell>
          <cell r="U20">
            <v>-1.0645541599999999</v>
          </cell>
          <cell r="V20">
            <v>-0.80461766999999995</v>
          </cell>
          <cell r="AA20">
            <v>-5.8747054800000003</v>
          </cell>
          <cell r="AF20">
            <v>-7.83307252</v>
          </cell>
          <cell r="AK20">
            <v>-8.1085855000000002</v>
          </cell>
          <cell r="AP20">
            <v>-18.09080179</v>
          </cell>
          <cell r="AU20">
            <v>-18.09080179</v>
          </cell>
          <cell r="AZ20">
            <v>-18.09080179</v>
          </cell>
          <cell r="BA20">
            <v>-18.09080179</v>
          </cell>
          <cell r="BB20">
            <v>-18.09080179</v>
          </cell>
          <cell r="BC20">
            <v>-18.09080179</v>
          </cell>
          <cell r="BD20">
            <v>-18.09080179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R21">
            <v>19.18482384</v>
          </cell>
          <cell r="S21">
            <v>64.56023983</v>
          </cell>
          <cell r="T21">
            <v>107.12624685</v>
          </cell>
          <cell r="U21">
            <v>281.61131492999999</v>
          </cell>
          <cell r="V21">
            <v>328.71666015</v>
          </cell>
          <cell r="W21">
            <v>58.682645960000002</v>
          </cell>
          <cell r="X21">
            <v>145.62258324999999</v>
          </cell>
          <cell r="Y21">
            <v>42.179027240000003</v>
          </cell>
          <cell r="Z21">
            <v>71.898152949999997</v>
          </cell>
          <cell r="AA21">
            <v>318.38240939999997</v>
          </cell>
          <cell r="AB21">
            <v>70.293445730000002</v>
          </cell>
          <cell r="AC21">
            <v>189.66605328</v>
          </cell>
          <cell r="AD21">
            <v>86.374526110000005</v>
          </cell>
          <cell r="AE21">
            <v>40.59419183</v>
          </cell>
          <cell r="AF21">
            <v>386.92821694999998</v>
          </cell>
          <cell r="AG21">
            <v>106.14939612000001</v>
          </cell>
          <cell r="AH21">
            <v>211.32175307</v>
          </cell>
          <cell r="AI21">
            <v>93.025038230000007</v>
          </cell>
          <cell r="AJ21">
            <v>90.941151020000007</v>
          </cell>
          <cell r="AK21">
            <v>501.43733844000002</v>
          </cell>
          <cell r="AL21">
            <v>70.250510950000006</v>
          </cell>
          <cell r="AM21">
            <v>146.78398795000001</v>
          </cell>
          <cell r="AN21">
            <v>112.37639544</v>
          </cell>
          <cell r="AO21">
            <v>207.78464149999999</v>
          </cell>
          <cell r="AP21">
            <v>537.19553584000005</v>
          </cell>
          <cell r="AQ21">
            <v>-5.5553544400000003</v>
          </cell>
          <cell r="AR21">
            <v>48.028329560000003</v>
          </cell>
          <cell r="AS21">
            <v>51.411115090000003</v>
          </cell>
          <cell r="AT21">
            <v>238.771748561962</v>
          </cell>
          <cell r="AU21">
            <v>332.65583877196201</v>
          </cell>
          <cell r="AV21">
            <v>54.643416505978003</v>
          </cell>
          <cell r="AW21">
            <v>165.98932816764</v>
          </cell>
          <cell r="AX21">
            <v>155.67319602857799</v>
          </cell>
          <cell r="AY21">
            <v>77.233057781477001</v>
          </cell>
          <cell r="AZ21">
            <v>453.538998483672</v>
          </cell>
          <cell r="BA21">
            <v>581.89167865870797</v>
          </cell>
          <cell r="BB21">
            <v>698.40087780616295</v>
          </cell>
          <cell r="BC21">
            <v>795.590791163365</v>
          </cell>
          <cell r="BD21">
            <v>876.41148557188501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R22">
            <v>0.22355494000000001</v>
          </cell>
          <cell r="S22">
            <v>0</v>
          </cell>
          <cell r="T22">
            <v>0.69645241999999996</v>
          </cell>
          <cell r="U22">
            <v>4.4954400100000003</v>
          </cell>
          <cell r="V22">
            <v>32.711061630000003</v>
          </cell>
          <cell r="AA22">
            <v>28.361777709999998</v>
          </cell>
          <cell r="AF22">
            <v>29.53621497</v>
          </cell>
          <cell r="AK22">
            <v>35.830386169999997</v>
          </cell>
          <cell r="AP22">
            <v>17.91582584</v>
          </cell>
          <cell r="AU22">
            <v>19.636440159999999</v>
          </cell>
          <cell r="AZ22">
            <v>28.893148968986001</v>
          </cell>
          <cell r="BA22">
            <v>42.590764675034002</v>
          </cell>
          <cell r="BB22">
            <v>46.514676012362997</v>
          </cell>
          <cell r="BC22">
            <v>52.915082837539998</v>
          </cell>
          <cell r="BD22">
            <v>65.193029141108994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R23">
            <v>0</v>
          </cell>
          <cell r="S23">
            <v>-9.1541629999999999E-2</v>
          </cell>
          <cell r="T23">
            <v>0</v>
          </cell>
          <cell r="U23">
            <v>0</v>
          </cell>
          <cell r="V23">
            <v>0</v>
          </cell>
          <cell r="AA23">
            <v>0</v>
          </cell>
          <cell r="AF23">
            <v>0</v>
          </cell>
          <cell r="AK23">
            <v>0</v>
          </cell>
          <cell r="AP23">
            <v>0</v>
          </cell>
          <cell r="AU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R24">
            <v>0.22355494000000001</v>
          </cell>
          <cell r="S24">
            <v>-9.1541629999999999E-2</v>
          </cell>
          <cell r="T24">
            <v>0.69645241999999996</v>
          </cell>
          <cell r="U24">
            <v>4.4954400100000003</v>
          </cell>
          <cell r="V24">
            <v>32.711061630000003</v>
          </cell>
          <cell r="AA24">
            <v>28.361777709999998</v>
          </cell>
          <cell r="AF24">
            <v>29.53621497</v>
          </cell>
          <cell r="AK24">
            <v>35.830386169999997</v>
          </cell>
          <cell r="AP24">
            <v>17.91582584</v>
          </cell>
          <cell r="AU24">
            <v>19.636440159999999</v>
          </cell>
          <cell r="AZ24">
            <v>28.893148968986001</v>
          </cell>
          <cell r="BA24">
            <v>42.590764675034002</v>
          </cell>
          <cell r="BB24">
            <v>46.514676012362997</v>
          </cell>
          <cell r="BC24">
            <v>52.915082837539998</v>
          </cell>
          <cell r="BD24">
            <v>65.193029141108994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AA25">
            <v>0</v>
          </cell>
          <cell r="AF25">
            <v>0</v>
          </cell>
          <cell r="AK25">
            <v>0</v>
          </cell>
          <cell r="AP25">
            <v>0</v>
          </cell>
          <cell r="AU25">
            <v>0</v>
          </cell>
          <cell r="AZ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AA26">
            <v>0</v>
          </cell>
          <cell r="AF26">
            <v>0</v>
          </cell>
          <cell r="AK26">
            <v>0</v>
          </cell>
          <cell r="AP26">
            <v>0</v>
          </cell>
          <cell r="AU26">
            <v>0</v>
          </cell>
          <cell r="AZ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3.23068701</v>
          </cell>
          <cell r="S27">
            <v>26.20199903</v>
          </cell>
          <cell r="T27">
            <v>16.346930180000001</v>
          </cell>
          <cell r="U27">
            <v>14.30186578</v>
          </cell>
          <cell r="V27">
            <v>3.9799821199999998</v>
          </cell>
          <cell r="AA27">
            <v>39.943359839999999</v>
          </cell>
          <cell r="AF27">
            <v>28.640045839999999</v>
          </cell>
          <cell r="AK27">
            <v>26.184645289999999</v>
          </cell>
          <cell r="AP27">
            <v>96.304408390000006</v>
          </cell>
          <cell r="AU27">
            <v>69.584577447000001</v>
          </cell>
          <cell r="AZ27">
            <v>90.106466995400993</v>
          </cell>
          <cell r="BA27">
            <v>111.8366079039</v>
          </cell>
          <cell r="BB27">
            <v>134.20392948468</v>
          </cell>
          <cell r="BC27">
            <v>161.04471538161599</v>
          </cell>
          <cell r="BD27">
            <v>193.253658457939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R28">
            <v>22.63906579</v>
          </cell>
          <cell r="S28">
            <v>90.670697230000002</v>
          </cell>
          <cell r="T28">
            <v>124.16962945</v>
          </cell>
          <cell r="U28">
            <v>300.40862071999999</v>
          </cell>
          <cell r="V28">
            <v>365.4077039</v>
          </cell>
          <cell r="AA28">
            <v>386.68754695000001</v>
          </cell>
          <cell r="AF28">
            <v>445.10447776000001</v>
          </cell>
          <cell r="AK28">
            <v>563.45236990000001</v>
          </cell>
          <cell r="AP28">
            <v>651.41577007000001</v>
          </cell>
          <cell r="AU28">
            <v>421.87685637896197</v>
          </cell>
          <cell r="AZ28">
            <v>572.53861444805898</v>
          </cell>
          <cell r="BA28">
            <v>736.31905123764204</v>
          </cell>
          <cell r="BB28">
            <v>879.11948330320604</v>
          </cell>
          <cell r="BC28">
            <v>1009.55058938252</v>
          </cell>
          <cell r="BD28">
            <v>1134.8581731709301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AA31">
            <v>0</v>
          </cell>
          <cell r="AF31">
            <v>0</v>
          </cell>
          <cell r="AK31">
            <v>0</v>
          </cell>
          <cell r="AP31">
            <v>0</v>
          </cell>
          <cell r="AU31">
            <v>0</v>
          </cell>
          <cell r="AZ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-9.1541629999999999E-2</v>
          </cell>
          <cell r="T34">
            <v>0</v>
          </cell>
          <cell r="U34">
            <v>0</v>
          </cell>
          <cell r="V34">
            <v>0</v>
          </cell>
          <cell r="AA34">
            <v>0</v>
          </cell>
          <cell r="AF34">
            <v>0</v>
          </cell>
          <cell r="AK34">
            <v>0</v>
          </cell>
          <cell r="AP34">
            <v>0</v>
          </cell>
          <cell r="AU34">
            <v>0</v>
          </cell>
          <cell r="AZ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50.739110689999997</v>
          </cell>
          <cell r="S37">
            <v>81.897238049999999</v>
          </cell>
          <cell r="T37">
            <v>193.11123214</v>
          </cell>
          <cell r="U37">
            <v>2076.8490320300002</v>
          </cell>
          <cell r="V37">
            <v>1677.6470453699999</v>
          </cell>
          <cell r="AA37">
            <v>1366.6017071700001</v>
          </cell>
          <cell r="AF37">
            <v>1376.1727027100001</v>
          </cell>
          <cell r="AK37">
            <v>1483.8317681999999</v>
          </cell>
          <cell r="AP37">
            <v>1234.6377222599999</v>
          </cell>
          <cell r="AU37">
            <v>1194.63242040766</v>
          </cell>
          <cell r="AZ37">
            <v>1202.7742359618701</v>
          </cell>
          <cell r="BA37">
            <v>1313.5865093912901</v>
          </cell>
          <cell r="BB37">
            <v>1494.33565742221</v>
          </cell>
          <cell r="BC37">
            <v>1841.0680440588801</v>
          </cell>
          <cell r="BD37">
            <v>2351.5235887292702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R38">
            <v>67.974795220000004</v>
          </cell>
          <cell r="S38">
            <v>89.578401009999993</v>
          </cell>
          <cell r="T38">
            <v>123.77209271</v>
          </cell>
          <cell r="U38">
            <v>161.80798646</v>
          </cell>
          <cell r="V38">
            <v>354.48312600999998</v>
          </cell>
          <cell r="AA38">
            <v>602.74380796000003</v>
          </cell>
          <cell r="AF38">
            <v>721.43590555000003</v>
          </cell>
          <cell r="AK38">
            <v>880.50769405000005</v>
          </cell>
          <cell r="AP38">
            <v>1059.4678090899999</v>
          </cell>
          <cell r="AU38">
            <v>1208.9305123573699</v>
          </cell>
          <cell r="AZ38">
            <v>1489.53038085451</v>
          </cell>
          <cell r="BA38">
            <v>1773.8302877026099</v>
          </cell>
          <cell r="BB38">
            <v>2068.3211536672102</v>
          </cell>
          <cell r="BC38">
            <v>2290.8628802652502</v>
          </cell>
          <cell r="BD38">
            <v>2455.5407137370698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58.95876706</v>
          </cell>
          <cell r="S39">
            <v>30.969882590000001</v>
          </cell>
          <cell r="T39">
            <v>31.193092450000002</v>
          </cell>
          <cell r="U39">
            <v>42.243028469999999</v>
          </cell>
          <cell r="V39">
            <v>70.524803059999996</v>
          </cell>
          <cell r="AA39">
            <v>99.879942360000001</v>
          </cell>
          <cell r="AF39">
            <v>105.35326675</v>
          </cell>
          <cell r="AK39">
            <v>119.46128091999999</v>
          </cell>
          <cell r="AP39">
            <v>215.79546207000001</v>
          </cell>
          <cell r="AU39">
            <v>279.97855339552001</v>
          </cell>
          <cell r="AZ39">
            <v>342.12092224331701</v>
          </cell>
          <cell r="BA39">
            <v>409.77654961808298</v>
          </cell>
          <cell r="BB39">
            <v>476.217721770048</v>
          </cell>
          <cell r="BC39">
            <v>525.69564391821302</v>
          </cell>
          <cell r="BD39">
            <v>561.597613120147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11.353046369999999</v>
          </cell>
          <cell r="S40">
            <v>6.8735974799999999</v>
          </cell>
          <cell r="T40">
            <v>12.36854261</v>
          </cell>
          <cell r="U40">
            <v>4.5861947199999999</v>
          </cell>
          <cell r="V40">
            <v>15.822608750000001</v>
          </cell>
          <cell r="AA40">
            <v>29.62500811</v>
          </cell>
          <cell r="AF40">
            <v>38.256166659999998</v>
          </cell>
          <cell r="AK40">
            <v>94.932638969999999</v>
          </cell>
          <cell r="AP40">
            <v>89.897342399999999</v>
          </cell>
          <cell r="AU40">
            <v>89.897342399999999</v>
          </cell>
          <cell r="AZ40">
            <v>89.897342399999999</v>
          </cell>
          <cell r="BA40">
            <v>89.897342399999005</v>
          </cell>
          <cell r="BB40">
            <v>89.897342399999999</v>
          </cell>
          <cell r="BC40">
            <v>89.897342399999005</v>
          </cell>
          <cell r="BD40">
            <v>89.897342399999999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189.02571933999999</v>
          </cell>
          <cell r="S41">
            <v>209.31911912999999</v>
          </cell>
          <cell r="T41">
            <v>360.44495991000002</v>
          </cell>
          <cell r="U41">
            <v>2285.4862416800001</v>
          </cell>
          <cell r="V41">
            <v>2118.4775831900001</v>
          </cell>
          <cell r="AA41">
            <v>2098.8504656</v>
          </cell>
          <cell r="AF41">
            <v>2241.2180416699998</v>
          </cell>
          <cell r="AK41">
            <v>2578.7333821399998</v>
          </cell>
          <cell r="AP41">
            <v>2599.7983358199999</v>
          </cell>
          <cell r="AU41">
            <v>2773.4388285605501</v>
          </cell>
          <cell r="AZ41">
            <v>3124.3228814597001</v>
          </cell>
          <cell r="BA41">
            <v>3587.0906891119898</v>
          </cell>
          <cell r="BB41">
            <v>4128.7718752594701</v>
          </cell>
          <cell r="BC41">
            <v>4747.5239106423396</v>
          </cell>
          <cell r="BD41">
            <v>5458.5592579864897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R42">
            <v>5.0022377899999997</v>
          </cell>
          <cell r="S42">
            <v>12.642002310000001</v>
          </cell>
          <cell r="T42">
            <v>14.986604679999999</v>
          </cell>
          <cell r="U42">
            <v>86.847670690000001</v>
          </cell>
          <cell r="V42">
            <v>487.71120468999999</v>
          </cell>
          <cell r="AA42">
            <v>335.41867615000001</v>
          </cell>
          <cell r="AF42">
            <v>365.54547515000002</v>
          </cell>
          <cell r="AK42">
            <v>368.00112741999999</v>
          </cell>
          <cell r="AP42">
            <v>398.12233351999998</v>
          </cell>
          <cell r="AU42">
            <v>601.71162727840999</v>
          </cell>
          <cell r="AZ42">
            <v>841.80475275935203</v>
          </cell>
          <cell r="BA42">
            <v>1114.92103809316</v>
          </cell>
          <cell r="BB42">
            <v>1418.4522567650399</v>
          </cell>
          <cell r="BC42">
            <v>1738.10809855655</v>
          </cell>
          <cell r="BD42">
            <v>2063.0198248741299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AA43">
            <v>-4.2344681700000004</v>
          </cell>
          <cell r="AF43">
            <v>-8.3159303700000002</v>
          </cell>
          <cell r="AK43">
            <v>-12.371702770000001</v>
          </cell>
          <cell r="AP43">
            <v>-16.45316497</v>
          </cell>
          <cell r="AU43">
            <v>-59.285186012814997</v>
          </cell>
          <cell r="AZ43">
            <v>-121.419377350725</v>
          </cell>
          <cell r="BA43">
            <v>-206.86590435202001</v>
          </cell>
          <cell r="BB43">
            <v>-319.90644773851</v>
          </cell>
          <cell r="BC43">
            <v>-464.16966064406</v>
          </cell>
          <cell r="BD43">
            <v>-642.81435919461296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5.0022377899999997</v>
          </cell>
          <cell r="S44">
            <v>12.642002310000001</v>
          </cell>
          <cell r="T44">
            <v>14.986604679999999</v>
          </cell>
          <cell r="U44">
            <v>86.847670690000001</v>
          </cell>
          <cell r="V44">
            <v>487.71120468999999</v>
          </cell>
          <cell r="AA44">
            <v>331.18420798</v>
          </cell>
          <cell r="AF44">
            <v>357.22954478000003</v>
          </cell>
          <cell r="AK44">
            <v>355.62942464999998</v>
          </cell>
          <cell r="AP44">
            <v>381.66916854999999</v>
          </cell>
          <cell r="AU44">
            <v>542.42644126559503</v>
          </cell>
          <cell r="AZ44">
            <v>720.38537540862706</v>
          </cell>
          <cell r="BA44">
            <v>908.055133741139</v>
          </cell>
          <cell r="BB44">
            <v>1098.5458090265299</v>
          </cell>
          <cell r="BC44">
            <v>1273.9384379124899</v>
          </cell>
          <cell r="BD44">
            <v>1420.2054656795101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1.6428677199999999</v>
          </cell>
          <cell r="T45">
            <v>1.3364379200000001</v>
          </cell>
          <cell r="U45">
            <v>1.23631376</v>
          </cell>
          <cell r="V45">
            <v>53.621154420000003</v>
          </cell>
          <cell r="AA45">
            <v>314.44621172000001</v>
          </cell>
          <cell r="AF45">
            <v>314.51637369999997</v>
          </cell>
          <cell r="AK45">
            <v>437.24839148000001</v>
          </cell>
          <cell r="AP45">
            <v>1663.0242899899999</v>
          </cell>
          <cell r="AU45">
            <v>1663.0242899899999</v>
          </cell>
          <cell r="AZ45">
            <v>1663.0242899899999</v>
          </cell>
          <cell r="BA45">
            <v>1663.0242899899999</v>
          </cell>
          <cell r="BB45">
            <v>1663.0242899899999</v>
          </cell>
          <cell r="BC45">
            <v>1663.0242899899999</v>
          </cell>
          <cell r="BD45">
            <v>1663.0242899899999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-0.3</v>
          </cell>
          <cell r="V46">
            <v>-0.3</v>
          </cell>
          <cell r="AA46">
            <v>-0.3</v>
          </cell>
          <cell r="AF46">
            <v>-0.4</v>
          </cell>
          <cell r="AK46">
            <v>-0.25</v>
          </cell>
          <cell r="AP46">
            <v>-0.12048010000000001</v>
          </cell>
          <cell r="AU46">
            <v>-18.211281889999999</v>
          </cell>
          <cell r="AZ46">
            <v>-36.302083680000003</v>
          </cell>
          <cell r="BA46">
            <v>-54.392885470000003</v>
          </cell>
          <cell r="BB46">
            <v>-72.483687259999996</v>
          </cell>
          <cell r="BC46">
            <v>-90.574489049999997</v>
          </cell>
          <cell r="BD46">
            <v>-108.66529084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1.6428677199999999</v>
          </cell>
          <cell r="T47">
            <v>1.3364379200000001</v>
          </cell>
          <cell r="U47">
            <v>0.93631375999999999</v>
          </cell>
          <cell r="V47">
            <v>53.321154419999999</v>
          </cell>
          <cell r="AA47">
            <v>314.14621172</v>
          </cell>
          <cell r="AF47">
            <v>314.1163737</v>
          </cell>
          <cell r="AK47">
            <v>436.99839148000001</v>
          </cell>
          <cell r="AP47">
            <v>1662.90380989</v>
          </cell>
          <cell r="AU47">
            <v>1644.8130080999999</v>
          </cell>
          <cell r="AZ47">
            <v>1626.72220631</v>
          </cell>
          <cell r="BA47">
            <v>1608.6314045199999</v>
          </cell>
          <cell r="BB47">
            <v>1590.54060273</v>
          </cell>
          <cell r="BC47">
            <v>1572.4498009399999</v>
          </cell>
          <cell r="BD47">
            <v>1554.35899915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75.874851280000001</v>
          </cell>
          <cell r="AA49">
            <v>503.18425346999999</v>
          </cell>
          <cell r="AF49">
            <v>576.80893067</v>
          </cell>
          <cell r="AK49">
            <v>764.72633215999997</v>
          </cell>
          <cell r="AP49">
            <v>856.23378260000004</v>
          </cell>
          <cell r="AU49">
            <v>856.23378260000004</v>
          </cell>
          <cell r="AZ49">
            <v>856.23378260000004</v>
          </cell>
          <cell r="BA49">
            <v>856.23378260000004</v>
          </cell>
          <cell r="BB49">
            <v>856.23378260000004</v>
          </cell>
          <cell r="BC49">
            <v>856.23378260000004</v>
          </cell>
          <cell r="BD49">
            <v>856.23378260000004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1.9073635200000001</v>
          </cell>
          <cell r="S50">
            <v>4.0482449000000003</v>
          </cell>
          <cell r="T50">
            <v>3.3547722900000001</v>
          </cell>
          <cell r="U50">
            <v>5.7678125500000004</v>
          </cell>
          <cell r="V50">
            <v>7.5720139599999996</v>
          </cell>
          <cell r="AA50">
            <v>26.973166039999001</v>
          </cell>
          <cell r="AF50">
            <v>27.581136789999999</v>
          </cell>
          <cell r="AK50">
            <v>23.873479079999999</v>
          </cell>
          <cell r="AP50">
            <v>36.368301090000998</v>
          </cell>
          <cell r="AU50">
            <v>36.368301090000003</v>
          </cell>
          <cell r="AZ50">
            <v>36.368301090000998</v>
          </cell>
          <cell r="BA50">
            <v>36.368301090000003</v>
          </cell>
          <cell r="BB50">
            <v>36.368301090000998</v>
          </cell>
          <cell r="BC50">
            <v>36.368301090000998</v>
          </cell>
          <cell r="BD50">
            <v>36.368301090000998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R51">
            <v>195.93532064999999</v>
          </cell>
          <cell r="S51">
            <v>227.65223406000001</v>
          </cell>
          <cell r="T51">
            <v>380.1227748</v>
          </cell>
          <cell r="U51">
            <v>2379.0380386800002</v>
          </cell>
          <cell r="V51">
            <v>2742.9568075400002</v>
          </cell>
          <cell r="AA51">
            <v>3274.33830481</v>
          </cell>
          <cell r="AF51">
            <v>3516.9540276100001</v>
          </cell>
          <cell r="AK51">
            <v>4159.9610095099997</v>
          </cell>
          <cell r="AP51">
            <v>5536.9733979499997</v>
          </cell>
          <cell r="AU51">
            <v>5853.28036161614</v>
          </cell>
          <cell r="AZ51">
            <v>6364.0325468683304</v>
          </cell>
          <cell r="BA51">
            <v>6996.3793110631304</v>
          </cell>
          <cell r="BB51">
            <v>7710.4603707060096</v>
          </cell>
          <cell r="BC51">
            <v>8486.5142331848401</v>
          </cell>
          <cell r="BD51">
            <v>9325.7258065059996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67.870262969999999</v>
          </cell>
          <cell r="S52">
            <v>45.84570085</v>
          </cell>
          <cell r="T52">
            <v>103.12932342000001</v>
          </cell>
          <cell r="U52">
            <v>79.351495009999994</v>
          </cell>
          <cell r="V52">
            <v>123.14276774</v>
          </cell>
          <cell r="AA52">
            <v>276.32829040000001</v>
          </cell>
          <cell r="AF52">
            <v>208.78076590000001</v>
          </cell>
          <cell r="AK52">
            <v>280.33287762999998</v>
          </cell>
          <cell r="AP52">
            <v>306.51123132999999</v>
          </cell>
          <cell r="AU52">
            <v>397.67551330349897</v>
          </cell>
          <cell r="AZ52">
            <v>485.94119697724898</v>
          </cell>
          <cell r="BA52">
            <v>582.037794440992</v>
          </cell>
          <cell r="BB52">
            <v>676.40940583614304</v>
          </cell>
          <cell r="BC52">
            <v>746.68678190239496</v>
          </cell>
          <cell r="BD52">
            <v>797.68116650018999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16</v>
          </cell>
          <cell r="S53">
            <v>16</v>
          </cell>
          <cell r="T53">
            <v>10</v>
          </cell>
          <cell r="U53">
            <v>0</v>
          </cell>
          <cell r="V53">
            <v>0</v>
          </cell>
          <cell r="AA53">
            <v>0</v>
          </cell>
          <cell r="AF53">
            <v>11.326432540000001</v>
          </cell>
          <cell r="AK53">
            <v>155.04844833000001</v>
          </cell>
          <cell r="AP53">
            <v>66.072061000000005</v>
          </cell>
          <cell r="AU53">
            <v>66.072061000000005</v>
          </cell>
          <cell r="AZ53">
            <v>66.072061000000005</v>
          </cell>
          <cell r="BA53">
            <v>66.072061000000005</v>
          </cell>
          <cell r="BB53">
            <v>66.072061000000005</v>
          </cell>
          <cell r="BC53">
            <v>66.072061000000005</v>
          </cell>
          <cell r="BD53">
            <v>66.072061000000005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18.472123180000001</v>
          </cell>
          <cell r="S54">
            <v>10.95940689</v>
          </cell>
          <cell r="T54">
            <v>22.17888275</v>
          </cell>
          <cell r="U54">
            <v>28.595362309999999</v>
          </cell>
          <cell r="V54">
            <v>47.708500460000003</v>
          </cell>
          <cell r="AA54">
            <v>104.20386812</v>
          </cell>
          <cell r="AF54">
            <v>63.316607169999997</v>
          </cell>
          <cell r="AK54">
            <v>96.008991850000001</v>
          </cell>
          <cell r="AP54">
            <v>196.84602057999999</v>
          </cell>
          <cell r="AU54">
            <v>141.75406501378001</v>
          </cell>
          <cell r="AZ54">
            <v>178.668401707573</v>
          </cell>
          <cell r="BA54">
            <v>217.794322858193</v>
          </cell>
          <cell r="BB54">
            <v>250.41959122551299</v>
          </cell>
          <cell r="BC54">
            <v>282.00879016217999</v>
          </cell>
          <cell r="BD54">
            <v>312.35711972520602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R55">
            <v>102.34238615</v>
          </cell>
          <cell r="S55">
            <v>72.805107739999997</v>
          </cell>
          <cell r="T55">
            <v>135.30820617000001</v>
          </cell>
          <cell r="U55">
            <v>107.94685732000001</v>
          </cell>
          <cell r="V55">
            <v>170.85126819999999</v>
          </cell>
          <cell r="AA55">
            <v>380.53215852</v>
          </cell>
          <cell r="AF55">
            <v>283.42380560999999</v>
          </cell>
          <cell r="AK55">
            <v>531.39031781000006</v>
          </cell>
          <cell r="AP55">
            <v>569.42931291000002</v>
          </cell>
          <cell r="AU55">
            <v>605.50163931728002</v>
          </cell>
          <cell r="AZ55">
            <v>730.68165968482106</v>
          </cell>
          <cell r="BA55">
            <v>865.90417829918499</v>
          </cell>
          <cell r="BB55">
            <v>992.90105806165604</v>
          </cell>
          <cell r="BC55">
            <v>1094.76763306457</v>
          </cell>
          <cell r="BD55">
            <v>1176.1103472253999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AA56">
            <v>0</v>
          </cell>
          <cell r="AF56">
            <v>0</v>
          </cell>
          <cell r="AK56">
            <v>0</v>
          </cell>
          <cell r="AP56">
            <v>0</v>
          </cell>
          <cell r="AU56">
            <v>0</v>
          </cell>
          <cell r="AZ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16.544715400000001</v>
          </cell>
          <cell r="S57">
            <v>20.572849130000002</v>
          </cell>
          <cell r="T57">
            <v>11.12538728</v>
          </cell>
          <cell r="U57">
            <v>9.7663321300000003</v>
          </cell>
          <cell r="V57">
            <v>18.329325520000001</v>
          </cell>
          <cell r="AA57">
            <v>40.521597</v>
          </cell>
          <cell r="AF57">
            <v>20.560908850000001</v>
          </cell>
          <cell r="AK57">
            <v>20.63079501</v>
          </cell>
          <cell r="AP57">
            <v>35.774631509999999</v>
          </cell>
          <cell r="AU57">
            <v>35.774631509999999</v>
          </cell>
          <cell r="AZ57">
            <v>35.774631509999999</v>
          </cell>
          <cell r="BA57">
            <v>35.774631509999999</v>
          </cell>
          <cell r="BB57">
            <v>35.774631509999999</v>
          </cell>
          <cell r="BC57">
            <v>35.774631509999999</v>
          </cell>
          <cell r="BD57">
            <v>35.774631509999999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R58">
            <v>16.544715400000001</v>
          </cell>
          <cell r="S58">
            <v>20.572849130000002</v>
          </cell>
          <cell r="T58">
            <v>11.12538728</v>
          </cell>
          <cell r="U58">
            <v>9.7663321300000003</v>
          </cell>
          <cell r="V58">
            <v>18.329325520000001</v>
          </cell>
          <cell r="AA58">
            <v>40.521597</v>
          </cell>
          <cell r="AF58">
            <v>20.560908850000001</v>
          </cell>
          <cell r="AK58">
            <v>20.63079501</v>
          </cell>
          <cell r="AP58">
            <v>35.774631509999999</v>
          </cell>
          <cell r="AU58">
            <v>35.774631509999999</v>
          </cell>
          <cell r="AZ58">
            <v>35.774631509999999</v>
          </cell>
          <cell r="BA58">
            <v>35.774631509999999</v>
          </cell>
          <cell r="BB58">
            <v>35.774631509999999</v>
          </cell>
          <cell r="BC58">
            <v>35.774631509999999</v>
          </cell>
          <cell r="BD58">
            <v>35.774631509999999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118.88710155</v>
          </cell>
          <cell r="S59">
            <v>93.377956870000006</v>
          </cell>
          <cell r="T59">
            <v>146.43359344999999</v>
          </cell>
          <cell r="U59">
            <v>117.71318945</v>
          </cell>
          <cell r="V59">
            <v>189.18059371999999</v>
          </cell>
          <cell r="AA59">
            <v>421.05375551999998</v>
          </cell>
          <cell r="AF59">
            <v>303.98471446000002</v>
          </cell>
          <cell r="AK59">
            <v>552.02111281999998</v>
          </cell>
          <cell r="AP59">
            <v>605.20394441999997</v>
          </cell>
          <cell r="AU59">
            <v>641.27627082727997</v>
          </cell>
          <cell r="AZ59">
            <v>766.45629119482101</v>
          </cell>
          <cell r="BA59">
            <v>901.67880980918505</v>
          </cell>
          <cell r="BB59">
            <v>1028.6756895716601</v>
          </cell>
          <cell r="BC59">
            <v>1130.54226457457</v>
          </cell>
          <cell r="BD59">
            <v>1211.8849787354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AA60">
            <v>0</v>
          </cell>
          <cell r="AF60">
            <v>0</v>
          </cell>
          <cell r="AK60">
            <v>0</v>
          </cell>
          <cell r="AP60">
            <v>0</v>
          </cell>
          <cell r="AU60">
            <v>0</v>
          </cell>
          <cell r="AZ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75.167140959999998</v>
          </cell>
          <cell r="S61">
            <v>134.27427718999999</v>
          </cell>
          <cell r="T61">
            <v>233.68918135000001</v>
          </cell>
          <cell r="U61">
            <v>2260.0925566599999</v>
          </cell>
          <cell r="V61">
            <v>2550.7762138200001</v>
          </cell>
          <cell r="AA61">
            <v>2834.5692288099999</v>
          </cell>
          <cell r="AF61">
            <v>3192.3736589700002</v>
          </cell>
          <cell r="AK61">
            <v>3585.4463476400001</v>
          </cell>
          <cell r="AP61">
            <v>4843.5177782500004</v>
          </cell>
          <cell r="AU61">
            <v>5147.7868533388601</v>
          </cell>
          <cell r="AZ61">
            <v>5559.7968998365104</v>
          </cell>
          <cell r="BA61">
            <v>6086.0028151912402</v>
          </cell>
          <cell r="BB61">
            <v>6707.43130316119</v>
          </cell>
          <cell r="BC61">
            <v>7421.05841324627</v>
          </cell>
          <cell r="BD61">
            <v>8223.2624503631705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1.8810781400000001</v>
          </cell>
          <cell r="S62">
            <v>0</v>
          </cell>
          <cell r="T62">
            <v>0</v>
          </cell>
          <cell r="U62">
            <v>1.23229257</v>
          </cell>
          <cell r="V62">
            <v>3</v>
          </cell>
          <cell r="AA62">
            <v>18.715320479999999</v>
          </cell>
          <cell r="AF62">
            <v>20.59565418</v>
          </cell>
          <cell r="AK62">
            <v>22.493549049999999</v>
          </cell>
          <cell r="AP62">
            <v>88.251674919999999</v>
          </cell>
          <cell r="AU62">
            <v>64.217237089999998</v>
          </cell>
          <cell r="AZ62">
            <v>37.779355477000003</v>
          </cell>
          <cell r="BA62">
            <v>8.6976857026999994</v>
          </cell>
          <cell r="BB62">
            <v>-25.646622386846001</v>
          </cell>
          <cell r="BC62">
            <v>-65.086444996007003</v>
          </cell>
          <cell r="BD62">
            <v>-109.421622952562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R63">
            <v>77.048219099999997</v>
          </cell>
          <cell r="S63">
            <v>134.27427718999999</v>
          </cell>
          <cell r="T63">
            <v>233.68918135000001</v>
          </cell>
          <cell r="U63">
            <v>2261.3248492299999</v>
          </cell>
          <cell r="V63">
            <v>2553.7762138200001</v>
          </cell>
          <cell r="AA63">
            <v>2853.2845492900001</v>
          </cell>
          <cell r="AF63">
            <v>3212.9693131499998</v>
          </cell>
          <cell r="AK63">
            <v>3607.9398966899998</v>
          </cell>
          <cell r="AP63">
            <v>4931.7694531699999</v>
          </cell>
          <cell r="AU63">
            <v>5212.0040904288599</v>
          </cell>
          <cell r="AZ63">
            <v>5597.5762553135</v>
          </cell>
          <cell r="BA63">
            <v>6094.7005008939404</v>
          </cell>
          <cell r="BB63">
            <v>6681.7846807743499</v>
          </cell>
          <cell r="BC63">
            <v>7355.97196825026</v>
          </cell>
          <cell r="BD63">
            <v>8113.8408274106096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R64">
            <v>195.93532064999999</v>
          </cell>
          <cell r="S64">
            <v>227.65223406000001</v>
          </cell>
          <cell r="T64">
            <v>380.1227748</v>
          </cell>
          <cell r="U64">
            <v>2379.0380386800002</v>
          </cell>
          <cell r="V64">
            <v>2742.9568075400002</v>
          </cell>
          <cell r="AA64">
            <v>3274.33830481</v>
          </cell>
          <cell r="AF64">
            <v>3516.9540276100001</v>
          </cell>
          <cell r="AK64">
            <v>4159.9610095099997</v>
          </cell>
          <cell r="AP64">
            <v>5536.9733975899999</v>
          </cell>
          <cell r="AU64">
            <v>5853.2803612561402</v>
          </cell>
          <cell r="AZ64">
            <v>6364.0325465083297</v>
          </cell>
          <cell r="BA64">
            <v>6996.3793107031297</v>
          </cell>
          <cell r="BB64">
            <v>7710.4603703459998</v>
          </cell>
          <cell r="BC64">
            <v>8486.5142328248403</v>
          </cell>
          <cell r="BD64">
            <v>9325.7258061459997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-34.739110689999997</v>
          </cell>
          <cell r="S66">
            <v>-65.897238049999999</v>
          </cell>
          <cell r="T66">
            <v>-183.11123214</v>
          </cell>
          <cell r="U66">
            <v>-2076.8490320300002</v>
          </cell>
          <cell r="V66">
            <v>-1677.6470453699999</v>
          </cell>
          <cell r="AA66">
            <v>-1366.6017071700001</v>
          </cell>
          <cell r="AF66">
            <v>-1364.84627017</v>
          </cell>
          <cell r="AK66">
            <v>-1328.78331987</v>
          </cell>
          <cell r="AP66">
            <v>-1168.5656612600001</v>
          </cell>
          <cell r="AU66">
            <v>-1128.5603594076599</v>
          </cell>
          <cell r="AZ66">
            <v>-1136.70217496187</v>
          </cell>
          <cell r="BA66">
            <v>-1247.51444839129</v>
          </cell>
          <cell r="BB66">
            <v>-1428.26359642221</v>
          </cell>
          <cell r="BC66">
            <v>-1774.99598305888</v>
          </cell>
          <cell r="BD66">
            <v>-2285.4515277292699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AA67">
            <v>0</v>
          </cell>
          <cell r="AF67">
            <v>0</v>
          </cell>
          <cell r="AK67">
            <v>0</v>
          </cell>
          <cell r="AP67">
            <v>0</v>
          </cell>
          <cell r="AU67">
            <v>0</v>
          </cell>
          <cell r="AZ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AA69">
            <v>0</v>
          </cell>
          <cell r="AF69">
            <v>0</v>
          </cell>
          <cell r="AK69">
            <v>0</v>
          </cell>
          <cell r="AP69">
            <v>0</v>
          </cell>
          <cell r="AU69">
            <v>0</v>
          </cell>
          <cell r="AZ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  <cell r="R71">
            <v>0</v>
          </cell>
          <cell r="S71">
            <v>5.7213518749999999E-3</v>
          </cell>
          <cell r="T71">
            <v>0</v>
          </cell>
          <cell r="AF71">
            <v>0</v>
          </cell>
          <cell r="AK71">
            <v>0</v>
          </cell>
          <cell r="AP71">
            <v>0</v>
          </cell>
          <cell r="AU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AA72">
            <v>0</v>
          </cell>
          <cell r="AF72">
            <v>0</v>
          </cell>
          <cell r="AK72">
            <v>0</v>
          </cell>
          <cell r="AP72">
            <v>0</v>
          </cell>
          <cell r="AU72">
            <v>0</v>
          </cell>
          <cell r="AZ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AA74">
            <v>0</v>
          </cell>
          <cell r="AF74">
            <v>0</v>
          </cell>
          <cell r="AK74">
            <v>0</v>
          </cell>
          <cell r="AP74">
            <v>0</v>
          </cell>
          <cell r="AU74">
            <v>0</v>
          </cell>
          <cell r="AZ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-1.6428677199999999</v>
          </cell>
          <cell r="T75">
            <v>-1.3364379200000001</v>
          </cell>
          <cell r="U75">
            <v>-0.93631375999999999</v>
          </cell>
          <cell r="V75">
            <v>-53.321154419999999</v>
          </cell>
          <cell r="AA75">
            <v>-314.14621172</v>
          </cell>
          <cell r="AF75">
            <v>-314.1163737</v>
          </cell>
          <cell r="AK75">
            <v>-436.99839148000001</v>
          </cell>
          <cell r="AP75">
            <v>-1662.90380989</v>
          </cell>
          <cell r="AU75">
            <v>-1644.8130080999999</v>
          </cell>
          <cell r="AZ75">
            <v>-1626.72220631</v>
          </cell>
          <cell r="BA75">
            <v>-1608.6314045199999</v>
          </cell>
          <cell r="BB75">
            <v>-1590.54060273</v>
          </cell>
          <cell r="BC75">
            <v>-1572.4498009399999</v>
          </cell>
          <cell r="BD75">
            <v>-1554.35899915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R76">
            <v>34.739110689999997</v>
          </cell>
          <cell r="S76">
            <v>115.81123805</v>
          </cell>
          <cell r="T76">
            <v>292.10483213999998</v>
          </cell>
          <cell r="U76">
            <v>2271.13983203</v>
          </cell>
          <cell r="V76">
            <v>1953.49354537</v>
          </cell>
          <cell r="AA76">
            <v>1785.09047543</v>
          </cell>
          <cell r="AF76">
            <v>1924.9237445599999</v>
          </cell>
          <cell r="AK76">
            <v>2015.4162862600001</v>
          </cell>
          <cell r="AP76">
            <v>1937.81255072</v>
          </cell>
          <cell r="AU76">
            <v>2027.0103526105099</v>
          </cell>
          <cell r="AZ76">
            <v>2165.17091714148</v>
          </cell>
          <cell r="BA76">
            <v>2392.9479437311502</v>
          </cell>
          <cell r="BB76">
            <v>2729.75719287415</v>
          </cell>
          <cell r="BC76">
            <v>3268.1154612399901</v>
          </cell>
          <cell r="BD76">
            <v>3933.9252824987998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AA77">
            <v>1</v>
          </cell>
          <cell r="AF77">
            <v>1</v>
          </cell>
          <cell r="AK77">
            <v>1</v>
          </cell>
          <cell r="AP77">
            <v>1</v>
          </cell>
          <cell r="AU77">
            <v>1</v>
          </cell>
          <cell r="AZ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1.8810781400000001</v>
          </cell>
          <cell r="S78">
            <v>0</v>
          </cell>
          <cell r="T78">
            <v>0</v>
          </cell>
          <cell r="U78">
            <v>1.23229257</v>
          </cell>
          <cell r="V78">
            <v>3</v>
          </cell>
          <cell r="AA78">
            <v>18.715320479999999</v>
          </cell>
          <cell r="AF78">
            <v>20.59565418</v>
          </cell>
          <cell r="AK78">
            <v>22.493549049999999</v>
          </cell>
          <cell r="AP78">
            <v>88.251674919999999</v>
          </cell>
          <cell r="AU78">
            <v>64.217237089999998</v>
          </cell>
          <cell r="AZ78">
            <v>37.779355477000003</v>
          </cell>
          <cell r="BA78">
            <v>8.6976857026999994</v>
          </cell>
          <cell r="BB78">
            <v>-25.646622386846001</v>
          </cell>
          <cell r="BC78">
            <v>-65.086444996007003</v>
          </cell>
          <cell r="BD78">
            <v>-109.421622952562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-0.17257610000000001</v>
          </cell>
          <cell r="S80">
            <v>5.2226870000000002E-2</v>
          </cell>
          <cell r="T80">
            <v>0</v>
          </cell>
          <cell r="U80">
            <v>-0.26770743000000002</v>
          </cell>
          <cell r="V80">
            <v>-0.73802226999999998</v>
          </cell>
          <cell r="AA80">
            <v>-1.9963296699999999</v>
          </cell>
          <cell r="AF80">
            <v>-2.1196663</v>
          </cell>
          <cell r="AK80">
            <v>-3.08113744</v>
          </cell>
          <cell r="AP80">
            <v>-20.284235899999999</v>
          </cell>
          <cell r="AU80">
            <v>-24.034437830000002</v>
          </cell>
          <cell r="AZ80">
            <v>-26.437881612999998</v>
          </cell>
          <cell r="BA80">
            <v>-29.0816697743</v>
          </cell>
          <cell r="BB80">
            <v>-34.344308089545997</v>
          </cell>
          <cell r="BC80">
            <v>-39.439822609160998</v>
          </cell>
          <cell r="BD80">
            <v>-44.335177956555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1.41469007</v>
          </cell>
          <cell r="S81">
            <v>2.0198594000000001</v>
          </cell>
          <cell r="T81">
            <v>4.3865493300000002</v>
          </cell>
          <cell r="U81">
            <v>5.8584472200000004</v>
          </cell>
          <cell r="V81">
            <v>9.8987308499999997</v>
          </cell>
          <cell r="AA81">
            <v>26.511426950000001</v>
          </cell>
          <cell r="AF81">
            <v>33.424483090000003</v>
          </cell>
          <cell r="AK81">
            <v>34.425183570000002</v>
          </cell>
          <cell r="AP81">
            <v>45.45659835</v>
          </cell>
          <cell r="AU81">
            <v>60.922822832815001</v>
          </cell>
          <cell r="AZ81">
            <v>80.224993127909997</v>
          </cell>
          <cell r="BA81">
            <v>103.537328791295</v>
          </cell>
          <cell r="BB81">
            <v>131.13134517648999</v>
          </cell>
          <cell r="BC81">
            <v>162.35401469555001</v>
          </cell>
          <cell r="BD81">
            <v>196.73550034055299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-1.7646188700000001</v>
          </cell>
          <cell r="S82">
            <v>-15.63928344</v>
          </cell>
          <cell r="T82">
            <v>22.866721009999999</v>
          </cell>
          <cell r="U82">
            <v>-72.863658180000002</v>
          </cell>
          <cell r="V82">
            <v>-177.16564141000001</v>
          </cell>
          <cell r="AA82">
            <v>-124.43029859000001</v>
          </cell>
          <cell r="AF82">
            <v>-191.71294648</v>
          </cell>
          <cell r="AK82">
            <v>-101.62769093999999</v>
          </cell>
          <cell r="AP82">
            <v>-249.11594249000001</v>
          </cell>
          <cell r="AU82">
            <v>-122.481512619386</v>
          </cell>
          <cell r="AZ82">
            <v>-254.476553671191</v>
          </cell>
          <cell r="BA82">
            <v>-255.858936759127</v>
          </cell>
          <cell r="BB82">
            <v>-266.56042672141399</v>
          </cell>
          <cell r="BC82">
            <v>-201.74227267994701</v>
          </cell>
          <cell r="BD82">
            <v>-149.585418075961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4.5314909099999996</v>
          </cell>
          <cell r="S83">
            <v>-11.06900731</v>
          </cell>
          <cell r="T83">
            <v>-4.1754132100000003</v>
          </cell>
          <cell r="U83">
            <v>8.6176825499999996</v>
          </cell>
          <cell r="V83">
            <v>35.74595429</v>
          </cell>
          <cell r="AA83">
            <v>-41.515526229999999</v>
          </cell>
          <cell r="AF83">
            <v>-39.576800050000003</v>
          </cell>
          <cell r="AK83">
            <v>-84.065944119999997</v>
          </cell>
          <cell r="AP83">
            <v>-50.938907790000002</v>
          </cell>
          <cell r="AU83">
            <v>0</v>
          </cell>
          <cell r="AZ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R84">
            <v>26.128210370000001</v>
          </cell>
          <cell r="S84">
            <v>63.675989010000002</v>
          </cell>
          <cell r="T84">
            <v>143.62586128999999</v>
          </cell>
          <cell r="U84">
            <v>212.09651095000001</v>
          </cell>
          <cell r="V84">
            <v>195.6566201</v>
          </cell>
          <cell r="AA84">
            <v>214.26055704999999</v>
          </cell>
          <cell r="AF84">
            <v>229.04397460999999</v>
          </cell>
          <cell r="AK84">
            <v>363.19458278000002</v>
          </cell>
          <cell r="AP84">
            <v>349.52310943999998</v>
          </cell>
          <cell r="AU84">
            <v>322.924971186074</v>
          </cell>
          <cell r="AZ84">
            <v>352.48396474893298</v>
          </cell>
          <cell r="BA84">
            <v>525.09191917079897</v>
          </cell>
          <cell r="BB84">
            <v>664.56964826099295</v>
          </cell>
          <cell r="BC84">
            <v>879.30277835369702</v>
          </cell>
          <cell r="BD84">
            <v>1079.8710198501401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-3.59560009</v>
          </cell>
          <cell r="S85">
            <v>-11.338774799999999</v>
          </cell>
          <cell r="T85">
            <v>-6.55410512</v>
          </cell>
          <cell r="U85">
            <v>-77.36691107</v>
          </cell>
          <cell r="V85">
            <v>-424.27642438999999</v>
          </cell>
          <cell r="AA85">
            <v>-67.606613359999997</v>
          </cell>
          <cell r="AF85">
            <v>-62.005141960000003</v>
          </cell>
          <cell r="AK85">
            <v>-49.367055000000001</v>
          </cell>
          <cell r="AP85">
            <v>-130.98316808999999</v>
          </cell>
          <cell r="AU85">
            <v>-203.58929375841001</v>
          </cell>
          <cell r="AZ85">
            <v>-240.09312548094201</v>
          </cell>
          <cell r="BA85">
            <v>-273.11628533380701</v>
          </cell>
          <cell r="BB85">
            <v>-303.53121867188401</v>
          </cell>
          <cell r="BC85">
            <v>-319.65584179150898</v>
          </cell>
          <cell r="BD85">
            <v>-324.91172631757303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AA86">
            <v>0</v>
          </cell>
          <cell r="AF86">
            <v>0</v>
          </cell>
          <cell r="AK86">
            <v>0</v>
          </cell>
          <cell r="AP86">
            <v>0</v>
          </cell>
          <cell r="AU86">
            <v>0</v>
          </cell>
          <cell r="AZ86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1.2367919999999999E-2</v>
          </cell>
          <cell r="U87">
            <v>1.01E-2</v>
          </cell>
          <cell r="V87">
            <v>0.77136899000000003</v>
          </cell>
          <cell r="AA87">
            <v>6.5491289999999994E-2</v>
          </cell>
          <cell r="AF87">
            <v>0.15892234999999999</v>
          </cell>
          <cell r="AK87">
            <v>0.25554779999999999</v>
          </cell>
          <cell r="AP87">
            <v>0.60635956000000002</v>
          </cell>
          <cell r="AU87">
            <v>0</v>
          </cell>
          <cell r="AZ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-0.1</v>
          </cell>
          <cell r="S88">
            <v>4.8145035199999997</v>
          </cell>
          <cell r="T88">
            <v>-2.4286099999999999E-17</v>
          </cell>
          <cell r="U88">
            <v>-5.7748900000000002E-15</v>
          </cell>
          <cell r="V88">
            <v>-137.26596459999999</v>
          </cell>
          <cell r="AA88">
            <v>-375.73947535000002</v>
          </cell>
          <cell r="AF88">
            <v>-87.793010600000002</v>
          </cell>
          <cell r="AK88">
            <v>-216.66436639</v>
          </cell>
          <cell r="AP88">
            <v>-315.94273668</v>
          </cell>
          <cell r="AU88">
            <v>0</v>
          </cell>
          <cell r="AZ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R89">
            <v>-3.6956000900000001</v>
          </cell>
          <cell r="S89">
            <v>-6.5242712799999998</v>
          </cell>
          <cell r="T89">
            <v>-6.5417372</v>
          </cell>
          <cell r="U89">
            <v>-77.356811070000006</v>
          </cell>
          <cell r="V89">
            <v>-560.77102000000002</v>
          </cell>
          <cell r="AA89">
            <v>-443.28059741999999</v>
          </cell>
          <cell r="AF89">
            <v>-149.63923020999999</v>
          </cell>
          <cell r="AK89">
            <v>-265.77587359</v>
          </cell>
          <cell r="AP89">
            <v>-446.31954521</v>
          </cell>
          <cell r="AU89">
            <v>-203.58929375841001</v>
          </cell>
          <cell r="AZ89">
            <v>-240.09312548094201</v>
          </cell>
          <cell r="BA89">
            <v>-273.11628533380701</v>
          </cell>
          <cell r="BB89">
            <v>-303.53121867188401</v>
          </cell>
          <cell r="BC89">
            <v>-319.65584179150898</v>
          </cell>
          <cell r="BD89">
            <v>-324.91172631757303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-19.431999999999999</v>
          </cell>
          <cell r="T90">
            <v>-21.591999999999999</v>
          </cell>
          <cell r="U90">
            <v>-21.591999999999999</v>
          </cell>
          <cell r="V90">
            <v>-37.92</v>
          </cell>
          <cell r="AA90">
            <v>-94.8</v>
          </cell>
          <cell r="AF90">
            <v>-113.76</v>
          </cell>
          <cell r="AK90">
            <v>-153.35347999999999</v>
          </cell>
          <cell r="AP90">
            <v>-153.80410000000001</v>
          </cell>
          <cell r="AU90">
            <v>-159.34097928</v>
          </cell>
          <cell r="AZ90">
            <v>-104.24902371378001</v>
          </cell>
          <cell r="BA90">
            <v>-141.16336040757301</v>
          </cell>
          <cell r="BB90">
            <v>-180.28928155819301</v>
          </cell>
          <cell r="BC90">
            <v>-212.914549925513</v>
          </cell>
          <cell r="BD90">
            <v>-244.50374886218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1.5</v>
          </cell>
          <cell r="T91">
            <v>0</v>
          </cell>
          <cell r="U91">
            <v>1785.7752</v>
          </cell>
          <cell r="V91">
            <v>3</v>
          </cell>
          <cell r="AA91">
            <v>11</v>
          </cell>
          <cell r="AF91">
            <v>41.527788999999999</v>
          </cell>
          <cell r="AK91">
            <v>22.392062370000001</v>
          </cell>
          <cell r="AP91">
            <v>122.4773067</v>
          </cell>
          <cell r="AU91">
            <v>0</v>
          </cell>
          <cell r="AZ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10</v>
          </cell>
          <cell r="S92">
            <v>0</v>
          </cell>
          <cell r="T92">
            <v>-6</v>
          </cell>
          <cell r="U92">
            <v>-10</v>
          </cell>
          <cell r="V92">
            <v>0</v>
          </cell>
          <cell r="AA92">
            <v>-10.1</v>
          </cell>
          <cell r="AF92">
            <v>0</v>
          </cell>
          <cell r="AK92">
            <v>143.69176100000001</v>
          </cell>
          <cell r="AP92">
            <v>-88.976387329999994</v>
          </cell>
          <cell r="AU92">
            <v>0</v>
          </cell>
          <cell r="AZ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-1.1059990099999999</v>
          </cell>
          <cell r="S93">
            <v>-6.0808737900000001</v>
          </cell>
          <cell r="T93">
            <v>-1.7750892599999999</v>
          </cell>
          <cell r="U93">
            <v>-2.9062196500000002</v>
          </cell>
          <cell r="V93">
            <v>-1.5769340199999999</v>
          </cell>
          <cell r="AA93">
            <v>10.698703999999999</v>
          </cell>
          <cell r="AF93">
            <v>3.2680527499999998</v>
          </cell>
          <cell r="AK93">
            <v>-3.2525978499999999</v>
          </cell>
          <cell r="AP93">
            <v>-33.406372529999999</v>
          </cell>
          <cell r="AU93">
            <v>0</v>
          </cell>
          <cell r="AZ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R94">
            <v>8.8940009900000003</v>
          </cell>
          <cell r="S94">
            <v>-24.01287379</v>
          </cell>
          <cell r="T94">
            <v>-29.36708926</v>
          </cell>
          <cell r="U94">
            <v>1751.27698035</v>
          </cell>
          <cell r="V94">
            <v>-36.496934019999998</v>
          </cell>
          <cell r="AA94">
            <v>-83.201295999999999</v>
          </cell>
          <cell r="AF94">
            <v>-68.964158249999997</v>
          </cell>
          <cell r="AK94">
            <v>9.4777455199999991</v>
          </cell>
          <cell r="AP94">
            <v>-153.70955316000001</v>
          </cell>
          <cell r="AU94">
            <v>-159.34097928</v>
          </cell>
          <cell r="AZ94">
            <v>-104.24902371378001</v>
          </cell>
          <cell r="BA94">
            <v>-141.16336040757301</v>
          </cell>
          <cell r="BB94">
            <v>-180.28928155819301</v>
          </cell>
          <cell r="BC94">
            <v>-212.914549925513</v>
          </cell>
          <cell r="BD94">
            <v>-244.50374886218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R95">
            <v>31.326611270000001</v>
          </cell>
          <cell r="S95">
            <v>33.138843940000001</v>
          </cell>
          <cell r="T95">
            <v>107.71703483</v>
          </cell>
          <cell r="U95">
            <v>1886.01668023</v>
          </cell>
          <cell r="V95">
            <v>-401.61133391999999</v>
          </cell>
          <cell r="AA95">
            <v>-312.22133637000002</v>
          </cell>
          <cell r="AF95">
            <v>10.44058615</v>
          </cell>
          <cell r="AK95">
            <v>106.89645471</v>
          </cell>
          <cell r="AP95">
            <v>-250.50598893</v>
          </cell>
          <cell r="AU95">
            <v>-40.005301852335997</v>
          </cell>
          <cell r="AZ95">
            <v>8.141815554211</v>
          </cell>
          <cell r="BA95">
            <v>110.81227342942</v>
          </cell>
          <cell r="BB95">
            <v>180.74914803091499</v>
          </cell>
          <cell r="BC95">
            <v>346.73238663667399</v>
          </cell>
          <cell r="BD95">
            <v>510.45554467038801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S100">
            <v>48.644400149044998</v>
          </cell>
          <cell r="T100">
            <v>57.997565943786</v>
          </cell>
          <cell r="U100">
            <v>80.848132508622996</v>
          </cell>
          <cell r="V100">
            <v>102.31180604769899</v>
          </cell>
          <cell r="AA100">
            <v>156.41379922254799</v>
          </cell>
          <cell r="AF100">
            <v>211.770006435597</v>
          </cell>
          <cell r="AK100">
            <v>198.79170863106901</v>
          </cell>
          <cell r="AP100">
            <v>171.446286848906</v>
          </cell>
          <cell r="AU100">
            <v>208.98430525978199</v>
          </cell>
          <cell r="AZ100">
            <v>275.96961913302999</v>
          </cell>
          <cell r="BA100">
            <v>321.002675805965</v>
          </cell>
          <cell r="BB100">
            <v>351.39943239872599</v>
          </cell>
          <cell r="BC100">
            <v>373.603299683231</v>
          </cell>
          <cell r="BD100">
            <v>390.821653782667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  <cell r="R109">
            <v>0</v>
          </cell>
          <cell r="S109">
            <v>0</v>
          </cell>
          <cell r="T109">
            <v>9.7715522215999995E-2</v>
          </cell>
          <cell r="U109">
            <v>0.115857761108</v>
          </cell>
          <cell r="V109">
            <v>0.17649999999999999</v>
          </cell>
          <cell r="AA109">
            <v>0.3785</v>
          </cell>
          <cell r="AF109">
            <v>0.54</v>
          </cell>
          <cell r="AK109">
            <v>0.55649999999999999</v>
          </cell>
          <cell r="AP109">
            <v>0.54400000000000004</v>
          </cell>
          <cell r="AU109">
            <v>0.59840000000000004</v>
          </cell>
          <cell r="AZ109">
            <v>0.61036800000000002</v>
          </cell>
          <cell r="BA109">
            <v>0.62257536000000002</v>
          </cell>
          <cell r="BB109">
            <v>0.63502686720000001</v>
          </cell>
          <cell r="BC109">
            <v>0.64772740454400002</v>
          </cell>
          <cell r="BD109">
            <v>0.66068195263499996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F111">
            <v>0</v>
          </cell>
          <cell r="AK111">
            <v>0</v>
          </cell>
          <cell r="AP111">
            <v>0</v>
          </cell>
          <cell r="AU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</row>
        <row r="112">
          <cell r="B112" t="str">
            <v>Sales - % United States</v>
          </cell>
          <cell r="C112" t="str">
            <v>SALES_US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F112">
            <v>0</v>
          </cell>
          <cell r="AK112">
            <v>0</v>
          </cell>
          <cell r="AP112">
            <v>0</v>
          </cell>
          <cell r="AU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</row>
        <row r="114">
          <cell r="B114" t="str">
            <v>Sales - % Brazil</v>
          </cell>
          <cell r="C114" t="str">
            <v>SALES_BRAZIL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F114">
            <v>0</v>
          </cell>
          <cell r="AK114">
            <v>0</v>
          </cell>
          <cell r="AP114">
            <v>0</v>
          </cell>
          <cell r="AU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F115">
            <v>0</v>
          </cell>
          <cell r="AK115">
            <v>0</v>
          </cell>
          <cell r="AP115">
            <v>0</v>
          </cell>
          <cell r="AU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</row>
        <row r="116">
          <cell r="B116" t="str">
            <v>Sales - Total % EMEA</v>
          </cell>
          <cell r="C116" t="str">
            <v>SALES_TOT_EMEA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F116">
            <v>0</v>
          </cell>
          <cell r="AK116">
            <v>0</v>
          </cell>
          <cell r="AP116">
            <v>0</v>
          </cell>
          <cell r="AU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 t="str">
            <v>Sales - % UK</v>
          </cell>
          <cell r="C117" t="str">
            <v>SALES_UK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F117">
            <v>0</v>
          </cell>
          <cell r="AK117">
            <v>0</v>
          </cell>
          <cell r="AP117">
            <v>0</v>
          </cell>
          <cell r="AU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F118">
            <v>0</v>
          </cell>
          <cell r="AK118">
            <v>0</v>
          </cell>
          <cell r="AP118">
            <v>0</v>
          </cell>
          <cell r="AU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F135">
            <v>0</v>
          </cell>
          <cell r="AK135">
            <v>0</v>
          </cell>
          <cell r="AP135">
            <v>0</v>
          </cell>
          <cell r="AU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</row>
        <row r="136">
          <cell r="B136" t="str">
            <v>Sales - % Middle East</v>
          </cell>
          <cell r="C136" t="str">
            <v>SALES_ME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F136">
            <v>0</v>
          </cell>
          <cell r="AK136">
            <v>0</v>
          </cell>
          <cell r="AP136">
            <v>0</v>
          </cell>
          <cell r="AU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</row>
        <row r="137">
          <cell r="B137" t="str">
            <v>Sales - % Total Africa</v>
          </cell>
          <cell r="C137" t="str">
            <v>SALES_TOT_AFRICA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 t="str">
            <v>Sales - % Russia</v>
          </cell>
          <cell r="C138" t="str">
            <v>SALES_RUSSIA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F138">
            <v>0</v>
          </cell>
          <cell r="AK138">
            <v>0</v>
          </cell>
          <cell r="AP138">
            <v>0</v>
          </cell>
          <cell r="AU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Sales - % Other EMEA</v>
          </cell>
          <cell r="C139" t="str">
            <v>SALES_OTH_EMEA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F139">
            <v>0</v>
          </cell>
          <cell r="AK139">
            <v>0</v>
          </cell>
          <cell r="AP139">
            <v>0</v>
          </cell>
          <cell r="AU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F140">
            <v>0</v>
          </cell>
          <cell r="AK140">
            <v>0</v>
          </cell>
          <cell r="AP140">
            <v>0</v>
          </cell>
          <cell r="AU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</row>
        <row r="141">
          <cell r="B141" t="str">
            <v>Sales - % Japan</v>
          </cell>
          <cell r="C141" t="str">
            <v>SALES_JAPAN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F141">
            <v>0</v>
          </cell>
          <cell r="AK141">
            <v>0</v>
          </cell>
          <cell r="AP141">
            <v>0</v>
          </cell>
          <cell r="AU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Sales - % China</v>
          </cell>
          <cell r="C142" t="str">
            <v>SALES_CHINA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1</v>
          </cell>
          <cell r="AF142">
            <v>1</v>
          </cell>
          <cell r="AK142">
            <v>1</v>
          </cell>
          <cell r="AP142">
            <v>1</v>
          </cell>
          <cell r="AU142">
            <v>1</v>
          </cell>
          <cell r="AZ142">
            <v>1</v>
          </cell>
          <cell r="BA142">
            <v>1</v>
          </cell>
          <cell r="BB142">
            <v>1</v>
          </cell>
          <cell r="BC142">
            <v>1</v>
          </cell>
          <cell r="BD142">
            <v>1</v>
          </cell>
        </row>
        <row r="143">
          <cell r="B143" t="str">
            <v>Sales - % India</v>
          </cell>
          <cell r="C143" t="str">
            <v>SALES_INDIA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F143">
            <v>0</v>
          </cell>
          <cell r="AK143">
            <v>0</v>
          </cell>
          <cell r="AP143">
            <v>0</v>
          </cell>
          <cell r="AU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</row>
        <row r="144">
          <cell r="B144" t="str">
            <v>Sales - % South Korea</v>
          </cell>
          <cell r="C144" t="str">
            <v>SALES_SK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F144">
            <v>0</v>
          </cell>
          <cell r="AK144">
            <v>0</v>
          </cell>
          <cell r="AP144">
            <v>0</v>
          </cell>
          <cell r="AU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B145" t="str">
            <v>Sales - % Taiwan</v>
          </cell>
          <cell r="C145" t="str">
            <v>SALES_TAIWAN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</row>
        <row r="148">
          <cell r="B148" t="str">
            <v>Sales - % Other Asia</v>
          </cell>
          <cell r="C148" t="str">
            <v>SALES_OTH_AEJ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F148">
            <v>0</v>
          </cell>
          <cell r="AK148">
            <v>0</v>
          </cell>
          <cell r="AP148">
            <v>0</v>
          </cell>
          <cell r="AU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</row>
        <row r="149">
          <cell r="B149" t="str">
            <v>Sales - % Others</v>
          </cell>
          <cell r="C149" t="str">
            <v>SALES_OTHER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F149">
            <v>0</v>
          </cell>
          <cell r="AK149">
            <v>0</v>
          </cell>
          <cell r="AP149">
            <v>0</v>
          </cell>
          <cell r="AU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0">
          <cell r="B190" t="str">
            <v>Sales - % Industry Sub-Segment: Financial Services</v>
          </cell>
          <cell r="C190" t="str">
            <v>SALES_FINAN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4">
          <cell r="A194" t="str">
            <v>Commodities Exposure - Expense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</row>
        <row r="195">
          <cell r="B195" t="str">
            <v>Expense - % Other commodity</v>
          </cell>
          <cell r="C195" t="str">
            <v>EXP_OTH_COMMODITY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</row>
        <row r="196">
          <cell r="B196" t="str">
            <v>Expense - % Other (Non-Commodity) cost</v>
          </cell>
          <cell r="C196" t="str">
            <v>EXP_OTH_COST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</row>
        <row r="197">
          <cell r="A197" t="str">
            <v>FX Exposure - Sales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</row>
        <row r="198">
          <cell r="B198" t="str">
            <v>Sales - % FX: British Pounds/Pence</v>
          </cell>
          <cell r="C198" t="str">
            <v>SALES_FX_GPB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</row>
        <row r="199">
          <cell r="B199" t="str">
            <v>Sales - % FX: Euro</v>
          </cell>
          <cell r="C199" t="str">
            <v>SALES_FX_EUR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</row>
        <row r="200">
          <cell r="B200" t="str">
            <v>Sales - % FX: New Russian Ruble</v>
          </cell>
          <cell r="C200" t="str">
            <v>SALES_FX_RUB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</row>
        <row r="201">
          <cell r="B201" t="str">
            <v>Sales - % FX: U.S. Dollar</v>
          </cell>
          <cell r="C201" t="str">
            <v>SALES_FX_USD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</row>
        <row r="202">
          <cell r="B202" t="str">
            <v>Sales - % FX: Brazilian Real</v>
          </cell>
          <cell r="C202" t="str">
            <v>SALES_FX_BRL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</row>
        <row r="203">
          <cell r="B203" t="str">
            <v>Sales - % FX: Japanese Yen</v>
          </cell>
          <cell r="C203" t="str">
            <v>SALES_FX_YEN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</row>
        <row r="204">
          <cell r="B204" t="str">
            <v>Sales - % FX: Chinese Renminbi</v>
          </cell>
          <cell r="C204" t="str">
            <v>SALES_FX_CNY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</row>
        <row r="205">
          <cell r="B205" t="str">
            <v>Sales - % FX: Indian Rupee</v>
          </cell>
          <cell r="C205" t="str">
            <v>SALES_FX_INR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</row>
        <row r="206">
          <cell r="B206" t="str">
            <v>Sales - % FX: South Korean Won</v>
          </cell>
          <cell r="C206" t="str">
            <v>SALES_FX_KRW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</row>
        <row r="207">
          <cell r="B207" t="str">
            <v>Sales - % FX: Taiwan Dollar</v>
          </cell>
          <cell r="C207" t="str">
            <v>SALES_FX_TWD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</row>
        <row r="208">
          <cell r="B208" t="str">
            <v>Sales - % FX: Other Currency</v>
          </cell>
          <cell r="C208" t="str">
            <v>SALES_FX_OTH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A209" t="str">
            <v>Security: Beijing Ultrapower Software</v>
          </cell>
          <cell r="B209" t="str">
            <v>1310D6</v>
          </cell>
        </row>
        <row r="210">
          <cell r="A210" t="str">
            <v>Reference Data</v>
          </cell>
        </row>
        <row r="211">
          <cell r="B211" t="str">
            <v>Ticker</v>
          </cell>
          <cell r="C211" t="str">
            <v>Ticker</v>
          </cell>
          <cell r="E211" t="str">
            <v>300002.SZ</v>
          </cell>
        </row>
        <row r="212">
          <cell r="B212" t="str">
            <v>Security Name</v>
          </cell>
          <cell r="C212" t="str">
            <v>Security Name</v>
          </cell>
          <cell r="E212" t="str">
            <v>Beijing Ultrapower Software</v>
          </cell>
        </row>
        <row r="213">
          <cell r="B213" t="str">
            <v>Interim Type</v>
          </cell>
          <cell r="C213" t="str">
            <v>Interim Type</v>
          </cell>
          <cell r="E213" t="str">
            <v>Q</v>
          </cell>
        </row>
        <row r="214">
          <cell r="B214" t="str">
            <v>Publishing Currency</v>
          </cell>
          <cell r="C214" t="str">
            <v>PUB_CURRENCY_ISO</v>
          </cell>
          <cell r="E214" t="str">
            <v>CNY</v>
          </cell>
        </row>
        <row r="215">
          <cell r="B215" t="str">
            <v>Pricing Currency</v>
          </cell>
          <cell r="C215" t="str">
            <v>PRICE_CURRENCY_ISO</v>
          </cell>
          <cell r="E215" t="str">
            <v>CNY</v>
          </cell>
        </row>
        <row r="216">
          <cell r="B216" t="str">
            <v>Reporting Currency</v>
          </cell>
          <cell r="C216" t="str">
            <v>CURRENCY_ISO</v>
          </cell>
          <cell r="E216" t="str">
            <v>CNY</v>
          </cell>
        </row>
        <row r="217">
          <cell r="A217" t="str">
            <v>General Information</v>
          </cell>
        </row>
        <row r="218">
          <cell r="B218" t="str">
            <v>Asia Pacific Investment List</v>
          </cell>
          <cell r="C218" t="str">
            <v>AEJ_LIST</v>
          </cell>
        </row>
        <row r="219">
          <cell r="B219" t="str">
            <v>Asia Pacific Conviction List</v>
          </cell>
          <cell r="C219" t="str">
            <v>AEJ_CONVICTION</v>
          </cell>
        </row>
        <row r="220">
          <cell r="B220" t="str">
            <v>Legal rating</v>
          </cell>
          <cell r="C220" t="str">
            <v>LEGAL_RATING</v>
          </cell>
        </row>
        <row r="221">
          <cell r="B221" t="str">
            <v>Target price</v>
          </cell>
          <cell r="C221" t="str">
            <v>TARGET_PRICE</v>
          </cell>
          <cell r="D221" t="str">
            <v>CNY</v>
          </cell>
          <cell r="E221">
            <v>8</v>
          </cell>
        </row>
        <row r="222">
          <cell r="B222" t="str">
            <v>Target price period</v>
          </cell>
          <cell r="C222" t="str">
            <v>TP_PERIOD</v>
          </cell>
          <cell r="E222" t="str">
            <v>12 months</v>
          </cell>
        </row>
        <row r="223">
          <cell r="B223" t="str">
            <v>Current shares outstanding (mn)</v>
          </cell>
          <cell r="C223" t="str">
            <v>NUM_SH</v>
          </cell>
          <cell r="E223">
            <v>1991.53309868211</v>
          </cell>
        </row>
        <row r="224">
          <cell r="B224" t="str">
            <v>Free float</v>
          </cell>
          <cell r="C224" t="str">
            <v>FREE_FLOAT</v>
          </cell>
        </row>
        <row r="225">
          <cell r="B225" t="str">
            <v>Foreign ownership</v>
          </cell>
          <cell r="C225" t="str">
            <v>FOREIGN_HOLDNG</v>
          </cell>
        </row>
        <row r="226">
          <cell r="B226" t="str">
            <v>Exceptionals (pre-tax)</v>
          </cell>
          <cell r="C226" t="str">
            <v>ACT1</v>
          </cell>
          <cell r="E226">
            <v>0.13930000000000001</v>
          </cell>
        </row>
        <row r="227">
          <cell r="B227" t="str">
            <v>Full market cost of capital (FMCC)</v>
          </cell>
          <cell r="C227" t="str">
            <v>ACT2</v>
          </cell>
          <cell r="E227">
            <v>0.13930000000000001</v>
          </cell>
        </row>
        <row r="228">
          <cell r="B228" t="str">
            <v>Catalyst 1 date</v>
          </cell>
          <cell r="C228" t="str">
            <v>CATALYST1_DATE</v>
          </cell>
        </row>
        <row r="229">
          <cell r="B229" t="str">
            <v>Catalyst 1 description</v>
          </cell>
          <cell r="C229" t="str">
            <v>CATALYST1_EVENT</v>
          </cell>
        </row>
        <row r="230">
          <cell r="B230" t="str">
            <v>Catalyst 2 date</v>
          </cell>
          <cell r="C230" t="str">
            <v>CATALYST2_DATE</v>
          </cell>
        </row>
        <row r="231">
          <cell r="B231" t="str">
            <v>Catalyst 2 description</v>
          </cell>
          <cell r="C231" t="str">
            <v>CATALYST2_EVENT</v>
          </cell>
        </row>
        <row r="232">
          <cell r="B232" t="str">
            <v>Catalyst 3 date</v>
          </cell>
          <cell r="C232" t="str">
            <v>CATALYST3_DATE</v>
          </cell>
        </row>
        <row r="233">
          <cell r="B233" t="str">
            <v>Catalyst 3 description</v>
          </cell>
          <cell r="C233" t="str">
            <v>CATALYST3_EVENT</v>
          </cell>
        </row>
        <row r="234">
          <cell r="B234" t="str">
            <v>Catalyst 4 date</v>
          </cell>
          <cell r="C234" t="str">
            <v>CATALYST4_DATE</v>
          </cell>
        </row>
        <row r="235">
          <cell r="B235" t="str">
            <v>Catalyst 4 description</v>
          </cell>
          <cell r="C235" t="str">
            <v>CATALYST4_EVENT</v>
          </cell>
        </row>
        <row r="236">
          <cell r="B236" t="str">
            <v>Catalyst 5 date</v>
          </cell>
          <cell r="C236" t="str">
            <v>CATALYST5_DATE</v>
          </cell>
        </row>
        <row r="237">
          <cell r="B237" t="str">
            <v>Catalyst 5 description</v>
          </cell>
          <cell r="C237" t="str">
            <v>CATALYST5_EVENT</v>
          </cell>
        </row>
        <row r="238">
          <cell r="B238" t="str">
            <v>Target price multiple</v>
          </cell>
          <cell r="C238" t="str">
            <v>PRI_TARG_MULT</v>
          </cell>
          <cell r="E238">
            <v>28.789955976190001</v>
          </cell>
        </row>
        <row r="239">
          <cell r="B239" t="str">
            <v>Target price methodology</v>
          </cell>
          <cell r="C239" t="str">
            <v>PRI_TARG_METH</v>
          </cell>
          <cell r="E239" t="str">
            <v>Long-term growth discounted PE</v>
          </cell>
        </row>
        <row r="240">
          <cell r="A240" t="str">
            <v>Publishing Items</v>
          </cell>
        </row>
        <row r="241">
          <cell r="B241" t="str">
            <v>Book value per share, BVPS (Pub)</v>
          </cell>
          <cell r="C241" t="str">
            <v>BVPS_PUB</v>
          </cell>
          <cell r="D241" t="str">
            <v>CNY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R241">
            <v>3.7758586171000003E-2</v>
          </cell>
          <cell r="S241">
            <v>6.7449776606000003E-2</v>
          </cell>
          <cell r="T241">
            <v>0.117388701746</v>
          </cell>
          <cell r="U241">
            <v>1.1353085732099999</v>
          </cell>
          <cell r="V241">
            <v>1.28132721616</v>
          </cell>
          <cell r="AA241">
            <v>1.423884494173</v>
          </cell>
          <cell r="AF241">
            <v>1.603619804524</v>
          </cell>
          <cell r="AK241">
            <v>1.8010713611110001</v>
          </cell>
          <cell r="AP241">
            <v>2.4330363116929998</v>
          </cell>
          <cell r="AU241">
            <v>2.5858792952659999</v>
          </cell>
          <cell r="AZ241">
            <v>2.792843623634</v>
          </cell>
          <cell r="BA241">
            <v>3.0571717748039999</v>
          </cell>
          <cell r="BB241">
            <v>3.3693329241119998</v>
          </cell>
          <cell r="BC241">
            <v>3.7278080554809998</v>
          </cell>
          <cell r="BD241">
            <v>4.1307778887820001</v>
          </cell>
        </row>
        <row r="242">
          <cell r="B242" t="str">
            <v>DPS, dividend per share (Pub)</v>
          </cell>
          <cell r="C242" t="str">
            <v>DPS_PUB</v>
          </cell>
          <cell r="D242" t="str">
            <v>CNY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R242">
            <v>3.1207095731999999E-2</v>
          </cell>
          <cell r="S242">
            <v>1.7337989169E-2</v>
          </cell>
          <cell r="T242">
            <v>1.7337989169E-2</v>
          </cell>
          <cell r="U242">
            <v>2.0805587003E-2</v>
          </cell>
          <cell r="V242">
            <v>5.2013967506E-2</v>
          </cell>
          <cell r="AA242">
            <v>6.2416761007999998E-2</v>
          </cell>
          <cell r="AF242">
            <v>8.3222348010000002E-2</v>
          </cell>
          <cell r="AK242">
            <v>8.3273114019000005E-2</v>
          </cell>
          <cell r="AP242">
            <v>7.9915117945000003E-2</v>
          </cell>
          <cell r="AU242">
            <v>5.2367240458000001E-2</v>
          </cell>
          <cell r="AZ242">
            <v>7.0910358436999998E-2</v>
          </cell>
          <cell r="BA242">
            <v>9.0564417995999999E-2</v>
          </cell>
          <cell r="BB242">
            <v>0.10695301534399999</v>
          </cell>
          <cell r="BC242">
            <v>0.122821165641</v>
          </cell>
          <cell r="BD242">
            <v>0.13806599206799999</v>
          </cell>
        </row>
        <row r="243">
          <cell r="B243" t="str">
            <v>Special dividend per share</v>
          </cell>
          <cell r="C243" t="str">
            <v>DPS_SPECIAL_PUB</v>
          </cell>
          <cell r="D243" t="str">
            <v>CNY</v>
          </cell>
        </row>
        <row r="244">
          <cell r="B244" t="str">
            <v>EBITDA (Pub)</v>
          </cell>
          <cell r="C244" t="str">
            <v>EBITDA_PUB</v>
          </cell>
          <cell r="D244" t="str">
            <v>CNY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R244">
            <v>20.599513909999999</v>
          </cell>
          <cell r="S244">
            <v>66.580099230000002</v>
          </cell>
          <cell r="T244">
            <v>111.51279618</v>
          </cell>
          <cell r="U244">
            <v>287.46976215000001</v>
          </cell>
          <cell r="V244">
            <v>338.61539099999999</v>
          </cell>
          <cell r="AA244">
            <v>344.89383635000002</v>
          </cell>
          <cell r="AF244">
            <v>420.35270004</v>
          </cell>
          <cell r="AK244">
            <v>535.86252201000002</v>
          </cell>
          <cell r="AP244">
            <v>582.65213418999997</v>
          </cell>
          <cell r="AU244">
            <v>393.57866160477698</v>
          </cell>
          <cell r="AZ244">
            <v>533.76399161158201</v>
          </cell>
          <cell r="BA244">
            <v>685.42900745000395</v>
          </cell>
          <cell r="BB244">
            <v>829.532222982652</v>
          </cell>
          <cell r="BC244">
            <v>957.94480585891495</v>
          </cell>
          <cell r="BD244">
            <v>1073.14698591244</v>
          </cell>
        </row>
        <row r="245">
          <cell r="B245" t="str">
            <v>EPS (Pub)</v>
          </cell>
          <cell r="C245" t="str">
            <v>EPS_PUB</v>
          </cell>
          <cell r="D245" t="str">
            <v>CNY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R245">
            <v>3.5522681769000003E-2</v>
          </cell>
          <cell r="S245">
            <v>7.0913109215999998E-2</v>
          </cell>
          <cell r="T245">
            <v>9.6797887664000007E-2</v>
          </cell>
          <cell r="U245">
            <v>0.148553508015</v>
          </cell>
          <cell r="V245">
            <v>0.17991762966700001</v>
          </cell>
          <cell r="AA245">
            <v>0.19515733036800001</v>
          </cell>
          <cell r="AF245">
            <v>0.23474803039799999</v>
          </cell>
          <cell r="AK245">
            <v>0.280699198155</v>
          </cell>
          <cell r="AP245">
            <v>0.31947505145499999</v>
          </cell>
          <cell r="AU245">
            <v>0.20512744632400001</v>
          </cell>
          <cell r="AZ245">
            <v>0.27787468680499999</v>
          </cell>
          <cell r="BA245">
            <v>0.35489256916599998</v>
          </cell>
          <cell r="BB245">
            <v>0.41911416465200002</v>
          </cell>
          <cell r="BC245">
            <v>0.48129629700999998</v>
          </cell>
          <cell r="BD245">
            <v>0.54103582536899997</v>
          </cell>
        </row>
        <row r="246">
          <cell r="B246" t="str">
            <v>EV adjustment (Pub)</v>
          </cell>
          <cell r="C246" t="str">
            <v>EV_ADJ_PUB</v>
          </cell>
          <cell r="D246" t="str">
            <v>CNY</v>
          </cell>
        </row>
        <row r="247">
          <cell r="B247" t="str">
            <v>Net debt (Pub)</v>
          </cell>
          <cell r="C247" t="str">
            <v>NET_DEBT_PUB</v>
          </cell>
          <cell r="D247" t="str">
            <v>CNY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R247">
            <v>-34.739110689999997</v>
          </cell>
          <cell r="S247">
            <v>-65.897238049999999</v>
          </cell>
          <cell r="T247">
            <v>-183.11123214</v>
          </cell>
          <cell r="U247">
            <v>-2076.8490320300002</v>
          </cell>
          <cell r="V247">
            <v>-1677.6470453699999</v>
          </cell>
          <cell r="AA247">
            <v>-1366.6017071700001</v>
          </cell>
          <cell r="AF247">
            <v>-1364.84627017</v>
          </cell>
          <cell r="AK247">
            <v>-1328.78331987</v>
          </cell>
          <cell r="AP247">
            <v>-1168.5656612600001</v>
          </cell>
          <cell r="AU247">
            <v>-1128.5603594076599</v>
          </cell>
          <cell r="AZ247">
            <v>-1136.70217496187</v>
          </cell>
          <cell r="BA247">
            <v>-1247.51444839129</v>
          </cell>
          <cell r="BB247">
            <v>-1428.26359642221</v>
          </cell>
          <cell r="BC247">
            <v>-1774.99598305888</v>
          </cell>
          <cell r="BD247">
            <v>-2285.4515277292699</v>
          </cell>
        </row>
        <row r="248">
          <cell r="B248" t="str">
            <v>Net income (Pub)</v>
          </cell>
          <cell r="C248" t="str">
            <v>NI_PUB</v>
          </cell>
          <cell r="D248" t="str">
            <v>CNY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R248">
            <v>22.11922436</v>
          </cell>
          <cell r="S248">
            <v>88.312193489999999</v>
          </cell>
          <cell r="T248">
            <v>120.54800416</v>
          </cell>
          <cell r="U248">
            <v>270.75174679000003</v>
          </cell>
          <cell r="V248">
            <v>327.91559863999998</v>
          </cell>
          <cell r="W248">
            <v>74.006076190000002</v>
          </cell>
          <cell r="X248">
            <v>126.19300407999999</v>
          </cell>
          <cell r="Y248">
            <v>58.974767579999998</v>
          </cell>
          <cell r="Z248">
            <v>96.517436739999994</v>
          </cell>
          <cell r="AA248">
            <v>355.69128459000001</v>
          </cell>
          <cell r="AB248">
            <v>56.244744320000002</v>
          </cell>
          <cell r="AC248">
            <v>164.54240282000001</v>
          </cell>
          <cell r="AD248">
            <v>76.275948249999999</v>
          </cell>
          <cell r="AE248">
            <v>131.96580896</v>
          </cell>
          <cell r="AF248">
            <v>429.02890435</v>
          </cell>
          <cell r="AG248">
            <v>97.446319410000001</v>
          </cell>
          <cell r="AH248">
            <v>171.2433815</v>
          </cell>
          <cell r="AI248">
            <v>90.563310770000001</v>
          </cell>
          <cell r="AJ248">
            <v>158.29116002999999</v>
          </cell>
          <cell r="AK248">
            <v>517.54417171</v>
          </cell>
          <cell r="AL248">
            <v>67.608454660000007</v>
          </cell>
          <cell r="AM248">
            <v>152.30449192</v>
          </cell>
          <cell r="AN248">
            <v>145.50897047000001</v>
          </cell>
          <cell r="AO248">
            <v>258.98368022</v>
          </cell>
          <cell r="AP248">
            <v>624.40559727000004</v>
          </cell>
          <cell r="AQ248">
            <v>34.96720243</v>
          </cell>
          <cell r="AR248">
            <v>76.07334985</v>
          </cell>
          <cell r="AS248">
            <v>68.072183330000001</v>
          </cell>
          <cell r="AT248">
            <v>229.40536319264501</v>
          </cell>
          <cell r="AU248">
            <v>408.518098802645</v>
          </cell>
          <cell r="AV248">
            <v>96.099388042474999</v>
          </cell>
          <cell r="AW248">
            <v>195.37960811389499</v>
          </cell>
          <cell r="AX248">
            <v>171.101788225245</v>
          </cell>
          <cell r="AY248">
            <v>90.592622523597996</v>
          </cell>
          <cell r="AZ248">
            <v>553.17340690521405</v>
          </cell>
          <cell r="BA248">
            <v>706.49519691293096</v>
          </cell>
          <cell r="BB248">
            <v>834.343037895463</v>
          </cell>
          <cell r="BC248">
            <v>958.130858947256</v>
          </cell>
          <cell r="BD248">
            <v>1077.0561155421001</v>
          </cell>
        </row>
        <row r="249">
          <cell r="B249" t="str">
            <v>EBIT, operating profit (Pub)</v>
          </cell>
          <cell r="C249" t="str">
            <v>EBIT_PUB</v>
          </cell>
          <cell r="D249" t="str">
            <v>CNY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R249">
            <v>19.18482384</v>
          </cell>
          <cell r="S249">
            <v>64.56023983</v>
          </cell>
          <cell r="T249">
            <v>107.12624685</v>
          </cell>
          <cell r="U249">
            <v>281.61131492999999</v>
          </cell>
          <cell r="V249">
            <v>328.71666015</v>
          </cell>
          <cell r="W249">
            <v>58.682645960000002</v>
          </cell>
          <cell r="X249">
            <v>145.62258324999999</v>
          </cell>
          <cell r="Y249">
            <v>42.179027240000003</v>
          </cell>
          <cell r="Z249">
            <v>71.898152949999997</v>
          </cell>
          <cell r="AA249">
            <v>318.38240939999997</v>
          </cell>
          <cell r="AB249">
            <v>70.293445730000002</v>
          </cell>
          <cell r="AC249">
            <v>189.66605328</v>
          </cell>
          <cell r="AD249">
            <v>86.374526110000005</v>
          </cell>
          <cell r="AE249">
            <v>40.59419183</v>
          </cell>
          <cell r="AF249">
            <v>386.92821694999998</v>
          </cell>
          <cell r="AG249">
            <v>106.14939612000001</v>
          </cell>
          <cell r="AH249">
            <v>211.32175307</v>
          </cell>
          <cell r="AI249">
            <v>93.025038230000007</v>
          </cell>
          <cell r="AJ249">
            <v>90.941151020000007</v>
          </cell>
          <cell r="AK249">
            <v>501.43733844000002</v>
          </cell>
          <cell r="AL249">
            <v>70.250510950000006</v>
          </cell>
          <cell r="AM249">
            <v>146.78398795000001</v>
          </cell>
          <cell r="AN249">
            <v>112.37639544</v>
          </cell>
          <cell r="AO249">
            <v>207.78464149999999</v>
          </cell>
          <cell r="AP249">
            <v>537.19553584000005</v>
          </cell>
          <cell r="AQ249">
            <v>-5.5553544400000003</v>
          </cell>
          <cell r="AR249">
            <v>48.028329560000003</v>
          </cell>
          <cell r="AS249">
            <v>51.411115090000003</v>
          </cell>
          <cell r="AT249">
            <v>238.771748561962</v>
          </cell>
          <cell r="AU249">
            <v>332.65583877196201</v>
          </cell>
          <cell r="AV249">
            <v>54.643416505978003</v>
          </cell>
          <cell r="AW249">
            <v>165.98932816764</v>
          </cell>
          <cell r="AX249">
            <v>155.67319602857799</v>
          </cell>
          <cell r="AY249">
            <v>77.233057781477001</v>
          </cell>
          <cell r="AZ249">
            <v>453.538998483672</v>
          </cell>
          <cell r="BA249">
            <v>581.89167865870797</v>
          </cell>
          <cell r="BB249">
            <v>698.40087780616295</v>
          </cell>
          <cell r="BC249">
            <v>795.590791163365</v>
          </cell>
          <cell r="BD249">
            <v>876.41148557188501</v>
          </cell>
        </row>
        <row r="250">
          <cell r="B250" t="str">
            <v>Pre-tax profit (Pub)</v>
          </cell>
          <cell r="C250" t="str">
            <v>PTP_PUB</v>
          </cell>
          <cell r="D250" t="str">
            <v>CNY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R250">
            <v>22.63906579</v>
          </cell>
          <cell r="S250">
            <v>90.670697230000002</v>
          </cell>
          <cell r="T250">
            <v>124.16962945</v>
          </cell>
          <cell r="U250">
            <v>300.40862071999999</v>
          </cell>
          <cell r="V250">
            <v>365.4077039</v>
          </cell>
          <cell r="AA250">
            <v>386.68754695000001</v>
          </cell>
          <cell r="AF250">
            <v>445.10447776000001</v>
          </cell>
          <cell r="AK250">
            <v>563.45236990000001</v>
          </cell>
          <cell r="AP250">
            <v>651.41577007000001</v>
          </cell>
          <cell r="AU250">
            <v>421.87685637896197</v>
          </cell>
          <cell r="AZ250">
            <v>572.53861444805898</v>
          </cell>
          <cell r="BA250">
            <v>736.31905123764204</v>
          </cell>
          <cell r="BB250">
            <v>879.11948330320604</v>
          </cell>
          <cell r="BC250">
            <v>1009.55058938252</v>
          </cell>
          <cell r="BD250">
            <v>1134.8581731709301</v>
          </cell>
        </row>
        <row r="251">
          <cell r="B251" t="str">
            <v>Sales, revenue (Pub)</v>
          </cell>
          <cell r="C251" t="str">
            <v>REVS_PUB</v>
          </cell>
          <cell r="D251" t="str">
            <v>CNY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R251">
            <v>187.60429084</v>
          </cell>
          <cell r="S251">
            <v>442.76652659000001</v>
          </cell>
          <cell r="T251">
            <v>519.28288069999996</v>
          </cell>
          <cell r="U251">
            <v>722.75869049999994</v>
          </cell>
          <cell r="V251">
            <v>841.62898700000005</v>
          </cell>
          <cell r="W251">
            <v>204.81831707000001</v>
          </cell>
          <cell r="X251">
            <v>330.37986076999999</v>
          </cell>
          <cell r="Y251">
            <v>238.97879821000001</v>
          </cell>
          <cell r="Z251">
            <v>383.08111348</v>
          </cell>
          <cell r="AA251">
            <v>1157.25808953</v>
          </cell>
          <cell r="AB251">
            <v>242.92063012</v>
          </cell>
          <cell r="AC251">
            <v>437.09620760000001</v>
          </cell>
          <cell r="AD251">
            <v>303.38412253000001</v>
          </cell>
          <cell r="AE251">
            <v>426.11194977000002</v>
          </cell>
          <cell r="AF251">
            <v>1409.5129100199999</v>
          </cell>
          <cell r="AG251">
            <v>348.45297110000001</v>
          </cell>
          <cell r="AH251">
            <v>607.13261825999996</v>
          </cell>
          <cell r="AI251">
            <v>432.71126663000001</v>
          </cell>
          <cell r="AJ251">
            <v>518.16965304999997</v>
          </cell>
          <cell r="AK251">
            <v>1906.4665090399999</v>
          </cell>
          <cell r="AL251">
            <v>466.76376913000001</v>
          </cell>
          <cell r="AM251">
            <v>666.34454358999994</v>
          </cell>
          <cell r="AN251">
            <v>555.94271255000001</v>
          </cell>
          <cell r="AO251">
            <v>859.79336721000004</v>
          </cell>
          <cell r="AP251">
            <v>2548.8443924799999</v>
          </cell>
          <cell r="AQ251">
            <v>468.89389055999999</v>
          </cell>
          <cell r="AR251">
            <v>677.11055678000002</v>
          </cell>
          <cell r="AS251">
            <v>668.80091809999999</v>
          </cell>
          <cell r="AT251">
            <v>1093.6131168229999</v>
          </cell>
          <cell r="AU251">
            <v>2908.418482263</v>
          </cell>
          <cell r="AV251">
            <v>548.48560937914101</v>
          </cell>
          <cell r="AW251">
            <v>829.65496779699197</v>
          </cell>
          <cell r="AX251">
            <v>834.90826648739198</v>
          </cell>
          <cell r="AY251">
            <v>1370.43064112665</v>
          </cell>
          <cell r="AZ251">
            <v>3583.4794847901799</v>
          </cell>
          <cell r="BA251">
            <v>4267.4419583407298</v>
          </cell>
          <cell r="BB251">
            <v>4975.9216175718702</v>
          </cell>
          <cell r="BC251">
            <v>5511.3076170949898</v>
          </cell>
          <cell r="BD251">
            <v>5907.4859330467798</v>
          </cell>
        </row>
        <row r="252">
          <cell r="B252" t="str">
            <v>Total shareholders' equity (Pub)</v>
          </cell>
          <cell r="C252" t="str">
            <v>EQ_PUB</v>
          </cell>
          <cell r="D252" t="str">
            <v>CNY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R252">
            <v>77.048219099999997</v>
          </cell>
          <cell r="S252">
            <v>134.27427718999999</v>
          </cell>
          <cell r="T252">
            <v>233.68918135000001</v>
          </cell>
          <cell r="U252">
            <v>2261.3248492299999</v>
          </cell>
          <cell r="V252">
            <v>2553.7762138200001</v>
          </cell>
          <cell r="AA252">
            <v>2853.2845492900001</v>
          </cell>
          <cell r="AF252">
            <v>3212.9693131499998</v>
          </cell>
          <cell r="AK252">
            <v>3607.9398966899998</v>
          </cell>
          <cell r="AP252">
            <v>4931.7694531699999</v>
          </cell>
          <cell r="AU252">
            <v>5212.0040904288599</v>
          </cell>
          <cell r="AZ252">
            <v>5597.5762553135</v>
          </cell>
          <cell r="BA252">
            <v>6094.7005008939404</v>
          </cell>
          <cell r="BB252">
            <v>6681.7846807743499</v>
          </cell>
          <cell r="BC252">
            <v>7355.97196825026</v>
          </cell>
          <cell r="BD252">
            <v>8113.8408274106096</v>
          </cell>
        </row>
        <row r="253">
          <cell r="B253" t="str">
            <v>EPS (consensus)</v>
          </cell>
          <cell r="C253" t="str">
            <v>EPS_CONS_PUB</v>
          </cell>
          <cell r="D253" t="str">
            <v>CNY</v>
          </cell>
        </row>
        <row r="254">
          <cell r="A254" t="str">
            <v>Income Statement</v>
          </cell>
        </row>
        <row r="255">
          <cell r="B255" t="str">
            <v>Provision for income tax</v>
          </cell>
          <cell r="C255" t="str">
            <v>PROV_INC_TAX</v>
          </cell>
          <cell r="D255" t="str">
            <v>CNY</v>
          </cell>
          <cell r="R255">
            <v>-0.69241752999999995</v>
          </cell>
          <cell r="S255">
            <v>-2.30627687</v>
          </cell>
          <cell r="T255">
            <v>-3.6216252899999999</v>
          </cell>
          <cell r="U255">
            <v>-29.924581360000001</v>
          </cell>
          <cell r="V255">
            <v>-38.230127529999997</v>
          </cell>
          <cell r="AA255">
            <v>-32.992592029999997</v>
          </cell>
          <cell r="AF255">
            <v>-18.195239709999999</v>
          </cell>
          <cell r="AK255">
            <v>-48.989335629999999</v>
          </cell>
          <cell r="AP255">
            <v>-47.294408699999998</v>
          </cell>
          <cell r="AU255">
            <v>-37.393195406316998</v>
          </cell>
          <cell r="AZ255">
            <v>-45.803089155845001</v>
          </cell>
          <cell r="BA255">
            <v>-58.905524099010997</v>
          </cell>
          <cell r="BB255">
            <v>-79.120753497289002</v>
          </cell>
          <cell r="BC255">
            <v>-90.859553044427003</v>
          </cell>
          <cell r="BD255">
            <v>-102.137235585384</v>
          </cell>
        </row>
        <row r="256">
          <cell r="B256" t="str">
            <v>Minority interest</v>
          </cell>
          <cell r="C256" t="str">
            <v>INC_MINORITY</v>
          </cell>
          <cell r="D256" t="str">
            <v>CNY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0.17257610000000001</v>
          </cell>
          <cell r="S256">
            <v>-5.2226870000000002E-2</v>
          </cell>
          <cell r="T256">
            <v>0</v>
          </cell>
          <cell r="U256">
            <v>0.26770743000000002</v>
          </cell>
          <cell r="V256">
            <v>0.73802226999999998</v>
          </cell>
          <cell r="AA256">
            <v>1.9963296699999999</v>
          </cell>
          <cell r="AF256">
            <v>2.1196663</v>
          </cell>
          <cell r="AK256">
            <v>3.08113744</v>
          </cell>
          <cell r="AP256">
            <v>20.284235899999999</v>
          </cell>
          <cell r="AU256">
            <v>24.034437830000002</v>
          </cell>
          <cell r="AZ256">
            <v>26.437881612999998</v>
          </cell>
          <cell r="BA256">
            <v>29.0816697743</v>
          </cell>
          <cell r="BB256">
            <v>34.344308089545997</v>
          </cell>
          <cell r="BC256">
            <v>39.439822609160998</v>
          </cell>
          <cell r="BD256">
            <v>44.335177956555</v>
          </cell>
        </row>
        <row r="257">
          <cell r="B257" t="str">
            <v>Net income (pre-preferred dividends)</v>
          </cell>
          <cell r="C257" t="str">
            <v>NI_PRE_PREF</v>
          </cell>
          <cell r="D257" t="str">
            <v>CNY</v>
          </cell>
          <cell r="R257">
            <v>22.11922436</v>
          </cell>
          <cell r="S257">
            <v>88.312193489999999</v>
          </cell>
          <cell r="T257">
            <v>120.54800416</v>
          </cell>
          <cell r="U257">
            <v>270.75174679000003</v>
          </cell>
          <cell r="V257">
            <v>327.91559863999998</v>
          </cell>
          <cell r="AA257">
            <v>355.69128459000001</v>
          </cell>
          <cell r="AF257">
            <v>429.02890435</v>
          </cell>
          <cell r="AK257">
            <v>517.54417171</v>
          </cell>
          <cell r="AP257">
            <v>624.40559727000004</v>
          </cell>
          <cell r="AU257">
            <v>408.518098802645</v>
          </cell>
          <cell r="AZ257">
            <v>553.17340690521405</v>
          </cell>
          <cell r="BA257">
            <v>706.49519691293096</v>
          </cell>
          <cell r="BB257">
            <v>834.343037895463</v>
          </cell>
          <cell r="BC257">
            <v>958.130858947256</v>
          </cell>
          <cell r="BD257">
            <v>1077.0561155421001</v>
          </cell>
        </row>
        <row r="258">
          <cell r="B258" t="str">
            <v>Preferred dividends</v>
          </cell>
          <cell r="C258" t="str">
            <v>PREF_DIV</v>
          </cell>
          <cell r="D258" t="str">
            <v>CNY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AA258">
            <v>0</v>
          </cell>
          <cell r="AF258">
            <v>0</v>
          </cell>
          <cell r="AK258">
            <v>0</v>
          </cell>
          <cell r="AP258">
            <v>0</v>
          </cell>
          <cell r="AU258">
            <v>0</v>
          </cell>
          <cell r="AZ258">
            <v>0</v>
          </cell>
        </row>
        <row r="259">
          <cell r="B259" t="str">
            <v>Net income (pre-exceptionals)</v>
          </cell>
          <cell r="C259" t="str">
            <v>NET_EARNING</v>
          </cell>
          <cell r="D259" t="str">
            <v>CNY</v>
          </cell>
          <cell r="R259">
            <v>22.11922436</v>
          </cell>
          <cell r="S259">
            <v>88.312193489999999</v>
          </cell>
          <cell r="T259">
            <v>120.54800416</v>
          </cell>
          <cell r="U259">
            <v>270.75174679000003</v>
          </cell>
          <cell r="V259">
            <v>327.91559863999998</v>
          </cell>
          <cell r="AA259">
            <v>355.69128459000001</v>
          </cell>
          <cell r="AF259">
            <v>429.02890435</v>
          </cell>
          <cell r="AK259">
            <v>517.54417171</v>
          </cell>
          <cell r="AP259">
            <v>624.40559727000004</v>
          </cell>
          <cell r="AU259">
            <v>408.518098802645</v>
          </cell>
          <cell r="AZ259">
            <v>553.17340690521405</v>
          </cell>
          <cell r="BA259">
            <v>706.49519691293096</v>
          </cell>
          <cell r="BB259">
            <v>834.343037895463</v>
          </cell>
          <cell r="BC259">
            <v>958.130858947256</v>
          </cell>
          <cell r="BD259">
            <v>1077.0561155421001</v>
          </cell>
        </row>
        <row r="260">
          <cell r="B260" t="str">
            <v>Post-tax exceptionals</v>
          </cell>
          <cell r="C260" t="str">
            <v>TAX_EXC</v>
          </cell>
          <cell r="D260" t="str">
            <v>CNY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AA260">
            <v>0</v>
          </cell>
          <cell r="AF260">
            <v>0</v>
          </cell>
          <cell r="AK260">
            <v>0</v>
          </cell>
          <cell r="AP260">
            <v>0</v>
          </cell>
          <cell r="AU260">
            <v>0</v>
          </cell>
          <cell r="AZ260">
            <v>0</v>
          </cell>
        </row>
        <row r="261">
          <cell r="B261" t="str">
            <v>Net income (post-exceptionals)</v>
          </cell>
          <cell r="C261" t="str">
            <v>NET_INC</v>
          </cell>
          <cell r="D261" t="str">
            <v>CNY</v>
          </cell>
          <cell r="R261">
            <v>22.11922436</v>
          </cell>
          <cell r="S261">
            <v>88.312193489999999</v>
          </cell>
          <cell r="T261">
            <v>120.54800416</v>
          </cell>
          <cell r="U261">
            <v>270.75174679000003</v>
          </cell>
          <cell r="V261">
            <v>327.91559863999998</v>
          </cell>
          <cell r="W261">
            <v>74.006076190000002</v>
          </cell>
          <cell r="X261">
            <v>126.19300407999999</v>
          </cell>
          <cell r="Y261">
            <v>58.974767579999998</v>
          </cell>
          <cell r="Z261">
            <v>96.517436739999994</v>
          </cell>
          <cell r="AA261">
            <v>355.69128459000001</v>
          </cell>
          <cell r="AB261">
            <v>56.244744320000002</v>
          </cell>
          <cell r="AC261">
            <v>164.54240282000001</v>
          </cell>
          <cell r="AD261">
            <v>76.275948249999999</v>
          </cell>
          <cell r="AE261">
            <v>131.96580896</v>
          </cell>
          <cell r="AF261">
            <v>429.02890435</v>
          </cell>
          <cell r="AG261">
            <v>97.446319410000001</v>
          </cell>
          <cell r="AH261">
            <v>171.2433815</v>
          </cell>
          <cell r="AI261">
            <v>90.563310770000001</v>
          </cell>
          <cell r="AJ261">
            <v>158.29116002999999</v>
          </cell>
          <cell r="AK261">
            <v>517.54417171</v>
          </cell>
          <cell r="AL261">
            <v>67.608454660000007</v>
          </cell>
          <cell r="AM261">
            <v>152.30449192</v>
          </cell>
          <cell r="AN261">
            <v>145.50897047000001</v>
          </cell>
          <cell r="AO261">
            <v>258.98368022</v>
          </cell>
          <cell r="AP261">
            <v>624.40559727000004</v>
          </cell>
          <cell r="AQ261">
            <v>34.96720243</v>
          </cell>
          <cell r="AR261">
            <v>76.07334985</v>
          </cell>
          <cell r="AS261">
            <v>68.072183330000001</v>
          </cell>
          <cell r="AT261">
            <v>229.40536319264501</v>
          </cell>
          <cell r="AU261">
            <v>408.518098802645</v>
          </cell>
          <cell r="AV261">
            <v>96.099388042474999</v>
          </cell>
          <cell r="AW261">
            <v>195.37960811389499</v>
          </cell>
          <cell r="AX261">
            <v>171.101788225245</v>
          </cell>
          <cell r="AY261">
            <v>90.592622523597996</v>
          </cell>
          <cell r="AZ261">
            <v>553.17340690521405</v>
          </cell>
          <cell r="BA261">
            <v>706.49519691293096</v>
          </cell>
          <cell r="BB261">
            <v>834.343037895463</v>
          </cell>
          <cell r="BC261">
            <v>958.130858947256</v>
          </cell>
          <cell r="BD261">
            <v>1077.0561155421001</v>
          </cell>
        </row>
        <row r="262">
          <cell r="B262" t="str">
            <v>EPS (pre-exceptionals, basic)</v>
          </cell>
          <cell r="C262" t="str">
            <v>EPS</v>
          </cell>
          <cell r="D262" t="str">
            <v>CNY</v>
          </cell>
          <cell r="R262">
            <v>3.5522681769000003E-2</v>
          </cell>
          <cell r="S262">
            <v>7.0913109215999998E-2</v>
          </cell>
          <cell r="T262">
            <v>9.6797887664000007E-2</v>
          </cell>
          <cell r="U262">
            <v>0.148553508015</v>
          </cell>
          <cell r="V262">
            <v>0.17991762966700001</v>
          </cell>
          <cell r="AA262">
            <v>0.19515733036800001</v>
          </cell>
          <cell r="AF262">
            <v>0.23474803039799999</v>
          </cell>
          <cell r="AK262">
            <v>0.280699198155</v>
          </cell>
          <cell r="AP262">
            <v>0.31947505145499999</v>
          </cell>
          <cell r="AU262">
            <v>0.20512744632400001</v>
          </cell>
          <cell r="AZ262">
            <v>0.27787468680499999</v>
          </cell>
          <cell r="BA262">
            <v>0.35489256916599998</v>
          </cell>
          <cell r="BB262">
            <v>0.41911416465200002</v>
          </cell>
          <cell r="BC262">
            <v>0.48129629700999998</v>
          </cell>
          <cell r="BD262">
            <v>0.54103582536899997</v>
          </cell>
        </row>
        <row r="263">
          <cell r="B263" t="str">
            <v>EPS (pre-exceptionals, diluted)</v>
          </cell>
          <cell r="C263" t="str">
            <v>EPS_FUL_DIL</v>
          </cell>
          <cell r="D263" t="str">
            <v>CNY</v>
          </cell>
          <cell r="R263">
            <v>3.5522681769000003E-2</v>
          </cell>
          <cell r="S263">
            <v>7.0913109215999998E-2</v>
          </cell>
          <cell r="T263">
            <v>9.6797887664000007E-2</v>
          </cell>
          <cell r="U263">
            <v>0.148553508015</v>
          </cell>
          <cell r="V263">
            <v>0.17991762966700001</v>
          </cell>
          <cell r="AA263">
            <v>0.19515733036800001</v>
          </cell>
          <cell r="AF263">
            <v>0.23282675283400001</v>
          </cell>
          <cell r="AK263">
            <v>0.280210441857</v>
          </cell>
          <cell r="AP263">
            <v>0.31316141758900001</v>
          </cell>
          <cell r="AU263">
            <v>0.20512744632400001</v>
          </cell>
          <cell r="AZ263">
            <v>0.27787468680499999</v>
          </cell>
          <cell r="BA263">
            <v>0.35489256916599998</v>
          </cell>
          <cell r="BB263">
            <v>0.41911416465200002</v>
          </cell>
          <cell r="BC263">
            <v>0.48129629700999998</v>
          </cell>
          <cell r="BD263">
            <v>0.54103582536899997</v>
          </cell>
        </row>
        <row r="264">
          <cell r="B264" t="str">
            <v>EPS (post-exceptionals, basic)</v>
          </cell>
          <cell r="C264" t="str">
            <v>EPS_POST_BASIC</v>
          </cell>
          <cell r="D264" t="str">
            <v>CNY</v>
          </cell>
          <cell r="R264">
            <v>3.5522681769000003E-2</v>
          </cell>
          <cell r="S264">
            <v>7.0913109215999998E-2</v>
          </cell>
          <cell r="T264">
            <v>9.6797887664000007E-2</v>
          </cell>
          <cell r="U264">
            <v>0.148553508015</v>
          </cell>
          <cell r="V264">
            <v>0.17991762966700001</v>
          </cell>
          <cell r="AA264">
            <v>0.19515733036800001</v>
          </cell>
          <cell r="AF264">
            <v>0.23474803039799999</v>
          </cell>
          <cell r="AK264">
            <v>0.280699198155</v>
          </cell>
          <cell r="AP264">
            <v>0.31947505145499999</v>
          </cell>
          <cell r="AU264">
            <v>0.20512744632400001</v>
          </cell>
          <cell r="AZ264">
            <v>0.27787468680499999</v>
          </cell>
          <cell r="BA264">
            <v>0.35489256916599998</v>
          </cell>
          <cell r="BB264">
            <v>0.41911416465200002</v>
          </cell>
          <cell r="BC264">
            <v>0.48129629700999998</v>
          </cell>
          <cell r="BD264">
            <v>0.54103582536899997</v>
          </cell>
        </row>
        <row r="265">
          <cell r="B265" t="str">
            <v>EPS (post-exceptionals, diluted)</v>
          </cell>
          <cell r="C265" t="str">
            <v>FULLY_DIL_EPS</v>
          </cell>
          <cell r="D265" t="str">
            <v>CNY</v>
          </cell>
          <cell r="R265">
            <v>3.5522681769000003E-2</v>
          </cell>
          <cell r="S265">
            <v>7.0913109215999998E-2</v>
          </cell>
          <cell r="T265">
            <v>9.6797887664000007E-2</v>
          </cell>
          <cell r="U265">
            <v>0.148553508015</v>
          </cell>
          <cell r="V265">
            <v>0.17991762966700001</v>
          </cell>
          <cell r="AA265">
            <v>0.19515733036800001</v>
          </cell>
          <cell r="AF265">
            <v>0.23282675283400001</v>
          </cell>
          <cell r="AK265">
            <v>0.280210441857</v>
          </cell>
          <cell r="AP265">
            <v>0.31316141758900001</v>
          </cell>
          <cell r="AU265">
            <v>0.20512744632400001</v>
          </cell>
          <cell r="AZ265">
            <v>0.27787468680499999</v>
          </cell>
          <cell r="BA265">
            <v>0.35489256916599998</v>
          </cell>
          <cell r="BB265">
            <v>0.41911416465200002</v>
          </cell>
          <cell r="BC265">
            <v>0.48129629700999998</v>
          </cell>
          <cell r="BD265">
            <v>0.54103582536899997</v>
          </cell>
        </row>
        <row r="266">
          <cell r="B266" t="str">
            <v>Common dividends paid</v>
          </cell>
          <cell r="C266" t="str">
            <v>COMMON_DIV_PAID</v>
          </cell>
          <cell r="D266" t="str">
            <v>CNY</v>
          </cell>
          <cell r="R266">
            <v>-19.431999999999999</v>
          </cell>
          <cell r="S266">
            <v>-21.591999999999999</v>
          </cell>
          <cell r="T266">
            <v>-21.591999999999999</v>
          </cell>
          <cell r="U266">
            <v>-37.92</v>
          </cell>
          <cell r="V266">
            <v>-94.8</v>
          </cell>
          <cell r="AA266">
            <v>-113.76</v>
          </cell>
          <cell r="AF266">
            <v>-153.35347999999999</v>
          </cell>
          <cell r="AK266">
            <v>-153.80410000000001</v>
          </cell>
          <cell r="AP266">
            <v>-159.34097928</v>
          </cell>
          <cell r="AU266">
            <v>-104.24902371378001</v>
          </cell>
          <cell r="AZ266">
            <v>-141.16336040757301</v>
          </cell>
          <cell r="BA266">
            <v>-180.28928155819301</v>
          </cell>
          <cell r="BB266">
            <v>-212.914549925513</v>
          </cell>
          <cell r="BC266">
            <v>-244.50374886218</v>
          </cell>
          <cell r="BD266">
            <v>-274.852078425206</v>
          </cell>
        </row>
        <row r="267">
          <cell r="B267" t="str">
            <v>DPS, dividend per share</v>
          </cell>
          <cell r="C267" t="str">
            <v>DPS</v>
          </cell>
          <cell r="D267" t="str">
            <v>CNY</v>
          </cell>
          <cell r="R267">
            <v>3.1207095731999999E-2</v>
          </cell>
          <cell r="S267">
            <v>1.7337989169E-2</v>
          </cell>
          <cell r="T267">
            <v>1.7337989169E-2</v>
          </cell>
          <cell r="U267">
            <v>2.0805587003E-2</v>
          </cell>
          <cell r="V267">
            <v>5.2013967506E-2</v>
          </cell>
          <cell r="AA267">
            <v>6.2416761007999998E-2</v>
          </cell>
          <cell r="AF267">
            <v>8.3222348010000002E-2</v>
          </cell>
          <cell r="AK267">
            <v>8.3273114019000005E-2</v>
          </cell>
          <cell r="AP267">
            <v>7.9915117945000003E-2</v>
          </cell>
          <cell r="AU267">
            <v>5.2367240458000001E-2</v>
          </cell>
          <cell r="AZ267">
            <v>7.0910358436999998E-2</v>
          </cell>
          <cell r="BA267">
            <v>9.0564417995999999E-2</v>
          </cell>
          <cell r="BB267">
            <v>0.10695301534399999</v>
          </cell>
          <cell r="BC267">
            <v>0.122821165641</v>
          </cell>
          <cell r="BD267">
            <v>0.13806599206799999</v>
          </cell>
        </row>
        <row r="268">
          <cell r="B268" t="str">
            <v>Weighted average shares outstanding, basic</v>
          </cell>
          <cell r="C268" t="str">
            <v>SH</v>
          </cell>
          <cell r="R268">
            <v>622.67889862656</v>
          </cell>
          <cell r="S268">
            <v>1245.35779725312</v>
          </cell>
          <cell r="T268">
            <v>1245.35779725312</v>
          </cell>
          <cell r="U268">
            <v>1822.587365376</v>
          </cell>
          <cell r="V268">
            <v>1822.587365376</v>
          </cell>
          <cell r="AA268">
            <v>1822.587365376</v>
          </cell>
          <cell r="AF268">
            <v>1827.6145006347799</v>
          </cell>
          <cell r="AK268">
            <v>1843.76790212062</v>
          </cell>
          <cell r="AP268">
            <v>1954.47373566836</v>
          </cell>
          <cell r="AU268">
            <v>1991.53309868211</v>
          </cell>
          <cell r="AZ268">
            <v>1990.729754</v>
          </cell>
          <cell r="BA268">
            <v>1990.729754</v>
          </cell>
          <cell r="BB268">
            <v>1990.729754</v>
          </cell>
          <cell r="BC268">
            <v>1990.729754</v>
          </cell>
          <cell r="BD268">
            <v>1990.729754</v>
          </cell>
        </row>
        <row r="269">
          <cell r="B269" t="str">
            <v>Diluted average shares outstanding (mn)</v>
          </cell>
          <cell r="C269" t="str">
            <v>DILUTE_SHARES</v>
          </cell>
          <cell r="R269">
            <v>622.67889862656</v>
          </cell>
          <cell r="S269">
            <v>1245.35779725312</v>
          </cell>
          <cell r="T269">
            <v>1245.35779725312</v>
          </cell>
          <cell r="U269">
            <v>1822.587365376</v>
          </cell>
          <cell r="V269">
            <v>1822.587365376</v>
          </cell>
          <cell r="AA269">
            <v>1822.587365376</v>
          </cell>
          <cell r="AF269">
            <v>1842.69590641114</v>
          </cell>
          <cell r="AK269">
            <v>1846.98388924908</v>
          </cell>
          <cell r="AP269">
            <v>1993.87779656261</v>
          </cell>
          <cell r="AU269">
            <v>1991.53309868211</v>
          </cell>
          <cell r="AZ269">
            <v>1990.729754</v>
          </cell>
          <cell r="BA269">
            <v>1990.729754</v>
          </cell>
          <cell r="BB269">
            <v>1990.729754</v>
          </cell>
          <cell r="BC269">
            <v>1990.729754</v>
          </cell>
          <cell r="BD269">
            <v>1990.729754</v>
          </cell>
        </row>
        <row r="270">
          <cell r="B270" t="str">
            <v>Period-end shares outstanding</v>
          </cell>
          <cell r="C270" t="str">
            <v>NON_OP_ADD</v>
          </cell>
          <cell r="R270">
            <v>622.67889862656</v>
          </cell>
          <cell r="S270">
            <v>1245.35779725312</v>
          </cell>
          <cell r="T270">
            <v>1245.35779725312</v>
          </cell>
          <cell r="U270">
            <v>1822.587365376</v>
          </cell>
          <cell r="V270">
            <v>1822.587365376</v>
          </cell>
          <cell r="AA270">
            <v>1822.587365376</v>
          </cell>
          <cell r="AF270">
            <v>1842.69590641114</v>
          </cell>
          <cell r="AK270">
            <v>1846.98388924908</v>
          </cell>
          <cell r="AP270">
            <v>1993.87779656261</v>
          </cell>
          <cell r="AU270">
            <v>1990.729754</v>
          </cell>
          <cell r="AZ270">
            <v>1990.729754</v>
          </cell>
          <cell r="BA270">
            <v>1990.729754</v>
          </cell>
          <cell r="BB270">
            <v>1990.729754</v>
          </cell>
          <cell r="BC270">
            <v>1990.729754</v>
          </cell>
          <cell r="BD270">
            <v>1990.729754</v>
          </cell>
        </row>
        <row r="271">
          <cell r="A271" t="str">
            <v>Additional Income Statement Items</v>
          </cell>
        </row>
        <row r="272">
          <cell r="B272" t="str">
            <v>Marginal tax rate</v>
          </cell>
          <cell r="C272" t="str">
            <v>MARGIN_TAX_RATE</v>
          </cell>
          <cell r="R272">
            <v>3.0585075215999999E-2</v>
          </cell>
          <cell r="S272">
            <v>2.5435746503000001E-2</v>
          </cell>
          <cell r="T272">
            <v>2.9166756041999999E-2</v>
          </cell>
          <cell r="U272">
            <v>9.9612924850000006E-2</v>
          </cell>
          <cell r="V272">
            <v>0.10462321161300001</v>
          </cell>
          <cell r="AA272">
            <v>8.5321061643000004E-2</v>
          </cell>
          <cell r="AF272">
            <v>4.0878581589999997E-2</v>
          </cell>
          <cell r="AK272">
            <v>8.6944945566000006E-2</v>
          </cell>
          <cell r="AP272">
            <v>7.2602492714000003E-2</v>
          </cell>
          <cell r="AU272">
            <v>8.8635332422000002E-2</v>
          </cell>
          <cell r="AZ272">
            <v>0.08</v>
          </cell>
          <cell r="BA272">
            <v>0.08</v>
          </cell>
          <cell r="BB272">
            <v>0.09</v>
          </cell>
          <cell r="BC272">
            <v>0.09</v>
          </cell>
          <cell r="BD272">
            <v>0.09</v>
          </cell>
        </row>
        <row r="273">
          <cell r="B273" t="str">
            <v>Net income (consensus) (Pub)</v>
          </cell>
          <cell r="C273" t="str">
            <v>NI_CONS</v>
          </cell>
          <cell r="D273" t="str">
            <v>CNY</v>
          </cell>
        </row>
        <row r="274">
          <cell r="A274" t="str">
            <v>Balance Sheet</v>
          </cell>
        </row>
        <row r="275">
          <cell r="B275" t="str">
            <v>BVPS, book value per share</v>
          </cell>
          <cell r="C275" t="str">
            <v>BVPS</v>
          </cell>
          <cell r="D275" t="str">
            <v>CNY</v>
          </cell>
          <cell r="R275">
            <v>0.12071573507</v>
          </cell>
          <cell r="S275">
            <v>0.10781983899399999</v>
          </cell>
          <cell r="T275">
            <v>0.18764822596799999</v>
          </cell>
          <cell r="U275">
            <v>1.2400462110049999</v>
          </cell>
          <cell r="V275">
            <v>1.399535771112</v>
          </cell>
          <cell r="AA275">
            <v>1.5552446388350001</v>
          </cell>
          <cell r="AF275">
            <v>1.732447360339</v>
          </cell>
          <cell r="AK275">
            <v>1.941243975386</v>
          </cell>
          <cell r="AP275">
            <v>2.4291949018140002</v>
          </cell>
          <cell r="AU275">
            <v>2.5858792952659999</v>
          </cell>
          <cell r="AZ275">
            <v>2.792843623634</v>
          </cell>
          <cell r="BA275">
            <v>3.0571717748039999</v>
          </cell>
          <cell r="BB275">
            <v>3.3693329241119998</v>
          </cell>
          <cell r="BC275">
            <v>3.7278080554809998</v>
          </cell>
          <cell r="BD275">
            <v>4.1307778887820001</v>
          </cell>
        </row>
        <row r="276">
          <cell r="A276" t="str">
            <v>Cash Flow Statement</v>
          </cell>
        </row>
        <row r="277">
          <cell r="B277" t="str">
            <v>Net income (pre-preferred dividends)</v>
          </cell>
          <cell r="C277" t="str">
            <v>CF_NI_PRE_PREF</v>
          </cell>
          <cell r="D277" t="str">
            <v>CNY</v>
          </cell>
          <cell r="R277">
            <v>22.11922436</v>
          </cell>
          <cell r="S277">
            <v>88.312193489999999</v>
          </cell>
          <cell r="T277">
            <v>120.54800416</v>
          </cell>
          <cell r="U277">
            <v>270.75174679000003</v>
          </cell>
          <cell r="V277">
            <v>327.91559863999998</v>
          </cell>
          <cell r="AA277">
            <v>355.69128459000001</v>
          </cell>
          <cell r="AF277">
            <v>429.02890435</v>
          </cell>
          <cell r="AK277">
            <v>517.54417171</v>
          </cell>
          <cell r="AP277">
            <v>624.40559727000004</v>
          </cell>
          <cell r="AU277">
            <v>408.518098802645</v>
          </cell>
          <cell r="AZ277">
            <v>553.17340690521405</v>
          </cell>
          <cell r="BA277">
            <v>706.49519691293096</v>
          </cell>
          <cell r="BB277">
            <v>834.343037895463</v>
          </cell>
          <cell r="BC277">
            <v>958.130858947256</v>
          </cell>
          <cell r="BD277">
            <v>1077.0561155421001</v>
          </cell>
        </row>
        <row r="278">
          <cell r="A278" t="str">
            <v>Other Items</v>
          </cell>
        </row>
        <row r="279">
          <cell r="B279" t="str">
            <v>Beta</v>
          </cell>
          <cell r="C279" t="str">
            <v>BETA_ANALYST</v>
          </cell>
        </row>
        <row r="280">
          <cell r="B280" t="str">
            <v>Market equity risk premium</v>
          </cell>
          <cell r="C280" t="str">
            <v>MKT_EQ_RISK_PREM</v>
          </cell>
        </row>
        <row r="281">
          <cell r="B281" t="str">
            <v>Risk-free rate</v>
          </cell>
          <cell r="C281" t="str">
            <v>RISK_FR_RATE</v>
          </cell>
        </row>
      </sheetData>
      <sheetData sheetId="17" refreshError="1">
        <row r="1">
          <cell r="A1" t="str">
            <v>c45a8204-314a-4cad-aa40-0a42abef4e8b</v>
          </cell>
        </row>
        <row r="2">
          <cell r="A2" t="str">
            <v>N:\DLu\CJin\Models\Ultrapower\[GS Ultrapower Model 20160223 PreliminaryFY15_updated results.xlsm]300002.SZ_Validation_Sheet</v>
          </cell>
        </row>
        <row r="7">
          <cell r="A7" t="str">
            <v>Scalar|||208009912|||ISSR|||CURRENCY_ISO|||False|||</v>
          </cell>
          <cell r="C7" t="str">
            <v>V_KEYWORD_ISSR_208009912_CURRENCY_ISO</v>
          </cell>
        </row>
        <row r="9">
          <cell r="A9" t="str">
            <v>Vector|||208009912|||ISSR|||SALES|||False|||</v>
          </cell>
          <cell r="C9" t="str">
            <v>V_KEYWORD_ISSR_208009912_SALES</v>
          </cell>
        </row>
        <row r="10">
          <cell r="A10" t="str">
            <v>Vector|||208009912|||ISSR|||PERSONNEL|||False|||</v>
          </cell>
          <cell r="C10" t="str">
            <v>V_KEYWORD_ISSR_208009912_PERSONNEL</v>
          </cell>
        </row>
        <row r="11">
          <cell r="A11" t="str">
            <v>Vector|||208009912|||ISSR|||COST_GD_SD|||False|||</v>
          </cell>
          <cell r="C11" t="str">
            <v>V_KEYWORD_ISSR_208009912_COST_GD_SD</v>
          </cell>
        </row>
        <row r="12">
          <cell r="A12" t="str">
            <v>Vector|||208009912|||ISSR|||SEL_GL_AD|||False|||</v>
          </cell>
          <cell r="C12" t="str">
            <v>V_KEYWORD_ISSR_208009912_SEL_GL_AD</v>
          </cell>
        </row>
        <row r="13">
          <cell r="A13" t="str">
            <v>Vector|||208009912|||ISSR|||OP_COST|||False|||</v>
          </cell>
          <cell r="C13" t="str">
            <v>V_KEYWORD_ISSR_208009912_OP_COST</v>
          </cell>
        </row>
        <row r="14">
          <cell r="A14" t="str">
            <v>Vector|||208009912|||ISSR|||RD_EXP|||False|||</v>
          </cell>
          <cell r="C14" t="str">
            <v>V_KEYWORD_ISSR_208009912_RD_EXP</v>
          </cell>
        </row>
        <row r="15">
          <cell r="A15" t="str">
            <v>Vector|||208009912|||ISSR|||OTH_OP_INC_EXP|||False|||</v>
          </cell>
          <cell r="C15" t="str">
            <v>V_KEYWORD_ISSR_208009912_OTH_OP_INC_EXP</v>
          </cell>
        </row>
        <row r="16">
          <cell r="A16" t="str">
            <v>Vector|||208009912|||ISSR|||TOT_OPS_EXP_DDA|||False|||</v>
          </cell>
          <cell r="C16" t="str">
            <v>V_KEYWORD_ISSR_208009912_TOT_OPS_EXP_DDA</v>
          </cell>
        </row>
        <row r="17">
          <cell r="A17" t="str">
            <v>Vector|||208009912|||ISSR|||TOT_OPS_EXP|||False|||</v>
          </cell>
          <cell r="C17" t="str">
            <v>V_KEYWORD_ISSR_208009912_TOT_OPS_EXP</v>
          </cell>
        </row>
        <row r="18">
          <cell r="A18" t="str">
            <v>Vector|||208009912|||ISSR|||EBITDA_CALC|||False|||</v>
          </cell>
          <cell r="C18" t="str">
            <v>V_KEYWORD_ISSR_208009912_EBITDA_CALC</v>
          </cell>
        </row>
        <row r="19">
          <cell r="A19" t="str">
            <v>Vector|||208009912|||ISSR|||DEPREC|||False|||</v>
          </cell>
          <cell r="C19" t="str">
            <v>V_KEYWORD_ISSR_208009912_DEPREC</v>
          </cell>
        </row>
        <row r="20">
          <cell r="A20" t="str">
            <v>Vector|||208009912|||ISSR|||GOODWILL_AMORT|||False|||</v>
          </cell>
          <cell r="C20" t="str">
            <v>V_KEYWORD_ISSR_208009912_GOODWILL_AMORT</v>
          </cell>
        </row>
        <row r="21">
          <cell r="A21" t="str">
            <v>Vector|||208009912|||ISSR|||EBIT|||False|||</v>
          </cell>
          <cell r="C21" t="str">
            <v>V_KEYWORD_ISSR_208009912_EBIT</v>
          </cell>
        </row>
        <row r="22">
          <cell r="A22" t="str">
            <v>Vector|||208009912|||ISSR|||INT_INC_IND|||False|||</v>
          </cell>
          <cell r="C22" t="str">
            <v>V_KEYWORD_ISSR_208009912_INT_INC_IND</v>
          </cell>
        </row>
        <row r="23">
          <cell r="A23" t="str">
            <v>Vector|||208009912|||ISSR|||INT_EXP_IND|||False|||</v>
          </cell>
          <cell r="C23" t="str">
            <v>V_KEYWORD_ISSR_208009912_INT_EXP_IND</v>
          </cell>
        </row>
        <row r="24">
          <cell r="A24" t="str">
            <v>Vector|||208009912|||ISSR|||NET_INT_EXP|||False|||</v>
          </cell>
          <cell r="C24" t="str">
            <v>V_KEYWORD_ISSR_208009912_NET_INT_EXP</v>
          </cell>
        </row>
        <row r="25">
          <cell r="A25" t="str">
            <v>Vector|||208009912|||ISSR|||ASSOCIATE|||False|||</v>
          </cell>
          <cell r="C25" t="str">
            <v>V_KEYWORD_ISSR_208009912_ASSOCIATE</v>
          </cell>
        </row>
        <row r="26">
          <cell r="A26" t="str">
            <v>Vector|||208009912|||ISSR|||PROFIT_ON_DISP|||False|||</v>
          </cell>
          <cell r="C26" t="str">
            <v>V_KEYWORD_ISSR_208009912_PROFIT_ON_DISP</v>
          </cell>
        </row>
        <row r="27">
          <cell r="A27" t="str">
            <v>Vector|||208009912|||ISSR|||OTH_COST_INC|||False|||</v>
          </cell>
          <cell r="C27" t="str">
            <v>V_KEYWORD_ISSR_208009912_OTH_COST_INC</v>
          </cell>
        </row>
        <row r="28">
          <cell r="A28" t="str">
            <v>Vector|||208009912|||ISSR|||PT_PROF|||False|||</v>
          </cell>
          <cell r="C28" t="str">
            <v>V_KEYWORD_ISSR_208009912_PT_PROF</v>
          </cell>
        </row>
        <row r="30">
          <cell r="A30" t="str">
            <v>Vector|||208009912|||ISSR|||CONTRIB_MARGIN_RATIO|||False|||</v>
          </cell>
          <cell r="C30" t="str">
            <v>V_KEYWORD_ISSR_208009912_CONTRIB_MARGIN_RATIO</v>
          </cell>
        </row>
        <row r="31">
          <cell r="A31" t="str">
            <v>Vector|||208009912|||ISSR|||LEASE_PAY|||False|||</v>
          </cell>
          <cell r="C31" t="str">
            <v>V_KEYWORD_ISSR_208009912_LEASE_PAY</v>
          </cell>
        </row>
        <row r="32">
          <cell r="A32" t="str">
            <v>Vector|||208009912|||ISSR|||LEASE_DEEM_INT|||False|||</v>
          </cell>
          <cell r="C32" t="str">
            <v>V_KEYWORD_ISSR_208009912_LEASE_DEEM_INT</v>
          </cell>
        </row>
        <row r="33">
          <cell r="A33" t="str">
            <v>Vector|||208009912|||ISSR|||LEASE_DEEM_DEPR|||False|||</v>
          </cell>
          <cell r="C33" t="str">
            <v>V_KEYWORD_ISSR_208009912_LEASE_DEEM_DEPR</v>
          </cell>
        </row>
        <row r="34">
          <cell r="A34" t="str">
            <v>Vector|||208009912|||ISSR|||NET_INT_CH|||False|||</v>
          </cell>
          <cell r="C34" t="str">
            <v>V_KEYWORD_ISSR_208009912_NET_INT_CH</v>
          </cell>
        </row>
        <row r="35">
          <cell r="A35" t="str">
            <v>Vector|||208009912|||ISSR|||ASSOCIATE_OP|||False|||</v>
          </cell>
          <cell r="C35" t="str">
            <v>V_KEYWORD_ISSR_208009912_ASSOCIATE_OP</v>
          </cell>
        </row>
        <row r="37">
          <cell r="A37" t="str">
            <v>Vector|||208009912|||ISSR|||CASH_EQ|||False|||</v>
          </cell>
          <cell r="C37" t="str">
            <v>V_KEYWORD_ISSR_208009912_CASH_EQ</v>
          </cell>
        </row>
        <row r="38">
          <cell r="A38" t="str">
            <v>Vector|||208009912|||ISSR|||DEBTORS|||False|||</v>
          </cell>
          <cell r="C38" t="str">
            <v>V_KEYWORD_ISSR_208009912_DEBTORS</v>
          </cell>
        </row>
        <row r="39">
          <cell r="A39" t="str">
            <v>Vector|||208009912|||ISSR|||STOCKS|||False|||</v>
          </cell>
          <cell r="C39" t="str">
            <v>V_KEYWORD_ISSR_208009912_STOCKS</v>
          </cell>
        </row>
        <row r="40">
          <cell r="A40" t="str">
            <v>Vector|||208009912|||ISSR|||OTH_CUR_ASS|||False|||</v>
          </cell>
          <cell r="C40" t="str">
            <v>V_KEYWORD_ISSR_208009912_OTH_CUR_ASS</v>
          </cell>
        </row>
        <row r="41">
          <cell r="A41" t="str">
            <v>Vector|||208009912|||ISSR|||CUR_ASS|||False|||</v>
          </cell>
          <cell r="C41" t="str">
            <v>V_KEYWORD_ISSR_208009912_CUR_ASS</v>
          </cell>
        </row>
        <row r="42">
          <cell r="A42" t="str">
            <v>Vector|||208009912|||ISSR|||GR_FIX_ASS|||False|||</v>
          </cell>
          <cell r="C42" t="str">
            <v>V_KEYWORD_ISSR_208009912_GR_FIX_ASS</v>
          </cell>
        </row>
        <row r="43">
          <cell r="A43" t="str">
            <v>Vector|||208009912|||ISSR|||ACC_DDA|||False|||</v>
          </cell>
          <cell r="C43" t="str">
            <v>V_KEYWORD_ISSR_208009912_ACC_DDA</v>
          </cell>
        </row>
        <row r="44">
          <cell r="A44" t="str">
            <v>Vector|||208009912|||ISSR|||NET_FIX_ASS|||False|||</v>
          </cell>
          <cell r="C44" t="str">
            <v>V_KEYWORD_ISSR_208009912_NET_FIX_ASS</v>
          </cell>
        </row>
        <row r="45">
          <cell r="A45" t="str">
            <v>Vector|||208009912|||ISSR|||GR_INTANG|||False|||</v>
          </cell>
          <cell r="C45" t="str">
            <v>V_KEYWORD_ISSR_208009912_GR_INTANG</v>
          </cell>
        </row>
        <row r="46">
          <cell r="A46" t="str">
            <v>Vector|||208009912|||ISSR|||ACC_AMORT|||False|||</v>
          </cell>
          <cell r="C46" t="str">
            <v>V_KEYWORD_ISSR_208009912_ACC_AMORT</v>
          </cell>
        </row>
        <row r="47">
          <cell r="A47" t="str">
            <v>Vector|||208009912|||ISSR|||NET_INTANG|||False|||</v>
          </cell>
          <cell r="C47" t="str">
            <v>V_KEYWORD_ISSR_208009912_NET_INTANG</v>
          </cell>
        </row>
        <row r="48">
          <cell r="A48" t="str">
            <v>Vector|||208009912|||ISSR|||FIX_ASS_INV|||False|||</v>
          </cell>
          <cell r="C48" t="str">
            <v>V_KEYWORD_ISSR_208009912_FIX_ASS_INV</v>
          </cell>
        </row>
        <row r="49">
          <cell r="A49" t="str">
            <v>Vector|||208009912|||ISSR|||INV_SECUR|||False|||</v>
          </cell>
          <cell r="C49" t="str">
            <v>V_KEYWORD_ISSR_208009912_INV_SECUR</v>
          </cell>
        </row>
        <row r="50">
          <cell r="A50" t="str">
            <v>Vector|||208009912|||ISSR|||OTH_LT_ASS|||False|||</v>
          </cell>
          <cell r="C50" t="str">
            <v>V_KEYWORD_ISSR_208009912_OTH_LT_ASS</v>
          </cell>
        </row>
        <row r="51">
          <cell r="A51" t="str">
            <v>Vector|||208009912|||ISSR|||TOT_ASSET|||False|||</v>
          </cell>
          <cell r="C51" t="str">
            <v>V_KEYWORD_ISSR_208009912_TOT_ASSET</v>
          </cell>
        </row>
        <row r="52">
          <cell r="A52" t="str">
            <v>Vector|||208009912|||ISSR|||ACC_PAY_GQ|||False|||</v>
          </cell>
          <cell r="C52" t="str">
            <v>V_KEYWORD_ISSR_208009912_ACC_PAY_GQ</v>
          </cell>
        </row>
        <row r="53">
          <cell r="A53" t="str">
            <v>Vector|||208009912|||ISSR|||SHORT_T_DEBT|||False|||</v>
          </cell>
          <cell r="C53" t="str">
            <v>V_KEYWORD_ISSR_208009912_SHORT_T_DEBT</v>
          </cell>
        </row>
        <row r="54">
          <cell r="A54" t="str">
            <v>Vector|||208009912|||ISSR|||OTH_CUR_LIABS|||False|||</v>
          </cell>
          <cell r="C54" t="str">
            <v>V_KEYWORD_ISSR_208009912_OTH_CUR_LIABS</v>
          </cell>
        </row>
        <row r="55">
          <cell r="A55" t="str">
            <v>Vector|||208009912|||ISSR|||SHORT_TERM_LIABS|||False|||</v>
          </cell>
          <cell r="C55" t="str">
            <v>V_KEYWORD_ISSR_208009912_SHORT_TERM_LIABS</v>
          </cell>
        </row>
        <row r="56">
          <cell r="A56" t="str">
            <v>Vector|||208009912|||ISSR|||LT_DEBT|||False|||</v>
          </cell>
          <cell r="C56" t="str">
            <v>V_KEYWORD_ISSR_208009912_LT_DEBT</v>
          </cell>
        </row>
        <row r="57">
          <cell r="A57" t="str">
            <v>Vector|||208009912|||ISSR|||OTH_LT_CRED_GQ|||False|||</v>
          </cell>
          <cell r="C57" t="str">
            <v>V_KEYWORD_ISSR_208009912_OTH_LT_CRED_GQ</v>
          </cell>
        </row>
        <row r="58">
          <cell r="A58" t="str">
            <v>Vector|||208009912|||ISSR|||TOT_LT_LIAB|||False|||</v>
          </cell>
          <cell r="C58" t="str">
            <v>V_KEYWORD_ISSR_208009912_TOT_LT_LIAB</v>
          </cell>
        </row>
        <row r="59">
          <cell r="A59" t="str">
            <v>Vector|||208009912|||ISSR|||TOT_LIAB|||False|||</v>
          </cell>
          <cell r="C59" t="str">
            <v>V_KEYWORD_ISSR_208009912_TOT_LIAB</v>
          </cell>
        </row>
        <row r="60">
          <cell r="A60" t="str">
            <v>Vector|||208009912|||ISSR|||PREF_SH|||False|||</v>
          </cell>
          <cell r="C60" t="str">
            <v>V_KEYWORD_ISSR_208009912_PREF_SH</v>
          </cell>
        </row>
        <row r="61">
          <cell r="A61" t="str">
            <v>Vector|||208009912|||ISSR|||ORD_SH_FUND|||False|||</v>
          </cell>
          <cell r="C61" t="str">
            <v>V_KEYWORD_ISSR_208009912_ORD_SH_FUND</v>
          </cell>
        </row>
        <row r="62">
          <cell r="A62" t="str">
            <v>Vector|||208009912|||ISSR|||MINORITIES|||False|||</v>
          </cell>
          <cell r="C62" t="str">
            <v>V_KEYWORD_ISSR_208009912_MINORITIES</v>
          </cell>
        </row>
        <row r="63">
          <cell r="A63" t="str">
            <v>Vector|||208009912|||ISSR|||EQ|||False|||</v>
          </cell>
          <cell r="C63" t="str">
            <v>V_KEYWORD_ISSR_208009912_EQ</v>
          </cell>
        </row>
        <row r="64">
          <cell r="A64" t="str">
            <v>Vector|||208009912|||ISSR|||TOT_LIAB_EQ|||False|||</v>
          </cell>
          <cell r="C64" t="str">
            <v>V_KEYWORD_ISSR_208009912_TOT_LIAB_EQ</v>
          </cell>
        </row>
        <row r="66">
          <cell r="A66" t="str">
            <v>Vector|||208009912|||ISSR|||NET_DEBT|||False|||</v>
          </cell>
          <cell r="C66" t="str">
            <v>V_KEYWORD_ISSR_208009912_NET_DEBT</v>
          </cell>
        </row>
        <row r="67">
          <cell r="A67" t="str">
            <v>Vector|||208009912|||ISSR|||CAP_LEASES|||False|||</v>
          </cell>
          <cell r="C67" t="str">
            <v>V_KEYWORD_ISSR_208009912_CAP_LEASES</v>
          </cell>
        </row>
        <row r="68">
          <cell r="A68" t="str">
            <v>Vector|||208009912|||ISSR|||DEF_INC_TAX|||False|||</v>
          </cell>
          <cell r="C68" t="str">
            <v>V_KEYWORD_ISSR_208009912_DEF_INC_TAX</v>
          </cell>
        </row>
        <row r="69">
          <cell r="A69" t="str">
            <v>Vector|||208009912|||ISSR|||MV_ASSOCIATES|||False|||</v>
          </cell>
          <cell r="C69" t="str">
            <v>V_KEYWORD_ISSR_208009912_MV_ASSOCIATES</v>
          </cell>
        </row>
        <row r="70">
          <cell r="A70" t="str">
            <v>Vector|||208009912|||ISSR|||NET_DEBT_ADJ|||False|||</v>
          </cell>
          <cell r="C70" t="str">
            <v>V_KEYWORD_ISSR_208009912_NET_DEBT_ADJ</v>
          </cell>
        </row>
        <row r="71">
          <cell r="A71" t="str">
            <v>Vector|||208009912|||ISSR|||CO_BOR_MARGIN|||False|||</v>
          </cell>
          <cell r="C71" t="str">
            <v>V_KEYWORD_ISSR_208009912_CO_BOR_MARGIN</v>
          </cell>
        </row>
        <row r="72">
          <cell r="A72" t="str">
            <v>Vector|||208009912|||ISSR|||UNF_PENS|||False|||</v>
          </cell>
          <cell r="C72" t="str">
            <v>V_KEYWORD_ISSR_208009912_UNF_PENS</v>
          </cell>
        </row>
        <row r="73">
          <cell r="A73" t="str">
            <v>Vector|||208009912|||ISSR|||UNF_PENS_OFF|||False|||</v>
          </cell>
          <cell r="C73" t="str">
            <v>V_KEYWORD_ISSR_208009912_UNF_PENS_OFF</v>
          </cell>
        </row>
        <row r="74">
          <cell r="A74" t="str">
            <v>Vector|||208009912|||ISSR|||UNF_PENS_LIAB_OTH|||False|||</v>
          </cell>
          <cell r="C74" t="str">
            <v>V_KEYWORD_ISSR_208009912_UNF_PENS_LIAB_OTH</v>
          </cell>
        </row>
        <row r="75">
          <cell r="A75" t="str">
            <v>Vector|||208009912|||ISSR|||ADJ_UNF_PENS_GOOD|||False|||</v>
          </cell>
          <cell r="C75" t="str">
            <v>V_KEYWORD_ISSR_208009912_ADJ_UNF_PENS_GOOD</v>
          </cell>
        </row>
        <row r="76">
          <cell r="A76" t="str">
            <v>Vector|||208009912|||ISSR|||OTH_GCI_ADJ|||False|||</v>
          </cell>
          <cell r="C76" t="str">
            <v>V_KEYWORD_ISSR_208009912_OTH_GCI_ADJ</v>
          </cell>
        </row>
        <row r="77">
          <cell r="A77" t="str">
            <v>Vector|||208009912|||ISSR|||GCI_INFL|||False|||</v>
          </cell>
          <cell r="C77" t="str">
            <v>V_KEYWORD_ISSR_208009912_GCI_INFL</v>
          </cell>
        </row>
        <row r="78">
          <cell r="A78" t="str">
            <v>Vector|||208009912|||ISSR|||BAL_MINO_INT|||False|||</v>
          </cell>
          <cell r="C78" t="str">
            <v>V_KEYWORD_ISSR_208009912_BAL_MINO_INT</v>
          </cell>
        </row>
        <row r="80">
          <cell r="A80" t="str">
            <v>Vector|||208009912|||ISSR|||CF_INC_MINORITY|||False|||</v>
          </cell>
          <cell r="C80" t="str">
            <v>V_KEYWORD_ISSR_208009912_CF_INC_MINORITY</v>
          </cell>
        </row>
        <row r="81">
          <cell r="A81" t="str">
            <v>Vector|||208009912|||ISSR|||DEPR_AMORT|||False|||</v>
          </cell>
          <cell r="C81" t="str">
            <v>V_KEYWORD_ISSR_208009912_DEPR_AMORT</v>
          </cell>
        </row>
        <row r="82">
          <cell r="A82" t="str">
            <v>Vector|||208009912|||ISSR|||WORK_CAP|||False|||</v>
          </cell>
          <cell r="C82" t="str">
            <v>V_KEYWORD_ISSR_208009912_WORK_CAP</v>
          </cell>
        </row>
        <row r="83">
          <cell r="A83" t="str">
            <v>Vector|||208009912|||ISSR|||OTH_OP_CF|||False|||</v>
          </cell>
          <cell r="C83" t="str">
            <v>V_KEYWORD_ISSR_208009912_OTH_OP_CF</v>
          </cell>
        </row>
        <row r="84">
          <cell r="A84" t="str">
            <v>Vector|||208009912|||ISSR|||CF_OPS|||False|||</v>
          </cell>
          <cell r="C84" t="str">
            <v>V_KEYWORD_ISSR_208009912_CF_OPS</v>
          </cell>
        </row>
        <row r="85">
          <cell r="A85" t="str">
            <v>Vector|||208009912|||ISSR|||CAPEX|||False|||</v>
          </cell>
          <cell r="C85" t="str">
            <v>V_KEYWORD_ISSR_208009912_CAPEX</v>
          </cell>
        </row>
        <row r="86">
          <cell r="A86" t="str">
            <v>Vector|||208009912|||ISSR|||ACQ|||False|||</v>
          </cell>
          <cell r="C86" t="str">
            <v>V_KEYWORD_ISSR_208009912_ACQ</v>
          </cell>
        </row>
        <row r="87">
          <cell r="A87" t="str">
            <v>Vector|||208009912|||ISSR|||DIVEST|||False|||</v>
          </cell>
          <cell r="C87" t="str">
            <v>V_KEYWORD_ISSR_208009912_DIVEST</v>
          </cell>
        </row>
        <row r="88">
          <cell r="A88" t="str">
            <v>Vector|||208009912|||ISSR|||OTH_INV_CF|||False|||</v>
          </cell>
          <cell r="C88" t="str">
            <v>V_KEYWORD_ISSR_208009912_OTH_INV_CF</v>
          </cell>
        </row>
        <row r="89">
          <cell r="A89" t="str">
            <v>Vector|||208009912|||ISSR|||CF_INV|||False|||</v>
          </cell>
          <cell r="C89" t="str">
            <v>V_KEYWORD_ISSR_208009912_CF_INV</v>
          </cell>
        </row>
        <row r="90">
          <cell r="A90" t="str">
            <v>Vector|||208009912|||ISSR|||DIV_PAID|||False|||</v>
          </cell>
          <cell r="C90" t="str">
            <v>V_KEYWORD_ISSR_208009912_DIV_PAID</v>
          </cell>
        </row>
        <row r="91">
          <cell r="A91" t="str">
            <v>Vector|||208009912|||ISSR|||SH_REPUR|||False|||</v>
          </cell>
          <cell r="C91" t="str">
            <v>V_KEYWORD_ISSR_208009912_SH_REPUR</v>
          </cell>
        </row>
        <row r="92">
          <cell r="A92" t="str">
            <v>Vector|||208009912|||ISSR|||CHG_LT_DEBT|||False|||</v>
          </cell>
          <cell r="C92" t="str">
            <v>V_KEYWORD_ISSR_208009912_CHG_LT_DEBT</v>
          </cell>
        </row>
        <row r="93">
          <cell r="A93" t="str">
            <v>Vector|||208009912|||ISSR|||OTH_FIN_CF|||False|||</v>
          </cell>
          <cell r="C93" t="str">
            <v>V_KEYWORD_ISSR_208009912_OTH_FIN_CF</v>
          </cell>
        </row>
        <row r="94">
          <cell r="A94" t="str">
            <v>Vector|||208009912|||ISSR|||CF_FIN|||False|||</v>
          </cell>
          <cell r="C94" t="str">
            <v>V_KEYWORD_ISSR_208009912_CF_FIN</v>
          </cell>
        </row>
        <row r="95">
          <cell r="A95" t="str">
            <v>Vector|||208009912|||ISSR|||TOT_CF|||False|||</v>
          </cell>
          <cell r="C95" t="str">
            <v>V_KEYWORD_ISSR_208009912_TOT_CF</v>
          </cell>
        </row>
        <row r="97">
          <cell r="A97" t="str">
            <v>Vector|||208009912|||ISSR|||ASSOC_JV_ADDBK|||False|||</v>
          </cell>
          <cell r="C97" t="str">
            <v>V_KEYWORD_ISSR_208009912_ASSOC_JV_ADDBK</v>
          </cell>
        </row>
        <row r="98">
          <cell r="A98" t="str">
            <v>Vector|||208009912|||ISSR|||PL_SALE_ASSETS|||False|||</v>
          </cell>
          <cell r="C98" t="str">
            <v>V_KEYWORD_ISSR_208009912_PL_SALE_ASSETS</v>
          </cell>
        </row>
        <row r="99">
          <cell r="A99" t="str">
            <v>Vector|||208009912|||ISSR|||OTH_NONCASH_ADJ|||False|||</v>
          </cell>
          <cell r="C99" t="str">
            <v>V_KEYWORD_ISSR_208009912_OTH_NONCASH_ADJ</v>
          </cell>
        </row>
        <row r="100">
          <cell r="A100" t="str">
            <v>Vector|||208009912|||ISSR|||OTH_DACF_ADJ|||False|||</v>
          </cell>
          <cell r="C100" t="str">
            <v>V_KEYWORD_ISSR_208009912_OTH_DACF_ADJ</v>
          </cell>
        </row>
        <row r="101">
          <cell r="A101" t="str">
            <v>Vector|||208009912|||ISSR|||CASH_INT_EXP|||False|||</v>
          </cell>
          <cell r="C101" t="str">
            <v>V_KEYWORD_ISSR_208009912_CASH_INT_EXP</v>
          </cell>
        </row>
        <row r="102">
          <cell r="A102" t="str">
            <v>Vector|||208009912|||ISSR|||CASH_TAX_EXP|||False|||</v>
          </cell>
          <cell r="C102" t="str">
            <v>V_KEYWORD_ISSR_208009912_CASH_TAX_EXP</v>
          </cell>
        </row>
        <row r="103">
          <cell r="A103" t="str">
            <v>Vector|||208009912|||ISSR|||DIVDS_ASSOC_JV|||False|||</v>
          </cell>
          <cell r="C103" t="str">
            <v>V_KEYWORD_ISSR_208009912_DIVDS_ASSOC_JV</v>
          </cell>
        </row>
        <row r="104">
          <cell r="A104" t="str">
            <v>Vector|||208009912|||ISSR|||CAPEX_MAINTENANCE|||False|||</v>
          </cell>
          <cell r="C104" t="str">
            <v>V_KEYWORD_ISSR_208009912_CAPEX_MAINTENANCE</v>
          </cell>
        </row>
        <row r="105">
          <cell r="A105" t="str">
            <v>Vector|||208009912|||ISSR|||CAPEX_EXPANSION|||False|||</v>
          </cell>
          <cell r="C105" t="str">
            <v>V_KEYWORD_ISSR_208009912_CAPEX_EXPANSION</v>
          </cell>
        </row>
        <row r="106">
          <cell r="A106" t="str">
            <v>Vector|||208009912|||ISSR|||NONPPE_CAPEX|||False|||</v>
          </cell>
          <cell r="C106" t="str">
            <v>V_KEYWORD_ISSR_208009912_NONPPE_CAPEX</v>
          </cell>
        </row>
        <row r="107">
          <cell r="A107" t="str">
            <v>Vector|||208009912|||ISSR|||DIVDS_PD_MINORITIES|||False|||</v>
          </cell>
          <cell r="C107" t="str">
            <v>V_KEYWORD_ISSR_208009912_DIVDS_PD_MINORITIES</v>
          </cell>
        </row>
        <row r="109">
          <cell r="A109" t="str">
            <v>Vector|||208009912|||ISSR|||EMPLOYEES|||False|||</v>
          </cell>
          <cell r="C109" t="str">
            <v>V_KEYWORD_ISSR_208009912_EMPLOYEES</v>
          </cell>
        </row>
        <row r="111">
          <cell r="A111" t="str">
            <v>Vector|||208009912|||ISSR|||SALES_TOT_AM|||False|||</v>
          </cell>
          <cell r="C111" t="str">
            <v>V_KEYWORD_ISSR_208009912_SALES_TOT_AM</v>
          </cell>
        </row>
        <row r="112">
          <cell r="A112" t="str">
            <v>Vector|||208009912|||ISSR|||SALES_US|||False|||</v>
          </cell>
          <cell r="C112" t="str">
            <v>V_KEYWORD_ISSR_208009912_SALES_US</v>
          </cell>
        </row>
        <row r="114">
          <cell r="A114" t="str">
            <v>Vector|||208009912|||ISSR|||SALES_BRAZIL|||False|||</v>
          </cell>
          <cell r="C114" t="str">
            <v>V_KEYWORD_ISSR_208009912_SALES_BRAZIL</v>
          </cell>
        </row>
        <row r="115">
          <cell r="A115" t="str">
            <v>Vector|||208009912|||ISSR|||SALES_OTH_AM|||False|||</v>
          </cell>
          <cell r="C115" t="str">
            <v>V_KEYWORD_ISSR_208009912_SALES_OTH_AM</v>
          </cell>
        </row>
        <row r="116">
          <cell r="A116" t="str">
            <v>Vector|||208009912|||ISSR|||SALES_TOT_EMEA|||False|||</v>
          </cell>
          <cell r="C116" t="str">
            <v>V_KEYWORD_ISSR_208009912_SALES_TOT_EMEA</v>
          </cell>
        </row>
        <row r="117">
          <cell r="A117" t="str">
            <v>Vector|||208009912|||ISSR|||SALES_UK|||False|||</v>
          </cell>
          <cell r="C117" t="str">
            <v>V_KEYWORD_ISSR_208009912_SALES_UK</v>
          </cell>
        </row>
        <row r="118">
          <cell r="A118" t="str">
            <v>Vector|||208009912|||ISSR|||SALES_EU_EX_UK|||False|||</v>
          </cell>
          <cell r="C118" t="str">
            <v>V_KEYWORD_ISSR_208009912_SALES_EU_EX_UK</v>
          </cell>
        </row>
        <row r="135">
          <cell r="A135" t="str">
            <v>Vector|||208009912|||ISSR|||SALES_CEE|||False|||</v>
          </cell>
          <cell r="C135" t="str">
            <v>V_KEYWORD_ISSR_208009912_SALES_CEE</v>
          </cell>
        </row>
        <row r="136">
          <cell r="A136" t="str">
            <v>Vector|||208009912|||ISSR|||SALES_ME|||False|||</v>
          </cell>
          <cell r="C136" t="str">
            <v>V_KEYWORD_ISSR_208009912_SALES_ME</v>
          </cell>
        </row>
        <row r="137">
          <cell r="A137" t="str">
            <v>Vector|||208009912|||ISSR|||SALES_TOT_AFRICA|||False|||</v>
          </cell>
          <cell r="C137" t="str">
            <v>V_KEYWORD_ISSR_208009912_SALES_TOT_AFRICA</v>
          </cell>
        </row>
        <row r="138">
          <cell r="A138" t="str">
            <v>Vector|||208009912|||ISSR|||SALES_RUSSIA|||False|||</v>
          </cell>
          <cell r="C138" t="str">
            <v>V_KEYWORD_ISSR_208009912_SALES_RUSSIA</v>
          </cell>
        </row>
        <row r="139">
          <cell r="A139" t="str">
            <v>Vector|||208009912|||ISSR|||SALES_OTH_EMEA|||False|||</v>
          </cell>
          <cell r="C139" t="str">
            <v>V_KEYWORD_ISSR_208009912_SALES_OTH_EMEA</v>
          </cell>
        </row>
        <row r="140">
          <cell r="A140" t="str">
            <v>Vector|||208009912|||ISSR|||SALES_TOT_ASIA|||False|||</v>
          </cell>
          <cell r="C140" t="str">
            <v>V_KEYWORD_ISSR_208009912_SALES_TOT_ASIA</v>
          </cell>
        </row>
        <row r="141">
          <cell r="A141" t="str">
            <v>Vector|||208009912|||ISSR|||SALES_JAPAN|||False|||</v>
          </cell>
          <cell r="C141" t="str">
            <v>V_KEYWORD_ISSR_208009912_SALES_JAPAN</v>
          </cell>
        </row>
        <row r="142">
          <cell r="A142" t="str">
            <v>Vector|||208009912|||ISSR|||SALES_CHINA|||False|||</v>
          </cell>
          <cell r="C142" t="str">
            <v>V_KEYWORD_ISSR_208009912_SALES_CHINA</v>
          </cell>
        </row>
        <row r="143">
          <cell r="A143" t="str">
            <v>Vector|||208009912|||ISSR|||SALES_INDIA|||False|||</v>
          </cell>
          <cell r="C143" t="str">
            <v>V_KEYWORD_ISSR_208009912_SALES_INDIA</v>
          </cell>
        </row>
        <row r="144">
          <cell r="A144" t="str">
            <v>Vector|||208009912|||ISSR|||SALES_SK|||False|||</v>
          </cell>
          <cell r="C144" t="str">
            <v>V_KEYWORD_ISSR_208009912_SALES_SK</v>
          </cell>
        </row>
        <row r="145">
          <cell r="A145" t="str">
            <v>Vector|||208009912|||ISSR|||SALES_TAIWAN|||False|||</v>
          </cell>
          <cell r="C145" t="str">
            <v>V_KEYWORD_ISSR_208009912_SALES_TAIWAN</v>
          </cell>
        </row>
        <row r="148">
          <cell r="A148" t="str">
            <v>Vector|||208009912|||ISSR|||SALES_OTH_AEJ|||False|||</v>
          </cell>
          <cell r="C148" t="str">
            <v>V_KEYWORD_ISSR_208009912_SALES_OTH_AEJ</v>
          </cell>
        </row>
        <row r="149">
          <cell r="A149" t="str">
            <v>Vector|||208009912|||ISSR|||SALES_OTHER|||False|||</v>
          </cell>
          <cell r="C149" t="str">
            <v>V_KEYWORD_ISSR_208009912_SALES_OTHER</v>
          </cell>
        </row>
        <row r="187">
          <cell r="A187" t="str">
            <v>Vector|||208009912|||ISSR|||SALES_CONS|||False|||</v>
          </cell>
          <cell r="C187" t="str">
            <v>V_KEYWORD_ISSR_208009912_SALES_CONS</v>
          </cell>
        </row>
        <row r="188">
          <cell r="A188" t="str">
            <v>Vector|||208009912|||ISSR|||SALES_IND|||False|||</v>
          </cell>
          <cell r="C188" t="str">
            <v>V_KEYWORD_ISSR_208009912_SALES_IND</v>
          </cell>
        </row>
        <row r="189">
          <cell r="A189" t="str">
            <v>Vector|||208009912|||ISSR|||SALES_GOV|||False|||</v>
          </cell>
          <cell r="C189" t="str">
            <v>V_KEYWORD_ISSR_208009912_SALES_GOV</v>
          </cell>
        </row>
        <row r="190">
          <cell r="A190" t="str">
            <v>Vector|||208009912|||ISSR|||SALES_FINAN|||False|||</v>
          </cell>
          <cell r="C190" t="str">
            <v>V_KEYWORD_ISSR_208009912_SALES_FINAN</v>
          </cell>
        </row>
        <row r="195">
          <cell r="A195" t="str">
            <v>Vector|||208009912|||ISSR|||EXP_OTH_COMMODITY|||False|||</v>
          </cell>
          <cell r="C195" t="str">
            <v>V_KEYWORD_ISSR_208009912_EXP_OTH_COMMODITY</v>
          </cell>
        </row>
        <row r="196">
          <cell r="A196" t="str">
            <v>Vector|||208009912|||ISSR|||EXP_OTH_COST|||False|||</v>
          </cell>
          <cell r="C196" t="str">
            <v>V_KEYWORD_ISSR_208009912_EXP_OTH_COST</v>
          </cell>
        </row>
        <row r="198">
          <cell r="A198" t="str">
            <v>Vector|||208009912|||ISSR|||SALES_FX_GPB|||False|||</v>
          </cell>
          <cell r="C198" t="str">
            <v>V_KEYWORD_ISSR_208009912_SALES_FX_GPB</v>
          </cell>
        </row>
        <row r="199">
          <cell r="A199" t="str">
            <v>Vector|||208009912|||ISSR|||SALES_FX_EUR|||False|||</v>
          </cell>
          <cell r="C199" t="str">
            <v>V_KEYWORD_ISSR_208009912_SALES_FX_EUR</v>
          </cell>
        </row>
        <row r="200">
          <cell r="A200" t="str">
            <v>Vector|||208009912|||ISSR|||SALES_FX_RUB|||False|||</v>
          </cell>
          <cell r="C200" t="str">
            <v>V_KEYWORD_ISSR_208009912_SALES_FX_RUB</v>
          </cell>
        </row>
        <row r="201">
          <cell r="A201" t="str">
            <v>Vector|||208009912|||ISSR|||SALES_FX_USD|||False|||</v>
          </cell>
          <cell r="C201" t="str">
            <v>V_KEYWORD_ISSR_208009912_SALES_FX_USD</v>
          </cell>
        </row>
        <row r="202">
          <cell r="A202" t="str">
            <v>Vector|||208009912|||ISSR|||SALES_FX_BRL|||False|||</v>
          </cell>
          <cell r="C202" t="str">
            <v>V_KEYWORD_ISSR_208009912_SALES_FX_BRL</v>
          </cell>
        </row>
        <row r="203">
          <cell r="A203" t="str">
            <v>Vector|||208009912|||ISSR|||SALES_FX_YEN|||False|||</v>
          </cell>
          <cell r="C203" t="str">
            <v>V_KEYWORD_ISSR_208009912_SALES_FX_YEN</v>
          </cell>
        </row>
        <row r="204">
          <cell r="A204" t="str">
            <v>Vector|||208009912|||ISSR|||SALES_FX_CNY|||False|||</v>
          </cell>
          <cell r="C204" t="str">
            <v>V_KEYWORD_ISSR_208009912_SALES_FX_CNY</v>
          </cell>
        </row>
        <row r="205">
          <cell r="A205" t="str">
            <v>Vector|||208009912|||ISSR|||SALES_FX_INR|||False|||</v>
          </cell>
          <cell r="C205" t="str">
            <v>V_KEYWORD_ISSR_208009912_SALES_FX_INR</v>
          </cell>
        </row>
        <row r="206">
          <cell r="A206" t="str">
            <v>Vector|||208009912|||ISSR|||SALES_FX_KRW|||False|||</v>
          </cell>
          <cell r="C206" t="str">
            <v>V_KEYWORD_ISSR_208009912_SALES_FX_KRW</v>
          </cell>
        </row>
        <row r="207">
          <cell r="A207" t="str">
            <v>Vector|||208009912|||ISSR|||SALES_FX_TWD|||False|||</v>
          </cell>
          <cell r="C207" t="str">
            <v>V_KEYWORD_ISSR_208009912_SALES_FX_TWD</v>
          </cell>
        </row>
        <row r="208">
          <cell r="A208" t="str">
            <v>Vector|||208009912|||ISSR|||SALES_FX_OTH|||False|||</v>
          </cell>
          <cell r="C208" t="str">
            <v>V_KEYWORD_ISSR_208009912_SALES_FX_OTH</v>
          </cell>
        </row>
        <row r="214">
          <cell r="A214" t="str">
            <v>Scalar|||200012909|||EQTY|||PUB_CURRENCY_ISO|||False|||</v>
          </cell>
          <cell r="C214" t="str">
            <v>V_KEYWORD_EQTY_200012909_PUB_CURRENCY_ISO</v>
          </cell>
        </row>
        <row r="215">
          <cell r="A215" t="str">
            <v>Scalar|||200012909|||EQTY|||PRICE_CURRENCY_ISO|||False|||</v>
          </cell>
          <cell r="C215" t="str">
            <v>V_KEYWORD_EQTY_200012909_PRICE_CURRENCY_ISO</v>
          </cell>
        </row>
        <row r="216">
          <cell r="A216" t="str">
            <v>Scalar|||200012909|||EQTY|||CURRENCY_ISO|||False|||</v>
          </cell>
          <cell r="C216" t="str">
            <v>V_KEYWORD_EQTY_200012909_CURRENCY_ISO</v>
          </cell>
        </row>
        <row r="218">
          <cell r="A218" t="str">
            <v>Scalar|||200012909|||EQTY|||AEJ_LIST|||False|||</v>
          </cell>
          <cell r="C218" t="str">
            <v>V_KEYWORD_EQTY_200012909_AEJ_LIST</v>
          </cell>
        </row>
        <row r="219">
          <cell r="A219" t="str">
            <v>Scalar|||200012909|||EQTY|||AEJ_CONVICTION|||False|||</v>
          </cell>
          <cell r="C219" t="str">
            <v>V_KEYWORD_EQTY_200012909_AEJ_CONVICTION</v>
          </cell>
        </row>
        <row r="220">
          <cell r="A220" t="str">
            <v>Scalar|||200012909|||EQTY|||LEGAL_RATING|||False|||</v>
          </cell>
          <cell r="C220" t="str">
            <v>V_KEYWORD_EQTY_200012909_LEGAL_RATING</v>
          </cell>
        </row>
        <row r="221">
          <cell r="A221" t="str">
            <v>Scalar|||200012909|||EQTY|||TARGET_PRICE|||False|||</v>
          </cell>
          <cell r="C221" t="str">
            <v>V_KEYWORD_EQTY_200012909_TARGET_PRICE</v>
          </cell>
        </row>
        <row r="222">
          <cell r="A222" t="str">
            <v>Scalar|||200012909|||EQTY|||TP_PERIOD|||False|||</v>
          </cell>
          <cell r="C222" t="str">
            <v>V_KEYWORD_EQTY_200012909_TP_PERIOD</v>
          </cell>
        </row>
        <row r="223">
          <cell r="A223" t="str">
            <v>Scalar|||200012909|||EQTY|||NUM_SH|||False|||</v>
          </cell>
          <cell r="C223" t="str">
            <v>V_KEYWORD_EQTY_200012909_NUM_SH</v>
          </cell>
        </row>
        <row r="224">
          <cell r="A224" t="str">
            <v>Scalar|||200012909|||EQTY|||FREE_FLOAT|||False|||</v>
          </cell>
          <cell r="C224" t="str">
            <v>V_KEYWORD_EQTY_200012909_FREE_FLOAT</v>
          </cell>
        </row>
        <row r="225">
          <cell r="A225" t="str">
            <v>Scalar|||200012909|||EQTY|||FOREIGN_HOLDNG|||False|||</v>
          </cell>
          <cell r="C225" t="str">
            <v>V_KEYWORD_EQTY_200012909_FOREIGN_HOLDNG</v>
          </cell>
        </row>
        <row r="226">
          <cell r="A226" t="str">
            <v>BreakdownScalar|||200012909|||EQTY|||ACT|||False|||1</v>
          </cell>
          <cell r="C226" t="str">
            <v>V_KEYWORD_EQTY_200012909_ACT1</v>
          </cell>
        </row>
        <row r="227">
          <cell r="A227" t="str">
            <v>BreakdownScalar|||200012909|||EQTY|||ACT|||False|||2</v>
          </cell>
          <cell r="C227" t="str">
            <v>V_KEYWORD_EQTY_200012909_ACT2</v>
          </cell>
        </row>
        <row r="228">
          <cell r="A228" t="str">
            <v>Scalar|||200012909|||EQTY|||CATALYST1_DATE|||True|||</v>
          </cell>
          <cell r="C228" t="str">
            <v>V_KEYWORD_EQTY_200012909_CATALYST1_DATE</v>
          </cell>
        </row>
        <row r="229">
          <cell r="A229" t="str">
            <v>Scalar|||200012909|||EQTY|||CATALYST1_EVENT|||False|||</v>
          </cell>
          <cell r="C229" t="str">
            <v>V_KEYWORD_EQTY_200012909_CATALYST1_EVENT</v>
          </cell>
        </row>
        <row r="230">
          <cell r="A230" t="str">
            <v>Scalar|||200012909|||EQTY|||CATALYST2_DATE|||True|||</v>
          </cell>
          <cell r="C230" t="str">
            <v>V_KEYWORD_EQTY_200012909_CATALYST2_DATE</v>
          </cell>
        </row>
        <row r="231">
          <cell r="A231" t="str">
            <v>Scalar|||200012909|||EQTY|||CATALYST2_EVENT|||False|||</v>
          </cell>
          <cell r="C231" t="str">
            <v>V_KEYWORD_EQTY_200012909_CATALYST2_EVENT</v>
          </cell>
        </row>
        <row r="232">
          <cell r="A232" t="str">
            <v>Scalar|||200012909|||EQTY|||CATALYST3_DATE|||True|||</v>
          </cell>
          <cell r="C232" t="str">
            <v>V_KEYWORD_EQTY_200012909_CATALYST3_DATE</v>
          </cell>
        </row>
        <row r="233">
          <cell r="A233" t="str">
            <v>Scalar|||200012909|||EQTY|||CATALYST3_EVENT|||False|||</v>
          </cell>
          <cell r="C233" t="str">
            <v>V_KEYWORD_EQTY_200012909_CATALYST3_EVENT</v>
          </cell>
        </row>
        <row r="234">
          <cell r="A234" t="str">
            <v>Scalar|||200012909|||EQTY|||CATALYST4_DATE|||True|||</v>
          </cell>
          <cell r="C234" t="str">
            <v>V_KEYWORD_EQTY_200012909_CATALYST4_DATE</v>
          </cell>
        </row>
        <row r="235">
          <cell r="A235" t="str">
            <v>Scalar|||200012909|||EQTY|||CATALYST4_EVENT|||False|||</v>
          </cell>
          <cell r="C235" t="str">
            <v>V_KEYWORD_EQTY_200012909_CATALYST4_EVENT</v>
          </cell>
        </row>
        <row r="236">
          <cell r="A236" t="str">
            <v>Scalar|||200012909|||EQTY|||CATALYST5_DATE|||True|||</v>
          </cell>
          <cell r="C236" t="str">
            <v>V_KEYWORD_EQTY_200012909_CATALYST5_DATE</v>
          </cell>
        </row>
        <row r="237">
          <cell r="A237" t="str">
            <v>Scalar|||200012909|||EQTY|||CATALYST5_EVENT|||False|||</v>
          </cell>
          <cell r="C237" t="str">
            <v>V_KEYWORD_EQTY_200012909_CATALYST5_EVENT</v>
          </cell>
        </row>
        <row r="238">
          <cell r="A238" t="str">
            <v>Scalar|||200012909|||EQTY|||PRI_TARG_MULT|||False|||</v>
          </cell>
          <cell r="C238" t="str">
            <v>V_KEYWORD_EQTY_200012909_PRI_TARG_MULT</v>
          </cell>
        </row>
        <row r="239">
          <cell r="A239" t="str">
            <v>Scalar|||200012909|||EQTY|||PRI_TARG_METH|||False|||</v>
          </cell>
          <cell r="C239" t="str">
            <v>V_KEYWORD_EQTY_200012909_PRI_TARG_METH</v>
          </cell>
        </row>
        <row r="241">
          <cell r="A241" t="str">
            <v>Vector|||200012909|||EQTY|||BVPS_PUB|||False|||</v>
          </cell>
          <cell r="C241" t="str">
            <v>V_KEYWORD_EQTY_200012909_BVPS_PUB</v>
          </cell>
        </row>
        <row r="242">
          <cell r="A242" t="str">
            <v>Vector|||200012909|||EQTY|||DPS_PUB|||False|||</v>
          </cell>
          <cell r="C242" t="str">
            <v>V_KEYWORD_EQTY_200012909_DPS_PUB</v>
          </cell>
        </row>
        <row r="243">
          <cell r="A243" t="str">
            <v>Vector|||200012909|||EQTY|||DPS_SPECIAL_PUB|||False|||</v>
          </cell>
          <cell r="C243" t="str">
            <v>V_KEYWORD_EQTY_200012909_DPS_SPECIAL_PUB</v>
          </cell>
        </row>
        <row r="244">
          <cell r="A244" t="str">
            <v>Vector|||200012909|||EQTY|||EBITDA_PUB|||False|||</v>
          </cell>
          <cell r="C244" t="str">
            <v>V_KEYWORD_EQTY_200012909_EBITDA_PUB</v>
          </cell>
        </row>
        <row r="245">
          <cell r="A245" t="str">
            <v>Vector|||200012909|||EQTY|||EPS_PUB|||False|||</v>
          </cell>
          <cell r="C245" t="str">
            <v>V_KEYWORD_EQTY_200012909_EPS_PUB</v>
          </cell>
        </row>
        <row r="246">
          <cell r="A246" t="str">
            <v>Vector|||200012909|||EQTY|||EV_ADJ_PUB|||False|||</v>
          </cell>
          <cell r="C246" t="str">
            <v>V_KEYWORD_EQTY_200012909_EV_ADJ_PUB</v>
          </cell>
        </row>
        <row r="247">
          <cell r="A247" t="str">
            <v>Vector|||200012909|||EQTY|||NET_DEBT_PUB|||False|||</v>
          </cell>
          <cell r="C247" t="str">
            <v>V_KEYWORD_EQTY_200012909_NET_DEBT_PUB</v>
          </cell>
        </row>
        <row r="248">
          <cell r="A248" t="str">
            <v>Vector|||200012909|||EQTY|||NI_PUB|||False|||</v>
          </cell>
          <cell r="C248" t="str">
            <v>V_KEYWORD_EQTY_200012909_NI_PUB</v>
          </cell>
        </row>
        <row r="249">
          <cell r="A249" t="str">
            <v>Vector|||200012909|||EQTY|||EBIT_PUB|||False|||</v>
          </cell>
          <cell r="C249" t="str">
            <v>V_KEYWORD_EQTY_200012909_EBIT_PUB</v>
          </cell>
        </row>
        <row r="250">
          <cell r="A250" t="str">
            <v>Vector|||200012909|||EQTY|||PTP_PUB|||False|||</v>
          </cell>
          <cell r="C250" t="str">
            <v>V_KEYWORD_EQTY_200012909_PTP_PUB</v>
          </cell>
        </row>
        <row r="251">
          <cell r="A251" t="str">
            <v>Vector|||200012909|||EQTY|||REVS_PUB|||False|||</v>
          </cell>
          <cell r="C251" t="str">
            <v>V_KEYWORD_EQTY_200012909_REVS_PUB</v>
          </cell>
        </row>
        <row r="252">
          <cell r="A252" t="str">
            <v>Vector|||200012909|||EQTY|||EQ_PUB|||False|||</v>
          </cell>
          <cell r="C252" t="str">
            <v>V_KEYWORD_EQTY_200012909_EQ_PUB</v>
          </cell>
        </row>
        <row r="253">
          <cell r="A253" t="str">
            <v>Vector|||200012909|||EQTY|||EPS_CONS_PUB|||False|||</v>
          </cell>
          <cell r="C253" t="str">
            <v>V_KEYWORD_EQTY_200012909_EPS_CONS_PUB</v>
          </cell>
        </row>
        <row r="255">
          <cell r="A255" t="str">
            <v>Vector|||200012909|||EQTY|||PROV_INC_TAX|||False|||</v>
          </cell>
          <cell r="C255" t="str">
            <v>V_KEYWORD_EQTY_200012909_PROV_INC_TAX</v>
          </cell>
        </row>
        <row r="256">
          <cell r="A256" t="str">
            <v>Vector|||200012909|||EQTY|||INC_MINORITY|||False|||</v>
          </cell>
          <cell r="C256" t="str">
            <v>V_KEYWORD_EQTY_200012909_INC_MINORITY</v>
          </cell>
        </row>
        <row r="257">
          <cell r="A257" t="str">
            <v>Vector|||200012909|||EQTY|||NI_PRE_PREF|||False|||</v>
          </cell>
          <cell r="C257" t="str">
            <v>V_KEYWORD_EQTY_200012909_NI_PRE_PREF</v>
          </cell>
        </row>
        <row r="258">
          <cell r="A258" t="str">
            <v>Vector|||200012909|||EQTY|||PREF_DIV|||False|||</v>
          </cell>
          <cell r="C258" t="str">
            <v>V_KEYWORD_EQTY_200012909_PREF_DIV</v>
          </cell>
        </row>
        <row r="259">
          <cell r="A259" t="str">
            <v>Vector|||200012909|||EQTY|||NET_EARNING|||False|||</v>
          </cell>
          <cell r="C259" t="str">
            <v>V_KEYWORD_EQTY_200012909_NET_EARNING</v>
          </cell>
        </row>
        <row r="260">
          <cell r="A260" t="str">
            <v>Vector|||200012909|||EQTY|||TAX_EXC|||False|||</v>
          </cell>
          <cell r="C260" t="str">
            <v>V_KEYWORD_EQTY_200012909_TAX_EXC</v>
          </cell>
        </row>
        <row r="261">
          <cell r="A261" t="str">
            <v>Vector|||200012909|||EQTY|||NET_INC|||False|||</v>
          </cell>
          <cell r="C261" t="str">
            <v>V_KEYWORD_EQTY_200012909_NET_INC</v>
          </cell>
        </row>
        <row r="262">
          <cell r="A262" t="str">
            <v>Vector|||200012909|||EQTY|||EPS|||False|||</v>
          </cell>
          <cell r="C262" t="str">
            <v>V_KEYWORD_EQTY_200012909_EPS</v>
          </cell>
        </row>
        <row r="263">
          <cell r="A263" t="str">
            <v>Vector|||200012909|||EQTY|||EPS_FUL_DIL|||False|||</v>
          </cell>
          <cell r="C263" t="str">
            <v>V_KEYWORD_EQTY_200012909_EPS_FUL_DIL</v>
          </cell>
        </row>
        <row r="264">
          <cell r="A264" t="str">
            <v>Vector|||200012909|||EQTY|||EPS_POST_BASIC|||False|||</v>
          </cell>
          <cell r="C264" t="str">
            <v>V_KEYWORD_EQTY_200012909_EPS_POST_BASIC</v>
          </cell>
        </row>
        <row r="265">
          <cell r="A265" t="str">
            <v>Vector|||200012909|||EQTY|||FULLY_DIL_EPS|||False|||</v>
          </cell>
          <cell r="C265" t="str">
            <v>V_KEYWORD_EQTY_200012909_FULLY_DIL_EPS</v>
          </cell>
        </row>
        <row r="266">
          <cell r="A266" t="str">
            <v>Vector|||200012909|||EQTY|||COMMON_DIV_PAID|||False|||</v>
          </cell>
          <cell r="C266" t="str">
            <v>V_KEYWORD_EQTY_200012909_COMMON_DIV_PAID</v>
          </cell>
        </row>
        <row r="267">
          <cell r="A267" t="str">
            <v>Vector|||200012909|||EQTY|||DPS|||False|||</v>
          </cell>
          <cell r="C267" t="str">
            <v>V_KEYWORD_EQTY_200012909_DPS</v>
          </cell>
        </row>
        <row r="268">
          <cell r="A268" t="str">
            <v>Vector|||200012909|||EQTY|||SH|||False|||</v>
          </cell>
          <cell r="C268" t="str">
            <v>V_KEYWORD_EQTY_200012909_SH</v>
          </cell>
        </row>
        <row r="269">
          <cell r="A269" t="str">
            <v>Vector|||200012909|||EQTY|||DILUTE_SHARES|||False|||</v>
          </cell>
          <cell r="C269" t="str">
            <v>V_KEYWORD_EQTY_200012909_DILUTE_SHARES</v>
          </cell>
        </row>
        <row r="270">
          <cell r="A270" t="str">
            <v>Vector|||200012909|||EQTY|||NON_OP_ADD|||False|||</v>
          </cell>
          <cell r="C270" t="str">
            <v>V_KEYWORD_EQTY_200012909_NON_OP_ADD</v>
          </cell>
        </row>
        <row r="272">
          <cell r="A272" t="str">
            <v>Vector|||200012909|||EQTY|||MARGIN_TAX_RATE|||False|||</v>
          </cell>
          <cell r="C272" t="str">
            <v>V_KEYWORD_EQTY_200012909_MARGIN_TAX_RATE</v>
          </cell>
        </row>
        <row r="273">
          <cell r="A273" t="str">
            <v>Vector|||200012909|||EQTY|||NI_CONS|||False|||</v>
          </cell>
          <cell r="C273" t="str">
            <v>V_KEYWORD_EQTY_200012909_NI_CONS</v>
          </cell>
        </row>
        <row r="275">
          <cell r="A275" t="str">
            <v>Vector|||200012909|||EQTY|||BVPS|||False|||</v>
          </cell>
          <cell r="C275" t="str">
            <v>V_KEYWORD_EQTY_200012909_BVPS</v>
          </cell>
        </row>
        <row r="277">
          <cell r="A277" t="str">
            <v>Vector|||200012909|||EQTY|||CF_NI_PRE_PREF|||False|||</v>
          </cell>
          <cell r="C277" t="str">
            <v>V_KEYWORD_EQTY_200012909_CF_NI_PRE_PREF</v>
          </cell>
        </row>
        <row r="279">
          <cell r="A279" t="str">
            <v>Scalar|||200012909|||EQTY|||BETA_ANALYST|||False|||</v>
          </cell>
          <cell r="C279" t="str">
            <v>V_KEYWORD_EQTY_200012909_BETA_ANALYST</v>
          </cell>
        </row>
        <row r="280">
          <cell r="A280" t="str">
            <v>Scalar|||200012909|||EQTY|||MKT_EQ_RISK_PREM|||False|||</v>
          </cell>
          <cell r="C280" t="str">
            <v>V_KEYWORD_EQTY_200012909_MKT_EQ_RISK_PREM</v>
          </cell>
        </row>
        <row r="281">
          <cell r="A281" t="str">
            <v>Scalar|||200012909|||EQTY|||RISK_FR_RATE|||False|||</v>
          </cell>
          <cell r="C281" t="str">
            <v>V_KEYWORD_EQTY_200012909_RISK_FR_RATE</v>
          </cell>
        </row>
      </sheetData>
      <sheetData sheetId="18" refreshError="1">
        <row r="2"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Estimate</v>
          </cell>
          <cell r="AI2" t="str">
            <v>Estimate</v>
          </cell>
          <cell r="AJ2" t="str">
            <v>Estimate</v>
          </cell>
          <cell r="AK2" t="str">
            <v>Estimate</v>
          </cell>
          <cell r="AP2" t="str">
            <v>Estimate</v>
          </cell>
          <cell r="AU2" t="str">
            <v>Estimate</v>
          </cell>
          <cell r="AZ2" t="str">
            <v>Estimate</v>
          </cell>
        </row>
        <row r="5">
          <cell r="A5" t="str">
            <v>Reference Data</v>
          </cell>
        </row>
        <row r="8">
          <cell r="A8" t="str">
            <v>Income Statement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</row>
        <row r="29">
          <cell r="A29" t="str">
            <v>Additional Income Statement Items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</row>
        <row r="36">
          <cell r="A36" t="str">
            <v>Balance Sheet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</row>
        <row r="65">
          <cell r="A65" t="str">
            <v>Additional Balance Sheet Items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</row>
        <row r="71">
          <cell r="B71" t="str">
            <v>Company borrowing margin</v>
          </cell>
          <cell r="C71" t="str">
            <v>CO_BOR_MARGIN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</row>
        <row r="77">
          <cell r="B77" t="str">
            <v>GCI inflator</v>
          </cell>
          <cell r="C77" t="str">
            <v>GCI_INFL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</row>
        <row r="79">
          <cell r="A79" t="str">
            <v>Cash Flow Statement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</row>
        <row r="96">
          <cell r="A96" t="str">
            <v>Additional Cash Flow Items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</row>
        <row r="108">
          <cell r="A108" t="str">
            <v>Other Items</v>
          </cell>
        </row>
        <row r="109">
          <cell r="B109" t="str">
            <v>Number of employees</v>
          </cell>
          <cell r="C109" t="str">
            <v>EMPLOYEES</v>
          </cell>
        </row>
        <row r="110">
          <cell r="A110" t="str">
            <v>Geographical Breakdown</v>
          </cell>
        </row>
        <row r="111">
          <cell r="B111" t="str">
            <v>Sales - Total % Americas</v>
          </cell>
          <cell r="C111" t="str">
            <v>SALES_TOT_AM</v>
          </cell>
        </row>
        <row r="112">
          <cell r="B112" t="str">
            <v>Sales - % United States</v>
          </cell>
          <cell r="C112" t="str">
            <v>SALES_US</v>
          </cell>
        </row>
        <row r="114">
          <cell r="B114" t="str">
            <v>Sales - % Brazil</v>
          </cell>
          <cell r="C114" t="str">
            <v>SALES_BRAZIL</v>
          </cell>
        </row>
        <row r="115">
          <cell r="B115" t="str">
            <v>Sales - % Other Americas</v>
          </cell>
          <cell r="C115" t="str">
            <v>SALES_OTH_AM</v>
          </cell>
        </row>
        <row r="116">
          <cell r="B116" t="str">
            <v>Sales - Total % EMEA</v>
          </cell>
          <cell r="C116" t="str">
            <v>SALES_TOT_EMEA</v>
          </cell>
        </row>
        <row r="117">
          <cell r="B117" t="str">
            <v>Sales - % UK</v>
          </cell>
          <cell r="C117" t="str">
            <v>SALES_UK</v>
          </cell>
        </row>
        <row r="118">
          <cell r="B118" t="str">
            <v>Sales - % Western Europe-Ex UK</v>
          </cell>
          <cell r="C118" t="str">
            <v>SALES_EU_EX_UK</v>
          </cell>
        </row>
        <row r="135">
          <cell r="B135" t="str">
            <v>Sales - % Central &amp; Eastern Europe</v>
          </cell>
          <cell r="C135" t="str">
            <v>SALES_CEE</v>
          </cell>
        </row>
        <row r="136">
          <cell r="B136" t="str">
            <v>Sales - % Middle East</v>
          </cell>
          <cell r="C136" t="str">
            <v>SALES_ME</v>
          </cell>
        </row>
        <row r="137">
          <cell r="B137" t="str">
            <v>Sales - % Total Africa</v>
          </cell>
          <cell r="C137" t="str">
            <v>SALES_TOT_AFRICA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 t="str">
            <v>Sales - % Russia</v>
          </cell>
          <cell r="C138" t="str">
            <v>SALES_RUSSIA</v>
          </cell>
        </row>
        <row r="139">
          <cell r="B139" t="str">
            <v>Sales - % Other EMEA</v>
          </cell>
          <cell r="C139" t="str">
            <v>SALES_OTH_EMEA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</row>
        <row r="141">
          <cell r="B141" t="str">
            <v>Sales - % Japan</v>
          </cell>
          <cell r="C141" t="str">
            <v>SALES_JAPAN</v>
          </cell>
        </row>
        <row r="142">
          <cell r="B142" t="str">
            <v>Sales - % China</v>
          </cell>
          <cell r="C142" t="str">
            <v>SALES_CHINA</v>
          </cell>
        </row>
        <row r="143">
          <cell r="B143" t="str">
            <v>Sales - % India</v>
          </cell>
          <cell r="C143" t="str">
            <v>SALES_INDIA</v>
          </cell>
        </row>
        <row r="144">
          <cell r="B144" t="str">
            <v>Sales - % South Korea</v>
          </cell>
          <cell r="C144" t="str">
            <v>SALES_SK</v>
          </cell>
        </row>
        <row r="145">
          <cell r="B145" t="str">
            <v>Sales - % Taiwan</v>
          </cell>
          <cell r="C145" t="str">
            <v>SALES_TAIWAN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</row>
        <row r="148">
          <cell r="B148" t="str">
            <v>Sales - % Other Asia</v>
          </cell>
          <cell r="C148" t="str">
            <v>SALES_OTH_AEJ</v>
          </cell>
        </row>
        <row r="149">
          <cell r="B149" t="str">
            <v>Sales - % Others</v>
          </cell>
          <cell r="C149" t="str">
            <v>SALES_OTHER</v>
          </cell>
        </row>
        <row r="187">
          <cell r="B187" t="str">
            <v>Sales -% Consumer (C)</v>
          </cell>
          <cell r="C187" t="str">
            <v>SALES_CONS</v>
          </cell>
        </row>
        <row r="188">
          <cell r="B188" t="str">
            <v>Sales -% Industry (I)</v>
          </cell>
          <cell r="C188" t="str">
            <v>SALES_IND</v>
          </cell>
        </row>
        <row r="189">
          <cell r="B189" t="str">
            <v>Sales -% Government (G)</v>
          </cell>
          <cell r="C189" t="str">
            <v>SALES_GOV</v>
          </cell>
        </row>
        <row r="190">
          <cell r="B190" t="str">
            <v>Sales - % Industry Sub-Segment: Financial Services</v>
          </cell>
          <cell r="C190" t="str">
            <v>SALES_FINAN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4">
          <cell r="A194" t="str">
            <v>Commodities Exposure - Expense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</row>
        <row r="195">
          <cell r="B195" t="str">
            <v>Expense - % Other commodity</v>
          </cell>
          <cell r="C195" t="str">
            <v>EXP_OTH_COMMODITY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</row>
        <row r="196">
          <cell r="B196" t="str">
            <v>Expense - % Other (Non-Commodity) cost</v>
          </cell>
          <cell r="C196" t="str">
            <v>EXP_OTH_COST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</row>
        <row r="197">
          <cell r="A197" t="str">
            <v>FX Exposure - Sales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</row>
        <row r="198">
          <cell r="B198" t="str">
            <v>Sales - % FX: British Pounds/Pence</v>
          </cell>
          <cell r="C198" t="str">
            <v>SALES_FX_GPB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</row>
        <row r="199">
          <cell r="B199" t="str">
            <v>Sales - % FX: Euro</v>
          </cell>
          <cell r="C199" t="str">
            <v>SALES_FX_EUR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</row>
        <row r="200">
          <cell r="B200" t="str">
            <v>Sales - % FX: New Russian Ruble</v>
          </cell>
          <cell r="C200" t="str">
            <v>SALES_FX_RUB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</row>
        <row r="201">
          <cell r="B201" t="str">
            <v>Sales - % FX: U.S. Dollar</v>
          </cell>
          <cell r="C201" t="str">
            <v>SALES_FX_USD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</row>
        <row r="202">
          <cell r="B202" t="str">
            <v>Sales - % FX: Brazilian Real</v>
          </cell>
          <cell r="C202" t="str">
            <v>SALES_FX_BRL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</row>
        <row r="203">
          <cell r="B203" t="str">
            <v>Sales - % FX: Japanese Yen</v>
          </cell>
          <cell r="C203" t="str">
            <v>SALES_FX_YEN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</row>
        <row r="204">
          <cell r="B204" t="str">
            <v>Sales - % FX: Chinese Renminbi</v>
          </cell>
          <cell r="C204" t="str">
            <v>SALES_FX_CNY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</row>
        <row r="205">
          <cell r="B205" t="str">
            <v>Sales - % FX: Indian Rupee</v>
          </cell>
          <cell r="C205" t="str">
            <v>SALES_FX_INR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</row>
        <row r="206">
          <cell r="B206" t="str">
            <v>Sales - % FX: South Korean Won</v>
          </cell>
          <cell r="C206" t="str">
            <v>SALES_FX_KRW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</row>
        <row r="207">
          <cell r="B207" t="str">
            <v>Sales - % FX: Taiwan Dollar</v>
          </cell>
          <cell r="C207" t="str">
            <v>SALES_FX_TWD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</row>
        <row r="208">
          <cell r="B208" t="str">
            <v>Sales - % FX: Other Currency</v>
          </cell>
          <cell r="C208" t="str">
            <v>SALES_FX_OTH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10">
          <cell r="A210" t="str">
            <v>Reference Data</v>
          </cell>
        </row>
        <row r="217">
          <cell r="A217" t="str">
            <v>General Information</v>
          </cell>
        </row>
        <row r="218">
          <cell r="B218" t="str">
            <v>Asia Pacific Investment List</v>
          </cell>
          <cell r="C218" t="str">
            <v>AEJ_LIST</v>
          </cell>
        </row>
        <row r="219">
          <cell r="B219" t="str">
            <v>Asia Pacific Conviction List</v>
          </cell>
          <cell r="C219" t="str">
            <v>AEJ_CONVICTION</v>
          </cell>
        </row>
        <row r="220">
          <cell r="B220" t="str">
            <v>Legal rating</v>
          </cell>
          <cell r="C220" t="str">
            <v>LEGAL_RATING</v>
          </cell>
        </row>
        <row r="221">
          <cell r="B221" t="str">
            <v>Target price</v>
          </cell>
          <cell r="C221" t="str">
            <v>TARGET_PRICE</v>
          </cell>
          <cell r="D221" t="str">
            <v>CNY</v>
          </cell>
        </row>
        <row r="222">
          <cell r="B222" t="str">
            <v>Target price period</v>
          </cell>
          <cell r="C222" t="str">
            <v>TP_PERIOD</v>
          </cell>
        </row>
        <row r="223">
          <cell r="B223" t="str">
            <v>Current shares outstanding (mn)</v>
          </cell>
          <cell r="C223" t="str">
            <v>NUM_SH</v>
          </cell>
        </row>
        <row r="224">
          <cell r="B224" t="str">
            <v>Free float</v>
          </cell>
          <cell r="C224" t="str">
            <v>FREE_FLOAT</v>
          </cell>
        </row>
        <row r="225">
          <cell r="B225" t="str">
            <v>Foreign ownership</v>
          </cell>
          <cell r="C225" t="str">
            <v>FOREIGN_HOLDNG</v>
          </cell>
        </row>
        <row r="226">
          <cell r="C226" t="str">
            <v>ACT1</v>
          </cell>
        </row>
        <row r="227">
          <cell r="C227" t="str">
            <v>ACT2</v>
          </cell>
        </row>
        <row r="228">
          <cell r="B228" t="str">
            <v>Catalyst 1 date</v>
          </cell>
          <cell r="C228" t="str">
            <v>CATALYST1_DATE</v>
          </cell>
        </row>
        <row r="229">
          <cell r="B229" t="str">
            <v>Catalyst 1 description</v>
          </cell>
          <cell r="C229" t="str">
            <v>CATALYST1_EVENT</v>
          </cell>
        </row>
        <row r="230">
          <cell r="B230" t="str">
            <v>Catalyst 2 date</v>
          </cell>
          <cell r="C230" t="str">
            <v>CATALYST2_DATE</v>
          </cell>
        </row>
        <row r="231">
          <cell r="B231" t="str">
            <v>Catalyst 2 description</v>
          </cell>
          <cell r="C231" t="str">
            <v>CATALYST2_EVENT</v>
          </cell>
        </row>
        <row r="232">
          <cell r="B232" t="str">
            <v>Catalyst 3 date</v>
          </cell>
          <cell r="C232" t="str">
            <v>CATALYST3_DATE</v>
          </cell>
        </row>
        <row r="233">
          <cell r="B233" t="str">
            <v>Catalyst 3 description</v>
          </cell>
          <cell r="C233" t="str">
            <v>CATALYST3_EVENT</v>
          </cell>
        </row>
        <row r="234">
          <cell r="B234" t="str">
            <v>Catalyst 4 date</v>
          </cell>
          <cell r="C234" t="str">
            <v>CATALYST4_DATE</v>
          </cell>
        </row>
        <row r="235">
          <cell r="B235" t="str">
            <v>Catalyst 4 description</v>
          </cell>
          <cell r="C235" t="str">
            <v>CATALYST4_EVENT</v>
          </cell>
        </row>
        <row r="236">
          <cell r="B236" t="str">
            <v>Catalyst 5 date</v>
          </cell>
          <cell r="C236" t="str">
            <v>CATALYST5_DATE</v>
          </cell>
        </row>
        <row r="237">
          <cell r="B237" t="str">
            <v>Catalyst 5 description</v>
          </cell>
          <cell r="C237" t="str">
            <v>CATALYST5_EVENT</v>
          </cell>
        </row>
        <row r="238">
          <cell r="B238" t="str">
            <v>Target price multiple</v>
          </cell>
          <cell r="C238" t="str">
            <v>PRI_TARG_MULT</v>
          </cell>
        </row>
        <row r="239">
          <cell r="B239" t="str">
            <v>Target price methodology</v>
          </cell>
          <cell r="C239" t="str">
            <v>PRI_TARG_METH</v>
          </cell>
        </row>
        <row r="240">
          <cell r="A240" t="str">
            <v>Publishing Items</v>
          </cell>
        </row>
        <row r="241">
          <cell r="B241" t="str">
            <v>Book value per share, BVPS (Pub)</v>
          </cell>
          <cell r="C241" t="str">
            <v>BVPS_PUB</v>
          </cell>
          <cell r="D241" t="str">
            <v>CNY</v>
          </cell>
        </row>
        <row r="242">
          <cell r="B242" t="str">
            <v>DPS, dividend per share (Pub)</v>
          </cell>
          <cell r="C242" t="str">
            <v>DPS_PUB</v>
          </cell>
          <cell r="D242" t="str">
            <v>CNY</v>
          </cell>
        </row>
        <row r="243">
          <cell r="B243" t="str">
            <v>Special dividend per share</v>
          </cell>
          <cell r="C243" t="str">
            <v>DPS_SPECIAL_PUB</v>
          </cell>
          <cell r="D243" t="str">
            <v>CNY</v>
          </cell>
        </row>
        <row r="244">
          <cell r="B244" t="str">
            <v>EBITDA (Pub)</v>
          </cell>
          <cell r="C244" t="str">
            <v>EBITDA_PUB</v>
          </cell>
          <cell r="D244" t="str">
            <v>CNY</v>
          </cell>
        </row>
        <row r="245">
          <cell r="B245" t="str">
            <v>EPS (Pub)</v>
          </cell>
          <cell r="C245" t="str">
            <v>EPS_PUB</v>
          </cell>
          <cell r="D245" t="str">
            <v>CNY</v>
          </cell>
        </row>
        <row r="246">
          <cell r="B246" t="str">
            <v>EV adjustment (Pub)</v>
          </cell>
          <cell r="C246" t="str">
            <v>EV_ADJ_PUB</v>
          </cell>
          <cell r="D246" t="str">
            <v>CNY</v>
          </cell>
        </row>
        <row r="247">
          <cell r="B247" t="str">
            <v>Net debt (Pub)</v>
          </cell>
          <cell r="C247" t="str">
            <v>NET_DEBT_PUB</v>
          </cell>
          <cell r="D247" t="str">
            <v>CNY</v>
          </cell>
        </row>
        <row r="248">
          <cell r="B248" t="str">
            <v>Net income (Pub)</v>
          </cell>
          <cell r="C248" t="str">
            <v>NI_PUB</v>
          </cell>
          <cell r="D248" t="str">
            <v>CNY</v>
          </cell>
        </row>
        <row r="249">
          <cell r="B249" t="str">
            <v>EBIT, operating profit (Pub)</v>
          </cell>
          <cell r="C249" t="str">
            <v>EBIT_PUB</v>
          </cell>
          <cell r="D249" t="str">
            <v>CNY</v>
          </cell>
        </row>
        <row r="250">
          <cell r="B250" t="str">
            <v>Pre-tax profit (Pub)</v>
          </cell>
          <cell r="C250" t="str">
            <v>PTP_PUB</v>
          </cell>
          <cell r="D250" t="str">
            <v>CNY</v>
          </cell>
        </row>
        <row r="251">
          <cell r="B251" t="str">
            <v>Sales, revenue (Pub)</v>
          </cell>
          <cell r="C251" t="str">
            <v>REVS_PUB</v>
          </cell>
          <cell r="D251" t="str">
            <v>CNY</v>
          </cell>
        </row>
        <row r="252">
          <cell r="B252" t="str">
            <v>Total shareholders' equity (Pub)</v>
          </cell>
          <cell r="C252" t="str">
            <v>EQ_PUB</v>
          </cell>
          <cell r="D252" t="str">
            <v>CNY</v>
          </cell>
        </row>
        <row r="253">
          <cell r="B253" t="str">
            <v>EPS (consensus)</v>
          </cell>
          <cell r="C253" t="str">
            <v>EPS_CONS_PUB</v>
          </cell>
          <cell r="D253" t="str">
            <v>CNY</v>
          </cell>
        </row>
        <row r="254">
          <cell r="A254" t="str">
            <v>Income Statement</v>
          </cell>
        </row>
        <row r="255">
          <cell r="B255" t="str">
            <v>Provision for income tax</v>
          </cell>
          <cell r="C255" t="str">
            <v>PROV_INC_TAX</v>
          </cell>
          <cell r="D255" t="str">
            <v>CNY</v>
          </cell>
        </row>
        <row r="256">
          <cell r="B256" t="str">
            <v>Minority interest</v>
          </cell>
          <cell r="C256" t="str">
            <v>INC_MINORITY</v>
          </cell>
          <cell r="D256" t="str">
            <v>CNY</v>
          </cell>
        </row>
        <row r="257">
          <cell r="B257" t="str">
            <v>Net income (pre-preferred dividends)</v>
          </cell>
          <cell r="C257" t="str">
            <v>NI_PRE_PREF</v>
          </cell>
          <cell r="D257" t="str">
            <v>CNY</v>
          </cell>
        </row>
        <row r="258">
          <cell r="B258" t="str">
            <v>Preferred dividends</v>
          </cell>
          <cell r="C258" t="str">
            <v>PREF_DIV</v>
          </cell>
          <cell r="D258" t="str">
            <v>CNY</v>
          </cell>
        </row>
        <row r="259">
          <cell r="B259" t="str">
            <v>Net income (pre-exceptionals)</v>
          </cell>
          <cell r="C259" t="str">
            <v>NET_EARNING</v>
          </cell>
          <cell r="D259" t="str">
            <v>CNY</v>
          </cell>
        </row>
        <row r="260">
          <cell r="B260" t="str">
            <v>Post-tax exceptionals</v>
          </cell>
          <cell r="C260" t="str">
            <v>TAX_EXC</v>
          </cell>
          <cell r="D260" t="str">
            <v>CNY</v>
          </cell>
        </row>
        <row r="261">
          <cell r="B261" t="str">
            <v>Net income (post-exceptionals)</v>
          </cell>
          <cell r="C261" t="str">
            <v>NET_INC</v>
          </cell>
          <cell r="D261" t="str">
            <v>CNY</v>
          </cell>
        </row>
        <row r="262">
          <cell r="B262" t="str">
            <v>EPS (pre-exceptionals, basic)</v>
          </cell>
          <cell r="C262" t="str">
            <v>EPS</v>
          </cell>
          <cell r="D262" t="str">
            <v>CNY</v>
          </cell>
        </row>
        <row r="263">
          <cell r="B263" t="str">
            <v>EPS (pre-exceptionals, diluted)</v>
          </cell>
          <cell r="C263" t="str">
            <v>EPS_FUL_DIL</v>
          </cell>
          <cell r="D263" t="str">
            <v>CNY</v>
          </cell>
        </row>
        <row r="264">
          <cell r="B264" t="str">
            <v>EPS (post-exceptionals, basic)</v>
          </cell>
          <cell r="C264" t="str">
            <v>EPS_POST_BASIC</v>
          </cell>
          <cell r="D264" t="str">
            <v>CNY</v>
          </cell>
        </row>
        <row r="265">
          <cell r="B265" t="str">
            <v>EPS (post-exceptionals, diluted)</v>
          </cell>
          <cell r="C265" t="str">
            <v>FULLY_DIL_EPS</v>
          </cell>
          <cell r="D265" t="str">
            <v>CNY</v>
          </cell>
        </row>
        <row r="266">
          <cell r="B266" t="str">
            <v>Common dividends paid</v>
          </cell>
          <cell r="C266" t="str">
            <v>COMMON_DIV_PAID</v>
          </cell>
          <cell r="D266" t="str">
            <v>CNY</v>
          </cell>
        </row>
        <row r="267">
          <cell r="B267" t="str">
            <v>DPS, dividend per share</v>
          </cell>
          <cell r="C267" t="str">
            <v>DPS</v>
          </cell>
          <cell r="D267" t="str">
            <v>CNY</v>
          </cell>
        </row>
        <row r="268">
          <cell r="B268" t="str">
            <v>Weighted average shares outstanding, basic</v>
          </cell>
          <cell r="C268" t="str">
            <v>SH</v>
          </cell>
        </row>
        <row r="269">
          <cell r="B269" t="str">
            <v>Diluted average shares outstanding (mn)</v>
          </cell>
          <cell r="C269" t="str">
            <v>DILUTE_SHARES</v>
          </cell>
        </row>
        <row r="270">
          <cell r="B270" t="str">
            <v>Period-end shares outstanding</v>
          </cell>
          <cell r="C270" t="str">
            <v>NON_OP_ADD</v>
          </cell>
        </row>
        <row r="271">
          <cell r="A271" t="str">
            <v>Additional Income Statement Items</v>
          </cell>
        </row>
        <row r="272">
          <cell r="B272" t="str">
            <v>Marginal tax rate</v>
          </cell>
          <cell r="C272" t="str">
            <v>MARGIN_TAX_RATE</v>
          </cell>
        </row>
        <row r="273">
          <cell r="B273" t="str">
            <v>Net income (consensus) (Pub)</v>
          </cell>
          <cell r="C273" t="str">
            <v>NI_CONS</v>
          </cell>
          <cell r="D273" t="str">
            <v>CNY</v>
          </cell>
        </row>
        <row r="274">
          <cell r="A274" t="str">
            <v>Balance Sheet</v>
          </cell>
        </row>
        <row r="275">
          <cell r="B275" t="str">
            <v>BVPS, book value per share</v>
          </cell>
          <cell r="C275" t="str">
            <v>BVPS</v>
          </cell>
          <cell r="D275" t="str">
            <v>CNY</v>
          </cell>
        </row>
        <row r="276">
          <cell r="A276" t="str">
            <v>Cash Flow Statement</v>
          </cell>
        </row>
        <row r="277">
          <cell r="B277" t="str">
            <v>Net income (pre-preferred dividends)</v>
          </cell>
          <cell r="C277" t="str">
            <v>CF_NI_PRE_PREF</v>
          </cell>
          <cell r="D277" t="str">
            <v>CNY</v>
          </cell>
        </row>
        <row r="278">
          <cell r="A278" t="str">
            <v>Other Items</v>
          </cell>
        </row>
        <row r="279">
          <cell r="B279" t="str">
            <v>Beta</v>
          </cell>
          <cell r="C279" t="str">
            <v>BETA_ANALYST</v>
          </cell>
        </row>
        <row r="280">
          <cell r="B280" t="str">
            <v>Market equity risk premium</v>
          </cell>
          <cell r="C280" t="str">
            <v>MKT_EQ_RISK_PREM</v>
          </cell>
        </row>
        <row r="281">
          <cell r="B281" t="str">
            <v>Risk-free rate</v>
          </cell>
          <cell r="C281" t="str">
            <v>RISK_FR_RATE</v>
          </cell>
        </row>
      </sheetData>
      <sheetData sheetId="19" refreshError="1">
        <row r="1">
          <cell r="A1" t="str">
            <v>Issuer: Beijing Ultrapower Software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 t="str">
            <v>2011 Q1</v>
          </cell>
          <cell r="X1" t="str">
            <v>2011 Q2</v>
          </cell>
          <cell r="Y1" t="str">
            <v>2011 Q3</v>
          </cell>
          <cell r="Z1" t="str">
            <v>2011 Q4</v>
          </cell>
          <cell r="AA1">
            <v>2011</v>
          </cell>
          <cell r="AB1" t="str">
            <v>2012 Q1</v>
          </cell>
          <cell r="AC1" t="str">
            <v>2012 Q2</v>
          </cell>
          <cell r="AD1" t="str">
            <v>2012 Q3</v>
          </cell>
          <cell r="AE1" t="str">
            <v>2012 Q4</v>
          </cell>
          <cell r="AF1">
            <v>2012</v>
          </cell>
          <cell r="AG1" t="str">
            <v>2013 Q1</v>
          </cell>
          <cell r="AH1" t="str">
            <v>2013 Q2</v>
          </cell>
          <cell r="AI1" t="str">
            <v>2013 Q3</v>
          </cell>
          <cell r="AJ1" t="str">
            <v>2013 Q4</v>
          </cell>
          <cell r="AK1">
            <v>2013</v>
          </cell>
          <cell r="AL1" t="str">
            <v>2014 Q1</v>
          </cell>
          <cell r="AM1" t="str">
            <v>2014 Q2</v>
          </cell>
          <cell r="AN1" t="str">
            <v>2014 Q3</v>
          </cell>
          <cell r="AO1" t="str">
            <v>2014 Q4</v>
          </cell>
          <cell r="AP1">
            <v>2014</v>
          </cell>
          <cell r="AQ1" t="str">
            <v>2015 Q1</v>
          </cell>
          <cell r="AR1" t="str">
            <v>2015 Q2</v>
          </cell>
          <cell r="AS1" t="str">
            <v>2015 Q3</v>
          </cell>
          <cell r="AT1" t="str">
            <v>2015 Q4</v>
          </cell>
          <cell r="AU1">
            <v>2015</v>
          </cell>
          <cell r="AV1" t="str">
            <v>2016 Q1</v>
          </cell>
          <cell r="AW1" t="str">
            <v>2016 Q2</v>
          </cell>
          <cell r="AX1" t="str">
            <v>2016 Q3</v>
          </cell>
          <cell r="AY1" t="str">
            <v>2016 Q4</v>
          </cell>
          <cell r="AZ1">
            <v>2016</v>
          </cell>
          <cell r="BA1" t="str">
            <v>2017</v>
          </cell>
          <cell r="BB1" t="str">
            <v>2018</v>
          </cell>
          <cell r="BC1" t="str">
            <v>2019</v>
          </cell>
          <cell r="BD1" t="str">
            <v>2020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 t="str">
            <v>Actual</v>
          </cell>
          <cell r="G2" t="str">
            <v>Actual</v>
          </cell>
          <cell r="H2" t="str">
            <v>Actual</v>
          </cell>
          <cell r="I2" t="str">
            <v>Actual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Actual</v>
          </cell>
          <cell r="AP2" t="str">
            <v>Actual</v>
          </cell>
          <cell r="AQ2" t="str">
            <v>Actual</v>
          </cell>
          <cell r="AR2" t="str">
            <v>Actual</v>
          </cell>
          <cell r="AS2" t="str">
            <v>Actual</v>
          </cell>
          <cell r="AT2" t="str">
            <v>Estimate</v>
          </cell>
          <cell r="AU2" t="str">
            <v>Estimate</v>
          </cell>
          <cell r="AV2" t="str">
            <v>Estimate</v>
          </cell>
          <cell r="AW2" t="str">
            <v>Estimate</v>
          </cell>
          <cell r="AX2" t="str">
            <v>Estimate</v>
          </cell>
          <cell r="AY2" t="str">
            <v>Estimate</v>
          </cell>
          <cell r="AZ2" t="str">
            <v>Estimate</v>
          </cell>
          <cell r="BA2" t="str">
            <v>Estimate</v>
          </cell>
          <cell r="BB2" t="str">
            <v>Estimate</v>
          </cell>
          <cell r="BC2" t="str">
            <v>Estimate</v>
          </cell>
          <cell r="BD2" t="str">
            <v>Estimate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F3">
            <v>34699</v>
          </cell>
          <cell r="G3">
            <v>35064</v>
          </cell>
          <cell r="H3">
            <v>35430</v>
          </cell>
          <cell r="I3">
            <v>35795</v>
          </cell>
          <cell r="J3">
            <v>36160</v>
          </cell>
          <cell r="K3">
            <v>36525</v>
          </cell>
          <cell r="L3">
            <v>36891</v>
          </cell>
          <cell r="M3">
            <v>37256</v>
          </cell>
          <cell r="N3">
            <v>37621</v>
          </cell>
          <cell r="O3">
            <v>37986</v>
          </cell>
          <cell r="P3">
            <v>38352</v>
          </cell>
          <cell r="Q3">
            <v>38717</v>
          </cell>
          <cell r="R3">
            <v>39082</v>
          </cell>
          <cell r="S3">
            <v>39447</v>
          </cell>
          <cell r="T3">
            <v>39813</v>
          </cell>
          <cell r="U3">
            <v>40178</v>
          </cell>
          <cell r="V3">
            <v>40543</v>
          </cell>
          <cell r="W3">
            <v>40633</v>
          </cell>
          <cell r="X3">
            <v>40724</v>
          </cell>
          <cell r="Y3">
            <v>40816</v>
          </cell>
          <cell r="Z3">
            <v>40908</v>
          </cell>
          <cell r="AA3">
            <v>40908</v>
          </cell>
          <cell r="AB3">
            <v>40999</v>
          </cell>
          <cell r="AC3">
            <v>41090</v>
          </cell>
          <cell r="AD3">
            <v>41182</v>
          </cell>
          <cell r="AE3">
            <v>41274</v>
          </cell>
          <cell r="AF3">
            <v>41274</v>
          </cell>
          <cell r="AG3">
            <v>41364</v>
          </cell>
          <cell r="AH3">
            <v>41455</v>
          </cell>
          <cell r="AI3">
            <v>41547</v>
          </cell>
          <cell r="AJ3">
            <v>41639</v>
          </cell>
          <cell r="AK3">
            <v>41639</v>
          </cell>
          <cell r="AL3">
            <v>41729</v>
          </cell>
          <cell r="AM3">
            <v>41820</v>
          </cell>
          <cell r="AN3">
            <v>41912</v>
          </cell>
          <cell r="AO3">
            <v>42004</v>
          </cell>
          <cell r="AP3">
            <v>42004</v>
          </cell>
          <cell r="AQ3">
            <v>42094</v>
          </cell>
          <cell r="AR3">
            <v>42185</v>
          </cell>
          <cell r="AS3">
            <v>42277</v>
          </cell>
          <cell r="AT3">
            <v>42369</v>
          </cell>
          <cell r="AU3">
            <v>42369</v>
          </cell>
          <cell r="AV3">
            <v>42460</v>
          </cell>
          <cell r="AW3">
            <v>42551</v>
          </cell>
          <cell r="AX3">
            <v>42643</v>
          </cell>
          <cell r="AY3">
            <v>42735</v>
          </cell>
          <cell r="AZ3">
            <v>42735</v>
          </cell>
          <cell r="BA3">
            <v>43100</v>
          </cell>
          <cell r="BB3">
            <v>43465</v>
          </cell>
          <cell r="BC3">
            <v>43830</v>
          </cell>
          <cell r="BD3">
            <v>44196</v>
          </cell>
        </row>
        <row r="4">
          <cell r="A4" t="str">
            <v>Issuer: Beijing Ultrapower Software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Reference Data</v>
          </cell>
          <cell r="B5">
            <v>0</v>
          </cell>
          <cell r="C5">
            <v>0</v>
          </cell>
          <cell r="D5">
            <v>0</v>
          </cell>
        </row>
        <row r="6">
          <cell r="B6" t="str">
            <v>Issuer Name</v>
          </cell>
          <cell r="C6" t="str">
            <v>Issuer Name</v>
          </cell>
          <cell r="E6" t="str">
            <v>Beijing Ultrapower Software</v>
          </cell>
        </row>
        <row r="7">
          <cell r="B7" t="str">
            <v>Reporting Currency</v>
          </cell>
          <cell r="C7" t="str">
            <v>CURRENCY_ISO</v>
          </cell>
          <cell r="E7" t="str">
            <v>CNY</v>
          </cell>
        </row>
        <row r="8">
          <cell r="A8" t="str">
            <v>Income Statement</v>
          </cell>
          <cell r="B8">
            <v>0</v>
          </cell>
          <cell r="C8">
            <v>0</v>
          </cell>
          <cell r="D8">
            <v>0</v>
          </cell>
        </row>
        <row r="9">
          <cell r="B9" t="str">
            <v>Sales, net revenue</v>
          </cell>
          <cell r="C9" t="str">
            <v>SALES</v>
          </cell>
          <cell r="D9" t="str">
            <v>CNY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187.60429084</v>
          </cell>
          <cell r="S9">
            <v>442.76652658999996</v>
          </cell>
          <cell r="T9">
            <v>519.28288069999996</v>
          </cell>
          <cell r="U9">
            <v>722.75869049999994</v>
          </cell>
          <cell r="V9">
            <v>841.62898700000005</v>
          </cell>
          <cell r="W9">
            <v>204.81831707000001</v>
          </cell>
          <cell r="X9">
            <v>330.37986076999994</v>
          </cell>
          <cell r="Y9">
            <v>238.97879821000004</v>
          </cell>
          <cell r="Z9">
            <v>383.08111348</v>
          </cell>
          <cell r="AA9">
            <v>1157.25808953</v>
          </cell>
          <cell r="AB9">
            <v>242.92063012</v>
          </cell>
          <cell r="AC9">
            <v>437.09620760000001</v>
          </cell>
          <cell r="AD9">
            <v>303.38412253000001</v>
          </cell>
          <cell r="AE9">
            <v>426.11194976999991</v>
          </cell>
          <cell r="AF9">
            <v>1409.5129100199999</v>
          </cell>
          <cell r="AG9">
            <v>348.45297110000001</v>
          </cell>
          <cell r="AH9">
            <v>607.13261825999996</v>
          </cell>
          <cell r="AI9">
            <v>432.71126663000007</v>
          </cell>
          <cell r="AJ9">
            <v>518.16965304999985</v>
          </cell>
          <cell r="AK9">
            <v>1906.4665090399999</v>
          </cell>
          <cell r="AL9">
            <v>466.76376913000001</v>
          </cell>
          <cell r="AM9">
            <v>666.34454358999994</v>
          </cell>
          <cell r="AN9">
            <v>555.94271255000012</v>
          </cell>
          <cell r="AO9">
            <v>859.79336720999981</v>
          </cell>
          <cell r="AP9">
            <v>2548.8443924799999</v>
          </cell>
          <cell r="AQ9">
            <v>468.89389055999999</v>
          </cell>
          <cell r="AR9">
            <v>677.1105567799998</v>
          </cell>
          <cell r="AS9">
            <v>668.80091810000022</v>
          </cell>
          <cell r="AT9">
            <v>1093.6131168229997</v>
          </cell>
          <cell r="AU9">
            <v>2908.418482263</v>
          </cell>
          <cell r="AV9">
            <v>548.48560937914135</v>
          </cell>
          <cell r="AW9">
            <v>829.65496779699242</v>
          </cell>
          <cell r="AX9">
            <v>834.90826648739198</v>
          </cell>
          <cell r="AY9">
            <v>1370.4306411266543</v>
          </cell>
          <cell r="AZ9">
            <v>3583.4794847901799</v>
          </cell>
          <cell r="BA9">
            <v>4267.441958340728</v>
          </cell>
          <cell r="BB9">
            <v>4975.9216175718739</v>
          </cell>
          <cell r="BC9">
            <v>5511.3076170949907</v>
          </cell>
          <cell r="BD9">
            <v>5907.4859330467816</v>
          </cell>
        </row>
        <row r="10">
          <cell r="B10" t="str">
            <v>Compensation &amp; benfits expense</v>
          </cell>
          <cell r="C10" t="str">
            <v>PERSONNEL</v>
          </cell>
          <cell r="D10" t="str">
            <v>CNY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</row>
        <row r="11">
          <cell r="B11" t="str">
            <v>Cost of goods sold, COGS</v>
          </cell>
          <cell r="C11" t="str">
            <v>COST_GD_SD</v>
          </cell>
          <cell r="D11" t="str">
            <v>CNY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-115.48163493000001</v>
          </cell>
          <cell r="S11">
            <v>-273.13157932000001</v>
          </cell>
          <cell r="T11">
            <v>-257.78372918999997</v>
          </cell>
          <cell r="U11">
            <v>-190.6453348</v>
          </cell>
          <cell r="V11">
            <v>-220.05270031999999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-376.95109201999998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-495.68639401999997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-801.25129303999995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-1350.8132951600001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-1752.5797283153815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-2141.5718657177467</v>
          </cell>
          <cell r="BA11">
            <v>-2565.0753076973569</v>
          </cell>
          <cell r="BB11">
            <v>-2980.9766330911916</v>
          </cell>
          <cell r="BC11">
            <v>-3290.6932249672168</v>
          </cell>
          <cell r="BD11">
            <v>-3515.4285222491662</v>
          </cell>
        </row>
        <row r="12">
          <cell r="B12" t="str">
            <v>SG&amp;A, selling, general and admin. expense</v>
          </cell>
          <cell r="C12" t="str">
            <v>SEL_GL_AD</v>
          </cell>
          <cell r="D12" t="str">
            <v>CNY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-52.937832069999999</v>
          </cell>
          <cell r="S12">
            <v>-55.160707439999996</v>
          </cell>
          <cell r="T12">
            <v>-95.29330465999999</v>
          </cell>
          <cell r="U12">
            <v>-165.20484077</v>
          </cell>
          <cell r="V12">
            <v>-211.30392653000001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-319.28231984999996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-335.39559292000001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-418.14278555999999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-492.92443840999999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-612.42411143280549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-715.70760335200953</v>
          </cell>
          <cell r="BA12">
            <v>-812.00751269440866</v>
          </cell>
          <cell r="BB12">
            <v>-954.84891356243315</v>
          </cell>
          <cell r="BC12">
            <v>-1065.486596165242</v>
          </cell>
          <cell r="BD12">
            <v>-1149.5328448944654</v>
          </cell>
        </row>
        <row r="13">
          <cell r="B13" t="str">
            <v>Total operating expense</v>
          </cell>
          <cell r="C13" t="str">
            <v>OP_COST</v>
          </cell>
          <cell r="D13" t="str">
            <v>CNY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-168.419467</v>
          </cell>
          <cell r="S13">
            <v>-328.29228676000002</v>
          </cell>
          <cell r="T13">
            <v>-353.07703384999996</v>
          </cell>
          <cell r="U13">
            <v>-355.85017557000003</v>
          </cell>
          <cell r="V13">
            <v>-431.35662685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-696.23341186999994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-831.08198693999998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-1219.3940785999998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-1843.73773357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-2365.0038397481871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-2857.2794690697565</v>
          </cell>
          <cell r="BA13">
            <v>-3377.0828203917654</v>
          </cell>
          <cell r="BB13">
            <v>-3935.8255466536248</v>
          </cell>
          <cell r="BC13">
            <v>-4356.1798211324585</v>
          </cell>
          <cell r="BD13">
            <v>-4664.9613671436318</v>
          </cell>
        </row>
        <row r="14">
          <cell r="B14" t="str">
            <v>R&amp;D expense</v>
          </cell>
          <cell r="C14" t="str">
            <v>RD_EXP</v>
          </cell>
          <cell r="D14" t="str">
            <v>CNY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-49.914000000000001</v>
          </cell>
          <cell r="T14">
            <v>-59.079599999999999</v>
          </cell>
          <cell r="U14">
            <v>-85.297200000000004</v>
          </cell>
          <cell r="V14">
            <v>-81.555700000000002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-142.64226825999998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-191.50270613000001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-185.63509199999999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-167.91112307000003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-210.75880374285074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-272.66101723675087</v>
          </cell>
          <cell r="BA14">
            <v>-308.46745929025428</v>
          </cell>
          <cell r="BB14">
            <v>-341.69519311208666</v>
          </cell>
          <cell r="BC14">
            <v>-359.53700479916694</v>
          </cell>
          <cell r="BD14">
            <v>-366.11308033126465</v>
          </cell>
        </row>
        <row r="15">
          <cell r="B15" t="str">
            <v>Other operating income/(expense) (incl. leases)</v>
          </cell>
          <cell r="C15" t="str">
            <v>OTH_OP_INC_EXP</v>
          </cell>
          <cell r="D15" t="str">
            <v>CNY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</row>
        <row r="16">
          <cell r="B16" t="str">
            <v>Total operating expense (incl. D&amp;A)</v>
          </cell>
          <cell r="C16" t="str">
            <v>TOT_OPS_EXP_DDA</v>
          </cell>
          <cell r="D16" t="str">
            <v>CNY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-168.419467</v>
          </cell>
          <cell r="S16">
            <v>-378.20628676000007</v>
          </cell>
          <cell r="T16">
            <v>-412.15663384999993</v>
          </cell>
          <cell r="U16">
            <v>-441.14737557000001</v>
          </cell>
          <cell r="V16">
            <v>-512.91232685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-838.87568012999986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-1022.58469307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-1405.0291705999998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-2011.6488566400003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-2575.762643491038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-3129.9404863065079</v>
          </cell>
          <cell r="BA16">
            <v>-3685.5502796820197</v>
          </cell>
          <cell r="BB16">
            <v>-4277.5207397657114</v>
          </cell>
          <cell r="BC16">
            <v>-4715.7168259316259</v>
          </cell>
          <cell r="BD16">
            <v>-5031.0744474748963</v>
          </cell>
        </row>
        <row r="17">
          <cell r="B17" t="str">
            <v>Total operating expense (excl. D&amp;A)</v>
          </cell>
          <cell r="C17" t="str">
            <v>TOT_OPS_EXP</v>
          </cell>
          <cell r="D17" t="str">
            <v>CNY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-167.00477692999999</v>
          </cell>
          <cell r="S17">
            <v>-376.18642736000004</v>
          </cell>
          <cell r="T17">
            <v>-407.77008451999995</v>
          </cell>
          <cell r="U17">
            <v>-435.28892834999999</v>
          </cell>
          <cell r="V17">
            <v>-503.01359600000001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-812.36425317999988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-989.16020997999999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-1370.6039870299999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-1966.1922582900002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-2514.8398206582233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-3049.7154931785976</v>
          </cell>
          <cell r="BA17">
            <v>-3582.0129508907244</v>
          </cell>
          <cell r="BB17">
            <v>-4146.3893945892214</v>
          </cell>
          <cell r="BC17">
            <v>-4553.3628112360757</v>
          </cell>
          <cell r="BD17">
            <v>-4834.3389471343435</v>
          </cell>
        </row>
        <row r="18">
          <cell r="B18" t="str">
            <v>EBITDA</v>
          </cell>
          <cell r="C18" t="str">
            <v>EBITDA_CALC</v>
          </cell>
          <cell r="D18" t="str">
            <v>CNY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20.599513910000013</v>
          </cell>
          <cell r="S18">
            <v>66.580099229999917</v>
          </cell>
          <cell r="T18">
            <v>111.51279618000001</v>
          </cell>
          <cell r="U18">
            <v>287.46976214999995</v>
          </cell>
          <cell r="V18">
            <v>338.61539100000005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344.89383635000013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420.35270003999995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535.86252201000002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582.65213418999974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393.5786616047767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533.76399161158224</v>
          </cell>
          <cell r="BA18">
            <v>685.42900745000361</v>
          </cell>
          <cell r="BB18">
            <v>829.53222298265246</v>
          </cell>
          <cell r="BC18">
            <v>957.94480585891506</v>
          </cell>
          <cell r="BD18">
            <v>1073.1469859124381</v>
          </cell>
        </row>
        <row r="19">
          <cell r="B19" t="str">
            <v>Depreciation</v>
          </cell>
          <cell r="C19" t="str">
            <v>DEPREC</v>
          </cell>
          <cell r="D19" t="str">
            <v>CNY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-1.41469007</v>
          </cell>
          <cell r="S19">
            <v>-1.9729203200000001</v>
          </cell>
          <cell r="T19">
            <v>-3.6781104099999999</v>
          </cell>
          <cell r="U19">
            <v>-4.7938930599999994</v>
          </cell>
          <cell r="V19">
            <v>-9.094113179999999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-20.636721469999998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-25.591410570000001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-26.316598070000001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-27.36579656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-42.832021042814794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-62.134191337909961</v>
          </cell>
          <cell r="BA19">
            <v>-85.446527001295323</v>
          </cell>
          <cell r="BB19">
            <v>-113.04054338648977</v>
          </cell>
          <cell r="BC19">
            <v>-144.26321290555003</v>
          </cell>
          <cell r="BD19">
            <v>-178.64469855055268</v>
          </cell>
        </row>
        <row r="20">
          <cell r="B20" t="str">
            <v>Amortization</v>
          </cell>
          <cell r="C20" t="str">
            <v>GOODWILL_AMORT</v>
          </cell>
          <cell r="D20" t="str">
            <v>CNY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-4.6939080000000001E-2</v>
          </cell>
          <cell r="T20">
            <v>-0.70843892000000008</v>
          </cell>
          <cell r="U20">
            <v>-1.0645541599999999</v>
          </cell>
          <cell r="V20">
            <v>-0.80461767000000006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-5.8747054800000003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-7.8330725200000009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-8.1085855000000002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-18.09080179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-18.09080179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-18.09080179</v>
          </cell>
          <cell r="BA20">
            <v>-18.09080179</v>
          </cell>
          <cell r="BB20">
            <v>-18.09080179</v>
          </cell>
          <cell r="BC20">
            <v>-18.09080179</v>
          </cell>
          <cell r="BD20">
            <v>-18.09080179</v>
          </cell>
        </row>
        <row r="21">
          <cell r="B21" t="str">
            <v>EBIT, operating profit</v>
          </cell>
          <cell r="C21" t="str">
            <v>EBIT</v>
          </cell>
          <cell r="D21" t="str">
            <v>CNY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19.184823840000007</v>
          </cell>
          <cell r="S21">
            <v>64.560239829999887</v>
          </cell>
          <cell r="T21">
            <v>107.12624685000003</v>
          </cell>
          <cell r="U21">
            <v>281.61131492999993</v>
          </cell>
          <cell r="V21">
            <v>328.71666015000005</v>
          </cell>
          <cell r="W21">
            <v>58.682645960000002</v>
          </cell>
          <cell r="X21">
            <v>145.62258324999993</v>
          </cell>
          <cell r="Y21">
            <v>42.179027240000039</v>
          </cell>
          <cell r="Z21">
            <v>71.898152950000053</v>
          </cell>
          <cell r="AA21">
            <v>318.38240940000014</v>
          </cell>
          <cell r="AB21">
            <v>70.293445730000002</v>
          </cell>
          <cell r="AC21">
            <v>189.66605327999997</v>
          </cell>
          <cell r="AD21">
            <v>86.374526109999977</v>
          </cell>
          <cell r="AE21">
            <v>40.594191829999936</v>
          </cell>
          <cell r="AF21">
            <v>386.92821694999998</v>
          </cell>
          <cell r="AG21">
            <v>106.14939612000003</v>
          </cell>
          <cell r="AH21">
            <v>211.32175306999997</v>
          </cell>
          <cell r="AI21">
            <v>93.025038229999993</v>
          </cell>
          <cell r="AJ21">
            <v>90.941151019999921</v>
          </cell>
          <cell r="AK21">
            <v>501.43733844000008</v>
          </cell>
          <cell r="AL21">
            <v>70.250510950000034</v>
          </cell>
          <cell r="AM21">
            <v>146.78398794999984</v>
          </cell>
          <cell r="AN21">
            <v>112.37639544000024</v>
          </cell>
          <cell r="AO21">
            <v>207.78464149999968</v>
          </cell>
          <cell r="AP21">
            <v>537.19553583999959</v>
          </cell>
          <cell r="AQ21">
            <v>-5.5553544400000021</v>
          </cell>
          <cell r="AR21">
            <v>48.028329559999776</v>
          </cell>
          <cell r="AS21">
            <v>51.411115090000095</v>
          </cell>
          <cell r="AT21">
            <v>238.77174856196211</v>
          </cell>
          <cell r="AU21">
            <v>332.65583877196195</v>
          </cell>
          <cell r="AV21">
            <v>54.643416505977825</v>
          </cell>
          <cell r="AW21">
            <v>165.98932816763983</v>
          </cell>
          <cell r="AX21">
            <v>155.67319602857782</v>
          </cell>
          <cell r="AY21">
            <v>77.233057781477328</v>
          </cell>
          <cell r="AZ21">
            <v>453.538998483672</v>
          </cell>
          <cell r="BA21">
            <v>581.89167865870832</v>
          </cell>
          <cell r="BB21">
            <v>698.4008778061625</v>
          </cell>
          <cell r="BC21">
            <v>795.59079116336488</v>
          </cell>
          <cell r="BD21">
            <v>876.41148557188535</v>
          </cell>
        </row>
        <row r="22">
          <cell r="B22" t="str">
            <v>Interest income</v>
          </cell>
          <cell r="C22" t="str">
            <v>INT_INC_IND</v>
          </cell>
          <cell r="D22" t="str">
            <v>CNY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0.22355494000000001</v>
          </cell>
          <cell r="S22">
            <v>0</v>
          </cell>
          <cell r="T22">
            <v>0.69645242000000007</v>
          </cell>
          <cell r="U22">
            <v>4.4954400099999994</v>
          </cell>
          <cell r="V22">
            <v>32.711061629999996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28.361777710000002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29.53621497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35.830386170000004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17.91582584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19.636440159999999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28.89314896898594</v>
          </cell>
          <cell r="BA22">
            <v>42.590764675034137</v>
          </cell>
          <cell r="BB22">
            <v>46.51467601236309</v>
          </cell>
          <cell r="BC22">
            <v>52.915082837540254</v>
          </cell>
          <cell r="BD22">
            <v>65.193029141108767</v>
          </cell>
        </row>
        <row r="23">
          <cell r="B23" t="str">
            <v>Interest expense</v>
          </cell>
          <cell r="C23" t="str">
            <v>INT_EXP_IND</v>
          </cell>
          <cell r="D23" t="str">
            <v>CNY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-9.1541629999999999E-2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 t="str">
            <v>Net interest income/(expense)</v>
          </cell>
          <cell r="C24" t="str">
            <v>NET_INT_EXP</v>
          </cell>
          <cell r="D24" t="str">
            <v>CNY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0.22355494000000001</v>
          </cell>
          <cell r="S24">
            <v>-9.1541629999999999E-2</v>
          </cell>
          <cell r="T24">
            <v>0.69645242000000007</v>
          </cell>
          <cell r="U24">
            <v>4.4954400099999994</v>
          </cell>
          <cell r="V24">
            <v>32.711061629999996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28.361777710000002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29.53621497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35.830386170000004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17.91582584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19.636440159999999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28.89314896898594</v>
          </cell>
          <cell r="BA24">
            <v>42.590764675034137</v>
          </cell>
          <cell r="BB24">
            <v>46.51467601236309</v>
          </cell>
          <cell r="BC24">
            <v>52.915082837540254</v>
          </cell>
          <cell r="BD24">
            <v>65.193029141108767</v>
          </cell>
        </row>
        <row r="25">
          <cell r="B25" t="str">
            <v>Income/(loss) from unconsolidated subs &amp; associates</v>
          </cell>
          <cell r="C25" t="str">
            <v>ASSOCIATE</v>
          </cell>
          <cell r="D25" t="str">
            <v>CNY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Profit/(loss) on disposals of assets, pre-tax</v>
          </cell>
          <cell r="C26" t="str">
            <v>PROFIT_ON_DISP</v>
          </cell>
          <cell r="D26" t="str">
            <v>CNY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</row>
        <row r="27">
          <cell r="B27" t="str">
            <v>Other non-ops income/(expense)</v>
          </cell>
          <cell r="C27" t="str">
            <v>OTH_COST_INC</v>
          </cell>
          <cell r="D27" t="str">
            <v>CNY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3.2306870099999894</v>
          </cell>
          <cell r="S27">
            <v>26.201999030000056</v>
          </cell>
          <cell r="T27">
            <v>16.346930179999958</v>
          </cell>
          <cell r="U27">
            <v>14.301865779999996</v>
          </cell>
          <cell r="V27">
            <v>3.9799821199999528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39.943359839999871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28.640045840000031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26.184645289999928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96.304408390000191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69.584577447000243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90.106466995400694</v>
          </cell>
          <cell r="BA27">
            <v>111.83660790389982</v>
          </cell>
          <cell r="BB27">
            <v>134.20392948468</v>
          </cell>
          <cell r="BC27">
            <v>161.04471538161624</v>
          </cell>
          <cell r="BD27">
            <v>193.25365845793937</v>
          </cell>
        </row>
        <row r="28">
          <cell r="B28" t="str">
            <v>Pre-tax profit</v>
          </cell>
          <cell r="C28" t="str">
            <v>PT_PROF</v>
          </cell>
          <cell r="D28" t="str">
            <v>CNY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22.639065789999997</v>
          </cell>
          <cell r="S28">
            <v>90.670697229999945</v>
          </cell>
          <cell r="T28">
            <v>124.16962944999999</v>
          </cell>
          <cell r="U28">
            <v>300.40862071999993</v>
          </cell>
          <cell r="V28">
            <v>365.4077039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386.68754695000001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445.10447776000001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563.45236990000001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651.41577006999978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421.8768563789622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572.53861444805864</v>
          </cell>
          <cell r="BA28">
            <v>736.31905123764227</v>
          </cell>
          <cell r="BB28">
            <v>879.11948330320558</v>
          </cell>
          <cell r="BC28">
            <v>1009.5505893825214</v>
          </cell>
          <cell r="BD28">
            <v>1134.8581731709335</v>
          </cell>
        </row>
        <row r="29">
          <cell r="A29" t="str">
            <v>Additional Income Statement Items</v>
          </cell>
          <cell r="B29">
            <v>0</v>
          </cell>
          <cell r="C29">
            <v>0</v>
          </cell>
          <cell r="D29">
            <v>0</v>
          </cell>
        </row>
        <row r="30">
          <cell r="B30" t="str">
            <v>Contribution margin ratio</v>
          </cell>
          <cell r="C30" t="str">
            <v>CONTRIB_MARGIN_RATIO</v>
          </cell>
          <cell r="D30" t="str">
            <v>CNY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</row>
        <row r="31">
          <cell r="B31" t="str">
            <v>Lease payments</v>
          </cell>
          <cell r="C31" t="str">
            <v>LEASE_PAY</v>
          </cell>
          <cell r="D31" t="str">
            <v>CNY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</row>
        <row r="32">
          <cell r="B32" t="str">
            <v>Lease payments (deemed interest portion)</v>
          </cell>
          <cell r="C32" t="str">
            <v>LEASE_DEEM_INT</v>
          </cell>
          <cell r="D32" t="str">
            <v>CNY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</row>
        <row r="33">
          <cell r="B33" t="str">
            <v>Lease payments (deemed depreciation portion)</v>
          </cell>
          <cell r="C33" t="str">
            <v>LEASE_DEEM_DEPR</v>
          </cell>
          <cell r="D33" t="str">
            <v>CNY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</row>
        <row r="34">
          <cell r="B34" t="str">
            <v>Gross interest charge</v>
          </cell>
          <cell r="C34" t="str">
            <v>NET_INT_CH</v>
          </cell>
          <cell r="D34" t="str">
            <v>CNY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-9.1541629999999999E-2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</row>
        <row r="35">
          <cell r="B35" t="str">
            <v>Income from associates (operating)</v>
          </cell>
          <cell r="C35" t="str">
            <v>ASSOCIATE_OP</v>
          </cell>
          <cell r="D35" t="str">
            <v>CNY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A36" t="str">
            <v>Balance Sheet</v>
          </cell>
          <cell r="B36">
            <v>0</v>
          </cell>
          <cell r="C36">
            <v>0</v>
          </cell>
          <cell r="D36">
            <v>0</v>
          </cell>
        </row>
        <row r="37">
          <cell r="B37" t="str">
            <v>Cash &amp; cash equivalents</v>
          </cell>
          <cell r="C37" t="str">
            <v>CASH_EQ</v>
          </cell>
          <cell r="D37" t="str">
            <v>CNY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50.739110689999997</v>
          </cell>
          <cell r="S37">
            <v>81.897238049999999</v>
          </cell>
          <cell r="T37">
            <v>193.11123214</v>
          </cell>
          <cell r="U37">
            <v>2076.8490320299998</v>
          </cell>
          <cell r="V37">
            <v>1677.6470453699999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1366.6017071700001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1376.1727027100001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1483.8317681999999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1234.6377222599999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1194.6324204076636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1202.7742359618744</v>
          </cell>
          <cell r="BA37">
            <v>1313.5865093912944</v>
          </cell>
          <cell r="BB37">
            <v>1494.3356574222098</v>
          </cell>
          <cell r="BC37">
            <v>1841.068044058884</v>
          </cell>
          <cell r="BD37">
            <v>2351.5235887292724</v>
          </cell>
        </row>
        <row r="38">
          <cell r="B38" t="str">
            <v>Accounts receivable</v>
          </cell>
          <cell r="C38" t="str">
            <v>DEBTORS</v>
          </cell>
          <cell r="D38" t="str">
            <v>CNY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67.974795220000004</v>
          </cell>
          <cell r="S38">
            <v>89.578401010000007</v>
          </cell>
          <cell r="T38">
            <v>123.77209271000001</v>
          </cell>
          <cell r="U38">
            <v>161.80798646000002</v>
          </cell>
          <cell r="V38">
            <v>354.48312600999998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602.74380796000003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721.43590554999992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880.50769405000005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1059.4678090899999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1208.9305123573652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1489.5303808545088</v>
          </cell>
          <cell r="BA38">
            <v>1773.8302877026128</v>
          </cell>
          <cell r="BB38">
            <v>2068.3211536672134</v>
          </cell>
          <cell r="BC38">
            <v>2290.8628802652474</v>
          </cell>
          <cell r="BD38">
            <v>2455.5407137370698</v>
          </cell>
        </row>
        <row r="39">
          <cell r="B39" t="str">
            <v>Inventory</v>
          </cell>
          <cell r="C39" t="str">
            <v>STOCKS</v>
          </cell>
          <cell r="D39" t="str">
            <v>CNY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58.95876706</v>
          </cell>
          <cell r="S39">
            <v>30.969882590000001</v>
          </cell>
          <cell r="T39">
            <v>31.193092449999998</v>
          </cell>
          <cell r="U39">
            <v>42.243028469999999</v>
          </cell>
          <cell r="V39">
            <v>70.524803059999996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99.879942360000001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105.35326675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119.46128092000001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215.79546206999999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279.97855339552029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342.1209222433169</v>
          </cell>
          <cell r="BA39">
            <v>409.77654961808338</v>
          </cell>
          <cell r="BB39">
            <v>476.21772177004789</v>
          </cell>
          <cell r="BC39">
            <v>525.69564391821268</v>
          </cell>
          <cell r="BD39">
            <v>561.59761312014655</v>
          </cell>
        </row>
        <row r="40">
          <cell r="B40" t="str">
            <v>Other current assets</v>
          </cell>
          <cell r="C40" t="str">
            <v>OTH_CUR_ASS</v>
          </cell>
          <cell r="D40" t="str">
            <v>CNY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11.353046370000001</v>
          </cell>
          <cell r="S40">
            <v>6.8735974799999831</v>
          </cell>
          <cell r="T40">
            <v>12.368542610000016</v>
          </cell>
          <cell r="U40">
            <v>4.5861947199999094</v>
          </cell>
          <cell r="V40">
            <v>15.822608750000271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29.625008109999925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38.256166659999835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94.932638969999772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89.897342400000525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89.897342399999616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89.8973423999999</v>
          </cell>
          <cell r="BA40">
            <v>89.897342399999673</v>
          </cell>
          <cell r="BB40">
            <v>89.897342399999957</v>
          </cell>
          <cell r="BC40">
            <v>89.897342399999161</v>
          </cell>
          <cell r="BD40">
            <v>89.897342399999957</v>
          </cell>
        </row>
        <row r="41">
          <cell r="B41" t="str">
            <v>Total current assets</v>
          </cell>
          <cell r="C41" t="str">
            <v>CUR_ASS</v>
          </cell>
          <cell r="D41" t="str">
            <v>CNY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189.02571933999999</v>
          </cell>
          <cell r="S41">
            <v>209.31911912999999</v>
          </cell>
          <cell r="T41">
            <v>360.44495991000002</v>
          </cell>
          <cell r="U41">
            <v>2285.4862416799997</v>
          </cell>
          <cell r="V41">
            <v>2118.4775831900001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2098.8504656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2241.2180416699998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2578.7333821399998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2599.7983358200004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2773.4388285605487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3124.3228814597001</v>
          </cell>
          <cell r="BA41">
            <v>3587.0906891119903</v>
          </cell>
          <cell r="BB41">
            <v>4128.771875259471</v>
          </cell>
          <cell r="BC41">
            <v>4747.5239106423433</v>
          </cell>
          <cell r="BD41">
            <v>5458.5592579864888</v>
          </cell>
        </row>
        <row r="42">
          <cell r="B42" t="str">
            <v>Gross fixed assets, PP&amp;E</v>
          </cell>
          <cell r="C42" t="str">
            <v>GR_FIX_ASS</v>
          </cell>
          <cell r="D42" t="str">
            <v>CNY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5.0022377899999997</v>
          </cell>
          <cell r="S42">
            <v>12.642002310000001</v>
          </cell>
          <cell r="T42">
            <v>14.986604679999999</v>
          </cell>
          <cell r="U42">
            <v>86.847670690000001</v>
          </cell>
          <cell r="V42">
            <v>487.71120468999999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335.41867615000007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365.54547514999996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368.00112742000005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398.12233351999998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601.71162727840999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841.80475275935203</v>
          </cell>
          <cell r="BA42">
            <v>1114.9210380931586</v>
          </cell>
          <cell r="BB42">
            <v>1418.4522567650429</v>
          </cell>
          <cell r="BC42">
            <v>1738.1080985565522</v>
          </cell>
          <cell r="BD42">
            <v>2063.0198248741253</v>
          </cell>
        </row>
        <row r="43">
          <cell r="B43" t="str">
            <v>Accumulated depreciation</v>
          </cell>
          <cell r="C43" t="str">
            <v>ACC_DDA</v>
          </cell>
          <cell r="D43" t="str">
            <v>CNY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-4.2344681699999995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-8.3159303700000002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-12.371702769999999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-16.45316497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-59.285186012814791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-121.41937735072474</v>
          </cell>
          <cell r="BA43">
            <v>-206.86590435202007</v>
          </cell>
          <cell r="BB43">
            <v>-319.90644773850983</v>
          </cell>
          <cell r="BC43">
            <v>-464.16966064405983</v>
          </cell>
          <cell r="BD43">
            <v>-642.81435919461251</v>
          </cell>
        </row>
        <row r="44">
          <cell r="B44" t="str">
            <v>Net PP&amp;E</v>
          </cell>
          <cell r="C44" t="str">
            <v>NET_FIX_ASS</v>
          </cell>
          <cell r="D44" t="str">
            <v>CNY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5.0022377899999997</v>
          </cell>
          <cell r="S44">
            <v>12.642002310000001</v>
          </cell>
          <cell r="T44">
            <v>14.986604679999999</v>
          </cell>
          <cell r="U44">
            <v>86.847670690000001</v>
          </cell>
          <cell r="V44">
            <v>487.71120468999999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331.18420798000005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357.22954477999997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355.62942465000003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381.66916854999999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542.42644126559526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720.38537540862728</v>
          </cell>
          <cell r="BA44">
            <v>908.05513374113855</v>
          </cell>
          <cell r="BB44">
            <v>1098.5458090265331</v>
          </cell>
          <cell r="BC44">
            <v>1273.9384379124924</v>
          </cell>
          <cell r="BD44">
            <v>1420.2054656795128</v>
          </cell>
        </row>
        <row r="45">
          <cell r="B45" t="str">
            <v>Gross intangibles</v>
          </cell>
          <cell r="C45" t="str">
            <v>GR_INTANG</v>
          </cell>
          <cell r="D45" t="str">
            <v>CNY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1.6428677199999999</v>
          </cell>
          <cell r="T45">
            <v>1.3364379199999998</v>
          </cell>
          <cell r="U45">
            <v>1.23631376</v>
          </cell>
          <cell r="V45">
            <v>53.621154419999996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314.44621172000001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314.51637369999997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437.24839148000001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1663.0242899899999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1663.0242899899999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1663.0242899899999</v>
          </cell>
          <cell r="BA45">
            <v>1663.0242899899999</v>
          </cell>
          <cell r="BB45">
            <v>1663.0242899899999</v>
          </cell>
          <cell r="BC45">
            <v>1663.0242899899999</v>
          </cell>
          <cell r="BD45">
            <v>1663.0242899899999</v>
          </cell>
        </row>
        <row r="46">
          <cell r="B46" t="str">
            <v>Accumulated amortization</v>
          </cell>
          <cell r="C46" t="str">
            <v>ACC_AMORT</v>
          </cell>
          <cell r="D46" t="str">
            <v>CNY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-0.3</v>
          </cell>
          <cell r="V46">
            <v>-0.3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-0.3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-0.4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-0.25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-0.12048010000000001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-18.211281890000002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-36.302083680000003</v>
          </cell>
          <cell r="BA46">
            <v>-54.392885470000003</v>
          </cell>
          <cell r="BB46">
            <v>-72.483687260000011</v>
          </cell>
          <cell r="BC46">
            <v>-90.574489050000011</v>
          </cell>
          <cell r="BD46">
            <v>-108.66529084000001</v>
          </cell>
        </row>
        <row r="47">
          <cell r="B47" t="str">
            <v>Net intangible assets</v>
          </cell>
          <cell r="C47" t="str">
            <v>NET_INTANG</v>
          </cell>
          <cell r="D47" t="str">
            <v>CNY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1.6428677199999999</v>
          </cell>
          <cell r="T47">
            <v>1.3364379199999998</v>
          </cell>
          <cell r="U47">
            <v>0.93631375999999999</v>
          </cell>
          <cell r="V47">
            <v>53.321154419999999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314.14621172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314.1163737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436.99839148000001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1662.90380989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1644.8130080999999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1626.72220631</v>
          </cell>
          <cell r="BA47">
            <v>1608.6314045199999</v>
          </cell>
          <cell r="BB47">
            <v>1590.54060273</v>
          </cell>
          <cell r="BC47">
            <v>1572.4498009399999</v>
          </cell>
          <cell r="BD47">
            <v>1554.3589991499998</v>
          </cell>
        </row>
        <row r="48">
          <cell r="B48" t="str">
            <v>Equity method investments</v>
          </cell>
          <cell r="C48" t="str">
            <v>FIX_ASS_INV</v>
          </cell>
          <cell r="D48" t="str">
            <v>CNY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</row>
        <row r="49">
          <cell r="B49" t="str">
            <v>Investments in securities</v>
          </cell>
          <cell r="C49" t="str">
            <v>INV_SECUR</v>
          </cell>
          <cell r="D49" t="str">
            <v>CNY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75.874851280000001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503.18425347000004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576.80893067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764.72633215999997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856.23378260000004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856.23378260000004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856.23378260000004</v>
          </cell>
          <cell r="BA49">
            <v>856.23378260000004</v>
          </cell>
          <cell r="BB49">
            <v>856.23378260000004</v>
          </cell>
          <cell r="BC49">
            <v>856.23378260000004</v>
          </cell>
          <cell r="BD49">
            <v>856.23378260000004</v>
          </cell>
        </row>
        <row r="50">
          <cell r="B50" t="str">
            <v>Other long-term assets</v>
          </cell>
          <cell r="C50" t="str">
            <v>OTH_LT_ASS</v>
          </cell>
          <cell r="D50" t="str">
            <v>CNY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1.9073635199999996</v>
          </cell>
          <cell r="S50">
            <v>4.0482449000000216</v>
          </cell>
          <cell r="T50">
            <v>3.3547722899999801</v>
          </cell>
          <cell r="U50">
            <v>5.7678125500000776</v>
          </cell>
          <cell r="V50">
            <v>7.5720139599996514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26.973166039999342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27.581136790000414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23.873479079999811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36.368301090001069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36.368301090000614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36.368301090000386</v>
          </cell>
          <cell r="BA50">
            <v>36.368301090000841</v>
          </cell>
          <cell r="BB50">
            <v>36.368301090001069</v>
          </cell>
          <cell r="BC50">
            <v>36.368301090001069</v>
          </cell>
          <cell r="BD50">
            <v>36.368301090000159</v>
          </cell>
        </row>
        <row r="51">
          <cell r="B51" t="str">
            <v>Total assets</v>
          </cell>
          <cell r="C51" t="str">
            <v>TOT_ASSET</v>
          </cell>
          <cell r="D51" t="str">
            <v>CNY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195.93532064999999</v>
          </cell>
          <cell r="S51">
            <v>227.65223406000001</v>
          </cell>
          <cell r="T51">
            <v>380.1227748</v>
          </cell>
          <cell r="U51">
            <v>2379.0380386799998</v>
          </cell>
          <cell r="V51">
            <v>2742.9568075399998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3274.3383048099995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3516.9540276100001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4159.9610095099997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5536.9733979500015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5853.2803616161445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6364.0325468683277</v>
          </cell>
          <cell r="BA51">
            <v>6996.3793110631295</v>
          </cell>
          <cell r="BB51">
            <v>7710.4603707060051</v>
          </cell>
          <cell r="BC51">
            <v>8486.5142331848365</v>
          </cell>
          <cell r="BD51">
            <v>9325.7258065060014</v>
          </cell>
        </row>
        <row r="52">
          <cell r="B52" t="str">
            <v>Accounts payable</v>
          </cell>
          <cell r="C52" t="str">
            <v>ACC_PAY_GQ</v>
          </cell>
          <cell r="D52" t="str">
            <v>CNY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67.870262969999999</v>
          </cell>
          <cell r="S52">
            <v>45.845700850000007</v>
          </cell>
          <cell r="T52">
            <v>103.12932341999999</v>
          </cell>
          <cell r="U52">
            <v>79.351495009999994</v>
          </cell>
          <cell r="V52">
            <v>123.14276774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276.32829040000001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208.78076590000001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280.33287762999998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306.51123132999999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397.67551330349932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485.94119697724864</v>
          </cell>
          <cell r="BA52">
            <v>582.03779444099212</v>
          </cell>
          <cell r="BB52">
            <v>676.40940583614338</v>
          </cell>
          <cell r="BC52">
            <v>746.68678190239484</v>
          </cell>
          <cell r="BD52">
            <v>797.68116650018976</v>
          </cell>
        </row>
        <row r="53">
          <cell r="B53" t="str">
            <v>Short-term debt</v>
          </cell>
          <cell r="C53" t="str">
            <v>SHORT_T_DEBT</v>
          </cell>
          <cell r="D53" t="str">
            <v>CNY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16</v>
          </cell>
          <cell r="S53">
            <v>16</v>
          </cell>
          <cell r="T53">
            <v>10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11.326432539999999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155.04844833000001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66.072061000000005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66.072061000000005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66.072061000000005</v>
          </cell>
          <cell r="BA53">
            <v>66.072061000000005</v>
          </cell>
          <cell r="BB53">
            <v>66.072061000000005</v>
          </cell>
          <cell r="BC53">
            <v>66.072061000000005</v>
          </cell>
          <cell r="BD53">
            <v>66.072061000000005</v>
          </cell>
        </row>
        <row r="54">
          <cell r="B54" t="str">
            <v>Other current liabilities</v>
          </cell>
          <cell r="C54" t="str">
            <v>OTH_CUR_LIABS</v>
          </cell>
          <cell r="D54" t="str">
            <v>CNY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18.472123179999997</v>
          </cell>
          <cell r="S54">
            <v>10.959406890000004</v>
          </cell>
          <cell r="T54">
            <v>22.178882750000014</v>
          </cell>
          <cell r="U54">
            <v>28.595362309999999</v>
          </cell>
          <cell r="V54">
            <v>47.708500459999996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104.20386812000004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63.316607169999983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96.008991850000058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196.84602058000002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141.75406501378023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178.66840170757263</v>
          </cell>
          <cell r="BA54">
            <v>217.7943228581932</v>
          </cell>
          <cell r="BB54">
            <v>250.41959122551299</v>
          </cell>
          <cell r="BC54">
            <v>282.00879016217965</v>
          </cell>
          <cell r="BD54">
            <v>312.35711972520602</v>
          </cell>
        </row>
        <row r="55">
          <cell r="B55" t="str">
            <v>Total current liabilities</v>
          </cell>
          <cell r="C55" t="str">
            <v>SHORT_TERM_LIABS</v>
          </cell>
          <cell r="D55" t="str">
            <v>CNY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102.34238615</v>
          </cell>
          <cell r="S55">
            <v>72.805107740000011</v>
          </cell>
          <cell r="T55">
            <v>135.30820617000001</v>
          </cell>
          <cell r="U55">
            <v>107.94685731999999</v>
          </cell>
          <cell r="V55">
            <v>170.85126819999999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380.53215852000005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283.42380560999999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531.39031781000006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569.42931291000002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605.50163931727957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730.68165968482128</v>
          </cell>
          <cell r="BA55">
            <v>865.90417829918533</v>
          </cell>
          <cell r="BB55">
            <v>992.90105806165639</v>
          </cell>
          <cell r="BC55">
            <v>1094.7676330645745</v>
          </cell>
          <cell r="BD55">
            <v>1176.1103472253958</v>
          </cell>
        </row>
        <row r="56">
          <cell r="B56" t="str">
            <v>Long-term  debt</v>
          </cell>
          <cell r="C56" t="str">
            <v>LT_DEBT</v>
          </cell>
          <cell r="D56" t="str">
            <v>CNY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</row>
        <row r="57">
          <cell r="B57" t="str">
            <v>Other long-term liabilities</v>
          </cell>
          <cell r="C57" t="str">
            <v>OTH_LT_CRED_GQ</v>
          </cell>
          <cell r="D57" t="str">
            <v>CNY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16.544715400000001</v>
          </cell>
          <cell r="S57">
            <v>20.572849129999998</v>
          </cell>
          <cell r="T57">
            <v>11.12538728</v>
          </cell>
          <cell r="U57">
            <v>9.7663321299999986</v>
          </cell>
          <cell r="V57">
            <v>18.329325520000001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40.521597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20.560908849999997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20.63079501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35.774631509999999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35.774631509999999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35.774631509999999</v>
          </cell>
          <cell r="BA57">
            <v>35.774631509999999</v>
          </cell>
          <cell r="BB57">
            <v>35.774631509999999</v>
          </cell>
          <cell r="BC57">
            <v>35.774631509999999</v>
          </cell>
          <cell r="BD57">
            <v>35.774631509999999</v>
          </cell>
        </row>
        <row r="58">
          <cell r="B58" t="str">
            <v>Total long-term liabilities</v>
          </cell>
          <cell r="C58" t="str">
            <v>TOT_LT_LIAB</v>
          </cell>
          <cell r="D58" t="str">
            <v>CNY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16.544715400000001</v>
          </cell>
          <cell r="S58">
            <v>20.572849129999998</v>
          </cell>
          <cell r="T58">
            <v>11.12538728</v>
          </cell>
          <cell r="U58">
            <v>9.7663321299999986</v>
          </cell>
          <cell r="V58">
            <v>18.329325520000001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40.521597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20.560908849999997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20.63079501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35.774631509999999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35.774631509999999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35.774631509999999</v>
          </cell>
          <cell r="BA58">
            <v>35.774631509999999</v>
          </cell>
          <cell r="BB58">
            <v>35.774631509999999</v>
          </cell>
          <cell r="BC58">
            <v>35.774631509999999</v>
          </cell>
          <cell r="BD58">
            <v>35.774631509999999</v>
          </cell>
        </row>
        <row r="59">
          <cell r="B59" t="str">
            <v>Total liabilities</v>
          </cell>
          <cell r="C59" t="str">
            <v>TOT_LIAB</v>
          </cell>
          <cell r="D59" t="str">
            <v>CNY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118.88710155</v>
          </cell>
          <cell r="S59">
            <v>93.377956870000006</v>
          </cell>
          <cell r="T59">
            <v>146.43359345000002</v>
          </cell>
          <cell r="U59">
            <v>117.71318944999999</v>
          </cell>
          <cell r="V59">
            <v>189.18059371999999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421.05375552000004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303.98471445999996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552.0211128200001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605.20394441999997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641.27627082727952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766.45629119482123</v>
          </cell>
          <cell r="BA59">
            <v>901.67880980918528</v>
          </cell>
          <cell r="BB59">
            <v>1028.6756895716564</v>
          </cell>
          <cell r="BC59">
            <v>1130.5422645745746</v>
          </cell>
          <cell r="BD59">
            <v>1211.8849787353959</v>
          </cell>
        </row>
        <row r="60">
          <cell r="B60" t="str">
            <v>Preferred shares</v>
          </cell>
          <cell r="C60" t="str">
            <v>PREF_SH</v>
          </cell>
          <cell r="D60" t="str">
            <v>CNY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Total common equity</v>
          </cell>
          <cell r="C61" t="str">
            <v>ORD_SH_FUND</v>
          </cell>
          <cell r="D61" t="str">
            <v>CNY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75.167140959999998</v>
          </cell>
          <cell r="S61">
            <v>134.27427718999999</v>
          </cell>
          <cell r="T61">
            <v>233.68918135000001</v>
          </cell>
          <cell r="U61">
            <v>2260.0925566600004</v>
          </cell>
          <cell r="V61">
            <v>2550.7762138199996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2834.5692288099999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3192.3736589699997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3585.4463476399997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4843.5177782499995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5147.7868533388646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5559.796899836505</v>
          </cell>
          <cell r="BA61">
            <v>6086.0028151912429</v>
          </cell>
          <cell r="BB61">
            <v>6707.4313031611928</v>
          </cell>
          <cell r="BC61">
            <v>7421.05841324627</v>
          </cell>
          <cell r="BD61">
            <v>8223.2624503631669</v>
          </cell>
        </row>
        <row r="62">
          <cell r="B62" t="str">
            <v>Minority interest</v>
          </cell>
          <cell r="C62" t="str">
            <v>MINORITIES</v>
          </cell>
          <cell r="D62" t="str">
            <v>CNY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1.8810781399999998</v>
          </cell>
          <cell r="S62">
            <v>0</v>
          </cell>
          <cell r="T62">
            <v>0</v>
          </cell>
          <cell r="U62">
            <v>1.23229257</v>
          </cell>
          <cell r="V62">
            <v>3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18.715320479999999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20.59565418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22.493549050000002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88.251674919999999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64.217237089999998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37.779355476999996</v>
          </cell>
          <cell r="BA62">
            <v>8.6976857026999923</v>
          </cell>
          <cell r="BB62">
            <v>-25.646622386845955</v>
          </cell>
          <cell r="BC62">
            <v>-65.086444996007316</v>
          </cell>
          <cell r="BD62">
            <v>-109.42162295256179</v>
          </cell>
        </row>
        <row r="63">
          <cell r="B63" t="str">
            <v>Total shareholders' equity</v>
          </cell>
          <cell r="C63" t="str">
            <v>EQ</v>
          </cell>
          <cell r="D63" t="str">
            <v>CNY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77.048219099999997</v>
          </cell>
          <cell r="S63">
            <v>134.27427718999999</v>
          </cell>
          <cell r="T63">
            <v>233.68918135000001</v>
          </cell>
          <cell r="U63">
            <v>2261.3248492300004</v>
          </cell>
          <cell r="V63">
            <v>2553.7762138199996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2853.2845492900001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3212.9693131499998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3607.9398966899998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4931.7694531699999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5212.0040904288644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5597.5762553135046</v>
          </cell>
          <cell r="BA63">
            <v>6094.7005008939432</v>
          </cell>
          <cell r="BB63">
            <v>6681.7846807743472</v>
          </cell>
          <cell r="BC63">
            <v>7355.9719682502628</v>
          </cell>
          <cell r="BD63">
            <v>8113.840827410605</v>
          </cell>
        </row>
        <row r="64">
          <cell r="B64" t="str">
            <v>Total liabilities and equity</v>
          </cell>
          <cell r="C64" t="str">
            <v>TOT_LIAB_EQ</v>
          </cell>
          <cell r="D64" t="str">
            <v>CNY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195.93532064999999</v>
          </cell>
          <cell r="S64">
            <v>227.65223406000001</v>
          </cell>
          <cell r="T64">
            <v>380.1227748</v>
          </cell>
          <cell r="U64">
            <v>2379.0380386800002</v>
          </cell>
          <cell r="V64">
            <v>2742.9568075399998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3274.33830481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3516.9540276099997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4159.9610095099997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5536.9733975899999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5853.2803612561438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6364.032546508326</v>
          </cell>
          <cell r="BA64">
            <v>6996.3793107031288</v>
          </cell>
          <cell r="BB64">
            <v>7710.4603703460034</v>
          </cell>
          <cell r="BC64">
            <v>8486.5142328248367</v>
          </cell>
          <cell r="BD64">
            <v>9325.7258061460016</v>
          </cell>
        </row>
        <row r="65">
          <cell r="A65" t="str">
            <v>Additional Balance Sheet Items</v>
          </cell>
          <cell r="B65">
            <v>0</v>
          </cell>
          <cell r="C65">
            <v>0</v>
          </cell>
          <cell r="D65">
            <v>0</v>
          </cell>
        </row>
        <row r="66">
          <cell r="B66" t="str">
            <v>Net debt</v>
          </cell>
          <cell r="C66" t="str">
            <v>NET_DEBT</v>
          </cell>
          <cell r="D66" t="str">
            <v>CNY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-34.739110689999997</v>
          </cell>
          <cell r="S66">
            <v>-65.897238049999999</v>
          </cell>
          <cell r="T66">
            <v>-183.11123214</v>
          </cell>
          <cell r="U66">
            <v>-2076.8490320299998</v>
          </cell>
          <cell r="V66">
            <v>-1677.6470453699999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-1366.6017071700001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-1364.84627017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-1328.78331987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-1168.5656612599998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-1128.5603594076636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-1136.7021749618743</v>
          </cell>
          <cell r="BA66">
            <v>-1247.5144483912943</v>
          </cell>
          <cell r="BB66">
            <v>-1428.2635964222097</v>
          </cell>
          <cell r="BC66">
            <v>-1774.9959830588839</v>
          </cell>
          <cell r="BD66">
            <v>-2285.4515277292726</v>
          </cell>
        </row>
        <row r="67">
          <cell r="B67" t="str">
            <v>Capitalized leases</v>
          </cell>
          <cell r="C67" t="str">
            <v>CAP_LEASES</v>
          </cell>
          <cell r="D67" t="str">
            <v>CNY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</row>
        <row r="68">
          <cell r="B68" t="str">
            <v>Deferred income taxes</v>
          </cell>
          <cell r="C68" t="str">
            <v>DEF_INC_TAX</v>
          </cell>
          <cell r="D68" t="str">
            <v>CNY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 t="str">
            <v>Associates (mkt value) used in EV calculation</v>
          </cell>
          <cell r="C69" t="str">
            <v>MV_ASSOCIATES</v>
          </cell>
          <cell r="D69" t="str">
            <v>CNY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Net debt adjustment</v>
          </cell>
          <cell r="C70" t="str">
            <v>NET_DEBT_ADJ</v>
          </cell>
          <cell r="D70" t="str">
            <v>CNY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</row>
        <row r="71">
          <cell r="B71" t="str">
            <v>Company borrowing margin</v>
          </cell>
          <cell r="C71" t="str">
            <v>CO_BOR_MARGIN</v>
          </cell>
          <cell r="F71" t="e">
            <v>#VALUE!</v>
          </cell>
          <cell r="G71" t="e">
            <v>#VALUE!</v>
          </cell>
          <cell r="H71" t="e">
            <v>#VALUE!</v>
          </cell>
          <cell r="I71" t="e">
            <v>#VALUE!</v>
          </cell>
          <cell r="J71" t="e">
            <v>#VALUE!</v>
          </cell>
          <cell r="K71" t="e">
            <v>#VALUE!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5.7213518749999999E-3</v>
          </cell>
          <cell r="T71">
            <v>0</v>
          </cell>
          <cell r="U71" t="e">
            <v>#VALUE!</v>
          </cell>
          <cell r="V71" t="e">
            <v>#VALUE!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 t="e">
            <v>#VALUE!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 t="str">
            <v>Unfunded pensions &amp; other provisions</v>
          </cell>
          <cell r="C72" t="str">
            <v>UNF_PENS</v>
          </cell>
          <cell r="D72" t="str">
            <v>CNY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Unfunded pension liabilities (off balance sheet)</v>
          </cell>
          <cell r="C73" t="str">
            <v>UNF_PENS_OFF</v>
          </cell>
          <cell r="D73" t="str">
            <v>CNY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</row>
        <row r="74">
          <cell r="B74" t="str">
            <v>Unfunded pension liabilities &amp; other, used in EV</v>
          </cell>
          <cell r="C74" t="str">
            <v>UNF_PENS_LIAB_OTH</v>
          </cell>
          <cell r="D74" t="str">
            <v>CNY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</row>
        <row r="75">
          <cell r="B75" t="str">
            <v>Adjustment for unfunded pensions &amp; goodwill</v>
          </cell>
          <cell r="C75" t="str">
            <v>ADJ_UNF_PENS_GOOD</v>
          </cell>
          <cell r="D75" t="str">
            <v>CNY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-1.6428677199999999</v>
          </cell>
          <cell r="T75">
            <v>-1.3364379199999998</v>
          </cell>
          <cell r="U75">
            <v>-0.93631375999999999</v>
          </cell>
          <cell r="V75">
            <v>-53.321154419999999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-314.14621172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-314.1163737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-436.99839148000001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-1662.90380989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-1644.8130080999999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-1626.72220631</v>
          </cell>
          <cell r="BA75">
            <v>-1608.6314045199999</v>
          </cell>
          <cell r="BB75">
            <v>-1590.54060273</v>
          </cell>
          <cell r="BC75">
            <v>-1572.4498009399999</v>
          </cell>
          <cell r="BD75">
            <v>-1554.3589991499998</v>
          </cell>
        </row>
        <row r="76">
          <cell r="B76" t="str">
            <v>Other GCI adjustments</v>
          </cell>
          <cell r="C76" t="str">
            <v>OTH_GCI_ADJ</v>
          </cell>
          <cell r="D76" t="str">
            <v>CNY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34.739110689999997</v>
          </cell>
          <cell r="S76">
            <v>115.81123805</v>
          </cell>
          <cell r="T76">
            <v>292.10483213999998</v>
          </cell>
          <cell r="U76">
            <v>2271.1398320299995</v>
          </cell>
          <cell r="V76">
            <v>1953.49354537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1785.09047543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1924.9237445600002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2015.4162862600001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1937.8125507199998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2027.0103526105145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2165.1709171414759</v>
          </cell>
          <cell r="BA76">
            <v>2392.9479437311502</v>
          </cell>
          <cell r="BB76">
            <v>2729.7571928741522</v>
          </cell>
          <cell r="BC76">
            <v>3268.1154612399932</v>
          </cell>
          <cell r="BD76">
            <v>3933.9252824987962</v>
          </cell>
        </row>
        <row r="77">
          <cell r="B77" t="str">
            <v>GCI inflator</v>
          </cell>
          <cell r="C77" t="str">
            <v>GCI_INFL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1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1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1</v>
          </cell>
          <cell r="BA77">
            <v>1</v>
          </cell>
          <cell r="BB77">
            <v>1</v>
          </cell>
          <cell r="BC77">
            <v>1</v>
          </cell>
          <cell r="BD77">
            <v>1</v>
          </cell>
        </row>
        <row r="78">
          <cell r="B78" t="str">
            <v>Minority interest</v>
          </cell>
          <cell r="C78" t="str">
            <v>BAL_MINO_INT</v>
          </cell>
          <cell r="D78" t="str">
            <v>CNY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1.8810781399999998</v>
          </cell>
          <cell r="S78">
            <v>0</v>
          </cell>
          <cell r="T78">
            <v>0</v>
          </cell>
          <cell r="U78">
            <v>1.23229257</v>
          </cell>
          <cell r="V78">
            <v>3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18.715320479999999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20.59565418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22.493549050000002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88.251674919999999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64.217237089999998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37.779355476999996</v>
          </cell>
          <cell r="BA78">
            <v>8.6976857026999923</v>
          </cell>
          <cell r="BB78">
            <v>-25.646622386845955</v>
          </cell>
          <cell r="BC78">
            <v>-65.086444996007316</v>
          </cell>
          <cell r="BD78">
            <v>-109.42162295256179</v>
          </cell>
        </row>
        <row r="79">
          <cell r="A79" t="str">
            <v>Cash Flow Statement</v>
          </cell>
          <cell r="B79">
            <v>0</v>
          </cell>
          <cell r="C79">
            <v>0</v>
          </cell>
          <cell r="D79">
            <v>0</v>
          </cell>
        </row>
        <row r="80">
          <cell r="B80" t="str">
            <v>Minority interest add-back</v>
          </cell>
          <cell r="C80" t="str">
            <v>CF_INC_MINORITY</v>
          </cell>
          <cell r="D80" t="str">
            <v>CNY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-0.17257610000000001</v>
          </cell>
          <cell r="S80">
            <v>5.2226870000000002E-2</v>
          </cell>
          <cell r="T80">
            <v>0</v>
          </cell>
          <cell r="U80">
            <v>-0.26770742999999997</v>
          </cell>
          <cell r="V80">
            <v>-0.73802226999999998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-1.9963296699999999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-2.1196663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-3.08113744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-20.284235899999999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-24.034437829999998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-26.437881613000002</v>
          </cell>
          <cell r="BA80">
            <v>-29.081669774300003</v>
          </cell>
          <cell r="BB80">
            <v>-34.344308089545947</v>
          </cell>
          <cell r="BC80">
            <v>-39.439822609161354</v>
          </cell>
          <cell r="BD80">
            <v>-44.335177956554475</v>
          </cell>
        </row>
        <row r="81">
          <cell r="B81" t="str">
            <v>Depreciation &amp; amortization add-back</v>
          </cell>
          <cell r="C81" t="str">
            <v>DEPR_AMORT</v>
          </cell>
          <cell r="D81" t="str">
            <v>CNY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1.41469007</v>
          </cell>
          <cell r="S81">
            <v>2.0198594000000001</v>
          </cell>
          <cell r="T81">
            <v>4.3865493300000002</v>
          </cell>
          <cell r="U81">
            <v>5.8584472199999995</v>
          </cell>
          <cell r="V81">
            <v>9.8987308499999997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26.511426949999997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33.424483090000003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34.425183570000002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45.45659835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60.922822832814795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80.224993127909954</v>
          </cell>
          <cell r="BA81">
            <v>103.53732879129532</v>
          </cell>
          <cell r="BB81">
            <v>131.13134517648979</v>
          </cell>
          <cell r="BC81">
            <v>162.35401469555003</v>
          </cell>
          <cell r="BD81">
            <v>196.73550034055268</v>
          </cell>
        </row>
        <row r="82">
          <cell r="B82" t="str">
            <v>(Increase)/decrease in working capital</v>
          </cell>
          <cell r="C82" t="str">
            <v>WORK_CAP</v>
          </cell>
          <cell r="D82" t="str">
            <v>CNY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-1.7646188699999996</v>
          </cell>
          <cell r="S82">
            <v>-15.639283439999996</v>
          </cell>
          <cell r="T82">
            <v>22.866721009999985</v>
          </cell>
          <cell r="U82">
            <v>-72.863658180000016</v>
          </cell>
          <cell r="V82">
            <v>-177.16564140999995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-124.43029859000006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-191.71294647999991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-101.62769094000015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-249.11594248999984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-122.48151261938619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-254.47655367119097</v>
          </cell>
          <cell r="BA82">
            <v>-255.858936759127</v>
          </cell>
          <cell r="BB82">
            <v>-266.56042672141376</v>
          </cell>
          <cell r="BC82">
            <v>-201.7422726799474</v>
          </cell>
          <cell r="BD82">
            <v>-149.58541807596134</v>
          </cell>
        </row>
        <row r="83">
          <cell r="B83" t="str">
            <v>Other operating cash flow items</v>
          </cell>
          <cell r="C83" t="str">
            <v>OTH_OP_CF</v>
          </cell>
          <cell r="D83" t="str">
            <v>CNY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4.531490910000004</v>
          </cell>
          <cell r="S83">
            <v>-11.06900730999995</v>
          </cell>
          <cell r="T83">
            <v>-4.1754132099999879</v>
          </cell>
          <cell r="U83">
            <v>8.6176825500000831</v>
          </cell>
          <cell r="V83">
            <v>35.745954289999958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-41.515526229999921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-39.57680005000006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-84.065944119999898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-50.938907789999973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 t="str">
            <v>Cash flow from operating activities</v>
          </cell>
          <cell r="C84" t="str">
            <v>CF_OPS</v>
          </cell>
          <cell r="D84" t="str">
            <v>CNY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26.128210370000001</v>
          </cell>
          <cell r="S84">
            <v>63.675989009999995</v>
          </cell>
          <cell r="T84">
            <v>143.62586128999999</v>
          </cell>
          <cell r="U84">
            <v>212.09651094999998</v>
          </cell>
          <cell r="V84">
            <v>195.6566201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214.26055705000002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229.04397461000002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363.19458277999996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349.52310943999998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322.92497118607383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352.48396474893292</v>
          </cell>
          <cell r="BA84">
            <v>525.0919191707992</v>
          </cell>
          <cell r="BB84">
            <v>664.56964826099306</v>
          </cell>
          <cell r="BC84">
            <v>879.30277835369691</v>
          </cell>
          <cell r="BD84">
            <v>1079.871019850141</v>
          </cell>
        </row>
        <row r="85">
          <cell r="B85" t="str">
            <v>Capital expenditures, Capex</v>
          </cell>
          <cell r="C85" t="str">
            <v>CAPEX</v>
          </cell>
          <cell r="D85" t="str">
            <v>CNY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-3.59560009</v>
          </cell>
          <cell r="S85">
            <v>-11.338774800000001</v>
          </cell>
          <cell r="T85">
            <v>-6.55410512</v>
          </cell>
          <cell r="U85">
            <v>-77.366911069999986</v>
          </cell>
          <cell r="V85">
            <v>-424.27642438999999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-67.606613359999997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-62.005141960000003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-49.367055000000001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-130.98316808999999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-203.58929375841001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-240.09312548094206</v>
          </cell>
          <cell r="BA85">
            <v>-273.11628533380662</v>
          </cell>
          <cell r="BB85">
            <v>-303.53121867188429</v>
          </cell>
          <cell r="BC85">
            <v>-319.65584179150943</v>
          </cell>
          <cell r="BD85">
            <v>-324.91172631757297</v>
          </cell>
        </row>
        <row r="86">
          <cell r="B86" t="str">
            <v>Acquisitions</v>
          </cell>
          <cell r="C86" t="str">
            <v>ACQ</v>
          </cell>
          <cell r="D86" t="str">
            <v>CNY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 t="str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 t="str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 t="str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 t="str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 t="str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</row>
        <row r="87">
          <cell r="B87" t="str">
            <v>Divestitures</v>
          </cell>
          <cell r="C87" t="str">
            <v>DIVEST</v>
          </cell>
          <cell r="D87" t="str">
            <v>CNY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1.2367919999999999E-2</v>
          </cell>
          <cell r="U87">
            <v>1.01E-2</v>
          </cell>
          <cell r="V87">
            <v>0.77136899000000003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6.5491290000000008E-2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0.15892235000000002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0.25554779999999999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0.60635956000000002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 t="str">
            <v>Other investing cash flow items</v>
          </cell>
          <cell r="C88" t="str">
            <v>OTH_INV_CF</v>
          </cell>
          <cell r="D88" t="str">
            <v>CNY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-0.10000000000000009</v>
          </cell>
          <cell r="S88">
            <v>4.8145035199999997</v>
          </cell>
          <cell r="T88">
            <v>-2.2551405187698492E-17</v>
          </cell>
          <cell r="U88">
            <v>-5.7748944515267908E-15</v>
          </cell>
          <cell r="V88">
            <v>-137.26596460000005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-375.73947535000008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-87.793010599999988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-216.66436639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-315.94273668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Cash flow from investing</v>
          </cell>
          <cell r="C89" t="str">
            <v>CF_INV</v>
          </cell>
          <cell r="D89" t="str">
            <v>CNY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-3.6956000900000001</v>
          </cell>
          <cell r="S89">
            <v>-6.5242712800000016</v>
          </cell>
          <cell r="T89">
            <v>-6.5417372</v>
          </cell>
          <cell r="U89">
            <v>-77.356811069999992</v>
          </cell>
          <cell r="V89">
            <v>-560.77102000000002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-443.28059742000005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-149.63923020999999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-265.77587359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-446.31954521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-203.58929375841001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-240.09312548094206</v>
          </cell>
          <cell r="BA89">
            <v>-273.11628533380662</v>
          </cell>
          <cell r="BB89">
            <v>-303.53121867188429</v>
          </cell>
          <cell r="BC89">
            <v>-319.65584179150943</v>
          </cell>
          <cell r="BD89">
            <v>-324.91172631757297</v>
          </cell>
        </row>
        <row r="90">
          <cell r="B90" t="str">
            <v>Dividends paid</v>
          </cell>
          <cell r="C90" t="str">
            <v>DIV_PAID</v>
          </cell>
          <cell r="D90" t="str">
            <v>CNY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-19.431999999999999</v>
          </cell>
          <cell r="T90">
            <v>-21.591999999999999</v>
          </cell>
          <cell r="U90">
            <v>-21.591999999999999</v>
          </cell>
          <cell r="V90">
            <v>-37.92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-94.8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-113.76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-153.35347999999999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-153.80410000000001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-159.34097928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-104.24902371378018</v>
          </cell>
          <cell r="BA90">
            <v>-141.1633604075727</v>
          </cell>
          <cell r="BB90">
            <v>-180.2892815581933</v>
          </cell>
          <cell r="BC90">
            <v>-212.91454992551311</v>
          </cell>
          <cell r="BD90">
            <v>-244.50374886217958</v>
          </cell>
        </row>
        <row r="91">
          <cell r="B91" t="str">
            <v>Common stock issuance/(repurchase)</v>
          </cell>
          <cell r="C91" t="str">
            <v>SH_REPUR</v>
          </cell>
          <cell r="D91" t="str">
            <v>CNY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1.5</v>
          </cell>
          <cell r="T91">
            <v>0</v>
          </cell>
          <cell r="U91">
            <v>1785.7752</v>
          </cell>
          <cell r="V91">
            <v>3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11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41.527788999999999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22.392062370000001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122.4773067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Increase/(decrease) in total debt</v>
          </cell>
          <cell r="C92" t="str">
            <v>CHG_LT_DEBT</v>
          </cell>
          <cell r="D92" t="str">
            <v>CNY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10</v>
          </cell>
          <cell r="S92">
            <v>0</v>
          </cell>
          <cell r="T92">
            <v>-6</v>
          </cell>
          <cell r="U92">
            <v>-10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-10.1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143.69176100000001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-88.976387330000009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Other financing cash flow items</v>
          </cell>
          <cell r="C93" t="str">
            <v>OTH_FIN_CF</v>
          </cell>
          <cell r="D93" t="str">
            <v>CNY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-1.1059990099999997</v>
          </cell>
          <cell r="S93">
            <v>-6.0808737899999983</v>
          </cell>
          <cell r="T93">
            <v>-1.7750892600000014</v>
          </cell>
          <cell r="U93">
            <v>-2.9062196499999118</v>
          </cell>
          <cell r="V93">
            <v>-1.576934020000003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10.698703999999998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3.2680527500000096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-3.2525978500000008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-33.406372529999999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Cash flow from financing</v>
          </cell>
          <cell r="C94" t="str">
            <v>CF_FIN</v>
          </cell>
          <cell r="D94" t="str">
            <v>CNY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8.8940009900000003</v>
          </cell>
          <cell r="S94">
            <v>-24.012873789999997</v>
          </cell>
          <cell r="T94">
            <v>-29.36708926</v>
          </cell>
          <cell r="U94">
            <v>1751.27698035</v>
          </cell>
          <cell r="V94">
            <v>-36.496934020000005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-83.201295999999999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-68.964158249999997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9.4777455200000134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-153.70955316000001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-159.34097928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-104.24902371378018</v>
          </cell>
          <cell r="BA94">
            <v>-141.1633604075727</v>
          </cell>
          <cell r="BB94">
            <v>-180.2892815581933</v>
          </cell>
          <cell r="BC94">
            <v>-212.91454992551311</v>
          </cell>
          <cell r="BD94">
            <v>-244.50374886217958</v>
          </cell>
        </row>
        <row r="95">
          <cell r="B95" t="str">
            <v>Total cash flow</v>
          </cell>
          <cell r="C95" t="str">
            <v>TOT_CF</v>
          </cell>
          <cell r="D95" t="str">
            <v>CNY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31.326611270000001</v>
          </cell>
          <cell r="S95">
            <v>33.138843940000001</v>
          </cell>
          <cell r="T95">
            <v>107.71703482999999</v>
          </cell>
          <cell r="U95">
            <v>1886.01668023</v>
          </cell>
          <cell r="V95">
            <v>-401.61133392000005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-312.22133637000002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10.44058615000003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106.89645470999997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-250.50598893000003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-40.005301852336174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8.1418155542106803</v>
          </cell>
          <cell r="BA95">
            <v>110.81227342941989</v>
          </cell>
          <cell r="BB95">
            <v>180.74914803091548</v>
          </cell>
          <cell r="BC95">
            <v>346.73238663667428</v>
          </cell>
          <cell r="BD95">
            <v>510.45554467038846</v>
          </cell>
        </row>
        <row r="96">
          <cell r="A96" t="str">
            <v>Additional Cash Flow Items</v>
          </cell>
          <cell r="B96">
            <v>0</v>
          </cell>
          <cell r="C96">
            <v>0</v>
          </cell>
          <cell r="D96">
            <v>0</v>
          </cell>
        </row>
        <row r="97">
          <cell r="B97" t="str">
            <v>Associate and JV add-back</v>
          </cell>
          <cell r="C97" t="str">
            <v>ASSOC_JV_ADDBK</v>
          </cell>
          <cell r="D97" t="str">
            <v>CNY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</row>
        <row r="98">
          <cell r="B98" t="str">
            <v>Profit/(loss) on sale of assets</v>
          </cell>
          <cell r="C98" t="str">
            <v>PL_SALE_ASSETS</v>
          </cell>
          <cell r="D98" t="str">
            <v>CNY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</row>
        <row r="99">
          <cell r="B99" t="str">
            <v>Other non-cash adjustments</v>
          </cell>
          <cell r="C99" t="str">
            <v>OTH_NONCASH_ADJ</v>
          </cell>
          <cell r="D99" t="str">
            <v>CNY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</row>
        <row r="100">
          <cell r="B100" t="str">
            <v>Other DACF adjustments</v>
          </cell>
          <cell r="C100" t="str">
            <v>OTH_DACF_ADJ</v>
          </cell>
          <cell r="D100" t="str">
            <v>CNY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48.644400149045154</v>
          </cell>
          <cell r="T100">
            <v>57.997565943786348</v>
          </cell>
          <cell r="U100">
            <v>80.84813250862274</v>
          </cell>
          <cell r="V100">
            <v>102.31180604769922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156.41379922254762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211.77000643559717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198.79170863106867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171.446286848906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208.98430525978202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275.96961913302954</v>
          </cell>
          <cell r="BA100">
            <v>321.00267580596505</v>
          </cell>
          <cell r="BB100">
            <v>351.39943239872588</v>
          </cell>
          <cell r="BC100">
            <v>373.60329968323094</v>
          </cell>
          <cell r="BD100">
            <v>390.82165378266706</v>
          </cell>
        </row>
        <row r="101">
          <cell r="B101" t="str">
            <v>Cash interest expense</v>
          </cell>
          <cell r="C101" t="str">
            <v>CASH_INT_EXP</v>
          </cell>
          <cell r="D101" t="str">
            <v>CNY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 t="str">
            <v>Cash tax expense</v>
          </cell>
          <cell r="C102" t="str">
            <v>CASH_TAX_EXP</v>
          </cell>
          <cell r="D102" t="str">
            <v>CNY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Dividends received from associates/JVs</v>
          </cell>
          <cell r="C103" t="str">
            <v>DIVDS_ASSOC_JV</v>
          </cell>
          <cell r="D103" t="str">
            <v>CNY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</row>
        <row r="104">
          <cell r="B104" t="str">
            <v>Capex maintenance</v>
          </cell>
          <cell r="C104" t="str">
            <v>CAPEX_MAINTENANCE</v>
          </cell>
          <cell r="D104" t="str">
            <v>CNY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</row>
        <row r="105">
          <cell r="B105" t="str">
            <v>Capex expansion</v>
          </cell>
          <cell r="C105" t="str">
            <v>CAPEX_EXPANSION</v>
          </cell>
          <cell r="D105" t="str">
            <v>CNY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</row>
        <row r="106">
          <cell r="B106" t="str">
            <v>Non-PP&amp;E capex</v>
          </cell>
          <cell r="C106" t="str">
            <v>NONPPE_CAPEX</v>
          </cell>
          <cell r="D106" t="str">
            <v>CNY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</row>
        <row r="107">
          <cell r="B107" t="str">
            <v>Dividends paid to minorities</v>
          </cell>
          <cell r="C107" t="str">
            <v>DIVDS_PD_MINORITIES</v>
          </cell>
          <cell r="D107" t="str">
            <v>CNY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A108" t="str">
            <v>Other Items</v>
          </cell>
          <cell r="B108">
            <v>0</v>
          </cell>
          <cell r="C108">
            <v>0</v>
          </cell>
          <cell r="D108">
            <v>0</v>
          </cell>
        </row>
        <row r="109">
          <cell r="B109" t="str">
            <v>Number of employees</v>
          </cell>
          <cell r="C109" t="str">
            <v>EMPLOYEES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9.771552221581073E-2</v>
          </cell>
          <cell r="U109">
            <v>0.11585776110790535</v>
          </cell>
          <cell r="V109">
            <v>0.17649999999999999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0.3785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0.54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0.55649999999999999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0.54400000000000004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0.59840000000000004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0.61036800000000002</v>
          </cell>
          <cell r="BA109">
            <v>0.62257536000000002</v>
          </cell>
          <cell r="BB109">
            <v>0.63502686720000012</v>
          </cell>
          <cell r="BC109">
            <v>0.64772740454400013</v>
          </cell>
          <cell r="BD109">
            <v>0.66068195263488017</v>
          </cell>
        </row>
        <row r="110">
          <cell r="A110" t="str">
            <v>Geographical Breakdown</v>
          </cell>
          <cell r="B110">
            <v>0</v>
          </cell>
          <cell r="C110">
            <v>0</v>
          </cell>
          <cell r="D110">
            <v>0</v>
          </cell>
        </row>
        <row r="111">
          <cell r="B111" t="str">
            <v>Sales - Total % Americas</v>
          </cell>
          <cell r="C111" t="str">
            <v>SALES_TOT_AM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</row>
        <row r="112">
          <cell r="B112" t="str">
            <v>Sales - % United States</v>
          </cell>
          <cell r="C112" t="str">
            <v>SALES_US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</row>
        <row r="113">
          <cell r="A113">
            <v>0</v>
          </cell>
          <cell r="B113" t="str">
            <v>Sales - % Canada</v>
          </cell>
          <cell r="C113" t="str">
            <v>SALES_CANADA</v>
          </cell>
          <cell r="D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</row>
        <row r="114">
          <cell r="B114" t="str">
            <v>Sales - % Brazil</v>
          </cell>
          <cell r="C114" t="str">
            <v>SALES_BRAZIL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Sales - % Other Americas</v>
          </cell>
          <cell r="C115" t="str">
            <v>SALES_OTH_AM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</row>
        <row r="116">
          <cell r="B116" t="str">
            <v>Sales - Total % EMEA</v>
          </cell>
          <cell r="C116" t="str">
            <v>SALES_TOT_EMEA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 t="str">
            <v>Sales - % UK</v>
          </cell>
          <cell r="C117" t="str">
            <v>SALES_UK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Sales - % Western Europe-Ex UK</v>
          </cell>
          <cell r="C118" t="str">
            <v>SALES_EU_EX_UK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</row>
        <row r="119">
          <cell r="A119">
            <v>0</v>
          </cell>
          <cell r="B119" t="str">
            <v>Sales - % Austria</v>
          </cell>
          <cell r="C119" t="str">
            <v>SALES_AUSTRIA</v>
          </cell>
          <cell r="D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</row>
        <row r="120">
          <cell r="A120">
            <v>0</v>
          </cell>
          <cell r="B120" t="str">
            <v>Sales - % Belgium</v>
          </cell>
          <cell r="C120" t="str">
            <v>SALES_BEL</v>
          </cell>
          <cell r="D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</row>
        <row r="121">
          <cell r="A121">
            <v>0</v>
          </cell>
          <cell r="B121" t="str">
            <v>Sales - % Denmark</v>
          </cell>
          <cell r="C121" t="str">
            <v>SALES_DEN</v>
          </cell>
          <cell r="D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A122">
            <v>0</v>
          </cell>
          <cell r="B122" t="str">
            <v>Sales - % Finland</v>
          </cell>
          <cell r="C122" t="str">
            <v>SALES_FIN</v>
          </cell>
          <cell r="D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A123">
            <v>0</v>
          </cell>
          <cell r="B123" t="str">
            <v>Sales - % France</v>
          </cell>
          <cell r="C123" t="str">
            <v>SALES_FRA</v>
          </cell>
          <cell r="D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</row>
        <row r="124">
          <cell r="A124">
            <v>0</v>
          </cell>
          <cell r="B124" t="str">
            <v>Sales - % Germany</v>
          </cell>
          <cell r="C124" t="str">
            <v>SALES_GER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</row>
        <row r="125">
          <cell r="A125">
            <v>0</v>
          </cell>
          <cell r="B125" t="str">
            <v>Sales - % Greece</v>
          </cell>
          <cell r="C125" t="str">
            <v>SALES_GRE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</row>
        <row r="126">
          <cell r="A126">
            <v>0</v>
          </cell>
          <cell r="B126" t="str">
            <v>Sales - % Iceland</v>
          </cell>
          <cell r="C126" t="str">
            <v>SALES_ICE</v>
          </cell>
          <cell r="D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A127">
            <v>0</v>
          </cell>
          <cell r="B127" t="str">
            <v>Sales - % Ireland</v>
          </cell>
          <cell r="C127" t="str">
            <v>SALES_IRE</v>
          </cell>
          <cell r="D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</row>
        <row r="128">
          <cell r="A128">
            <v>0</v>
          </cell>
          <cell r="B128" t="str">
            <v>Sales - % Italy</v>
          </cell>
          <cell r="C128" t="str">
            <v>SALES_ITA</v>
          </cell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</row>
        <row r="129">
          <cell r="A129">
            <v>0</v>
          </cell>
          <cell r="B129" t="str">
            <v>Sales - % Netherlands</v>
          </cell>
          <cell r="C129" t="str">
            <v>SALES_NETH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</row>
        <row r="130">
          <cell r="A130">
            <v>0</v>
          </cell>
          <cell r="B130" t="str">
            <v>Sales - % Norway</v>
          </cell>
          <cell r="C130" t="str">
            <v>SALES_NOR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A131">
            <v>0</v>
          </cell>
          <cell r="B131" t="str">
            <v>Sales - % Portugal</v>
          </cell>
          <cell r="C131" t="str">
            <v>SALES_POR</v>
          </cell>
          <cell r="D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</row>
        <row r="132">
          <cell r="A132">
            <v>0</v>
          </cell>
          <cell r="B132" t="str">
            <v>Sales - % Spain</v>
          </cell>
          <cell r="C132" t="str">
            <v>SALES_SPA</v>
          </cell>
          <cell r="D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</row>
        <row r="133">
          <cell r="A133">
            <v>0</v>
          </cell>
          <cell r="B133" t="str">
            <v>Sales - % Sweden</v>
          </cell>
          <cell r="C133" t="str">
            <v>SALES_SWE</v>
          </cell>
          <cell r="D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</row>
        <row r="134">
          <cell r="A134">
            <v>0</v>
          </cell>
          <cell r="B134" t="str">
            <v>Sales - % Switzerland</v>
          </cell>
          <cell r="C134" t="str">
            <v>SALES_SWIT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Sales - % Central &amp; Eastern Europe</v>
          </cell>
          <cell r="C135" t="str">
            <v>SALES_CEE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</row>
        <row r="136">
          <cell r="B136" t="str">
            <v>Sales - % Middle East</v>
          </cell>
          <cell r="C136" t="str">
            <v>SALES_ME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</row>
        <row r="137">
          <cell r="B137" t="str">
            <v>Sales - % Total Africa</v>
          </cell>
          <cell r="C137" t="str">
            <v>SALES_TOT_AFRICA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 t="str">
            <v>Sales - % Russia</v>
          </cell>
          <cell r="C138" t="str">
            <v>SALES_RUSSIA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Sales - % Other EMEA</v>
          </cell>
          <cell r="C139" t="str">
            <v>SALES_OTH_EMEA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</row>
        <row r="140">
          <cell r="B140" t="str">
            <v>Sales - Total % Asia (incl Australia &amp; New Zealand)</v>
          </cell>
          <cell r="C140" t="str">
            <v>SALES_TOT_ASIA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</row>
        <row r="141">
          <cell r="B141" t="str">
            <v>Sales - % Japan</v>
          </cell>
          <cell r="C141" t="str">
            <v>SALES_JAPAN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Sales - % China</v>
          </cell>
          <cell r="C142" t="str">
            <v>SALES_CHINA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1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1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1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1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1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1</v>
          </cell>
          <cell r="BA142">
            <v>1</v>
          </cell>
          <cell r="BB142">
            <v>1</v>
          </cell>
          <cell r="BC142">
            <v>1</v>
          </cell>
          <cell r="BD142">
            <v>1</v>
          </cell>
        </row>
        <row r="143">
          <cell r="B143" t="str">
            <v>Sales - % India</v>
          </cell>
          <cell r="C143" t="str">
            <v>SALES_INDIA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</row>
        <row r="144">
          <cell r="B144" t="str">
            <v>Sales - % South Korea</v>
          </cell>
          <cell r="C144" t="str">
            <v>SALES_SK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B145" t="str">
            <v>Sales - % Taiwan</v>
          </cell>
          <cell r="C145" t="str">
            <v>SALES_TAIWAN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</row>
        <row r="146">
          <cell r="A146">
            <v>0</v>
          </cell>
          <cell r="B146" t="str">
            <v>Sales - % Australia</v>
          </cell>
          <cell r="C146" t="str">
            <v>SALES_AUSTRA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</row>
        <row r="147">
          <cell r="A147">
            <v>0</v>
          </cell>
          <cell r="B147" t="str">
            <v>Sales - % New Zealand</v>
          </cell>
          <cell r="C147" t="str">
            <v>SALES_NZ</v>
          </cell>
          <cell r="D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</row>
        <row r="148">
          <cell r="B148" t="str">
            <v>Sales - % Other Asia</v>
          </cell>
          <cell r="C148" t="str">
            <v>SALES_OTH_AEJ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</row>
        <row r="149">
          <cell r="B149" t="str">
            <v>Sales - % Others</v>
          </cell>
          <cell r="C149" t="str">
            <v>SALES_OTHER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</row>
        <row r="150">
          <cell r="A150">
            <v>0</v>
          </cell>
          <cell r="B150" t="str">
            <v>Operating Profit - % Total Americas</v>
          </cell>
          <cell r="C150" t="str">
            <v>OP_TOT_AM</v>
          </cell>
          <cell r="D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</row>
        <row r="151">
          <cell r="A151">
            <v>0</v>
          </cell>
          <cell r="B151" t="str">
            <v>Operating Profit - % United States</v>
          </cell>
          <cell r="C151" t="str">
            <v>OP_US</v>
          </cell>
          <cell r="D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A152">
            <v>0</v>
          </cell>
          <cell r="B152" t="str">
            <v>Operating Profit - % Canada</v>
          </cell>
          <cell r="C152" t="str">
            <v>OP_CANADA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</row>
        <row r="153">
          <cell r="A153">
            <v>0</v>
          </cell>
          <cell r="B153" t="str">
            <v>Operating Profit - % Brazil</v>
          </cell>
          <cell r="C153" t="str">
            <v>OP_BRAZIL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A154">
            <v>0</v>
          </cell>
          <cell r="B154" t="str">
            <v>Operating Profit - % Other Americas</v>
          </cell>
          <cell r="C154" t="str">
            <v>OP_OTH_AM</v>
          </cell>
          <cell r="D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A155">
            <v>0</v>
          </cell>
          <cell r="B155" t="str">
            <v>Operating Profit - Total % EMEA</v>
          </cell>
          <cell r="C155" t="str">
            <v>OP_TOT_EMEA</v>
          </cell>
          <cell r="D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A156">
            <v>0</v>
          </cell>
          <cell r="B156" t="str">
            <v>Operating Profit - % UK</v>
          </cell>
          <cell r="C156" t="str">
            <v>OP_UK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A157">
            <v>0</v>
          </cell>
          <cell r="B157" t="str">
            <v>Operating Profit - % Europe-Ex UK</v>
          </cell>
          <cell r="C157" t="str">
            <v>OP_EU_EX_UK</v>
          </cell>
          <cell r="D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</row>
        <row r="158">
          <cell r="A158">
            <v>0</v>
          </cell>
          <cell r="B158" t="str">
            <v>Operating Profit - % Austria</v>
          </cell>
          <cell r="C158" t="str">
            <v>OP_AUSTRIA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</row>
        <row r="159">
          <cell r="A159">
            <v>0</v>
          </cell>
          <cell r="B159" t="str">
            <v>Operating Profit - % Belgium</v>
          </cell>
          <cell r="C159" t="str">
            <v>OP_BEL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</row>
        <row r="160">
          <cell r="A160">
            <v>0</v>
          </cell>
          <cell r="B160" t="str">
            <v>Operating Profit - % Denmark</v>
          </cell>
          <cell r="C160" t="str">
            <v>OP_DEN</v>
          </cell>
          <cell r="D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</row>
        <row r="161">
          <cell r="A161">
            <v>0</v>
          </cell>
          <cell r="B161" t="str">
            <v>Operating Profit - % Finland</v>
          </cell>
          <cell r="C161" t="str">
            <v>OP_FIN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</row>
        <row r="162">
          <cell r="A162">
            <v>0</v>
          </cell>
          <cell r="B162" t="str">
            <v>Operating Profit - % France</v>
          </cell>
          <cell r="C162" t="str">
            <v>OP_FRA</v>
          </cell>
          <cell r="D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</row>
        <row r="163">
          <cell r="A163">
            <v>0</v>
          </cell>
          <cell r="B163" t="str">
            <v>Operating Profit - % Germany</v>
          </cell>
          <cell r="C163" t="str">
            <v>OP_GER</v>
          </cell>
          <cell r="D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</row>
        <row r="164">
          <cell r="A164">
            <v>0</v>
          </cell>
          <cell r="B164" t="str">
            <v>Operating Profit - % Greece</v>
          </cell>
          <cell r="C164" t="str">
            <v>OP_GRE</v>
          </cell>
          <cell r="D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</row>
        <row r="165">
          <cell r="A165">
            <v>0</v>
          </cell>
          <cell r="B165" t="str">
            <v>Operating Profit - % Iceland</v>
          </cell>
          <cell r="C165" t="str">
            <v>OP_ICE</v>
          </cell>
          <cell r="D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A166">
            <v>0</v>
          </cell>
          <cell r="B166" t="str">
            <v>Operating Profit - % Ireland</v>
          </cell>
          <cell r="C166" t="str">
            <v>OP_IRE</v>
          </cell>
          <cell r="D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A167">
            <v>0</v>
          </cell>
          <cell r="B167" t="str">
            <v>Operating Profit - % Italy</v>
          </cell>
          <cell r="C167" t="str">
            <v>OP_ITA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A168">
            <v>0</v>
          </cell>
          <cell r="B168" t="str">
            <v>Operating Profit - % Netherlands</v>
          </cell>
          <cell r="C168" t="str">
            <v>OP_NETH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</row>
        <row r="169">
          <cell r="A169">
            <v>0</v>
          </cell>
          <cell r="B169" t="str">
            <v>Operating Profit - % Norway</v>
          </cell>
          <cell r="C169" t="str">
            <v>OP_NOR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</row>
        <row r="170">
          <cell r="A170">
            <v>0</v>
          </cell>
          <cell r="B170" t="str">
            <v>Operating Profit - % Portugal</v>
          </cell>
          <cell r="C170" t="str">
            <v>OP_POR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</row>
        <row r="171">
          <cell r="A171">
            <v>0</v>
          </cell>
          <cell r="B171" t="str">
            <v>Operating Profit - % Spain</v>
          </cell>
          <cell r="C171" t="str">
            <v>OP_SPA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</row>
        <row r="172">
          <cell r="A172">
            <v>0</v>
          </cell>
          <cell r="B172" t="str">
            <v>Operating Profit - % Sweden</v>
          </cell>
          <cell r="C172" t="str">
            <v>OP_SWE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</row>
        <row r="173">
          <cell r="A173">
            <v>0</v>
          </cell>
          <cell r="B173" t="str">
            <v>Operating Profit - % Switzerland</v>
          </cell>
          <cell r="C173" t="str">
            <v>OP_SWIT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</row>
        <row r="174">
          <cell r="A174">
            <v>0</v>
          </cell>
          <cell r="B174" t="str">
            <v>Operating Profit - % Central &amp; Eastern Europe</v>
          </cell>
          <cell r="C174" t="str">
            <v>OP_CEE</v>
          </cell>
          <cell r="D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</row>
        <row r="175">
          <cell r="A175">
            <v>0</v>
          </cell>
          <cell r="B175" t="str">
            <v>Operating Profit - % Middle East</v>
          </cell>
          <cell r="C175" t="str">
            <v>OP_ME</v>
          </cell>
          <cell r="D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</row>
        <row r="176">
          <cell r="A176">
            <v>0</v>
          </cell>
          <cell r="B176" t="str">
            <v>Operating Profit - % Russia</v>
          </cell>
          <cell r="C176" t="str">
            <v>OP_RUSSIA</v>
          </cell>
          <cell r="D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</row>
        <row r="177">
          <cell r="A177">
            <v>0</v>
          </cell>
          <cell r="B177" t="str">
            <v>Operating Profit - % Other EMEA</v>
          </cell>
          <cell r="C177" t="str">
            <v>OP_OTH_EMEA</v>
          </cell>
          <cell r="D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</row>
        <row r="178">
          <cell r="A178">
            <v>0</v>
          </cell>
          <cell r="B178" t="str">
            <v>Operating Profit - Total % Asia (incl Australia &amp; New Zealand)</v>
          </cell>
          <cell r="C178" t="str">
            <v>OP_TOT_ASIA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A179">
            <v>0</v>
          </cell>
          <cell r="B179" t="str">
            <v>Operating Profit - % Japan</v>
          </cell>
          <cell r="C179" t="str">
            <v>OP_JAPAN</v>
          </cell>
          <cell r="D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A180">
            <v>0</v>
          </cell>
          <cell r="B180" t="str">
            <v>Operating Profit - % Greater China (incl HK)</v>
          </cell>
          <cell r="C180" t="str">
            <v>OP_CHINA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1</v>
          </cell>
          <cell r="AA180">
            <v>1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1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1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1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1</v>
          </cell>
          <cell r="BA180">
            <v>1</v>
          </cell>
          <cell r="BB180">
            <v>1</v>
          </cell>
          <cell r="BC180">
            <v>1</v>
          </cell>
          <cell r="BD180">
            <v>1</v>
          </cell>
        </row>
        <row r="181">
          <cell r="A181">
            <v>0</v>
          </cell>
          <cell r="B181" t="str">
            <v>Operating Profit - % India</v>
          </cell>
          <cell r="C181" t="str">
            <v>OP_INDIA</v>
          </cell>
          <cell r="D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</row>
        <row r="182">
          <cell r="A182">
            <v>0</v>
          </cell>
          <cell r="B182" t="str">
            <v>Operating Profit - % South Korea</v>
          </cell>
          <cell r="C182" t="str">
            <v>OP_SK</v>
          </cell>
          <cell r="D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</row>
        <row r="183">
          <cell r="A183">
            <v>0</v>
          </cell>
          <cell r="B183" t="str">
            <v>Operating Profit - % Australia</v>
          </cell>
          <cell r="C183" t="str">
            <v>OP_AUSTRA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</row>
        <row r="184">
          <cell r="A184">
            <v>0</v>
          </cell>
          <cell r="B184" t="str">
            <v>Operating Profit - % New Zealand</v>
          </cell>
          <cell r="C184" t="str">
            <v>OP_NZ</v>
          </cell>
          <cell r="D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</row>
        <row r="185">
          <cell r="A185">
            <v>0</v>
          </cell>
          <cell r="B185" t="str">
            <v>Operating Profit - % Other AEJ (incl Taiwan)</v>
          </cell>
          <cell r="C185" t="str">
            <v>OP_OTH_AEJ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</row>
        <row r="186">
          <cell r="A186">
            <v>0</v>
          </cell>
          <cell r="B186" t="str">
            <v>Operating Profit - % Others</v>
          </cell>
          <cell r="C186" t="str">
            <v>OP_OTHER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</row>
        <row r="187">
          <cell r="B187" t="str">
            <v>Sales -% Consumer (C)</v>
          </cell>
          <cell r="C187" t="str">
            <v>SALES_CONS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</row>
        <row r="188">
          <cell r="B188" t="str">
            <v>Sales -% Industry (I)</v>
          </cell>
          <cell r="C188" t="str">
            <v>SALES_IND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 t="str">
            <v>Sales -% Government (G)</v>
          </cell>
          <cell r="C189" t="str">
            <v>SALES_GOV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 t="str">
            <v>Sales - % Industry Sub-Segment: Financial Services</v>
          </cell>
          <cell r="C190" t="str">
            <v>SALES_FINAN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A191">
            <v>0</v>
          </cell>
          <cell r="B191" t="str">
            <v>Operating Profit - % Consumer (C)</v>
          </cell>
          <cell r="C191" t="str">
            <v>OP_CONS</v>
          </cell>
          <cell r="D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</row>
        <row r="192">
          <cell r="A192">
            <v>0</v>
          </cell>
          <cell r="B192" t="str">
            <v>Operating Profit - % Industry (I)</v>
          </cell>
          <cell r="C192" t="str">
            <v>OP_IND</v>
          </cell>
          <cell r="D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</row>
        <row r="193">
          <cell r="A193">
            <v>0</v>
          </cell>
          <cell r="B193" t="str">
            <v>Operating Profit - % Government (G)</v>
          </cell>
          <cell r="C193" t="str">
            <v>OP_GOV</v>
          </cell>
          <cell r="D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</row>
        <row r="194">
          <cell r="A194" t="str">
            <v>Commodities Exposure - Expense</v>
          </cell>
          <cell r="B194">
            <v>0</v>
          </cell>
          <cell r="C194">
            <v>0</v>
          </cell>
          <cell r="D194">
            <v>0</v>
          </cell>
        </row>
        <row r="195">
          <cell r="B195" t="str">
            <v>Expense - % Other commodity</v>
          </cell>
          <cell r="C195" t="str">
            <v>EXP_OTH_COMMODITY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</row>
        <row r="196">
          <cell r="B196" t="str">
            <v>Expense - % Other (Non-Commodity) cost</v>
          </cell>
          <cell r="C196" t="str">
            <v>EXP_OTH_COST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</row>
        <row r="197">
          <cell r="A197" t="str">
            <v>FX Exposure - Sales</v>
          </cell>
          <cell r="B197">
            <v>0</v>
          </cell>
          <cell r="C197">
            <v>0</v>
          </cell>
          <cell r="D197">
            <v>0</v>
          </cell>
        </row>
        <row r="198">
          <cell r="B198" t="str">
            <v>Sales - % FX: British Pounds/Pence</v>
          </cell>
          <cell r="C198" t="str">
            <v>SALES_FX_GPB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</row>
        <row r="199">
          <cell r="B199" t="str">
            <v>Sales - % FX: Euro</v>
          </cell>
          <cell r="C199" t="str">
            <v>SALES_FX_EUR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</row>
        <row r="200">
          <cell r="B200" t="str">
            <v>Sales - % FX: New Russian Ruble</v>
          </cell>
          <cell r="C200" t="str">
            <v>SALES_FX_RUB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</row>
        <row r="201">
          <cell r="B201" t="str">
            <v>Sales - % FX: U.S. Dollar</v>
          </cell>
          <cell r="C201" t="str">
            <v>SALES_FX_USD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</row>
        <row r="202">
          <cell r="B202" t="str">
            <v>Sales - % FX: Brazilian Real</v>
          </cell>
          <cell r="C202" t="str">
            <v>SALES_FX_BRL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</row>
        <row r="203">
          <cell r="B203" t="str">
            <v>Sales - % FX: Japanese Yen</v>
          </cell>
          <cell r="C203" t="str">
            <v>SALES_FX_YEN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</row>
        <row r="204">
          <cell r="B204" t="str">
            <v>Sales - % FX: Chinese Renminbi</v>
          </cell>
          <cell r="C204" t="str">
            <v>SALES_FX_CNY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</row>
        <row r="205">
          <cell r="B205" t="str">
            <v>Sales - % FX: Indian Rupee</v>
          </cell>
          <cell r="C205" t="str">
            <v>SALES_FX_INR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</row>
        <row r="206">
          <cell r="B206" t="str">
            <v>Sales - % FX: South Korean Won</v>
          </cell>
          <cell r="C206" t="str">
            <v>SALES_FX_KRW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</row>
        <row r="207">
          <cell r="B207" t="str">
            <v>Sales - % FX: Taiwan Dollar</v>
          </cell>
          <cell r="C207" t="str">
            <v>SALES_FX_TWD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</row>
        <row r="208">
          <cell r="B208" t="str">
            <v>Sales - % FX: Other Currency</v>
          </cell>
          <cell r="C208" t="str">
            <v>SALES_FX_OTH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A209" t="str">
            <v>Security: Beijing Ultrapower Software</v>
          </cell>
          <cell r="B209">
            <v>0</v>
          </cell>
          <cell r="C209">
            <v>0</v>
          </cell>
          <cell r="D209">
            <v>0</v>
          </cell>
        </row>
        <row r="210">
          <cell r="A210" t="str">
            <v>Reference Data</v>
          </cell>
          <cell r="B210">
            <v>0</v>
          </cell>
          <cell r="C210">
            <v>0</v>
          </cell>
          <cell r="D210">
            <v>0</v>
          </cell>
        </row>
        <row r="211">
          <cell r="B211" t="str">
            <v>Ticker</v>
          </cell>
          <cell r="C211" t="str">
            <v>Ticker</v>
          </cell>
          <cell r="E211" t="str">
            <v>300002.SZ</v>
          </cell>
        </row>
        <row r="212">
          <cell r="B212" t="str">
            <v>Security Name</v>
          </cell>
          <cell r="C212" t="str">
            <v>Security Name</v>
          </cell>
          <cell r="E212" t="str">
            <v>Beijing Ultrapower Software</v>
          </cell>
        </row>
        <row r="213">
          <cell r="B213" t="str">
            <v>Interim Type</v>
          </cell>
          <cell r="C213" t="str">
            <v>Interim Type</v>
          </cell>
          <cell r="E213" t="str">
            <v>Q</v>
          </cell>
        </row>
        <row r="214">
          <cell r="B214" t="str">
            <v>Publishing Currency</v>
          </cell>
          <cell r="C214" t="str">
            <v>PUB_CURRENCY_ISO</v>
          </cell>
          <cell r="E214" t="str">
            <v>CNY</v>
          </cell>
        </row>
        <row r="215">
          <cell r="B215" t="str">
            <v>Pricing Currency</v>
          </cell>
          <cell r="C215" t="str">
            <v>PRICE_CURRENCY_ISO</v>
          </cell>
          <cell r="E215" t="str">
            <v>CNY</v>
          </cell>
        </row>
        <row r="216">
          <cell r="B216" t="str">
            <v>Reporting Currency</v>
          </cell>
          <cell r="C216" t="str">
            <v>CURRENCY_ISO</v>
          </cell>
          <cell r="E216" t="str">
            <v>CNY</v>
          </cell>
        </row>
        <row r="217">
          <cell r="A217" t="str">
            <v>General Information</v>
          </cell>
          <cell r="B217">
            <v>0</v>
          </cell>
          <cell r="C217">
            <v>0</v>
          </cell>
          <cell r="D217">
            <v>0</v>
          </cell>
        </row>
        <row r="218">
          <cell r="B218" t="str">
            <v>Asia Pacific Investment List</v>
          </cell>
          <cell r="C218" t="str">
            <v>AEJ_LIST</v>
          </cell>
          <cell r="E218">
            <v>0</v>
          </cell>
          <cell r="F218" t="str">
            <v>Acceptable values include BUY or SELL</v>
          </cell>
        </row>
        <row r="219">
          <cell r="B219" t="str">
            <v>Asia Pacific Conviction List</v>
          </cell>
          <cell r="C219" t="str">
            <v>AEJ_CONVICTION</v>
          </cell>
          <cell r="E219">
            <v>0</v>
          </cell>
          <cell r="F219" t="str">
            <v>Acceptable values include BUY or SELL</v>
          </cell>
        </row>
        <row r="220">
          <cell r="B220" t="str">
            <v>Legal rating</v>
          </cell>
          <cell r="C220" t="str">
            <v>LEGAL_RATING</v>
          </cell>
          <cell r="E220">
            <v>0</v>
          </cell>
          <cell r="F220" t="str">
            <v>Acceptable values include RS, CS or NR</v>
          </cell>
        </row>
        <row r="221">
          <cell r="B221" t="str">
            <v>Target price</v>
          </cell>
          <cell r="C221" t="str">
            <v>TARGET_PRICE</v>
          </cell>
          <cell r="D221" t="str">
            <v>CNY</v>
          </cell>
          <cell r="E221">
            <v>8</v>
          </cell>
        </row>
        <row r="222">
          <cell r="B222" t="str">
            <v>Target price period</v>
          </cell>
          <cell r="C222" t="str">
            <v>TP_PERIOD</v>
          </cell>
          <cell r="E222" t="str">
            <v>12 months</v>
          </cell>
        </row>
        <row r="223">
          <cell r="B223" t="str">
            <v>Current shares outstanding (mn)</v>
          </cell>
          <cell r="C223" t="str">
            <v>NUM_SH</v>
          </cell>
          <cell r="E223">
            <v>1991.5330986821073</v>
          </cell>
        </row>
        <row r="224">
          <cell r="B224" t="str">
            <v>Free float</v>
          </cell>
          <cell r="C224" t="str">
            <v>FREE_FLOAT</v>
          </cell>
          <cell r="E224">
            <v>0</v>
          </cell>
        </row>
        <row r="225">
          <cell r="B225" t="str">
            <v>Foreign ownership</v>
          </cell>
          <cell r="C225" t="str">
            <v>FOREIGN_HOLDNG</v>
          </cell>
          <cell r="E225">
            <v>0</v>
          </cell>
        </row>
        <row r="226">
          <cell r="B226" t="str">
            <v>Exceptionals (pre-tax)</v>
          </cell>
          <cell r="C226" t="str">
            <v>ACT1</v>
          </cell>
          <cell r="E226">
            <v>0.13930000000000001</v>
          </cell>
        </row>
        <row r="227">
          <cell r="B227" t="str">
            <v>Full market cost of capital (FMCC)</v>
          </cell>
          <cell r="C227" t="str">
            <v>ACT2</v>
          </cell>
          <cell r="E227">
            <v>0.13930000000000001</v>
          </cell>
        </row>
        <row r="228">
          <cell r="B228" t="str">
            <v>Catalyst 1 date</v>
          </cell>
          <cell r="C228" t="str">
            <v>CATALYST1_DATE</v>
          </cell>
          <cell r="E228">
            <v>0</v>
          </cell>
        </row>
        <row r="229">
          <cell r="B229" t="str">
            <v>Catalyst 1 description</v>
          </cell>
          <cell r="C229" t="str">
            <v>CATALYST1_EVENT</v>
          </cell>
          <cell r="E229">
            <v>0</v>
          </cell>
        </row>
        <row r="230">
          <cell r="B230" t="str">
            <v>Catalyst 2 date</v>
          </cell>
          <cell r="C230" t="str">
            <v>CATALYST2_DATE</v>
          </cell>
          <cell r="E230">
            <v>0</v>
          </cell>
        </row>
        <row r="231">
          <cell r="B231" t="str">
            <v>Catalyst 2 description</v>
          </cell>
          <cell r="C231" t="str">
            <v>CATALYST2_EVENT</v>
          </cell>
          <cell r="E231">
            <v>0</v>
          </cell>
        </row>
        <row r="232">
          <cell r="B232" t="str">
            <v>Catalyst 3 date</v>
          </cell>
          <cell r="C232" t="str">
            <v>CATALYST3_DATE</v>
          </cell>
          <cell r="E232">
            <v>0</v>
          </cell>
        </row>
        <row r="233">
          <cell r="B233" t="str">
            <v>Catalyst 3 description</v>
          </cell>
          <cell r="C233" t="str">
            <v>CATALYST3_EVENT</v>
          </cell>
          <cell r="E233">
            <v>0</v>
          </cell>
        </row>
        <row r="234">
          <cell r="B234" t="str">
            <v>Catalyst 4 date</v>
          </cell>
          <cell r="C234" t="str">
            <v>CATALYST4_DATE</v>
          </cell>
          <cell r="E234">
            <v>0</v>
          </cell>
        </row>
        <row r="235">
          <cell r="B235" t="str">
            <v>Catalyst 4 description</v>
          </cell>
          <cell r="C235" t="str">
            <v>CATALYST4_EVENT</v>
          </cell>
          <cell r="E235">
            <v>0</v>
          </cell>
        </row>
        <row r="236">
          <cell r="B236" t="str">
            <v>Catalyst 5 date</v>
          </cell>
          <cell r="C236" t="str">
            <v>CATALYST5_DATE</v>
          </cell>
          <cell r="E236">
            <v>0</v>
          </cell>
        </row>
        <row r="237">
          <cell r="B237" t="str">
            <v>Catalyst 5 description</v>
          </cell>
          <cell r="C237" t="str">
            <v>CATALYST5_EVENT</v>
          </cell>
          <cell r="E237">
            <v>0</v>
          </cell>
        </row>
        <row r="238">
          <cell r="B238" t="str">
            <v>Target price multiple</v>
          </cell>
          <cell r="C238" t="str">
            <v>PRI_TARG_MULT</v>
          </cell>
          <cell r="E238">
            <v>28.789955976189738</v>
          </cell>
        </row>
        <row r="239">
          <cell r="B239" t="str">
            <v>Target price methodology</v>
          </cell>
          <cell r="C239" t="str">
            <v>PRI_TARG_METH</v>
          </cell>
          <cell r="E239" t="str">
            <v>Long-term growth discounted PE</v>
          </cell>
        </row>
        <row r="240">
          <cell r="A240" t="str">
            <v>Publishing Items</v>
          </cell>
          <cell r="B240">
            <v>0</v>
          </cell>
          <cell r="C240">
            <v>0</v>
          </cell>
          <cell r="D240">
            <v>0</v>
          </cell>
        </row>
        <row r="241">
          <cell r="B241" t="str">
            <v>Book value per share, BVPS (Pub)</v>
          </cell>
          <cell r="C241" t="str">
            <v>BVPS_PUB</v>
          </cell>
          <cell r="D241" t="str">
            <v>CNY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3.7758586171209654E-2</v>
          </cell>
          <cell r="S241">
            <v>6.7449776605890827E-2</v>
          </cell>
          <cell r="T241">
            <v>0.11738870174640491</v>
          </cell>
          <cell r="U241">
            <v>1.1353085732097821</v>
          </cell>
          <cell r="V241">
            <v>1.2813272161601497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1.423884494173286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1.6036198045242056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1.8010713611105245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2.4330363116931641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2.5858792952661442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2.7928436236335599</v>
          </cell>
          <cell r="BA241">
            <v>3.0571717748039662</v>
          </cell>
          <cell r="BB241">
            <v>3.3693329241118044</v>
          </cell>
          <cell r="BC241">
            <v>3.7278080554806787</v>
          </cell>
          <cell r="BD241">
            <v>4.1307778887817674</v>
          </cell>
        </row>
        <row r="242">
          <cell r="B242" t="str">
            <v>DPS, dividend per share (Pub)</v>
          </cell>
          <cell r="C242" t="str">
            <v>DPS_PUB</v>
          </cell>
          <cell r="D242" t="str">
            <v>CNY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3.1207095732424965E-2</v>
          </cell>
          <cell r="S242">
            <v>1.7337989168755657E-2</v>
          </cell>
          <cell r="T242">
            <v>1.7337989168755657E-2</v>
          </cell>
          <cell r="U242">
            <v>2.080558700250679E-2</v>
          </cell>
          <cell r="V242">
            <v>5.2013967506266967E-2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6.2416761007520374E-2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8.3222348010027161E-2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8.3273114018624084E-2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7.991511794489066E-2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5.2367240457581558E-2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7.0910358437116475E-2</v>
          </cell>
          <cell r="BA242">
            <v>9.0564417995931207E-2</v>
          </cell>
          <cell r="BB242">
            <v>0.10695301534409733</v>
          </cell>
          <cell r="BC242">
            <v>0.12282116564083845</v>
          </cell>
          <cell r="BD242">
            <v>0.13806599206795506</v>
          </cell>
        </row>
        <row r="243">
          <cell r="B243" t="str">
            <v>Special dividend per share</v>
          </cell>
          <cell r="C243" t="str">
            <v>DPS_SPECIAL_PUB</v>
          </cell>
          <cell r="D243" t="str">
            <v>CNY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</row>
        <row r="244">
          <cell r="B244" t="str">
            <v>EBITDA (Pub)</v>
          </cell>
          <cell r="C244" t="str">
            <v>EBITDA_PUB</v>
          </cell>
          <cell r="D244" t="str">
            <v>CNY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20.599513910000013</v>
          </cell>
          <cell r="S244">
            <v>66.580099229999917</v>
          </cell>
          <cell r="T244">
            <v>111.51279618000001</v>
          </cell>
          <cell r="U244">
            <v>287.46976214999995</v>
          </cell>
          <cell r="V244">
            <v>338.61539100000005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344.89383635000013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420.35270003999995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535.86252201000002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582.65213418999974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393.5786616047767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533.76399161158224</v>
          </cell>
          <cell r="BA244">
            <v>685.42900745000361</v>
          </cell>
          <cell r="BB244">
            <v>829.53222298265246</v>
          </cell>
          <cell r="BC244">
            <v>957.94480585891506</v>
          </cell>
          <cell r="BD244">
            <v>1073.1469859124381</v>
          </cell>
        </row>
        <row r="245">
          <cell r="B245" t="str">
            <v>EPS (Pub)</v>
          </cell>
          <cell r="C245" t="str">
            <v>EPS_PUB</v>
          </cell>
          <cell r="D245" t="str">
            <v>CNY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3.5522681768706585E-2</v>
          </cell>
          <cell r="S245">
            <v>7.0913109216314982E-2</v>
          </cell>
          <cell r="T245">
            <v>9.6797887664004809E-2</v>
          </cell>
          <cell r="U245">
            <v>0.14855350801476874</v>
          </cell>
          <cell r="V245">
            <v>0.17991762966728947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0.19515733036842425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0.23474803039754047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0.2806991981554422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0.31947505145495131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0.20512744632413149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0.27787468680453242</v>
          </cell>
          <cell r="BA245">
            <v>0.35489256916633749</v>
          </cell>
          <cell r="BB245">
            <v>0.41911416465193546</v>
          </cell>
          <cell r="BC245">
            <v>0.48129629700971244</v>
          </cell>
          <cell r="BD245">
            <v>0.54103582536904404</v>
          </cell>
        </row>
        <row r="246">
          <cell r="B246" t="str">
            <v>EV adjustment (Pub)</v>
          </cell>
          <cell r="C246" t="str">
            <v>EV_ADJ_PUB</v>
          </cell>
          <cell r="D246" t="str">
            <v>CNY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</row>
        <row r="247">
          <cell r="B247" t="str">
            <v>Net debt (Pub)</v>
          </cell>
          <cell r="C247" t="str">
            <v>NET_DEBT_PUB</v>
          </cell>
          <cell r="D247" t="str">
            <v>CNY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-34.739110689999997</v>
          </cell>
          <cell r="S247">
            <v>-65.897238049999999</v>
          </cell>
          <cell r="T247">
            <v>-183.11123214</v>
          </cell>
          <cell r="U247">
            <v>-2076.8490320299998</v>
          </cell>
          <cell r="V247">
            <v>-1677.6470453699999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-1366.6017071700001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-1364.84627017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-1328.78331987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-1168.5656612599998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-1128.5603594076636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-1136.7021749618743</v>
          </cell>
          <cell r="BA247">
            <v>-1247.5144483912943</v>
          </cell>
          <cell r="BB247">
            <v>-1428.2635964222097</v>
          </cell>
          <cell r="BC247">
            <v>-1774.9959830588839</v>
          </cell>
          <cell r="BD247">
            <v>-2285.4515277292726</v>
          </cell>
        </row>
        <row r="248">
          <cell r="B248" t="str">
            <v>Net income (Pub)</v>
          </cell>
          <cell r="C248" t="str">
            <v>NI_PUB</v>
          </cell>
          <cell r="D248" t="str">
            <v>CNY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22.119224359999997</v>
          </cell>
          <cell r="S248">
            <v>88.312193489999942</v>
          </cell>
          <cell r="T248">
            <v>120.54800415999999</v>
          </cell>
          <cell r="U248">
            <v>270.75174678999991</v>
          </cell>
          <cell r="V248">
            <v>327.91559863999998</v>
          </cell>
          <cell r="W248">
            <v>74.006076190000002</v>
          </cell>
          <cell r="X248">
            <v>126.19300407999992</v>
          </cell>
          <cell r="Y248">
            <v>58.974767580000041</v>
          </cell>
          <cell r="Z248">
            <v>96.517436740000051</v>
          </cell>
          <cell r="AA248">
            <v>355.69128459000001</v>
          </cell>
          <cell r="AB248">
            <v>56.244744320000009</v>
          </cell>
          <cell r="AC248">
            <v>164.54240281999998</v>
          </cell>
          <cell r="AD248">
            <v>76.275948249999985</v>
          </cell>
          <cell r="AE248">
            <v>131.96580895999995</v>
          </cell>
          <cell r="AF248">
            <v>429.02890435</v>
          </cell>
          <cell r="AG248">
            <v>97.446319410000044</v>
          </cell>
          <cell r="AH248">
            <v>171.2433815</v>
          </cell>
          <cell r="AI248">
            <v>90.563310770000001</v>
          </cell>
          <cell r="AJ248">
            <v>158.29116002999993</v>
          </cell>
          <cell r="AK248">
            <v>517.54417171</v>
          </cell>
          <cell r="AL248">
            <v>67.608454660000035</v>
          </cell>
          <cell r="AM248">
            <v>152.30449191999986</v>
          </cell>
          <cell r="AN248">
            <v>145.50897047000024</v>
          </cell>
          <cell r="AO248">
            <v>258.98368021999971</v>
          </cell>
          <cell r="AP248">
            <v>624.40559726999982</v>
          </cell>
          <cell r="AQ248">
            <v>34.96720243</v>
          </cell>
          <cell r="AR248">
            <v>76.073349849999772</v>
          </cell>
          <cell r="AS248">
            <v>68.072183330000101</v>
          </cell>
          <cell r="AT248">
            <v>229.40536319264515</v>
          </cell>
          <cell r="AU248">
            <v>408.51809880264523</v>
          </cell>
          <cell r="AV248">
            <v>96.099388042475212</v>
          </cell>
          <cell r="AW248">
            <v>195.37960811389544</v>
          </cell>
          <cell r="AX248">
            <v>171.10178822524503</v>
          </cell>
          <cell r="AY248">
            <v>90.592622523598337</v>
          </cell>
          <cell r="AZ248">
            <v>553.17340690521382</v>
          </cell>
          <cell r="BA248">
            <v>706.49519691293096</v>
          </cell>
          <cell r="BB248">
            <v>834.343037895463</v>
          </cell>
          <cell r="BC248">
            <v>958.13085894725577</v>
          </cell>
          <cell r="BD248">
            <v>1077.056115542104</v>
          </cell>
        </row>
        <row r="249">
          <cell r="B249" t="str">
            <v>EBIT, operating profit (Pub)</v>
          </cell>
          <cell r="C249" t="str">
            <v>EBIT_PUB</v>
          </cell>
          <cell r="D249" t="str">
            <v>CNY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19.184823840000007</v>
          </cell>
          <cell r="S249">
            <v>64.560239829999887</v>
          </cell>
          <cell r="T249">
            <v>107.12624685000003</v>
          </cell>
          <cell r="U249">
            <v>281.61131492999993</v>
          </cell>
          <cell r="V249">
            <v>328.71666015000005</v>
          </cell>
          <cell r="W249">
            <v>58.682645960000002</v>
          </cell>
          <cell r="X249">
            <v>145.62258324999993</v>
          </cell>
          <cell r="Y249">
            <v>42.179027240000039</v>
          </cell>
          <cell r="Z249">
            <v>71.898152950000053</v>
          </cell>
          <cell r="AA249">
            <v>318.38240940000014</v>
          </cell>
          <cell r="AB249">
            <v>70.293445730000002</v>
          </cell>
          <cell r="AC249">
            <v>189.66605327999997</v>
          </cell>
          <cell r="AD249">
            <v>86.374526109999977</v>
          </cell>
          <cell r="AE249">
            <v>40.594191829999936</v>
          </cell>
          <cell r="AF249">
            <v>386.92821694999998</v>
          </cell>
          <cell r="AG249">
            <v>106.14939612000003</v>
          </cell>
          <cell r="AH249">
            <v>211.32175306999997</v>
          </cell>
          <cell r="AI249">
            <v>93.025038229999993</v>
          </cell>
          <cell r="AJ249">
            <v>90.941151019999921</v>
          </cell>
          <cell r="AK249">
            <v>501.43733844000008</v>
          </cell>
          <cell r="AL249">
            <v>70.250510950000034</v>
          </cell>
          <cell r="AM249">
            <v>146.78398794999984</v>
          </cell>
          <cell r="AN249">
            <v>112.37639544000024</v>
          </cell>
          <cell r="AO249">
            <v>207.78464149999968</v>
          </cell>
          <cell r="AP249">
            <v>537.19553583999959</v>
          </cell>
          <cell r="AQ249">
            <v>-5.5553544400000021</v>
          </cell>
          <cell r="AR249">
            <v>48.028329559999776</v>
          </cell>
          <cell r="AS249">
            <v>51.411115090000095</v>
          </cell>
          <cell r="AT249">
            <v>238.77174856196211</v>
          </cell>
          <cell r="AU249">
            <v>332.65583877196195</v>
          </cell>
          <cell r="AV249">
            <v>54.643416505977825</v>
          </cell>
          <cell r="AW249">
            <v>165.98932816763983</v>
          </cell>
          <cell r="AX249">
            <v>155.67319602857782</v>
          </cell>
          <cell r="AY249">
            <v>77.233057781477328</v>
          </cell>
          <cell r="AZ249">
            <v>453.538998483672</v>
          </cell>
          <cell r="BA249">
            <v>581.89167865870832</v>
          </cell>
          <cell r="BB249">
            <v>698.4008778061625</v>
          </cell>
          <cell r="BC249">
            <v>795.59079116336488</v>
          </cell>
          <cell r="BD249">
            <v>876.41148557188535</v>
          </cell>
        </row>
        <row r="250">
          <cell r="B250" t="str">
            <v>Pre-tax profit (Pub)</v>
          </cell>
          <cell r="C250" t="str">
            <v>PTP_PUB</v>
          </cell>
          <cell r="D250" t="str">
            <v>CNY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22.639065789999997</v>
          </cell>
          <cell r="S250">
            <v>90.670697229999945</v>
          </cell>
          <cell r="T250">
            <v>124.16962944999999</v>
          </cell>
          <cell r="U250">
            <v>300.40862071999993</v>
          </cell>
          <cell r="V250">
            <v>365.4077039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386.68754695000001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445.10447776000001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563.45236990000001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651.41577006999978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421.8768563789622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572.53861444805864</v>
          </cell>
          <cell r="BA250">
            <v>736.31905123764227</v>
          </cell>
          <cell r="BB250">
            <v>879.11948330320558</v>
          </cell>
          <cell r="BC250">
            <v>1009.5505893825214</v>
          </cell>
          <cell r="BD250">
            <v>1134.8581731709335</v>
          </cell>
        </row>
        <row r="251">
          <cell r="B251" t="str">
            <v>Sales, revenue (Pub)</v>
          </cell>
          <cell r="C251" t="str">
            <v>REVS_PUB</v>
          </cell>
          <cell r="D251" t="str">
            <v>CNY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187.60429084</v>
          </cell>
          <cell r="S251">
            <v>442.76652658999996</v>
          </cell>
          <cell r="T251">
            <v>519.28288069999996</v>
          </cell>
          <cell r="U251">
            <v>722.75869049999994</v>
          </cell>
          <cell r="V251">
            <v>841.62898700000005</v>
          </cell>
          <cell r="W251">
            <v>204.81831707000001</v>
          </cell>
          <cell r="X251">
            <v>330.37986076999994</v>
          </cell>
          <cell r="Y251">
            <v>238.97879821000004</v>
          </cell>
          <cell r="Z251">
            <v>383.08111348</v>
          </cell>
          <cell r="AA251">
            <v>1157.25808953</v>
          </cell>
          <cell r="AB251">
            <v>242.92063012</v>
          </cell>
          <cell r="AC251">
            <v>437.09620760000001</v>
          </cell>
          <cell r="AD251">
            <v>303.38412253000001</v>
          </cell>
          <cell r="AE251">
            <v>426.11194976999991</v>
          </cell>
          <cell r="AF251">
            <v>1409.5129100199999</v>
          </cell>
          <cell r="AG251">
            <v>348.45297110000001</v>
          </cell>
          <cell r="AH251">
            <v>607.13261825999996</v>
          </cell>
          <cell r="AI251">
            <v>432.71126663000007</v>
          </cell>
          <cell r="AJ251">
            <v>518.16965304999985</v>
          </cell>
          <cell r="AK251">
            <v>1906.4665090399999</v>
          </cell>
          <cell r="AL251">
            <v>466.76376913000001</v>
          </cell>
          <cell r="AM251">
            <v>666.34454358999994</v>
          </cell>
          <cell r="AN251">
            <v>555.94271255000012</v>
          </cell>
          <cell r="AO251">
            <v>859.79336720999981</v>
          </cell>
          <cell r="AP251">
            <v>2548.8443924799999</v>
          </cell>
          <cell r="AQ251">
            <v>468.89389055999999</v>
          </cell>
          <cell r="AR251">
            <v>677.1105567799998</v>
          </cell>
          <cell r="AS251">
            <v>668.80091810000022</v>
          </cell>
          <cell r="AT251">
            <v>1093.6131168229997</v>
          </cell>
          <cell r="AU251">
            <v>2908.418482263</v>
          </cell>
          <cell r="AV251">
            <v>548.48560937914135</v>
          </cell>
          <cell r="AW251">
            <v>829.65496779699242</v>
          </cell>
          <cell r="AX251">
            <v>834.90826648739198</v>
          </cell>
          <cell r="AY251">
            <v>1370.4306411266543</v>
          </cell>
          <cell r="AZ251">
            <v>3583.4794847901799</v>
          </cell>
          <cell r="BA251">
            <v>4267.441958340728</v>
          </cell>
          <cell r="BB251">
            <v>4975.9216175718739</v>
          </cell>
          <cell r="BC251">
            <v>5511.3076170949907</v>
          </cell>
          <cell r="BD251">
            <v>5907.4859330467816</v>
          </cell>
        </row>
        <row r="252">
          <cell r="B252" t="str">
            <v>Total shareholders' equity (Pub)</v>
          </cell>
          <cell r="C252" t="str">
            <v>EQ_PUB</v>
          </cell>
          <cell r="D252" t="str">
            <v>CNY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77.048219099999997</v>
          </cell>
          <cell r="S252">
            <v>134.27427718999999</v>
          </cell>
          <cell r="T252">
            <v>233.68918135000001</v>
          </cell>
          <cell r="U252">
            <v>2261.3248492300004</v>
          </cell>
          <cell r="V252">
            <v>2553.7762138199996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2853.2845492900001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3212.9693131499998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3607.9398966899998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4931.7694531699999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5212.0040904288644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5597.5762553135046</v>
          </cell>
          <cell r="BA252">
            <v>6094.7005008939432</v>
          </cell>
          <cell r="BB252">
            <v>6681.7846807743472</v>
          </cell>
          <cell r="BC252">
            <v>7355.9719682502628</v>
          </cell>
          <cell r="BD252">
            <v>8113.840827410605</v>
          </cell>
        </row>
        <row r="253">
          <cell r="B253" t="str">
            <v>EPS (consensus)</v>
          </cell>
          <cell r="C253" t="str">
            <v>EPS_CONS_PUB</v>
          </cell>
          <cell r="D253" t="str">
            <v>CNY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</row>
        <row r="254">
          <cell r="A254" t="str">
            <v>Income Statement</v>
          </cell>
          <cell r="B254">
            <v>0</v>
          </cell>
          <cell r="C254">
            <v>0</v>
          </cell>
          <cell r="D254">
            <v>0</v>
          </cell>
        </row>
        <row r="255">
          <cell r="B255" t="str">
            <v>Provision for income tax</v>
          </cell>
          <cell r="C255" t="str">
            <v>PROV_INC_TAX</v>
          </cell>
          <cell r="D255" t="str">
            <v>CNY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-0.69241753000000006</v>
          </cell>
          <cell r="S255">
            <v>-2.30627687</v>
          </cell>
          <cell r="T255">
            <v>-3.6216252899999999</v>
          </cell>
          <cell r="U255">
            <v>-29.924581359999998</v>
          </cell>
          <cell r="V255">
            <v>-38.230127530000004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-32.992592030000004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-18.195239709999999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-48.989335629999999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-47.294408700000005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-37.39319540631697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-45.803089155844702</v>
          </cell>
          <cell r="BA255">
            <v>-58.90552409901133</v>
          </cell>
          <cell r="BB255">
            <v>-79.120753497288504</v>
          </cell>
          <cell r="BC255">
            <v>-90.859553044426917</v>
          </cell>
          <cell r="BD255">
            <v>-102.137235585384</v>
          </cell>
        </row>
        <row r="256">
          <cell r="B256" t="str">
            <v>Minority interest</v>
          </cell>
          <cell r="C256" t="str">
            <v>INC_MINORITY</v>
          </cell>
          <cell r="D256" t="str">
            <v>CNY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0.17257610000000001</v>
          </cell>
          <cell r="S256">
            <v>-5.2226870000000002E-2</v>
          </cell>
          <cell r="T256">
            <v>0</v>
          </cell>
          <cell r="U256">
            <v>0.26770742999999997</v>
          </cell>
          <cell r="V256">
            <v>0.73802226999999998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1.9963296699999999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2.1196663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3.08113744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20.284235899999999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24.034437829999998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26.437881613000002</v>
          </cell>
          <cell r="BA256">
            <v>29.081669774300003</v>
          </cell>
          <cell r="BB256">
            <v>34.344308089545947</v>
          </cell>
          <cell r="BC256">
            <v>39.439822609161354</v>
          </cell>
          <cell r="BD256">
            <v>44.335177956554475</v>
          </cell>
        </row>
        <row r="257">
          <cell r="B257" t="str">
            <v>Net income (pre-preferred dividends)</v>
          </cell>
          <cell r="C257" t="str">
            <v>NI_PRE_PREF</v>
          </cell>
          <cell r="D257" t="str">
            <v>CNY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22.119224359999997</v>
          </cell>
          <cell r="S257">
            <v>88.312193489999942</v>
          </cell>
          <cell r="T257">
            <v>120.54800415999999</v>
          </cell>
          <cell r="U257">
            <v>270.75174678999991</v>
          </cell>
          <cell r="V257">
            <v>327.91559863999998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355.69128459000001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429.02890435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517.54417171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624.40559726999982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408.51809880264523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553.17340690521382</v>
          </cell>
          <cell r="BA257">
            <v>706.49519691293096</v>
          </cell>
          <cell r="BB257">
            <v>834.343037895463</v>
          </cell>
          <cell r="BC257">
            <v>958.13085894725577</v>
          </cell>
          <cell r="BD257">
            <v>1077.056115542104</v>
          </cell>
        </row>
        <row r="258">
          <cell r="B258" t="str">
            <v>Preferred dividends</v>
          </cell>
          <cell r="C258" t="str">
            <v>PREF_DIV</v>
          </cell>
          <cell r="D258" t="str">
            <v>CNY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Net income (pre-exceptionals)</v>
          </cell>
          <cell r="C259" t="str">
            <v>NET_EARNING</v>
          </cell>
          <cell r="D259" t="str">
            <v>CNY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22.119224359999997</v>
          </cell>
          <cell r="S259">
            <v>88.312193489999942</v>
          </cell>
          <cell r="T259">
            <v>120.54800415999999</v>
          </cell>
          <cell r="U259">
            <v>270.75174678999991</v>
          </cell>
          <cell r="V259">
            <v>327.91559863999998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355.69128459000001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429.02890435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517.54417171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624.40559726999982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408.51809880264523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553.17340690521382</v>
          </cell>
          <cell r="BA259">
            <v>706.49519691293096</v>
          </cell>
          <cell r="BB259">
            <v>834.343037895463</v>
          </cell>
          <cell r="BC259">
            <v>958.13085894725577</v>
          </cell>
          <cell r="BD259">
            <v>1077.056115542104</v>
          </cell>
        </row>
        <row r="260">
          <cell r="B260" t="str">
            <v>Post-tax exceptionals</v>
          </cell>
          <cell r="C260" t="str">
            <v>TAX_EXC</v>
          </cell>
          <cell r="D260" t="str">
            <v>CNY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</row>
        <row r="261">
          <cell r="B261" t="str">
            <v>Net income (post-exceptionals)</v>
          </cell>
          <cell r="C261" t="str">
            <v>NET_INC</v>
          </cell>
          <cell r="D261" t="str">
            <v>CNY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22.119224359999997</v>
          </cell>
          <cell r="S261">
            <v>88.312193489999942</v>
          </cell>
          <cell r="T261">
            <v>120.54800415999999</v>
          </cell>
          <cell r="U261">
            <v>270.75174678999991</v>
          </cell>
          <cell r="V261">
            <v>327.91559863999998</v>
          </cell>
          <cell r="W261">
            <v>74.006076190000002</v>
          </cell>
          <cell r="X261">
            <v>126.19300407999992</v>
          </cell>
          <cell r="Y261">
            <v>58.974767580000041</v>
          </cell>
          <cell r="Z261">
            <v>96.517436740000051</v>
          </cell>
          <cell r="AA261">
            <v>355.69128459000001</v>
          </cell>
          <cell r="AB261">
            <v>56.244744320000009</v>
          </cell>
          <cell r="AC261">
            <v>164.54240281999998</v>
          </cell>
          <cell r="AD261">
            <v>76.275948249999985</v>
          </cell>
          <cell r="AE261">
            <v>131.96580895999995</v>
          </cell>
          <cell r="AF261">
            <v>429.02890435</v>
          </cell>
          <cell r="AG261">
            <v>97.446319410000044</v>
          </cell>
          <cell r="AH261">
            <v>171.2433815</v>
          </cell>
          <cell r="AI261">
            <v>90.563310770000001</v>
          </cell>
          <cell r="AJ261">
            <v>158.29116002999993</v>
          </cell>
          <cell r="AK261">
            <v>517.54417171</v>
          </cell>
          <cell r="AL261">
            <v>67.608454660000035</v>
          </cell>
          <cell r="AM261">
            <v>152.30449191999986</v>
          </cell>
          <cell r="AN261">
            <v>145.50897047000024</v>
          </cell>
          <cell r="AO261">
            <v>258.98368021999971</v>
          </cell>
          <cell r="AP261">
            <v>624.40559726999982</v>
          </cell>
          <cell r="AQ261">
            <v>34.96720243</v>
          </cell>
          <cell r="AR261">
            <v>76.073349849999772</v>
          </cell>
          <cell r="AS261">
            <v>68.072183330000101</v>
          </cell>
          <cell r="AT261">
            <v>229.40536319264515</v>
          </cell>
          <cell r="AU261">
            <v>408.51809880264523</v>
          </cell>
          <cell r="AV261">
            <v>96.099388042475212</v>
          </cell>
          <cell r="AW261">
            <v>195.37960811389544</v>
          </cell>
          <cell r="AX261">
            <v>171.10178822524503</v>
          </cell>
          <cell r="AY261">
            <v>90.592622523598337</v>
          </cell>
          <cell r="AZ261">
            <v>553.17340690521382</v>
          </cell>
          <cell r="BA261">
            <v>706.49519691293096</v>
          </cell>
          <cell r="BB261">
            <v>834.343037895463</v>
          </cell>
          <cell r="BC261">
            <v>958.13085894725577</v>
          </cell>
          <cell r="BD261">
            <v>1077.056115542104</v>
          </cell>
        </row>
        <row r="262">
          <cell r="B262" t="str">
            <v>EPS (pre-exceptionals, basic)</v>
          </cell>
          <cell r="C262" t="str">
            <v>EPS</v>
          </cell>
          <cell r="D262" t="str">
            <v>CNY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3.5522681768706585E-2</v>
          </cell>
          <cell r="S262">
            <v>7.0913109216314982E-2</v>
          </cell>
          <cell r="T262">
            <v>9.6797887664004809E-2</v>
          </cell>
          <cell r="U262">
            <v>0.14855350801476874</v>
          </cell>
          <cell r="V262">
            <v>0.17991762966728947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0.19515733036842425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0.23474803039754047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0.2806991981554422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0.31947505145495131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0.20512744632413149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0.27787468680453242</v>
          </cell>
          <cell r="BA262">
            <v>0.35489256916633749</v>
          </cell>
          <cell r="BB262">
            <v>0.41911416465193546</v>
          </cell>
          <cell r="BC262">
            <v>0.48129629700971244</v>
          </cell>
          <cell r="BD262">
            <v>0.54103582536904404</v>
          </cell>
        </row>
        <row r="263">
          <cell r="B263" t="str">
            <v>EPS (pre-exceptionals, diluted)</v>
          </cell>
          <cell r="C263" t="str">
            <v>EPS_FUL_DIL</v>
          </cell>
          <cell r="D263" t="str">
            <v>CNY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3.5522681768706585E-2</v>
          </cell>
          <cell r="S263">
            <v>7.0913109216314982E-2</v>
          </cell>
          <cell r="T263">
            <v>9.6797887664004809E-2</v>
          </cell>
          <cell r="U263">
            <v>0.14855350801476874</v>
          </cell>
          <cell r="V263">
            <v>0.17991762966728947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0.19515733036842425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0.23282675283388651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0.28021044185740945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0.31316141758860877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0.20512744632413149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0.27787468680453242</v>
          </cell>
          <cell r="BA263">
            <v>0.35489256916633749</v>
          </cell>
          <cell r="BB263">
            <v>0.41911416465193546</v>
          </cell>
          <cell r="BC263">
            <v>0.48129629700971244</v>
          </cell>
          <cell r="BD263">
            <v>0.54103582536904404</v>
          </cell>
        </row>
        <row r="264">
          <cell r="B264" t="str">
            <v>EPS (post-exceptionals, basic)</v>
          </cell>
          <cell r="C264" t="str">
            <v>EPS_POST_BASIC</v>
          </cell>
          <cell r="D264" t="str">
            <v>CNY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3.5522681768706585E-2</v>
          </cell>
          <cell r="S264">
            <v>7.0913109216314982E-2</v>
          </cell>
          <cell r="T264">
            <v>9.6797887664004809E-2</v>
          </cell>
          <cell r="U264">
            <v>0.14855350801476874</v>
          </cell>
          <cell r="V264">
            <v>0.17991762966728947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0.19515733036842425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0.23474803039754047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0.2806991981554422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0.31947505145495131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0.20512744632413149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0.27787468680453242</v>
          </cell>
          <cell r="BA264">
            <v>0.35489256916633749</v>
          </cell>
          <cell r="BB264">
            <v>0.41911416465193546</v>
          </cell>
          <cell r="BC264">
            <v>0.48129629700971244</v>
          </cell>
          <cell r="BD264">
            <v>0.54103582536904404</v>
          </cell>
        </row>
        <row r="265">
          <cell r="B265" t="str">
            <v>EPS (post-exceptionals, diluted)</v>
          </cell>
          <cell r="C265" t="str">
            <v>FULLY_DIL_EPS</v>
          </cell>
          <cell r="D265" t="str">
            <v>CNY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3.5522681768706585E-2</v>
          </cell>
          <cell r="S265">
            <v>7.0913109216314982E-2</v>
          </cell>
          <cell r="T265">
            <v>9.6797887664004809E-2</v>
          </cell>
          <cell r="U265">
            <v>0.14855350801476874</v>
          </cell>
          <cell r="V265">
            <v>0.17991762966728947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0.19515733036842425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0.23282675283388651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0.28021044185740945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0.31316141758860877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0.20512744632413149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0.27787468680453242</v>
          </cell>
          <cell r="BA265">
            <v>0.35489256916633749</v>
          </cell>
          <cell r="BB265">
            <v>0.41911416465193546</v>
          </cell>
          <cell r="BC265">
            <v>0.48129629700971244</v>
          </cell>
          <cell r="BD265">
            <v>0.54103582536904404</v>
          </cell>
        </row>
        <row r="266">
          <cell r="B266" t="str">
            <v>Common dividends paid</v>
          </cell>
          <cell r="C266" t="str">
            <v>COMMON_DIV_PAID</v>
          </cell>
          <cell r="D266" t="str">
            <v>CNY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-19.431999999999999</v>
          </cell>
          <cell r="S266">
            <v>-21.591999999999999</v>
          </cell>
          <cell r="T266">
            <v>-21.591999999999999</v>
          </cell>
          <cell r="U266">
            <v>-37.92</v>
          </cell>
          <cell r="V266">
            <v>-94.8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-113.76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-153.35347999999999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-153.80410000000001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-159.34097928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-104.24902371378018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-141.1633604075727</v>
          </cell>
          <cell r="BA266">
            <v>-180.2892815581933</v>
          </cell>
          <cell r="BB266">
            <v>-212.91454992551311</v>
          </cell>
          <cell r="BC266">
            <v>-244.50374886217958</v>
          </cell>
          <cell r="BD266">
            <v>-274.85207842520612</v>
          </cell>
        </row>
        <row r="267">
          <cell r="B267" t="str">
            <v>DPS, dividend per share</v>
          </cell>
          <cell r="C267" t="str">
            <v>DPS</v>
          </cell>
          <cell r="D267" t="str">
            <v>CNY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3.1207095732424965E-2</v>
          </cell>
          <cell r="S267">
            <v>1.7337989168755657E-2</v>
          </cell>
          <cell r="T267">
            <v>1.7337989168755657E-2</v>
          </cell>
          <cell r="U267">
            <v>2.080558700250679E-2</v>
          </cell>
          <cell r="V267">
            <v>5.2013967506266967E-2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6.2416761007520374E-2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8.3222348010027161E-2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8.3273114018624084E-2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7.991511794489066E-2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5.2367240457581558E-2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7.0910358437116475E-2</v>
          </cell>
          <cell r="BA267">
            <v>9.0564417995931207E-2</v>
          </cell>
          <cell r="BB267">
            <v>0.10695301534409733</v>
          </cell>
          <cell r="BC267">
            <v>0.12282116564083845</v>
          </cell>
          <cell r="BD267">
            <v>0.13806599206795506</v>
          </cell>
        </row>
        <row r="268">
          <cell r="B268" t="str">
            <v>Weighted average shares outstanding, basic</v>
          </cell>
          <cell r="C268" t="str">
            <v>SH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622.67889862656</v>
          </cell>
          <cell r="S268">
            <v>1245.35779725312</v>
          </cell>
          <cell r="T268">
            <v>1245.35779725312</v>
          </cell>
          <cell r="U268">
            <v>1822.5873653760002</v>
          </cell>
          <cell r="V268">
            <v>1822.5873653760002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1822.587365376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1827.614500634784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1843.7679021206206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1954.4737356683588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1991.5330986821073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1990.729754</v>
          </cell>
          <cell r="BA268">
            <v>1990.729754</v>
          </cell>
          <cell r="BB268">
            <v>1990.729754</v>
          </cell>
          <cell r="BC268">
            <v>1990.729754</v>
          </cell>
          <cell r="BD268">
            <v>1990.729754</v>
          </cell>
        </row>
        <row r="269">
          <cell r="B269" t="str">
            <v>Diluted average shares outstanding (mn)</v>
          </cell>
          <cell r="C269" t="str">
            <v>DILUTE_SHARES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622.67889862656</v>
          </cell>
          <cell r="S269">
            <v>1245.35779725312</v>
          </cell>
          <cell r="T269">
            <v>1245.35779725312</v>
          </cell>
          <cell r="U269">
            <v>1822.5873653760002</v>
          </cell>
          <cell r="V269">
            <v>1822.5873653760002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1822.587365376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1842.6959064111359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1846.9838892490754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1993.8777965626139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1991.5330986821073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1990.729754</v>
          </cell>
          <cell r="BA269">
            <v>1990.729754</v>
          </cell>
          <cell r="BB269">
            <v>1990.729754</v>
          </cell>
          <cell r="BC269">
            <v>1990.729754</v>
          </cell>
          <cell r="BD269">
            <v>1990.729754</v>
          </cell>
        </row>
        <row r="270">
          <cell r="B270" t="str">
            <v>Period-end shares outstanding</v>
          </cell>
          <cell r="C270" t="str">
            <v>NON_OP_ADD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622.67889862656</v>
          </cell>
          <cell r="S270">
            <v>1245.35779725312</v>
          </cell>
          <cell r="T270">
            <v>1245.35779725312</v>
          </cell>
          <cell r="U270">
            <v>1822.5873653760002</v>
          </cell>
          <cell r="V270">
            <v>1822.5873653760002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1822.587365376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1842.6959064111359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1846.9838892490754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1993.8777965626139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1990.729754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1990.729754</v>
          </cell>
          <cell r="BA270">
            <v>1990.729754</v>
          </cell>
          <cell r="BB270">
            <v>1990.729754</v>
          </cell>
          <cell r="BC270">
            <v>1990.729754</v>
          </cell>
          <cell r="BD270">
            <v>1990.729754</v>
          </cell>
        </row>
        <row r="271">
          <cell r="A271" t="str">
            <v>Additional Income Statement Items</v>
          </cell>
          <cell r="B271">
            <v>0</v>
          </cell>
          <cell r="C271">
            <v>0</v>
          </cell>
          <cell r="D271">
            <v>0</v>
          </cell>
        </row>
        <row r="272">
          <cell r="B272" t="str">
            <v>Marginal tax rate</v>
          </cell>
          <cell r="C272" t="str">
            <v>MARGIN_TAX_RATE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3.0585075215685396E-2</v>
          </cell>
          <cell r="S272">
            <v>2.5435746503082245E-2</v>
          </cell>
          <cell r="T272">
            <v>2.916675604205083E-2</v>
          </cell>
          <cell r="U272">
            <v>9.9612924849755299E-2</v>
          </cell>
          <cell r="V272">
            <v>0.10462321161258911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8.5321061643254981E-2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4.0878581589580992E-2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8.6944945566019172E-2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7.2602492713551972E-2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8.8635332422045757E-2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8.0000000000000016E-2</v>
          </cell>
          <cell r="BA272">
            <v>7.9999999999999932E-2</v>
          </cell>
          <cell r="BB272">
            <v>0.09</v>
          </cell>
          <cell r="BC272">
            <v>0.09</v>
          </cell>
          <cell r="BD272">
            <v>0.09</v>
          </cell>
        </row>
        <row r="273">
          <cell r="B273" t="str">
            <v>Net income (consensus) (Pub)</v>
          </cell>
          <cell r="C273" t="str">
            <v>NI_CONS</v>
          </cell>
          <cell r="D273" t="str">
            <v>CNY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</row>
        <row r="274">
          <cell r="A274" t="str">
            <v>Balance Sheet</v>
          </cell>
          <cell r="B274">
            <v>0</v>
          </cell>
          <cell r="C274">
            <v>0</v>
          </cell>
          <cell r="D274">
            <v>0</v>
          </cell>
        </row>
        <row r="275">
          <cell r="B275" t="str">
            <v>BVPS, book value per share</v>
          </cell>
          <cell r="C275" t="str">
            <v>BVPS</v>
          </cell>
          <cell r="D275" t="str">
            <v>CNY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0.12071573506954518</v>
          </cell>
          <cell r="S275">
            <v>0.10781983899419761</v>
          </cell>
          <cell r="T275">
            <v>0.18764822596802877</v>
          </cell>
          <cell r="U275">
            <v>1.2400462110049484</v>
          </cell>
          <cell r="V275">
            <v>1.3995357711117316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1.5552446388353121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1.7324473603392965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1.9412439753861239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2.4291949018139829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2.5858792952661442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2.7928436236335599</v>
          </cell>
          <cell r="BA275">
            <v>3.0571717748039662</v>
          </cell>
          <cell r="BB275">
            <v>3.3693329241118044</v>
          </cell>
          <cell r="BC275">
            <v>3.7278080554806787</v>
          </cell>
          <cell r="BD275">
            <v>4.1307778887817674</v>
          </cell>
        </row>
        <row r="276">
          <cell r="A276" t="str">
            <v>Cash Flow Statement</v>
          </cell>
          <cell r="B276">
            <v>0</v>
          </cell>
          <cell r="C276">
            <v>0</v>
          </cell>
          <cell r="D276">
            <v>0</v>
          </cell>
          <cell r="AK276" t="str">
            <v xml:space="preserve"> </v>
          </cell>
        </row>
        <row r="277">
          <cell r="B277" t="str">
            <v>Net income (pre-preferred dividends)</v>
          </cell>
          <cell r="C277" t="str">
            <v>CF_NI_PRE_PREF</v>
          </cell>
          <cell r="D277" t="str">
            <v>CNY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22.119224359999997</v>
          </cell>
          <cell r="S277">
            <v>88.312193489999942</v>
          </cell>
          <cell r="T277">
            <v>120.54800415999999</v>
          </cell>
          <cell r="U277">
            <v>270.75174678999991</v>
          </cell>
          <cell r="V277">
            <v>327.91559863999998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355.69128459000001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429.02890435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517.54417171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624.40559726999982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408.51809880264523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553.17340690521382</v>
          </cell>
          <cell r="BA277">
            <v>706.49519691293096</v>
          </cell>
          <cell r="BB277">
            <v>834.343037895463</v>
          </cell>
          <cell r="BC277">
            <v>958.13085894725577</v>
          </cell>
          <cell r="BD277">
            <v>1077.056115542104</v>
          </cell>
        </row>
        <row r="278">
          <cell r="A278" t="str">
            <v>Other Items</v>
          </cell>
          <cell r="B278">
            <v>0</v>
          </cell>
          <cell r="C278">
            <v>0</v>
          </cell>
          <cell r="D278">
            <v>0</v>
          </cell>
        </row>
        <row r="279">
          <cell r="B279" t="str">
            <v>Beta</v>
          </cell>
          <cell r="C279" t="str">
            <v>BETA_ANALYST</v>
          </cell>
          <cell r="E279">
            <v>0</v>
          </cell>
        </row>
        <row r="280">
          <cell r="B280" t="str">
            <v>Market equity risk premium</v>
          </cell>
          <cell r="C280" t="str">
            <v>MKT_EQ_RISK_PREM</v>
          </cell>
          <cell r="E280">
            <v>0</v>
          </cell>
        </row>
        <row r="281">
          <cell r="B281" t="str">
            <v>Risk-free rate</v>
          </cell>
          <cell r="C281" t="str">
            <v>RISK_FR_RATE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AA281">
            <v>0</v>
          </cell>
          <cell r="AF281">
            <v>0</v>
          </cell>
          <cell r="AK281">
            <v>0</v>
          </cell>
          <cell r="AP281">
            <v>0</v>
          </cell>
          <cell r="AU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GIR Product">
  <a:themeElements>
    <a:clrScheme name="GIR Exhibits">
      <a:dk1>
        <a:srgbClr val="000000"/>
      </a:dk1>
      <a:lt1>
        <a:sysClr val="window" lastClr="FFFFFF"/>
      </a:lt1>
      <a:dk2>
        <a:srgbClr val="BE3232"/>
      </a:dk2>
      <a:lt2>
        <a:srgbClr val="F67F26"/>
      </a:lt2>
      <a:accent1>
        <a:srgbClr val="00355F"/>
      </a:accent1>
      <a:accent2>
        <a:srgbClr val="ACD4F1"/>
      </a:accent2>
      <a:accent3>
        <a:srgbClr val="A5A5A5"/>
      </a:accent3>
      <a:accent4>
        <a:srgbClr val="7399C6"/>
      </a:accent4>
      <a:accent5>
        <a:srgbClr val="078549"/>
      </a:accent5>
      <a:accent6>
        <a:srgbClr val="8BC346"/>
      </a:accent6>
      <a:hlink>
        <a:srgbClr val="7399C6"/>
      </a:hlink>
      <a:folHlink>
        <a:srgbClr val="A5A5A5"/>
      </a:folHlink>
    </a:clrScheme>
    <a:fontScheme name="Relay Exhibits">
      <a:majorFont>
        <a:latin typeface="Arial"/>
        <a:ea typeface="MS Gothic"/>
        <a:cs typeface=""/>
      </a:majorFont>
      <a:minorFont>
        <a:latin typeface="Arial"/>
        <a:ea typeface="MS Gothic"/>
        <a:cs typeface=""/>
      </a:minorFont>
    </a:fontScheme>
    <a:fmtScheme name="GIR Produc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C2BB29C-8090-4453-B66F-4D046F3F7EED}">
  <we:reference id="49825c50-e8d8-4c4a-9a2c-e6f24181e018" version="1.0.0.0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Relationship Id="rId4" Type="http://schemas.openxmlformats.org/officeDocument/2006/relationships/customProperty" Target="../customProperty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4.bin"/><Relationship Id="rId4" Type="http://schemas.openxmlformats.org/officeDocument/2006/relationships/customProperty" Target="../customProperty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5.bin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7.bin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9.bin"/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8.bin"/><Relationship Id="rId4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25"/>
  <sheetViews>
    <sheetView tabSelected="1" workbookViewId="0">
      <selection activeCell="C11" sqref="C11"/>
    </sheetView>
  </sheetViews>
  <sheetFormatPr defaultColWidth="0" defaultRowHeight="18" customHeight="1" zeroHeight="1"/>
  <cols>
    <col min="1" max="1" width="2.5703125" style="1" customWidth="1"/>
    <col min="2" max="2" width="61.28515625" style="1" bestFit="1" customWidth="1"/>
    <col min="3" max="3" width="18.42578125" style="1" customWidth="1"/>
    <col min="4" max="9" width="9.28515625" style="1" customWidth="1"/>
    <col min="10" max="10" width="2.5703125" style="1" customWidth="1"/>
    <col min="11" max="21" width="9.28515625" style="1" hidden="1" customWidth="1"/>
    <col min="22" max="16384" width="9.28515625" style="1" hidden="1"/>
  </cols>
  <sheetData>
    <row r="1" spans="1:10" ht="5.0999999999999996" customHeight="1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ht="18" customHeigh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8" customHeight="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18" customHeight="1">
      <c r="A4" s="29"/>
      <c r="B4" s="30" t="s">
        <v>72</v>
      </c>
      <c r="C4" s="29"/>
      <c r="D4" s="29"/>
      <c r="E4" s="29"/>
      <c r="F4" s="29"/>
      <c r="G4" s="29"/>
      <c r="H4" s="29"/>
      <c r="I4" s="29"/>
      <c r="J4" s="29"/>
    </row>
    <row r="5" spans="1:10" ht="5.0999999999999996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ht="18" customHeight="1">
      <c r="A6" s="29"/>
      <c r="B6" s="335" t="s">
        <v>417</v>
      </c>
      <c r="C6" s="335"/>
      <c r="D6" s="335"/>
      <c r="E6" s="335"/>
      <c r="F6" s="335"/>
      <c r="G6" s="335"/>
      <c r="H6" s="335"/>
      <c r="I6" s="335"/>
      <c r="J6" s="29"/>
    </row>
    <row r="7" spans="1:10" ht="18" customHeight="1">
      <c r="A7" s="29"/>
      <c r="B7" s="31" t="s">
        <v>39</v>
      </c>
      <c r="C7" s="32" t="s">
        <v>709</v>
      </c>
      <c r="D7" s="29"/>
      <c r="E7" s="29"/>
      <c r="F7" s="29"/>
      <c r="G7" s="29"/>
      <c r="H7" s="29"/>
      <c r="I7" s="29"/>
      <c r="J7" s="29"/>
    </row>
    <row r="8" spans="1:10" ht="18" customHeight="1">
      <c r="A8" s="29"/>
      <c r="B8" s="31" t="s">
        <v>73</v>
      </c>
      <c r="C8" s="32" t="s">
        <v>790</v>
      </c>
      <c r="D8" s="29"/>
      <c r="E8" s="29"/>
      <c r="F8" s="29"/>
      <c r="G8" s="29"/>
      <c r="H8" s="29"/>
      <c r="I8" s="29"/>
      <c r="J8" s="29"/>
    </row>
    <row r="9" spans="1:10" ht="18" customHeight="1">
      <c r="A9" s="29"/>
      <c r="B9" s="31" t="s">
        <v>67</v>
      </c>
      <c r="C9" s="32">
        <v>3</v>
      </c>
      <c r="D9" s="29"/>
      <c r="E9" s="29"/>
      <c r="F9" s="29"/>
      <c r="G9" s="29"/>
      <c r="H9" s="29"/>
      <c r="I9" s="29"/>
      <c r="J9" s="29"/>
    </row>
    <row r="10" spans="1:10" ht="18" customHeight="1">
      <c r="A10" s="29"/>
      <c r="B10" s="31" t="s">
        <v>791</v>
      </c>
      <c r="C10" s="33">
        <v>5409.8504000000003</v>
      </c>
      <c r="D10" s="29"/>
      <c r="E10" s="29"/>
      <c r="F10" s="29"/>
      <c r="G10" s="29"/>
      <c r="H10" s="29"/>
      <c r="I10" s="29"/>
      <c r="J10" s="29"/>
    </row>
    <row r="11" spans="1:10" ht="18" customHeight="1">
      <c r="A11" s="29"/>
      <c r="B11" s="31" t="s">
        <v>74</v>
      </c>
      <c r="C11" s="33">
        <v>90670</v>
      </c>
      <c r="D11" s="29"/>
      <c r="E11" s="29"/>
      <c r="F11" s="29"/>
      <c r="G11" s="29"/>
      <c r="H11" s="29"/>
      <c r="I11" s="29"/>
      <c r="J11" s="29"/>
    </row>
    <row r="12" spans="1:10" ht="18" customHeight="1">
      <c r="A12" s="29"/>
      <c r="B12" s="31" t="s">
        <v>75</v>
      </c>
      <c r="C12" s="32" t="s">
        <v>26</v>
      </c>
      <c r="D12" s="29"/>
      <c r="E12" s="29"/>
      <c r="F12" s="29"/>
      <c r="G12" s="29"/>
      <c r="H12" s="29"/>
      <c r="I12" s="29"/>
      <c r="J12" s="29"/>
    </row>
    <row r="13" spans="1:10" ht="18" customHeight="1">
      <c r="A13" s="29"/>
      <c r="B13" s="31" t="s">
        <v>76</v>
      </c>
      <c r="C13" s="34">
        <v>46259</v>
      </c>
      <c r="D13" s="29"/>
      <c r="E13" s="29"/>
      <c r="F13" s="29"/>
      <c r="G13" s="29"/>
      <c r="H13" s="29"/>
      <c r="I13" s="29"/>
      <c r="J13" s="29"/>
    </row>
    <row r="14" spans="1:10" ht="18" customHeight="1">
      <c r="A14" s="29"/>
      <c r="B14" s="31" t="s">
        <v>77</v>
      </c>
      <c r="C14" s="34">
        <v>46146</v>
      </c>
      <c r="D14" s="29"/>
      <c r="E14" s="29"/>
      <c r="F14" s="29"/>
      <c r="G14" s="29"/>
      <c r="H14" s="29"/>
      <c r="I14" s="29"/>
      <c r="J14" s="29"/>
    </row>
    <row r="15" spans="1:10" ht="5.0999999999999996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s="29" customFormat="1" ht="18" customHeight="1">
      <c r="B16" s="335" t="s">
        <v>78</v>
      </c>
      <c r="C16" s="335"/>
      <c r="D16" s="335"/>
      <c r="E16" s="335"/>
      <c r="F16" s="335"/>
      <c r="G16" s="335"/>
      <c r="H16" s="335"/>
      <c r="I16" s="335"/>
    </row>
    <row r="17" spans="2:2" s="29" customFormat="1" ht="18" customHeight="1">
      <c r="B17" s="35" t="s">
        <v>79</v>
      </c>
    </row>
    <row r="18" spans="2:2" s="29" customFormat="1" ht="18" customHeight="1">
      <c r="B18" s="36" t="s">
        <v>281</v>
      </c>
    </row>
    <row r="19" spans="2:2" s="29" customFormat="1" ht="18" customHeight="1">
      <c r="B19" s="37" t="s">
        <v>282</v>
      </c>
    </row>
    <row r="20" spans="2:2" s="29" customFormat="1" ht="18" customHeight="1">
      <c r="B20" s="36"/>
    </row>
    <row r="21" spans="2:2" s="29" customFormat="1" ht="18" customHeight="1">
      <c r="B21" s="36"/>
    </row>
    <row r="22" spans="2:2" s="29" customFormat="1" ht="18" customHeight="1"/>
    <row r="23" spans="2:2" s="29" customFormat="1" ht="18" customHeight="1"/>
    <row r="24" spans="2:2" s="29" customFormat="1" ht="18" customHeight="1"/>
    <row r="25" spans="2:2" s="29" customFormat="1" ht="18" customHeight="1"/>
  </sheetData>
  <mergeCells count="2">
    <mergeCell ref="B6:I6"/>
    <mergeCell ref="B16:I16"/>
  </mergeCells>
  <dataValidations count="2">
    <dataValidation type="list" allowBlank="1" showInputMessage="1" showErrorMessage="1" sqref="C9" xr:uid="{00000000-0002-0000-0000-000000000000}">
      <formula1>"1, 2, 3"</formula1>
    </dataValidation>
    <dataValidation type="list" allowBlank="1" showInputMessage="1" showErrorMessage="1" sqref="C7" xr:uid="{00000000-0002-0000-0000-000001000000}">
      <formula1>"Buy, Sell, Neutral, Not Rated, Rating Suspended"</formula1>
    </dataValidation>
  </dataValidations>
  <pageMargins left="0.7" right="0.7" top="0.75" bottom="0.75" header="0.3" footer="0.3"/>
  <pageSetup paperSize="9" orientation="portrait" horizontalDpi="300" verticalDpi="300" r:id="rId1"/>
  <customProperties>
    <customPr name="Qube.Worksheet.Visibility" r:id="rId2"/>
    <customPr name="SHEET_UNIQUE_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G183"/>
  <sheetViews>
    <sheetView showGridLines="0" topLeftCell="A25" zoomScaleNormal="100" workbookViewId="0">
      <selection activeCell="D87" sqref="D87"/>
    </sheetView>
  </sheetViews>
  <sheetFormatPr defaultColWidth="9.28515625" defaultRowHeight="12.75" outlineLevelRow="1"/>
  <cols>
    <col min="1" max="1" width="1.7109375" style="127" customWidth="1"/>
    <col min="2" max="2" width="30.28515625" style="127" customWidth="1"/>
    <col min="3" max="15" width="9.7109375" style="127" customWidth="1"/>
    <col min="16" max="16" width="10.7109375" style="391" customWidth="1"/>
    <col min="17" max="17" width="20.5703125" style="391" customWidth="1"/>
    <col min="18" max="27" width="12.7109375" style="391" customWidth="1"/>
    <col min="28" max="35" width="12.7109375" style="127" customWidth="1"/>
    <col min="36" max="16384" width="9.28515625" style="127"/>
  </cols>
  <sheetData>
    <row r="1" spans="2:32">
      <c r="R1" s="419" t="s">
        <v>789</v>
      </c>
      <c r="S1" s="419" t="s">
        <v>789</v>
      </c>
      <c r="T1" s="419" t="s">
        <v>789</v>
      </c>
      <c r="U1" s="419" t="s">
        <v>789</v>
      </c>
      <c r="V1" s="419" t="s">
        <v>789</v>
      </c>
    </row>
    <row r="2" spans="2:32" s="391" customFormat="1">
      <c r="B2" s="391" t="s">
        <v>188</v>
      </c>
      <c r="C2" s="418" t="s">
        <v>418</v>
      </c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W2" s="419">
        <v>2027</v>
      </c>
      <c r="X2" s="419">
        <v>2030</v>
      </c>
      <c r="AA2" s="420"/>
    </row>
    <row r="3" spans="2:32" s="391" customFormat="1">
      <c r="B3" s="391" t="s">
        <v>27</v>
      </c>
      <c r="C3" s="418" t="s">
        <v>419</v>
      </c>
      <c r="E3" s="389"/>
      <c r="F3" s="389"/>
      <c r="G3" s="389"/>
      <c r="H3" s="389"/>
      <c r="I3" s="389"/>
      <c r="J3" s="389"/>
      <c r="K3" s="389"/>
      <c r="L3" s="389"/>
      <c r="M3" s="421"/>
      <c r="N3" s="389"/>
      <c r="O3" s="389"/>
      <c r="P3" s="388"/>
      <c r="Q3" s="422" t="s">
        <v>188</v>
      </c>
      <c r="R3" s="420" t="s">
        <v>520</v>
      </c>
      <c r="S3" s="420" t="s">
        <v>504</v>
      </c>
      <c r="T3" s="420" t="s">
        <v>524</v>
      </c>
      <c r="U3" s="420" t="s">
        <v>768</v>
      </c>
      <c r="V3" s="420" t="s">
        <v>530</v>
      </c>
      <c r="W3" s="420" t="s">
        <v>418</v>
      </c>
      <c r="X3" s="420" t="s">
        <v>418</v>
      </c>
      <c r="Z3" s="420" t="s">
        <v>518</v>
      </c>
      <c r="AA3" s="420" t="s">
        <v>528</v>
      </c>
      <c r="AB3" s="420" t="s">
        <v>753</v>
      </c>
      <c r="AC3" s="420" t="s">
        <v>782</v>
      </c>
      <c r="AD3" s="420" t="s">
        <v>716</v>
      </c>
      <c r="AE3" s="420" t="s">
        <v>526</v>
      </c>
    </row>
    <row r="4" spans="2:32" s="391" customFormat="1">
      <c r="B4" s="391" t="s">
        <v>39</v>
      </c>
      <c r="C4" s="423" t="s">
        <v>709</v>
      </c>
      <c r="E4" s="389"/>
      <c r="F4" s="389"/>
      <c r="G4" s="389"/>
      <c r="H4" s="389"/>
      <c r="I4" s="389"/>
      <c r="J4" s="388"/>
      <c r="K4" s="389"/>
      <c r="L4" s="389"/>
      <c r="M4" s="400">
        <f>24+23</f>
        <v>47</v>
      </c>
      <c r="N4" s="421"/>
      <c r="O4" s="389"/>
      <c r="P4" s="389"/>
      <c r="Q4" s="391" t="s">
        <v>27</v>
      </c>
      <c r="R4" s="419" t="s">
        <v>523</v>
      </c>
      <c r="S4" s="419" t="s">
        <v>505</v>
      </c>
      <c r="T4" s="419" t="s">
        <v>525</v>
      </c>
      <c r="U4" s="419" t="s">
        <v>767</v>
      </c>
      <c r="V4" s="419" t="s">
        <v>531</v>
      </c>
      <c r="W4" s="419" t="s">
        <v>419</v>
      </c>
      <c r="X4" s="419" t="s">
        <v>419</v>
      </c>
      <c r="Z4" s="419" t="s">
        <v>783</v>
      </c>
      <c r="AA4" s="419" t="s">
        <v>529</v>
      </c>
      <c r="AB4" s="419" t="s">
        <v>754</v>
      </c>
      <c r="AC4" s="419" t="s">
        <v>760</v>
      </c>
      <c r="AD4" s="419" t="s">
        <v>718</v>
      </c>
      <c r="AE4" s="419" t="s">
        <v>527</v>
      </c>
    </row>
    <row r="5" spans="2:32" s="391" customFormat="1">
      <c r="B5" s="391" t="s">
        <v>324</v>
      </c>
      <c r="C5" s="424">
        <v>1035</v>
      </c>
      <c r="D5" s="425">
        <v>5264400</v>
      </c>
      <c r="E5" s="389" t="s">
        <v>471</v>
      </c>
      <c r="F5" s="400">
        <f>C6/D5</f>
        <v>1.839525871894233E-2</v>
      </c>
      <c r="G5" s="389"/>
      <c r="H5" s="389"/>
      <c r="I5" s="389"/>
      <c r="J5" s="400"/>
      <c r="K5" s="389"/>
      <c r="L5" s="425"/>
      <c r="M5" s="400">
        <f>21+31</f>
        <v>52</v>
      </c>
      <c r="N5" s="421"/>
      <c r="O5" s="389"/>
      <c r="P5" s="389"/>
      <c r="Q5" s="391" t="s">
        <v>39</v>
      </c>
      <c r="R5" s="419" t="s">
        <v>709</v>
      </c>
      <c r="S5" s="419" t="s">
        <v>788</v>
      </c>
      <c r="T5" s="419" t="s">
        <v>788</v>
      </c>
      <c r="U5" s="419" t="s">
        <v>709</v>
      </c>
      <c r="V5" s="419" t="s">
        <v>472</v>
      </c>
      <c r="W5" s="419" t="s">
        <v>709</v>
      </c>
      <c r="X5" s="419" t="s">
        <v>709</v>
      </c>
      <c r="Z5" s="395">
        <v>15.5</v>
      </c>
      <c r="AA5" s="395">
        <v>130.36000000000001</v>
      </c>
      <c r="AB5" s="395">
        <v>1468.45</v>
      </c>
      <c r="AC5" s="395">
        <v>59.7</v>
      </c>
      <c r="AD5" s="395">
        <v>60.6</v>
      </c>
      <c r="AE5" s="395">
        <v>81.2</v>
      </c>
    </row>
    <row r="6" spans="2:32" s="391" customFormat="1">
      <c r="B6" s="391" t="s">
        <v>372</v>
      </c>
      <c r="C6" s="426">
        <v>96840</v>
      </c>
      <c r="D6" s="425">
        <v>283353</v>
      </c>
      <c r="E6" s="389" t="s">
        <v>501</v>
      </c>
      <c r="F6" s="400">
        <f>C6/D6</f>
        <v>0.34176451281616921</v>
      </c>
      <c r="G6" s="400"/>
      <c r="H6" s="389"/>
      <c r="I6" s="389"/>
      <c r="J6" s="389"/>
      <c r="K6" s="389"/>
      <c r="L6" s="389"/>
      <c r="M6" s="389"/>
      <c r="N6" s="421"/>
      <c r="O6" s="389"/>
      <c r="P6" s="389"/>
      <c r="Q6" s="391" t="s">
        <v>785</v>
      </c>
      <c r="R6" s="395">
        <v>29.5</v>
      </c>
      <c r="S6" s="395">
        <v>51.56</v>
      </c>
      <c r="T6" s="395">
        <v>64.3</v>
      </c>
      <c r="U6" s="395">
        <v>21.8</v>
      </c>
      <c r="V6" s="395">
        <v>81.7</v>
      </c>
      <c r="W6" s="395">
        <f>(C7-L111-L110)/L100</f>
        <v>39.921853042420373</v>
      </c>
      <c r="X6" s="395">
        <f>SUM(X7:X8)*100*X9</f>
        <v>27.496316305028394</v>
      </c>
      <c r="Z6" s="396">
        <v>0.19</v>
      </c>
      <c r="AA6" s="396">
        <v>0.56499999999999995</v>
      </c>
      <c r="AB6" s="396">
        <v>1.3895</v>
      </c>
      <c r="AC6" s="396">
        <v>0.45200000000000001</v>
      </c>
      <c r="AD6" s="396">
        <v>0.58899999999999997</v>
      </c>
      <c r="AE6" s="396">
        <v>0.436</v>
      </c>
    </row>
    <row r="7" spans="2:32" s="391" customFormat="1">
      <c r="B7" s="391" t="s">
        <v>373</v>
      </c>
      <c r="C7" s="426">
        <v>650864</v>
      </c>
      <c r="G7" s="389"/>
      <c r="H7" s="389"/>
      <c r="I7" s="389"/>
      <c r="J7" s="389"/>
      <c r="K7" s="389"/>
      <c r="L7" s="389"/>
      <c r="M7" s="388"/>
      <c r="N7" s="389"/>
      <c r="O7" s="389"/>
      <c r="P7" s="389"/>
      <c r="Q7" s="391" t="s">
        <v>786</v>
      </c>
      <c r="R7" s="396">
        <f>AVERAGE(61.7%,23.4%)</f>
        <v>0.42549999999999999</v>
      </c>
      <c r="S7" s="396">
        <f>AVERAGE(45.96%,41.82%)</f>
        <v>0.43890000000000001</v>
      </c>
      <c r="T7" s="396">
        <f>AVERAGE(50.01%,38.93%)</f>
        <v>0.44469999999999998</v>
      </c>
      <c r="U7" s="396">
        <f>AVERAGE(36.6%, 40.9%)</f>
        <v>0.38749999999999996</v>
      </c>
      <c r="V7" s="396">
        <f>AVERAGE(152.8%,93.1%)</f>
        <v>1.2295</v>
      </c>
      <c r="W7" s="396">
        <f>AVERAGE(L101:M101)</f>
        <v>1.1620769148418524</v>
      </c>
      <c r="X7" s="396">
        <f>O101</f>
        <v>0.28945076804604786</v>
      </c>
      <c r="Z7" s="396">
        <v>0.52100000000000002</v>
      </c>
      <c r="AA7" s="396">
        <f>572/3353</f>
        <v>0.17059349835967791</v>
      </c>
      <c r="AB7" s="396">
        <f>212.667/2278</f>
        <v>9.3356892010535555E-2</v>
      </c>
      <c r="AC7" s="396">
        <v>0.22700000000000001</v>
      </c>
      <c r="AD7" s="396">
        <v>0.186</v>
      </c>
      <c r="AE7" s="396">
        <v>0.13700000000000001</v>
      </c>
    </row>
    <row r="8" spans="2:32" s="391" customFormat="1">
      <c r="B8" s="391" t="s">
        <v>323</v>
      </c>
      <c r="C8" s="397">
        <f>ROUND(L113,0)</f>
        <v>1841</v>
      </c>
      <c r="E8" s="389" t="s">
        <v>484</v>
      </c>
      <c r="F8" s="427">
        <v>1614.77</v>
      </c>
      <c r="G8" s="389"/>
      <c r="H8" s="428"/>
      <c r="I8" s="389"/>
      <c r="J8" s="400"/>
      <c r="K8" s="389"/>
      <c r="L8" s="392"/>
      <c r="M8" s="400"/>
      <c r="N8" s="389"/>
      <c r="O8" s="389"/>
      <c r="P8" s="389"/>
      <c r="Q8" s="391" t="s">
        <v>787</v>
      </c>
      <c r="R8" s="396">
        <f>AVERAGE(26.3%,26.3%)</f>
        <v>0.26300000000000001</v>
      </c>
      <c r="S8" s="396">
        <f>AVERAGE(11069/32950,15698/46338)</f>
        <v>0.33735243334079323</v>
      </c>
      <c r="T8" s="396">
        <f>AVERAGE(2934/12085,4076/16287)</f>
        <v>0.24652062523804047</v>
      </c>
      <c r="U8" s="396">
        <f>AVERAGE(33.4%,39.2%)</f>
        <v>0.36299999999999999</v>
      </c>
      <c r="V8" s="396">
        <f>AVERAGE(22.4%,31%)</f>
        <v>0.26700000000000002</v>
      </c>
      <c r="W8" s="396">
        <f>AVERAGE(L100/L87,M100/M87)</f>
        <v>0.17820731236431725</v>
      </c>
      <c r="X8" s="396">
        <f>O100/O87</f>
        <v>0.19136559263501723</v>
      </c>
      <c r="Z8" s="429">
        <f t="shared" ref="Z8:AE8" si="0">Z5/(SUM(Z6:Z7)*100)</f>
        <v>0.21800281293952178</v>
      </c>
      <c r="AA8" s="429">
        <f t="shared" si="0"/>
        <v>1.7721744454062427</v>
      </c>
      <c r="AB8" s="429">
        <f t="shared" si="0"/>
        <v>9.9028436790619629</v>
      </c>
      <c r="AC8" s="429">
        <f t="shared" si="0"/>
        <v>0.87923416789396169</v>
      </c>
      <c r="AD8" s="429">
        <f t="shared" si="0"/>
        <v>0.7819354838709679</v>
      </c>
      <c r="AE8" s="429">
        <f t="shared" si="0"/>
        <v>1.4171029668411868</v>
      </c>
    </row>
    <row r="9" spans="2:32" s="391" customFormat="1">
      <c r="B9" s="391" t="s">
        <v>149</v>
      </c>
      <c r="C9" s="398">
        <f>C8/C5-1</f>
        <v>0.778743961352657</v>
      </c>
      <c r="E9" s="389" t="s">
        <v>480</v>
      </c>
      <c r="F9" s="388">
        <f>C8/F8-1</f>
        <v>0.14010044774178376</v>
      </c>
      <c r="G9" s="389"/>
      <c r="H9" s="400" t="s">
        <v>391</v>
      </c>
      <c r="I9" s="389"/>
      <c r="J9" s="430"/>
      <c r="K9" s="389"/>
      <c r="L9" s="392"/>
      <c r="M9" s="389"/>
      <c r="N9" s="389"/>
      <c r="O9" s="389"/>
      <c r="P9" s="389"/>
      <c r="Q9" s="422" t="s">
        <v>315</v>
      </c>
      <c r="R9" s="429">
        <f t="shared" ref="R9:T9" si="1">R6/(SUM(R7:R8)*100)</f>
        <v>0.42846768336964419</v>
      </c>
      <c r="S9" s="429">
        <f t="shared" si="1"/>
        <v>0.66421691946392836</v>
      </c>
      <c r="T9" s="429">
        <f t="shared" si="1"/>
        <v>0.93023844561722346</v>
      </c>
      <c r="U9" s="429">
        <f>U6/(SUM(U7:U8)*100)</f>
        <v>0.29047301798800801</v>
      </c>
      <c r="V9" s="429">
        <f>V6/(SUM(V7:V8)*100)</f>
        <v>0.54594052789842962</v>
      </c>
      <c r="W9" s="429">
        <f>W6/(SUM(W7:W8)*100)</f>
        <v>0.29786109716173942</v>
      </c>
      <c r="X9" s="429">
        <f>V10</f>
        <v>0.57186731886744668</v>
      </c>
      <c r="Y9" s="431"/>
      <c r="Z9" s="431"/>
    </row>
    <row r="10" spans="2:32" s="391" customFormat="1">
      <c r="B10" s="391" t="s">
        <v>778</v>
      </c>
      <c r="C10" s="394">
        <f>L115</f>
        <v>81.507528155805218</v>
      </c>
      <c r="G10" s="389"/>
      <c r="K10" s="389"/>
      <c r="Q10" s="422" t="s">
        <v>503</v>
      </c>
      <c r="R10" s="422"/>
      <c r="T10" s="422"/>
      <c r="U10" s="422"/>
      <c r="V10" s="431">
        <f>AVERAGE(R9:V9)</f>
        <v>0.57186731886744668</v>
      </c>
      <c r="X10" s="431"/>
    </row>
    <row r="11" spans="2:32" s="391" customFormat="1">
      <c r="G11" s="389"/>
      <c r="H11" s="425"/>
      <c r="I11" s="389"/>
      <c r="J11" s="400"/>
      <c r="K11" s="389"/>
      <c r="L11" s="392"/>
      <c r="R11" s="391" t="s">
        <v>751</v>
      </c>
      <c r="S11" s="391" t="s">
        <v>752</v>
      </c>
      <c r="X11" s="399">
        <v>0.16337541313986834</v>
      </c>
    </row>
    <row r="12" spans="2:32" s="391" customFormat="1">
      <c r="G12" s="389"/>
      <c r="H12" s="400"/>
      <c r="I12" s="389"/>
      <c r="J12" s="432"/>
      <c r="K12" s="389"/>
      <c r="L12" s="392"/>
      <c r="Q12" s="422" t="s">
        <v>188</v>
      </c>
      <c r="R12" s="420" t="s">
        <v>418</v>
      </c>
      <c r="S12" s="420" t="s">
        <v>418</v>
      </c>
      <c r="T12" s="420" t="s">
        <v>502</v>
      </c>
      <c r="U12" s="420" t="s">
        <v>504</v>
      </c>
      <c r="V12" s="420" t="s">
        <v>528</v>
      </c>
      <c r="W12" s="420" t="s">
        <v>530</v>
      </c>
      <c r="X12" s="420" t="s">
        <v>518</v>
      </c>
      <c r="Y12" s="420" t="s">
        <v>747</v>
      </c>
      <c r="Z12" s="420" t="s">
        <v>753</v>
      </c>
      <c r="AC12" s="420" t="s">
        <v>746</v>
      </c>
      <c r="AD12" s="420" t="s">
        <v>524</v>
      </c>
      <c r="AF12" s="420" t="s">
        <v>717</v>
      </c>
    </row>
    <row r="13" spans="2:32" s="391" customFormat="1">
      <c r="B13" s="422" t="s">
        <v>283</v>
      </c>
      <c r="C13" s="422">
        <f>PL!AZ2</f>
        <v>2017</v>
      </c>
      <c r="D13" s="433">
        <f>PL!BA2</f>
        <v>2018</v>
      </c>
      <c r="E13" s="433">
        <f>PL!BB2</f>
        <v>2019</v>
      </c>
      <c r="F13" s="433">
        <f>PL!BC2</f>
        <v>2020</v>
      </c>
      <c r="G13" s="433">
        <f>PL!BD2</f>
        <v>2021</v>
      </c>
      <c r="H13" s="433">
        <f>PL!BE2</f>
        <v>2022</v>
      </c>
      <c r="I13" s="433">
        <f>PL!BF2</f>
        <v>2023</v>
      </c>
      <c r="J13" s="433">
        <f>PL!BG2</f>
        <v>2024</v>
      </c>
      <c r="K13" s="433">
        <f>PL!BH2</f>
        <v>2025</v>
      </c>
      <c r="L13" s="433" t="str">
        <f>PL!BI2</f>
        <v>2026E</v>
      </c>
      <c r="M13" s="433" t="str">
        <f>PL!BJ2</f>
        <v>2027E</v>
      </c>
      <c r="Q13" s="391" t="s">
        <v>27</v>
      </c>
      <c r="R13" s="419" t="s">
        <v>419</v>
      </c>
      <c r="S13" s="419" t="s">
        <v>419</v>
      </c>
      <c r="T13" s="419" t="s">
        <v>755</v>
      </c>
      <c r="U13" s="419" t="s">
        <v>505</v>
      </c>
      <c r="V13" s="419" t="s">
        <v>529</v>
      </c>
      <c r="W13" s="419" t="s">
        <v>531</v>
      </c>
      <c r="X13" s="419" t="s">
        <v>521</v>
      </c>
      <c r="Y13" s="419" t="s">
        <v>750</v>
      </c>
      <c r="Z13" s="419" t="s">
        <v>754</v>
      </c>
      <c r="AC13" s="419" t="s">
        <v>749</v>
      </c>
      <c r="AD13" s="419" t="s">
        <v>525</v>
      </c>
      <c r="AF13" s="419" t="s">
        <v>719</v>
      </c>
    </row>
    <row r="14" spans="2:32" s="391" customFormat="1">
      <c r="B14" s="391" t="s">
        <v>168</v>
      </c>
      <c r="C14" s="394">
        <f>PL!AZ4</f>
        <v>7.8432741399999992</v>
      </c>
      <c r="D14" s="394">
        <f>PL!BA4</f>
        <v>117.02523876000001</v>
      </c>
      <c r="E14" s="394">
        <f>PL!BB4</f>
        <v>443.93846582000003</v>
      </c>
      <c r="F14" s="394">
        <f>PL!BC4</f>
        <v>458.92733067</v>
      </c>
      <c r="G14" s="394">
        <f>PL!BD4</f>
        <v>721.04527897000003</v>
      </c>
      <c r="H14" s="394">
        <f>PL!BE4</f>
        <v>729.03462304999994</v>
      </c>
      <c r="I14" s="394">
        <f>PL!BF4</f>
        <v>709.38658426000006</v>
      </c>
      <c r="J14" s="394">
        <f>PL!BG4</f>
        <v>1174.4643773799999</v>
      </c>
      <c r="K14" s="394">
        <f>PL!BH4</f>
        <v>6497.1961986800006</v>
      </c>
      <c r="L14" s="394">
        <f>PL!BI4</f>
        <v>23980.446760340114</v>
      </c>
      <c r="M14" s="394">
        <f>PL!BJ4</f>
        <v>91261.612449075503</v>
      </c>
      <c r="Q14" s="391" t="s">
        <v>741</v>
      </c>
      <c r="R14" s="395">
        <f>C5/PL!BI27</f>
        <v>97.408020025847762</v>
      </c>
      <c r="S14" s="395">
        <f>K115</f>
        <v>188.41384194690016</v>
      </c>
      <c r="T14" s="395">
        <v>330.89</v>
      </c>
      <c r="U14" s="395">
        <v>116.38</v>
      </c>
      <c r="V14" s="395">
        <v>67.16</v>
      </c>
      <c r="W14" s="395">
        <v>152.9</v>
      </c>
      <c r="X14" s="395">
        <v>59.8</v>
      </c>
      <c r="Y14" s="395">
        <v>113.4</v>
      </c>
      <c r="Z14" s="395">
        <v>1158.2</v>
      </c>
      <c r="AC14" s="395">
        <v>42.4</v>
      </c>
      <c r="AD14" s="395">
        <v>37</v>
      </c>
      <c r="AF14" s="395">
        <v>73.099999999999994</v>
      </c>
    </row>
    <row r="15" spans="2:32" s="391" customFormat="1">
      <c r="B15" s="391" t="s">
        <v>34</v>
      </c>
      <c r="C15" s="393">
        <f>PL!AZ26</f>
        <v>0</v>
      </c>
      <c r="D15" s="393">
        <f>PL!BA26</f>
        <v>0</v>
      </c>
      <c r="E15" s="393">
        <f>PL!BB26</f>
        <v>-3.2749607053888896</v>
      </c>
      <c r="F15" s="393">
        <f>PL!BC26</f>
        <v>-1.1422000571944653</v>
      </c>
      <c r="G15" s="393">
        <f>PL!BD26</f>
        <v>-2.0618580582604347</v>
      </c>
      <c r="H15" s="393">
        <f>PL!BE26</f>
        <v>-3.1350214419557774</v>
      </c>
      <c r="I15" s="393">
        <f>PL!BF26</f>
        <v>-2.0526964190755552</v>
      </c>
      <c r="J15" s="393">
        <f>PL!BG26</f>
        <v>-1.0856603232776378</v>
      </c>
      <c r="K15" s="393">
        <f>PL!BH26</f>
        <v>4.9047744259716417</v>
      </c>
      <c r="L15" s="393">
        <f>PL!BI26</f>
        <v>10.625408459440578</v>
      </c>
      <c r="M15" s="393">
        <f>PL!BJ26</f>
        <v>22.58319660153737</v>
      </c>
      <c r="O15" s="420"/>
      <c r="P15" s="420"/>
      <c r="Q15" s="391" t="s">
        <v>742</v>
      </c>
      <c r="R15" s="396">
        <f>L103</f>
        <v>1.3116127578637746</v>
      </c>
      <c r="S15" s="396">
        <f>R15</f>
        <v>1.3116127578637746</v>
      </c>
      <c r="T15" s="396">
        <v>0.93400000000000005</v>
      </c>
      <c r="U15" s="396">
        <v>0.315</v>
      </c>
      <c r="V15" s="396">
        <v>0.54720000000000002</v>
      </c>
      <c r="W15" s="396">
        <v>1.0309999999999999</v>
      </c>
      <c r="X15" s="396">
        <v>0.372</v>
      </c>
      <c r="Y15" s="396">
        <v>0.69</v>
      </c>
      <c r="Z15" s="396">
        <f>134.94/38.72-1</f>
        <v>2.4850206611570247</v>
      </c>
      <c r="AC15" s="396">
        <v>0.44900000000000001</v>
      </c>
      <c r="AD15" s="396">
        <v>0.15</v>
      </c>
      <c r="AF15" s="396">
        <v>0.83599999999999997</v>
      </c>
    </row>
    <row r="16" spans="2:32" s="391" customFormat="1">
      <c r="B16" s="391" t="s">
        <v>46</v>
      </c>
      <c r="C16" s="393">
        <f>BS!G37</f>
        <v>32.923458108068431</v>
      </c>
      <c r="D16" s="393">
        <f>BS!H37</f>
        <v>452.68559556280826</v>
      </c>
      <c r="E16" s="393">
        <f>BS!I37</f>
        <v>12.101331968805557</v>
      </c>
      <c r="F16" s="393">
        <f>BS!J37</f>
        <v>16.906566899440595</v>
      </c>
      <c r="G16" s="393">
        <f>BS!K37</f>
        <v>14.723712258385396</v>
      </c>
      <c r="H16" s="393">
        <f>BS!L37</f>
        <v>12.112947748541627</v>
      </c>
      <c r="I16" s="393">
        <f>BS!M37</f>
        <v>13.723090057337538</v>
      </c>
      <c r="J16" s="393">
        <f>BS!N37</f>
        <v>13.021266081065651</v>
      </c>
      <c r="K16" s="393">
        <f>BS!O37</f>
        <v>28.192146324218136</v>
      </c>
      <c r="L16" s="393">
        <f>BS!P37</f>
        <v>28.070505006557916</v>
      </c>
      <c r="M16" s="393">
        <f>BS!Q37</f>
        <v>41.456163992113396</v>
      </c>
      <c r="O16" s="419"/>
      <c r="P16" s="419"/>
      <c r="Q16" s="391" t="s">
        <v>715</v>
      </c>
      <c r="R16" s="396">
        <f>L94</f>
        <v>0.17180403083503909</v>
      </c>
      <c r="S16" s="396">
        <f>R16</f>
        <v>0.17180403083503909</v>
      </c>
      <c r="T16" s="396">
        <f>214/1220</f>
        <v>0.17540983606557378</v>
      </c>
      <c r="U16" s="396">
        <f>8747/27708</f>
        <v>0.31568500072181321</v>
      </c>
      <c r="V16" s="396">
        <f>610/3619</f>
        <v>0.16855484940591323</v>
      </c>
      <c r="W16" s="396">
        <v>0.253</v>
      </c>
      <c r="X16" s="396">
        <v>0.129</v>
      </c>
      <c r="Y16" s="396">
        <v>0.20200000000000001</v>
      </c>
      <c r="Z16" s="396">
        <f>128/2280</f>
        <v>5.6140350877192984E-2</v>
      </c>
      <c r="AC16" s="396">
        <v>0.47699999999999998</v>
      </c>
      <c r="AD16" s="396">
        <v>0.14599999999999999</v>
      </c>
      <c r="AF16" s="396">
        <v>0.105</v>
      </c>
    </row>
    <row r="17" spans="2:33" s="391" customFormat="1">
      <c r="B17" s="391" t="s">
        <v>45</v>
      </c>
      <c r="C17" s="393">
        <f>PL!AZ30</f>
        <v>0</v>
      </c>
      <c r="D17" s="393">
        <f>PL!BA30</f>
        <v>0</v>
      </c>
      <c r="E17" s="393">
        <f>PL!BB30</f>
        <v>0</v>
      </c>
      <c r="F17" s="393">
        <f>PL!BC30</f>
        <v>0</v>
      </c>
      <c r="G17" s="393">
        <f>PL!BD30</f>
        <v>0</v>
      </c>
      <c r="H17" s="393">
        <f>PL!BE30</f>
        <v>0</v>
      </c>
      <c r="I17" s="393">
        <f>PL!BF30</f>
        <v>0</v>
      </c>
      <c r="J17" s="393">
        <f>PL!BG30</f>
        <v>0</v>
      </c>
      <c r="K17" s="393">
        <f>PL!BH30</f>
        <v>1.5064637707435484</v>
      </c>
      <c r="L17" s="393">
        <f>PL!BI30</f>
        <v>3.2635125498821056</v>
      </c>
      <c r="M17" s="393">
        <f>PL!BJ30</f>
        <v>6.9362552796819648</v>
      </c>
      <c r="O17" s="395"/>
      <c r="P17" s="395"/>
      <c r="Q17" s="422" t="s">
        <v>315</v>
      </c>
      <c r="R17" s="429">
        <f t="shared" ref="R17:Z17" si="2">R14/(SUM(R15:R16)*100)</f>
        <v>0.65664633680794238</v>
      </c>
      <c r="S17" s="429">
        <f>S14/(SUM(S15:S16)*100)</f>
        <v>1.2701342156992053</v>
      </c>
      <c r="T17" s="429">
        <f t="shared" si="2"/>
        <v>2.9825767650796462</v>
      </c>
      <c r="U17" s="429">
        <f t="shared" si="2"/>
        <v>1.8452951927952013</v>
      </c>
      <c r="V17" s="429">
        <f t="shared" si="2"/>
        <v>0.93831009396225196</v>
      </c>
      <c r="W17" s="429">
        <f t="shared" si="2"/>
        <v>1.1908099688473524</v>
      </c>
      <c r="X17" s="429">
        <f t="shared" si="2"/>
        <v>1.1936127744510978</v>
      </c>
      <c r="Y17" s="429">
        <f t="shared" si="2"/>
        <v>1.2713004484304935</v>
      </c>
      <c r="Z17" s="429">
        <f t="shared" si="2"/>
        <v>4.5577592073666064</v>
      </c>
      <c r="AC17" s="429">
        <f>AC14/(SUM(AC15:AC16)*100)</f>
        <v>0.45788336933045359</v>
      </c>
      <c r="AD17" s="429">
        <f>AD14/(SUM(AD15:AD16)*100)</f>
        <v>1.25</v>
      </c>
      <c r="AF17" s="429">
        <f>AF14/(SUM(AF15:AF16)*100)</f>
        <v>0.77683315621679061</v>
      </c>
    </row>
    <row r="18" spans="2:33" s="391" customFormat="1">
      <c r="O18" s="396"/>
      <c r="P18" s="396"/>
      <c r="Q18" s="434" t="s">
        <v>280</v>
      </c>
      <c r="S18" s="435" t="s">
        <v>756</v>
      </c>
      <c r="T18" s="436" t="s">
        <v>503</v>
      </c>
      <c r="U18" s="396"/>
      <c r="Z18" s="431">
        <f>AVERAGE(T17:AA17)</f>
        <v>1.997094921561807</v>
      </c>
    </row>
    <row r="19" spans="2:33" s="391" customFormat="1">
      <c r="B19" s="391" t="s">
        <v>310</v>
      </c>
      <c r="C19" s="394">
        <f t="shared" ref="C19:L19" si="3">$C$7/C14</f>
        <v>82983.711697727311</v>
      </c>
      <c r="D19" s="394">
        <f t="shared" si="3"/>
        <v>5561.7404151152186</v>
      </c>
      <c r="E19" s="394">
        <f t="shared" si="3"/>
        <v>1466.1130992507874</v>
      </c>
      <c r="F19" s="394">
        <f t="shared" si="3"/>
        <v>1418.2288926871856</v>
      </c>
      <c r="G19" s="394">
        <f t="shared" si="3"/>
        <v>902.66730673245274</v>
      </c>
      <c r="H19" s="394">
        <f t="shared" si="3"/>
        <v>892.77515692881059</v>
      </c>
      <c r="I19" s="394">
        <f t="shared" si="3"/>
        <v>917.50255000797881</v>
      </c>
      <c r="J19" s="394">
        <f t="shared" si="3"/>
        <v>554.17943067115425</v>
      </c>
      <c r="K19" s="394">
        <f t="shared" si="3"/>
        <v>100.17613445815788</v>
      </c>
      <c r="L19" s="394">
        <f t="shared" si="3"/>
        <v>27.141445966570842</v>
      </c>
      <c r="M19" s="394">
        <f t="shared" ref="M19" si="4">$C$7/M14</f>
        <v>7.1318485673610663</v>
      </c>
      <c r="O19" s="396"/>
      <c r="P19" s="396"/>
      <c r="Q19" s="396"/>
      <c r="R19" s="396"/>
      <c r="S19" s="396"/>
      <c r="AA19" s="396"/>
      <c r="AC19" s="396"/>
      <c r="AD19" s="396"/>
    </row>
    <row r="20" spans="2:33" s="391" customFormat="1">
      <c r="B20" s="391" t="s">
        <v>305</v>
      </c>
      <c r="C20" s="400"/>
      <c r="D20" s="400">
        <f t="shared" ref="D20:M20" si="5">D14/C14-1</f>
        <v>13.920457537392672</v>
      </c>
      <c r="E20" s="400">
        <f t="shared" si="5"/>
        <v>2.7935275375121993</v>
      </c>
      <c r="F20" s="400">
        <f t="shared" si="5"/>
        <v>3.3763383901221466E-2</v>
      </c>
      <c r="G20" s="400">
        <f t="shared" si="5"/>
        <v>0.57115349377280977</v>
      </c>
      <c r="H20" s="400">
        <f t="shared" si="5"/>
        <v>1.1080225213335515E-2</v>
      </c>
      <c r="I20" s="400">
        <f t="shared" si="5"/>
        <v>-2.6950762239247417E-2</v>
      </c>
      <c r="J20" s="400">
        <f t="shared" si="5"/>
        <v>0.65560556604710518</v>
      </c>
      <c r="K20" s="400">
        <f t="shared" si="5"/>
        <v>4.532050459609489</v>
      </c>
      <c r="L20" s="400">
        <f t="shared" si="5"/>
        <v>2.6908915826202215</v>
      </c>
      <c r="M20" s="400">
        <f t="shared" si="5"/>
        <v>2.805667732596536</v>
      </c>
      <c r="O20" s="401"/>
      <c r="P20" s="401"/>
      <c r="Q20" s="422" t="s">
        <v>188</v>
      </c>
      <c r="R20" s="420" t="s">
        <v>470</v>
      </c>
      <c r="S20" s="420" t="s">
        <v>501</v>
      </c>
      <c r="T20" s="420" t="s">
        <v>758</v>
      </c>
      <c r="U20" s="420" t="s">
        <v>520</v>
      </c>
      <c r="V20" s="420" t="s">
        <v>748</v>
      </c>
      <c r="W20" s="420" t="s">
        <v>768</v>
      </c>
      <c r="X20" s="422" t="s">
        <v>188</v>
      </c>
      <c r="Y20" s="420" t="s">
        <v>418</v>
      </c>
      <c r="Z20" s="420" t="s">
        <v>418</v>
      </c>
      <c r="AC20" s="420" t="s">
        <v>519</v>
      </c>
      <c r="AD20" s="420" t="s">
        <v>765</v>
      </c>
      <c r="AF20" s="420" t="s">
        <v>763</v>
      </c>
      <c r="AG20" s="420" t="s">
        <v>761</v>
      </c>
    </row>
    <row r="21" spans="2:33" s="391" customFormat="1">
      <c r="O21" s="422"/>
      <c r="P21" s="422"/>
      <c r="Q21" s="391" t="s">
        <v>27</v>
      </c>
      <c r="R21" s="419" t="s">
        <v>471</v>
      </c>
      <c r="S21" s="419" t="s">
        <v>501</v>
      </c>
      <c r="T21" s="419" t="s">
        <v>759</v>
      </c>
      <c r="U21" s="419" t="s">
        <v>523</v>
      </c>
      <c r="V21" s="419" t="s">
        <v>757</v>
      </c>
      <c r="W21" s="419" t="s">
        <v>767</v>
      </c>
      <c r="X21" s="391" t="s">
        <v>27</v>
      </c>
      <c r="Y21" s="419" t="s">
        <v>419</v>
      </c>
      <c r="Z21" s="419" t="s">
        <v>419</v>
      </c>
      <c r="AC21" s="419" t="s">
        <v>522</v>
      </c>
      <c r="AD21" s="419" t="s">
        <v>765</v>
      </c>
      <c r="AF21" s="419" t="s">
        <v>764</v>
      </c>
      <c r="AG21" s="419" t="s">
        <v>762</v>
      </c>
    </row>
    <row r="22" spans="2:33" s="391" customFormat="1">
      <c r="B22" s="391" t="s">
        <v>150</v>
      </c>
      <c r="C22" s="394"/>
      <c r="D22" s="394"/>
      <c r="E22" s="394"/>
      <c r="F22" s="394"/>
      <c r="G22" s="394"/>
      <c r="H22" s="394"/>
      <c r="I22" s="394"/>
      <c r="J22" s="394"/>
      <c r="K22" s="394">
        <f>$C$5/K15</f>
        <v>211.01887877238417</v>
      </c>
      <c r="L22" s="394">
        <f>$C$5/L15</f>
        <v>97.408020025847762</v>
      </c>
      <c r="M22" s="394">
        <f>$C$5/M15</f>
        <v>45.830535785600055</v>
      </c>
      <c r="Q22" s="391" t="s">
        <v>741</v>
      </c>
      <c r="R22" s="395">
        <f>35/12+22.2*11/12</f>
        <v>23.266666666666666</v>
      </c>
      <c r="S22" s="395">
        <v>62.9</v>
      </c>
      <c r="T22" s="395">
        <v>26.9</v>
      </c>
      <c r="U22" s="395">
        <v>50.9</v>
      </c>
      <c r="V22" s="395">
        <v>26.6</v>
      </c>
      <c r="W22" s="395">
        <v>111.7</v>
      </c>
      <c r="X22" s="391" t="s">
        <v>743</v>
      </c>
      <c r="Y22" s="395">
        <f>C7/O102</f>
        <v>12.736995366510559</v>
      </c>
      <c r="Z22" s="395">
        <f>O115</f>
        <v>22.783008155317606</v>
      </c>
      <c r="AC22" s="395">
        <v>32.299999999999997</v>
      </c>
      <c r="AD22" s="395">
        <v>11.1</v>
      </c>
      <c r="AF22" s="395">
        <v>45.7</v>
      </c>
      <c r="AG22" s="395">
        <v>46.6</v>
      </c>
    </row>
    <row r="23" spans="2:33" s="391" customFormat="1">
      <c r="B23" s="391" t="s">
        <v>189</v>
      </c>
      <c r="C23" s="400"/>
      <c r="D23" s="400"/>
      <c r="E23" s="400"/>
      <c r="F23" s="400"/>
      <c r="G23" s="400"/>
      <c r="H23" s="400"/>
      <c r="I23" s="400"/>
      <c r="J23" s="400"/>
      <c r="K23" s="400"/>
      <c r="L23" s="400">
        <f t="shared" ref="L23:M23" si="6">L15/K15-1</f>
        <v>1.1663398836809242</v>
      </c>
      <c r="M23" s="400">
        <f t="shared" si="6"/>
        <v>1.1253956201064823</v>
      </c>
      <c r="Q23" s="391" t="s">
        <v>742</v>
      </c>
      <c r="R23" s="396">
        <f>0.987/12+0.37*11/12</f>
        <v>0.42141666666666666</v>
      </c>
      <c r="S23" s="396">
        <v>0.94699999999999995</v>
      </c>
      <c r="T23" s="396">
        <v>0.19600000000000001</v>
      </c>
      <c r="U23" s="396">
        <v>0.65600000000000003</v>
      </c>
      <c r="V23" s="396">
        <v>0.25900000000000001</v>
      </c>
      <c r="W23" s="396">
        <v>0.55700000000000005</v>
      </c>
      <c r="X23" s="391" t="s">
        <v>744</v>
      </c>
      <c r="Y23" s="396">
        <f>Z23</f>
        <v>0.25994018949195663</v>
      </c>
      <c r="Z23" s="396">
        <f>O103</f>
        <v>0.25994018949195663</v>
      </c>
      <c r="AC23" s="396">
        <v>0.33100000000000002</v>
      </c>
      <c r="AD23" s="396">
        <v>0.21299999999999999</v>
      </c>
      <c r="AF23" s="396">
        <v>0.44700000000000001</v>
      </c>
      <c r="AG23" s="396">
        <v>0.122</v>
      </c>
    </row>
    <row r="24" spans="2:33" s="391" customFormat="1">
      <c r="B24" s="391" t="s">
        <v>38</v>
      </c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>
        <f>M22/(AVERAGE(L23:M23)*100)</f>
        <v>0.39996357092569212</v>
      </c>
      <c r="Q24" s="391" t="s">
        <v>715</v>
      </c>
      <c r="R24" s="396">
        <f>0.665/12+0.676*11/12</f>
        <v>0.67508333333333337</v>
      </c>
      <c r="S24" s="396">
        <v>0.27500000000000002</v>
      </c>
      <c r="T24" s="396">
        <v>7.1999999999999995E-2</v>
      </c>
      <c r="U24" s="396">
        <v>0.223</v>
      </c>
      <c r="V24" s="396">
        <v>0.19700000000000001</v>
      </c>
      <c r="W24" s="396">
        <v>3.7999999999999999E-2</v>
      </c>
      <c r="X24" s="391" t="s">
        <v>745</v>
      </c>
      <c r="Y24" s="396">
        <f>Z24</f>
        <v>0.19029509280780035</v>
      </c>
      <c r="Z24" s="396">
        <f>O94</f>
        <v>0.19029509280780035</v>
      </c>
      <c r="AC24" s="396">
        <v>0.46100000000000002</v>
      </c>
      <c r="AD24" s="396">
        <v>0.19700000000000001</v>
      </c>
      <c r="AF24" s="396">
        <v>0.22700000000000001</v>
      </c>
      <c r="AG24" s="396">
        <v>0.11899999999999999</v>
      </c>
    </row>
    <row r="25" spans="2:33" s="391" customFormat="1">
      <c r="B25" s="391" t="s">
        <v>190</v>
      </c>
      <c r="C25" s="388">
        <f>PL!AZ30/TP!$C$5</f>
        <v>0</v>
      </c>
      <c r="D25" s="388">
        <f>PL!BA30/TP!$C$5</f>
        <v>0</v>
      </c>
      <c r="E25" s="388">
        <f>PL!BB30/TP!$C$5</f>
        <v>0</v>
      </c>
      <c r="F25" s="388">
        <f>PL!BC30/TP!$C$5</f>
        <v>0</v>
      </c>
      <c r="G25" s="388">
        <f>PL!BD30/TP!$C$5</f>
        <v>0</v>
      </c>
      <c r="H25" s="388">
        <f>PL!BE30/TP!$C$5</f>
        <v>0</v>
      </c>
      <c r="I25" s="388">
        <f>PL!BF30/TP!$C$5</f>
        <v>0</v>
      </c>
      <c r="J25" s="388">
        <f>PL!BG30/TP!$C$5</f>
        <v>0</v>
      </c>
      <c r="K25" s="388">
        <f>PL!BH30/TP!$C$5</f>
        <v>1.4555205514430419E-3</v>
      </c>
      <c r="L25" s="388">
        <f>PL!BI30/TP!$C$5</f>
        <v>3.1531522221083146E-3</v>
      </c>
      <c r="M25" s="388">
        <f>PL!BJ30/TP!$C$5</f>
        <v>6.7016959223980335E-3</v>
      </c>
      <c r="Q25" s="422" t="s">
        <v>315</v>
      </c>
      <c r="R25" s="429">
        <f t="shared" ref="R25:W25" si="7">R22/(SUM(R23:R24)*100)</f>
        <v>0.21219030247758017</v>
      </c>
      <c r="S25" s="429">
        <f t="shared" si="7"/>
        <v>0.5147299509001636</v>
      </c>
      <c r="T25" s="429">
        <f t="shared" si="7"/>
        <v>1.0037313432835819</v>
      </c>
      <c r="U25" s="429">
        <f t="shared" si="7"/>
        <v>0.57906712172923769</v>
      </c>
      <c r="V25" s="429">
        <f t="shared" si="7"/>
        <v>0.58333333333333337</v>
      </c>
      <c r="W25" s="429">
        <f t="shared" si="7"/>
        <v>1.8773109243697477</v>
      </c>
      <c r="X25" s="422" t="s">
        <v>315</v>
      </c>
      <c r="Y25" s="429">
        <f>Y22/(SUM(Y23:Y24)*100)</f>
        <v>0.28289642920588665</v>
      </c>
      <c r="Z25" s="429">
        <f>Z22/(SUM(Z23:Z24)*100)</f>
        <v>0.50602449543590344</v>
      </c>
      <c r="AC25" s="429">
        <f>AC22/(SUM(AC23:AC24)*100)</f>
        <v>0.40782828282828276</v>
      </c>
      <c r="AD25" s="429">
        <f>AD22/(SUM(AD23:AD24)*100)</f>
        <v>0.27073170731707319</v>
      </c>
      <c r="AF25" s="429">
        <f>AF22/(SUM(AF23:AF24)*100)</f>
        <v>0.67804154302670616</v>
      </c>
      <c r="AG25" s="429">
        <f>AG22/(SUM(AG23:AG24)*100)</f>
        <v>1.9336099585062243</v>
      </c>
    </row>
    <row r="26" spans="2:33" s="391" customFormat="1">
      <c r="B26" s="391" t="s">
        <v>322</v>
      </c>
      <c r="C26" s="388">
        <f>CF!G35/TP!$C$7</f>
        <v>-6.7862470685120093E-5</v>
      </c>
      <c r="D26" s="388">
        <f>CF!H35/TP!$C$7</f>
        <v>-2.0026605585805944E-4</v>
      </c>
      <c r="E26" s="388">
        <f>CF!I35/TP!$C$7</f>
        <v>-5.5005348220211905E-4</v>
      </c>
      <c r="F26" s="388">
        <f>CF!J35/TP!$C$7</f>
        <v>-6.0185867947835491E-4</v>
      </c>
      <c r="G26" s="388">
        <f>CF!K35/TP!$C$7</f>
        <v>-2.1174006624425376E-3</v>
      </c>
      <c r="H26" s="388">
        <f>CF!L35/TP!$C$7</f>
        <v>-2.4797829451774869E-3</v>
      </c>
      <c r="I26" s="388">
        <f>CF!M35/TP!$C$7</f>
        <v>-1.0692210450416676E-3</v>
      </c>
      <c r="J26" s="388">
        <f>CF!N35/TP!$C$7</f>
        <v>-3.0482705635893215E-3</v>
      </c>
      <c r="K26" s="388">
        <f>CF!O35/TP!$C$7</f>
        <v>-1.6395069102608224E-3</v>
      </c>
      <c r="L26" s="388">
        <f>CF!P35/TP!$C$7</f>
        <v>3.7538819587603482E-3</v>
      </c>
      <c r="M26" s="388">
        <f>CF!Q35/TP!$C$7</f>
        <v>1.7100590716761226E-2</v>
      </c>
      <c r="T26" s="422" t="s">
        <v>766</v>
      </c>
      <c r="U26" s="396"/>
      <c r="W26" s="431">
        <f>AVERAGE(T25:W25)</f>
        <v>1.0108606806789753</v>
      </c>
      <c r="X26" s="434" t="s">
        <v>280</v>
      </c>
      <c r="Z26" s="435" t="s">
        <v>756</v>
      </c>
    </row>
    <row r="27" spans="2:33" s="391" customFormat="1">
      <c r="S27" s="419"/>
      <c r="T27" s="419"/>
      <c r="U27" s="419"/>
      <c r="V27" s="401"/>
      <c r="W27" s="401"/>
    </row>
    <row r="28" spans="2:33" s="391" customFormat="1">
      <c r="B28" s="391" t="s">
        <v>151</v>
      </c>
      <c r="C28" s="437">
        <f t="shared" ref="C28:L28" si="8">$C$5/C16</f>
        <v>31.43655191391807</v>
      </c>
      <c r="D28" s="437">
        <f t="shared" si="8"/>
        <v>2.2863550555727765</v>
      </c>
      <c r="E28" s="437">
        <f t="shared" si="8"/>
        <v>85.527775179458871</v>
      </c>
      <c r="F28" s="437">
        <f t="shared" si="8"/>
        <v>61.218815514475985</v>
      </c>
      <c r="G28" s="437">
        <f t="shared" si="8"/>
        <v>70.294772258303979</v>
      </c>
      <c r="H28" s="437">
        <f t="shared" si="8"/>
        <v>85.445757835834115</v>
      </c>
      <c r="I28" s="437">
        <f t="shared" si="8"/>
        <v>75.42033140317406</v>
      </c>
      <c r="J28" s="437">
        <f t="shared" si="8"/>
        <v>79.485358302062778</v>
      </c>
      <c r="K28" s="437">
        <f t="shared" si="8"/>
        <v>36.712352018082967</v>
      </c>
      <c r="L28" s="437">
        <f t="shared" si="8"/>
        <v>36.871442097611002</v>
      </c>
      <c r="M28" s="437">
        <f t="shared" ref="M28" si="9">$C$5/M16</f>
        <v>24.966130493812646</v>
      </c>
      <c r="S28" s="419"/>
      <c r="T28" s="419"/>
      <c r="U28" s="419"/>
      <c r="V28" s="422"/>
      <c r="W28" s="431"/>
      <c r="X28" s="419"/>
    </row>
    <row r="29" spans="2:33" s="391" customFormat="1">
      <c r="B29" s="391" t="s">
        <v>85</v>
      </c>
      <c r="C29" s="432">
        <f>BS!G70</f>
        <v>-23.019341411643072</v>
      </c>
      <c r="D29" s="432">
        <f>BS!H70</f>
        <v>-0.15098427885184518</v>
      </c>
      <c r="E29" s="432">
        <f>BS!I70</f>
        <v>-0.48446941690376427</v>
      </c>
      <c r="F29" s="432">
        <f>BS!J70</f>
        <v>-8.0554339422379911E-2</v>
      </c>
      <c r="G29" s="432">
        <f>BS!K70</f>
        <v>-0.13389363959007539</v>
      </c>
      <c r="H29" s="432">
        <f>BS!L70</f>
        <v>-0.23386600268296209</v>
      </c>
      <c r="I29" s="432">
        <f>BS!M70</f>
        <v>-0.16089684606905866</v>
      </c>
      <c r="J29" s="432">
        <f>BS!N70</f>
        <v>-8.1665274804185936E-2</v>
      </c>
      <c r="K29" s="432">
        <f>BS!O70</f>
        <v>0.23862767853337585</v>
      </c>
      <c r="L29" s="432">
        <f>BS!P70</f>
        <v>0.43885035820757334</v>
      </c>
      <c r="M29" s="432">
        <f>BS!Q70</f>
        <v>0.67146559983042609</v>
      </c>
      <c r="Q29" s="438" t="s">
        <v>513</v>
      </c>
      <c r="S29" s="419"/>
      <c r="T29" s="419"/>
      <c r="U29" s="419"/>
      <c r="V29" s="419"/>
      <c r="W29" s="419"/>
      <c r="X29" s="438" t="s">
        <v>514</v>
      </c>
    </row>
    <row r="30" spans="2:33" s="391" customFormat="1" ht="12.75" customHeight="1"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S30" s="419"/>
      <c r="T30" s="419"/>
      <c r="U30" s="419"/>
      <c r="V30" s="419"/>
      <c r="W30" s="419"/>
      <c r="X30" s="419"/>
    </row>
    <row r="31" spans="2:33" s="391" customFormat="1" ht="18" customHeight="1">
      <c r="B31" s="422" t="s">
        <v>378</v>
      </c>
      <c r="C31" s="403"/>
      <c r="D31" s="440"/>
      <c r="I31" s="391">
        <f>1070+1200</f>
        <v>2270</v>
      </c>
      <c r="J31" s="391">
        <f>I31/2</f>
        <v>1135</v>
      </c>
      <c r="K31" s="393">
        <f>J31/I87-1</f>
        <v>-3.3602021602423648E-2</v>
      </c>
      <c r="M31" s="391">
        <f>(((M87/K87)^(1/2)-1))</f>
        <v>1.6818074027303456</v>
      </c>
      <c r="S31" s="419"/>
      <c r="T31" s="419"/>
      <c r="U31" s="419"/>
      <c r="V31" s="419"/>
      <c r="W31" s="419"/>
      <c r="X31" s="419"/>
    </row>
    <row r="32" spans="2:33" s="391" customFormat="1" ht="16.5" hidden="1" customHeight="1" outlineLevel="1">
      <c r="B32" s="439"/>
      <c r="C32" s="441"/>
      <c r="D32" s="441"/>
      <c r="E32" s="441"/>
      <c r="F32" s="441"/>
      <c r="G32" s="441"/>
      <c r="H32" s="442">
        <v>0</v>
      </c>
      <c r="I32" s="442">
        <v>1</v>
      </c>
      <c r="J32" s="442">
        <f t="shared" ref="J32:P32" si="10">I32+1</f>
        <v>2</v>
      </c>
      <c r="K32" s="442">
        <f t="shared" si="10"/>
        <v>3</v>
      </c>
      <c r="L32" s="442">
        <f t="shared" si="10"/>
        <v>4</v>
      </c>
      <c r="N32" s="442">
        <f t="shared" si="10"/>
        <v>1</v>
      </c>
      <c r="O32" s="442">
        <f t="shared" si="10"/>
        <v>2</v>
      </c>
      <c r="P32" s="442">
        <f t="shared" si="10"/>
        <v>3</v>
      </c>
      <c r="S32" s="419"/>
      <c r="T32" s="419"/>
      <c r="U32" s="419"/>
      <c r="V32" s="419"/>
      <c r="W32" s="419"/>
      <c r="X32" s="419"/>
    </row>
    <row r="33" spans="2:24" s="391" customFormat="1" ht="14.25" hidden="1" customHeight="1" outlineLevel="1">
      <c r="B33" s="439" t="s">
        <v>309</v>
      </c>
      <c r="C33" s="439">
        <v>2017</v>
      </c>
      <c r="D33" s="443">
        <v>2018</v>
      </c>
      <c r="E33" s="443">
        <v>2019</v>
      </c>
      <c r="F33" s="443" t="s">
        <v>65</v>
      </c>
      <c r="G33" s="443" t="s">
        <v>80</v>
      </c>
      <c r="H33" s="443" t="s">
        <v>147</v>
      </c>
      <c r="I33" s="443" t="s">
        <v>148</v>
      </c>
      <c r="J33" s="443" t="s">
        <v>317</v>
      </c>
      <c r="K33" s="443" t="s">
        <v>318</v>
      </c>
      <c r="L33" s="443" t="s">
        <v>320</v>
      </c>
      <c r="N33" s="443" t="s">
        <v>380</v>
      </c>
      <c r="O33" s="443" t="s">
        <v>381</v>
      </c>
      <c r="P33" s="443" t="s">
        <v>382</v>
      </c>
      <c r="S33" s="419"/>
      <c r="T33" s="419"/>
      <c r="U33" s="419"/>
      <c r="V33" s="419"/>
      <c r="W33" s="419"/>
      <c r="X33" s="419"/>
    </row>
    <row r="34" spans="2:24" s="391" customFormat="1" ht="14.25" hidden="1" customHeight="1" outlineLevel="1">
      <c r="B34" s="444" t="s">
        <v>321</v>
      </c>
      <c r="C34" s="445"/>
      <c r="D34" s="445"/>
      <c r="E34" s="445"/>
      <c r="F34" s="446"/>
      <c r="G34" s="446"/>
      <c r="H34" s="446"/>
      <c r="I34" s="446"/>
      <c r="J34" s="446"/>
      <c r="K34" s="446"/>
      <c r="L34" s="446"/>
      <c r="N34" s="446"/>
      <c r="O34" s="446"/>
      <c r="P34" s="446"/>
      <c r="S34" s="419"/>
      <c r="T34" s="419"/>
      <c r="U34" s="419"/>
      <c r="V34" s="419"/>
      <c r="W34" s="419"/>
      <c r="X34" s="419"/>
    </row>
    <row r="35" spans="2:24" s="391" customFormat="1" ht="14.25" hidden="1" customHeight="1" outlineLevel="1">
      <c r="B35" s="447" t="s">
        <v>375</v>
      </c>
      <c r="C35" s="404"/>
      <c r="D35" s="405" t="e">
        <f>#REF!</f>
        <v>#REF!</v>
      </c>
      <c r="E35" s="405" t="e">
        <f>#REF!</f>
        <v>#REF!</v>
      </c>
      <c r="F35" s="405" t="e">
        <f>#REF!</f>
        <v>#REF!</v>
      </c>
      <c r="G35" s="405" t="e">
        <f>#REF!</f>
        <v>#REF!</v>
      </c>
      <c r="H35" s="405" t="e">
        <f>#REF!</f>
        <v>#REF!</v>
      </c>
      <c r="I35" s="405" t="e">
        <f>#REF!</f>
        <v>#REF!</v>
      </c>
      <c r="J35" s="405" t="e">
        <f>#REF!</f>
        <v>#REF!</v>
      </c>
      <c r="K35" s="405" t="e">
        <f>#REF!</f>
        <v>#REF!</v>
      </c>
      <c r="L35" s="405" t="e">
        <f>#REF!</f>
        <v>#REF!</v>
      </c>
      <c r="N35" s="446"/>
      <c r="O35" s="446"/>
      <c r="P35" s="446"/>
      <c r="S35" s="419"/>
      <c r="T35" s="419"/>
      <c r="U35" s="419"/>
      <c r="V35" s="419"/>
      <c r="W35" s="419"/>
      <c r="X35" s="419"/>
    </row>
    <row r="36" spans="2:24" s="391" customFormat="1" ht="14.25" hidden="1" customHeight="1" outlineLevel="1">
      <c r="B36" s="447" t="s">
        <v>376</v>
      </c>
      <c r="C36" s="406"/>
      <c r="D36" s="405" t="e">
        <f>#REF!</f>
        <v>#REF!</v>
      </c>
      <c r="E36" s="405" t="e">
        <f>#REF!</f>
        <v>#REF!</v>
      </c>
      <c r="F36" s="405" t="e">
        <f>#REF!</f>
        <v>#REF!</v>
      </c>
      <c r="G36" s="405" t="e">
        <f>#REF!</f>
        <v>#REF!</v>
      </c>
      <c r="H36" s="405" t="e">
        <f>#REF!</f>
        <v>#REF!</v>
      </c>
      <c r="I36" s="405" t="e">
        <f>#REF!</f>
        <v>#REF!</v>
      </c>
      <c r="J36" s="405" t="e">
        <f>#REF!</f>
        <v>#REF!</v>
      </c>
      <c r="K36" s="405" t="e">
        <f>#REF!</f>
        <v>#REF!</v>
      </c>
      <c r="L36" s="405" t="e">
        <f>#REF!</f>
        <v>#REF!</v>
      </c>
      <c r="N36" s="446"/>
      <c r="O36" s="446"/>
      <c r="P36" s="446"/>
      <c r="S36" s="419"/>
      <c r="T36" s="419"/>
      <c r="U36" s="419"/>
      <c r="V36" s="419"/>
      <c r="W36" s="419"/>
      <c r="X36" s="419"/>
    </row>
    <row r="37" spans="2:24" s="391" customFormat="1" ht="14.25" hidden="1" customHeight="1" outlineLevel="1">
      <c r="B37" s="447" t="s">
        <v>377</v>
      </c>
      <c r="C37" s="406"/>
      <c r="D37" s="405" t="e">
        <f>#REF!</f>
        <v>#REF!</v>
      </c>
      <c r="E37" s="405" t="e">
        <f>#REF!</f>
        <v>#REF!</v>
      </c>
      <c r="F37" s="405" t="e">
        <f>#REF!</f>
        <v>#REF!</v>
      </c>
      <c r="G37" s="405" t="e">
        <f>#REF!</f>
        <v>#REF!</v>
      </c>
      <c r="H37" s="405" t="e">
        <f>#REF!</f>
        <v>#REF!</v>
      </c>
      <c r="I37" s="405" t="e">
        <f>#REF!</f>
        <v>#REF!</v>
      </c>
      <c r="J37" s="405" t="e">
        <f>#REF!</f>
        <v>#REF!</v>
      </c>
      <c r="K37" s="405" t="e">
        <f>#REF!</f>
        <v>#REF!</v>
      </c>
      <c r="L37" s="405" t="e">
        <f>#REF!</f>
        <v>#REF!</v>
      </c>
      <c r="N37" s="446"/>
      <c r="O37" s="446"/>
      <c r="P37" s="446"/>
      <c r="S37" s="419"/>
      <c r="T37" s="419"/>
      <c r="U37" s="419"/>
      <c r="V37" s="419"/>
      <c r="W37" s="419"/>
      <c r="X37" s="419"/>
    </row>
    <row r="38" spans="2:24" s="391" customFormat="1" ht="14.25" hidden="1" customHeight="1" outlineLevel="1">
      <c r="B38" s="444" t="s">
        <v>191</v>
      </c>
      <c r="C38" s="448"/>
      <c r="D38" s="448"/>
      <c r="E38" s="448"/>
      <c r="F38" s="449"/>
      <c r="G38" s="449"/>
      <c r="H38" s="449"/>
      <c r="I38" s="449"/>
      <c r="J38" s="446"/>
      <c r="K38" s="446"/>
      <c r="L38" s="446"/>
      <c r="N38" s="446"/>
      <c r="O38" s="446"/>
      <c r="P38" s="446"/>
      <c r="S38" s="419"/>
      <c r="T38" s="419"/>
      <c r="U38" s="419"/>
      <c r="V38" s="419"/>
      <c r="W38" s="419"/>
      <c r="X38" s="419"/>
    </row>
    <row r="39" spans="2:24" s="391" customFormat="1" ht="14.25" hidden="1" customHeight="1" outlineLevel="1">
      <c r="B39" s="450" t="s">
        <v>82</v>
      </c>
      <c r="C39" s="403">
        <f>PL!AZ4</f>
        <v>7.8432741399999992</v>
      </c>
      <c r="D39" s="403">
        <f>PL!BA4</f>
        <v>117.02523876000001</v>
      </c>
      <c r="E39" s="403">
        <f>PL!BB4</f>
        <v>443.93846582000003</v>
      </c>
      <c r="F39" s="403">
        <f>PL!BC4</f>
        <v>458.92733067</v>
      </c>
      <c r="G39" s="403">
        <f>PL!BD4</f>
        <v>721.04527897000003</v>
      </c>
      <c r="H39" s="403">
        <f>PL!BE4</f>
        <v>729.03462304999994</v>
      </c>
      <c r="I39" s="403">
        <f>PL!BF4</f>
        <v>709.38658426000006</v>
      </c>
      <c r="J39" s="403">
        <f>PL!BG4</f>
        <v>1174.4643773799999</v>
      </c>
      <c r="K39" s="403">
        <f>PL!BH4</f>
        <v>6497.1961986800006</v>
      </c>
      <c r="L39" s="403">
        <f>PL!BI4</f>
        <v>23980.446760340114</v>
      </c>
      <c r="N39" s="403"/>
      <c r="O39" s="403"/>
      <c r="P39" s="403"/>
      <c r="S39" s="419"/>
      <c r="T39" s="419"/>
      <c r="U39" s="419"/>
      <c r="V39" s="419"/>
      <c r="W39" s="419"/>
      <c r="X39" s="419"/>
    </row>
    <row r="40" spans="2:24" s="391" customFormat="1" ht="14.25" hidden="1" customHeight="1" outlineLevel="1">
      <c r="B40" s="451" t="s">
        <v>164</v>
      </c>
      <c r="C40" s="407"/>
      <c r="D40" s="407">
        <f>D39/C39-1</f>
        <v>13.920457537392672</v>
      </c>
      <c r="E40" s="407">
        <f t="shared" ref="E40:L40" si="11">E39/D39-1</f>
        <v>2.7935275375121993</v>
      </c>
      <c r="F40" s="407">
        <f t="shared" si="11"/>
        <v>3.3763383901221466E-2</v>
      </c>
      <c r="G40" s="407">
        <f t="shared" si="11"/>
        <v>0.57115349377280977</v>
      </c>
      <c r="H40" s="407">
        <f t="shared" si="11"/>
        <v>1.1080225213335515E-2</v>
      </c>
      <c r="I40" s="407">
        <f t="shared" si="11"/>
        <v>-2.6950762239247417E-2</v>
      </c>
      <c r="J40" s="407">
        <f t="shared" si="11"/>
        <v>0.65560556604710518</v>
      </c>
      <c r="K40" s="407">
        <f t="shared" si="11"/>
        <v>4.532050459609489</v>
      </c>
      <c r="L40" s="407">
        <f t="shared" si="11"/>
        <v>2.6908915826202215</v>
      </c>
      <c r="N40" s="407"/>
      <c r="O40" s="407"/>
      <c r="P40" s="407"/>
      <c r="S40" s="419"/>
      <c r="T40" s="419"/>
      <c r="U40" s="419"/>
      <c r="V40" s="419"/>
      <c r="W40" s="419"/>
      <c r="X40" s="419"/>
    </row>
    <row r="41" spans="2:24" s="391" customFormat="1" ht="14.25" hidden="1" customHeight="1" outlineLevel="1">
      <c r="B41" s="450" t="s">
        <v>166</v>
      </c>
      <c r="C41" s="388">
        <f>PL!AZ43</f>
        <v>0.99961750667559857</v>
      </c>
      <c r="D41" s="388">
        <f>PL!BA43</f>
        <v>0.9989990031958812</v>
      </c>
      <c r="E41" s="388">
        <f>PL!BB43</f>
        <v>0.68188074854216063</v>
      </c>
      <c r="F41" s="388">
        <f>PL!BC43</f>
        <v>0.65382327348414482</v>
      </c>
      <c r="G41" s="388">
        <f>PL!BD43</f>
        <v>0.62394779953717505</v>
      </c>
      <c r="H41" s="388">
        <f>PL!BE43</f>
        <v>0.65759876726337596</v>
      </c>
      <c r="I41" s="388">
        <f>PL!BF43</f>
        <v>0.69156500233473983</v>
      </c>
      <c r="J41" s="388">
        <f>PL!BG43</f>
        <v>0.56711355454291201</v>
      </c>
      <c r="K41" s="388">
        <f>PL!BH43</f>
        <v>0.55151682273778391</v>
      </c>
      <c r="L41" s="388">
        <f>PL!BI43</f>
        <v>0.51316578444627792</v>
      </c>
      <c r="N41" s="403"/>
      <c r="O41" s="403"/>
      <c r="P41" s="403"/>
      <c r="S41" s="419"/>
      <c r="T41" s="419"/>
      <c r="U41" s="419"/>
      <c r="V41" s="419"/>
      <c r="W41" s="419"/>
      <c r="X41" s="419"/>
    </row>
    <row r="42" spans="2:24" s="391" customFormat="1" ht="14.25" hidden="1" customHeight="1" outlineLevel="1">
      <c r="B42" s="450" t="s">
        <v>176</v>
      </c>
      <c r="C42" s="388">
        <f>PL!AZ50</f>
        <v>51.27079892683696</v>
      </c>
      <c r="D42" s="388">
        <f>PL!BA50</f>
        <v>2.4910879331582576</v>
      </c>
      <c r="E42" s="388">
        <f>PL!BB50</f>
        <v>3.6507034079068212</v>
      </c>
      <c r="F42" s="388">
        <f>PL!BC50</f>
        <v>2.1369856703200041</v>
      </c>
      <c r="G42" s="388">
        <f>PL!BD50</f>
        <v>2.2257586362849939</v>
      </c>
      <c r="H42" s="388">
        <f>PL!BE50</f>
        <v>2.613958216768125</v>
      </c>
      <c r="I42" s="388">
        <f>PL!BF50</f>
        <v>1.9135964384723476</v>
      </c>
      <c r="J42" s="388">
        <f>PL!BG50</f>
        <v>1.2511464943602668</v>
      </c>
      <c r="K42" s="388">
        <f>PL!BH50</f>
        <v>0.25284036232948442</v>
      </c>
      <c r="L42" s="388">
        <f>PL!BI50</f>
        <v>0.24527856828262765</v>
      </c>
      <c r="N42" s="388"/>
      <c r="O42" s="407"/>
      <c r="P42" s="407"/>
      <c r="S42" s="419"/>
      <c r="T42" s="419"/>
      <c r="U42" s="419"/>
      <c r="V42" s="419"/>
      <c r="W42" s="419"/>
      <c r="X42" s="419"/>
    </row>
    <row r="43" spans="2:24" s="391" customFormat="1" ht="14.25" hidden="1" customHeight="1" outlineLevel="1">
      <c r="B43" s="450" t="s">
        <v>383</v>
      </c>
      <c r="C43" s="403">
        <f>PL!AZ12</f>
        <v>-394.29065722000001</v>
      </c>
      <c r="D43" s="403">
        <f>PL!BA12</f>
        <v>-174.61206328000003</v>
      </c>
      <c r="E43" s="403">
        <f>PL!BB12</f>
        <v>-1317.97457669</v>
      </c>
      <c r="F43" s="403">
        <f>PL!BC12</f>
        <v>-680.66375973000004</v>
      </c>
      <c r="G43" s="403">
        <f>PL!BD12</f>
        <v>-1154.9781416400001</v>
      </c>
      <c r="H43" s="403">
        <f>PL!BE12</f>
        <v>-1426.2537738200001</v>
      </c>
      <c r="I43" s="403">
        <f>PL!BF12</f>
        <v>-866.8927063399999</v>
      </c>
      <c r="J43" s="403">
        <f>PL!BG12</f>
        <v>-803.37232077000044</v>
      </c>
      <c r="K43" s="403">
        <f>PL!BH12</f>
        <v>1940.5595632000011</v>
      </c>
      <c r="L43" s="403">
        <f>PL!BI12</f>
        <v>6424.0551249881391</v>
      </c>
      <c r="N43" s="400"/>
      <c r="O43" s="400"/>
      <c r="P43" s="400"/>
      <c r="S43" s="419"/>
      <c r="T43" s="419"/>
      <c r="U43" s="419"/>
      <c r="V43" s="419"/>
      <c r="W43" s="419"/>
      <c r="X43" s="419"/>
    </row>
    <row r="44" spans="2:24" s="391" customFormat="1" ht="14.25" hidden="1" customHeight="1" outlineLevel="1">
      <c r="B44" s="451" t="s">
        <v>164</v>
      </c>
      <c r="C44" s="407"/>
      <c r="D44" s="407">
        <f>D43/C43-1</f>
        <v>-0.55714886953922227</v>
      </c>
      <c r="E44" s="407">
        <f t="shared" ref="E44:K44" si="12">E43/D43-1</f>
        <v>6.5480155948707592</v>
      </c>
      <c r="F44" s="407">
        <f t="shared" si="12"/>
        <v>-0.48355319459997559</v>
      </c>
      <c r="G44" s="407">
        <f t="shared" si="12"/>
        <v>0.69684095139448465</v>
      </c>
      <c r="H44" s="407">
        <f t="shared" si="12"/>
        <v>0.23487512222075879</v>
      </c>
      <c r="I44" s="407">
        <f t="shared" si="12"/>
        <v>-0.39218901835529463</v>
      </c>
      <c r="J44" s="407">
        <f t="shared" si="12"/>
        <v>-7.3273641715341009E-2</v>
      </c>
      <c r="K44" s="407">
        <f t="shared" si="12"/>
        <v>-3.4155170809719357</v>
      </c>
      <c r="L44" s="407">
        <f>L43/K43-1</f>
        <v>2.3104137831228493</v>
      </c>
      <c r="N44" s="407"/>
      <c r="O44" s="407"/>
      <c r="P44" s="407"/>
      <c r="S44" s="419"/>
      <c r="T44" s="419"/>
      <c r="U44" s="419"/>
      <c r="V44" s="419"/>
      <c r="W44" s="419"/>
      <c r="X44" s="419"/>
    </row>
    <row r="45" spans="2:24" s="391" customFormat="1" ht="14.25" hidden="1" customHeight="1" outlineLevel="1">
      <c r="B45" s="450" t="s">
        <v>172</v>
      </c>
      <c r="C45" s="403">
        <f>PL!AZ22</f>
        <v>-380.70041323999999</v>
      </c>
      <c r="D45" s="403">
        <f>PL!BA22</f>
        <v>-41.04650737</v>
      </c>
      <c r="E45" s="403">
        <f>PL!BB22</f>
        <v>-1179.1253314300002</v>
      </c>
      <c r="F45" s="403">
        <f>PL!BC22</f>
        <v>-434.50933116000004</v>
      </c>
      <c r="G45" s="403">
        <f>PL!BD22</f>
        <v>-823.82302591000018</v>
      </c>
      <c r="H45" s="403">
        <f>PL!BE22</f>
        <v>-1322.73088912</v>
      </c>
      <c r="I45" s="403">
        <f>PL!BF22</f>
        <v>-874.73879105000015</v>
      </c>
      <c r="J45" s="403">
        <f>PL!BG22</f>
        <v>-455.7690554200002</v>
      </c>
      <c r="K45" s="403">
        <f>PL!BH22</f>
        <v>2059.3706143100007</v>
      </c>
      <c r="L45" s="403">
        <f>PL!BI22</f>
        <v>6374.4596096809792</v>
      </c>
      <c r="N45" s="400"/>
      <c r="O45" s="400"/>
      <c r="P45" s="400"/>
      <c r="S45" s="419"/>
      <c r="T45" s="419"/>
      <c r="U45" s="419"/>
      <c r="V45" s="419"/>
      <c r="W45" s="419"/>
      <c r="X45" s="419"/>
    </row>
    <row r="46" spans="2:24" s="391" customFormat="1" ht="14.25" hidden="1" customHeight="1" outlineLevel="1">
      <c r="B46" s="450" t="s">
        <v>7</v>
      </c>
      <c r="C46" s="403">
        <f>PL!AZ25</f>
        <v>-380.70041323999999</v>
      </c>
      <c r="D46" s="403">
        <f>PL!BA25</f>
        <v>-41.04650737</v>
      </c>
      <c r="E46" s="403">
        <f>PL!BB25</f>
        <v>-1178.9858539400002</v>
      </c>
      <c r="F46" s="403">
        <f>PL!BC25</f>
        <v>-434.50933116000004</v>
      </c>
      <c r="G46" s="403">
        <f>PL!BD25</f>
        <v>-824.94940911000026</v>
      </c>
      <c r="H46" s="403">
        <f>PL!BE25</f>
        <v>-1256.5625219999999</v>
      </c>
      <c r="I46" s="403">
        <f>PL!BF25</f>
        <v>-845.10148783000011</v>
      </c>
      <c r="J46" s="403">
        <f>PL!BG25</f>
        <v>-452.11927295000021</v>
      </c>
      <c r="K46" s="403">
        <f>PL!BH25</f>
        <v>2059.2175826400007</v>
      </c>
      <c r="L46" s="403">
        <f>PL!BI25</f>
        <v>6179.0473089729303</v>
      </c>
      <c r="N46" s="403"/>
      <c r="O46" s="403"/>
      <c r="P46" s="403"/>
      <c r="S46" s="419"/>
      <c r="T46" s="419"/>
      <c r="U46" s="419"/>
      <c r="V46" s="419"/>
      <c r="W46" s="419"/>
      <c r="X46" s="419"/>
    </row>
    <row r="47" spans="2:24" s="391" customFormat="1" ht="14.25" hidden="1" customHeight="1" outlineLevel="1">
      <c r="B47" s="452" t="s">
        <v>164</v>
      </c>
      <c r="C47" s="407"/>
      <c r="D47" s="407">
        <f>D46/C46-1</f>
        <v>-0.89218160542388592</v>
      </c>
      <c r="E47" s="407">
        <f t="shared" ref="E47:L47" si="13">E46/D46-1</f>
        <v>27.72317109254697</v>
      </c>
      <c r="F47" s="407">
        <f t="shared" si="13"/>
        <v>-0.63145500880444605</v>
      </c>
      <c r="G47" s="407">
        <f t="shared" si="13"/>
        <v>0.89857696935449205</v>
      </c>
      <c r="H47" s="407">
        <f t="shared" si="13"/>
        <v>0.52319949335517091</v>
      </c>
      <c r="I47" s="407">
        <f t="shared" si="13"/>
        <v>-0.32744971059227557</v>
      </c>
      <c r="J47" s="407">
        <f t="shared" si="13"/>
        <v>-0.46501186016022245</v>
      </c>
      <c r="K47" s="407">
        <f t="shared" si="13"/>
        <v>-5.5545892551847249</v>
      </c>
      <c r="L47" s="407">
        <f t="shared" si="13"/>
        <v>2.0006772286059933</v>
      </c>
      <c r="N47" s="407"/>
      <c r="O47" s="407"/>
      <c r="P47" s="407"/>
      <c r="S47" s="419"/>
      <c r="T47" s="419"/>
      <c r="U47" s="419"/>
      <c r="V47" s="419"/>
      <c r="W47" s="419"/>
      <c r="X47" s="419"/>
    </row>
    <row r="48" spans="2:24" s="391" customFormat="1" ht="14.25" hidden="1" customHeight="1" outlineLevel="1">
      <c r="B48" s="453" t="s">
        <v>239</v>
      </c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N48" s="403"/>
      <c r="O48" s="403"/>
      <c r="P48" s="403"/>
      <c r="S48" s="419"/>
      <c r="T48" s="419"/>
      <c r="U48" s="419"/>
      <c r="V48" s="419"/>
      <c r="W48" s="419"/>
      <c r="X48" s="419"/>
    </row>
    <row r="49" spans="2:24" s="391" customFormat="1" ht="14.25" hidden="1" customHeight="1" outlineLevel="1">
      <c r="B49" s="450" t="s">
        <v>374</v>
      </c>
      <c r="C49" s="403">
        <f>BS!G44</f>
        <v>-50492.774758932872</v>
      </c>
      <c r="D49" s="403">
        <f>BS!H44</f>
        <v>-28113.930988235119</v>
      </c>
      <c r="E49" s="403">
        <f>BS!I44</f>
        <v>-77.744103369072761</v>
      </c>
      <c r="F49" s="403">
        <f>BS!J44</f>
        <v>-146.59236268917863</v>
      </c>
      <c r="G49" s="403">
        <f>BS!K44</f>
        <v>122.62804457305685</v>
      </c>
      <c r="H49" s="403">
        <f>BS!L44</f>
        <v>405.6662075936045</v>
      </c>
      <c r="I49" s="403">
        <f>BS!M44</f>
        <v>294.94227422192569</v>
      </c>
      <c r="J49" s="403">
        <f>BS!N44</f>
        <v>551.43655545731872</v>
      </c>
      <c r="K49" s="403">
        <f>BS!O44</f>
        <v>368.23845004914108</v>
      </c>
      <c r="L49" s="403">
        <f>BS!P44</f>
        <v>190.3</v>
      </c>
      <c r="N49" s="403"/>
      <c r="O49" s="403"/>
      <c r="P49" s="403"/>
      <c r="S49" s="419"/>
      <c r="T49" s="419"/>
      <c r="U49" s="419"/>
      <c r="V49" s="419"/>
      <c r="W49" s="419"/>
      <c r="X49" s="419"/>
    </row>
    <row r="50" spans="2:24" s="391" customFormat="1" ht="14.25" hidden="1" customHeight="1" outlineLevel="1">
      <c r="B50" s="450" t="s">
        <v>228</v>
      </c>
      <c r="C50" s="403">
        <f>BS!G47</f>
        <v>20.644931309999997</v>
      </c>
      <c r="D50" s="403">
        <f>BS!H47</f>
        <v>74.855491689999994</v>
      </c>
      <c r="E50" s="403">
        <f>BS!I47</f>
        <v>156.21396949000001</v>
      </c>
      <c r="F50" s="403">
        <f>BS!J47</f>
        <v>38.561355669999983</v>
      </c>
      <c r="G50" s="403">
        <f>BS!K47</f>
        <v>379.84390693</v>
      </c>
      <c r="H50" s="403">
        <f>BS!L47</f>
        <v>70.188188679999996</v>
      </c>
      <c r="I50" s="403">
        <f>BS!M47</f>
        <v>100.38246325</v>
      </c>
      <c r="J50" s="403">
        <f>BS!N47</f>
        <v>366.04933519999997</v>
      </c>
      <c r="K50" s="403">
        <f>BS!O47</f>
        <v>568.69788862999997</v>
      </c>
      <c r="L50" s="403">
        <f>BS!P47</f>
        <v>887.27653013258418</v>
      </c>
      <c r="N50" s="403"/>
      <c r="O50" s="403"/>
      <c r="P50" s="403"/>
      <c r="S50" s="419"/>
      <c r="T50" s="419"/>
      <c r="U50" s="419"/>
      <c r="V50" s="419"/>
      <c r="W50" s="419"/>
      <c r="X50" s="419"/>
    </row>
    <row r="51" spans="2:24" s="391" customFormat="1" ht="14.25" hidden="1" customHeight="1" outlineLevel="1">
      <c r="B51" s="451" t="s">
        <v>319</v>
      </c>
      <c r="C51" s="407">
        <f>C50/C39</f>
        <v>2.6321828029333676</v>
      </c>
      <c r="D51" s="407">
        <f t="shared" ref="D51:L51" si="14">D50/D39</f>
        <v>0.63965254404237193</v>
      </c>
      <c r="E51" s="407">
        <f t="shared" si="14"/>
        <v>0.3518820321223049</v>
      </c>
      <c r="F51" s="407">
        <f t="shared" si="14"/>
        <v>8.4024971042154437E-2</v>
      </c>
      <c r="G51" s="407">
        <f t="shared" si="14"/>
        <v>0.52679619159645574</v>
      </c>
      <c r="H51" s="407">
        <f t="shared" si="14"/>
        <v>9.6275521711657069E-2</v>
      </c>
      <c r="I51" s="407">
        <f t="shared" si="14"/>
        <v>0.14150600741162089</v>
      </c>
      <c r="J51" s="407">
        <f t="shared" si="14"/>
        <v>0.31167342513749491</v>
      </c>
      <c r="K51" s="407">
        <f t="shared" si="14"/>
        <v>8.752973917357447E-2</v>
      </c>
      <c r="L51" s="407">
        <f t="shared" si="14"/>
        <v>3.6999999999999998E-2</v>
      </c>
      <c r="N51" s="408"/>
      <c r="O51" s="408"/>
      <c r="P51" s="408"/>
      <c r="S51" s="419"/>
      <c r="T51" s="419"/>
      <c r="U51" s="419"/>
      <c r="V51" s="419"/>
      <c r="W51" s="419"/>
      <c r="X51" s="419"/>
    </row>
    <row r="52" spans="2:24" s="391" customFormat="1" ht="14.25" hidden="1" customHeight="1" outlineLevel="1">
      <c r="B52" s="450"/>
      <c r="C52" s="403"/>
      <c r="D52" s="403"/>
      <c r="E52" s="403"/>
      <c r="F52" s="403"/>
      <c r="G52" s="403"/>
      <c r="H52" s="403"/>
      <c r="I52" s="403"/>
      <c r="J52" s="403"/>
      <c r="K52" s="403"/>
      <c r="L52" s="403"/>
      <c r="N52" s="403"/>
      <c r="O52" s="403"/>
      <c r="P52" s="403"/>
      <c r="S52" s="419"/>
      <c r="T52" s="419"/>
      <c r="U52" s="419"/>
      <c r="V52" s="419"/>
      <c r="W52" s="419"/>
      <c r="X52" s="419"/>
    </row>
    <row r="53" spans="2:24" s="391" customFormat="1" ht="14.25" hidden="1" customHeight="1" outlineLevel="1">
      <c r="B53" s="439" t="s">
        <v>247</v>
      </c>
      <c r="C53" s="411">
        <f>CF!G35</f>
        <v>-44.16923912</v>
      </c>
      <c r="D53" s="411">
        <f>CF!H35</f>
        <v>-130.34596618</v>
      </c>
      <c r="E53" s="411">
        <f>CF!I35</f>
        <v>-358.01000964000002</v>
      </c>
      <c r="F53" s="411">
        <f>CF!J35</f>
        <v>-391.72814755999997</v>
      </c>
      <c r="G53" s="411">
        <f>CF!K35</f>
        <v>-1378.1398647599999</v>
      </c>
      <c r="H53" s="411">
        <f>CF!L35</f>
        <v>-1614.0014468299998</v>
      </c>
      <c r="I53" s="411">
        <f>CF!M35</f>
        <v>-695.91748626000003</v>
      </c>
      <c r="J53" s="411">
        <f>CF!N35</f>
        <v>-1984.0095721000002</v>
      </c>
      <c r="K53" s="411">
        <f>CF!O35</f>
        <v>-1067.0960256399999</v>
      </c>
      <c r="L53" s="411">
        <f>CF!P35</f>
        <v>2443.2666272065953</v>
      </c>
      <c r="N53" s="411">
        <f>M53*(1+N54)</f>
        <v>0</v>
      </c>
      <c r="O53" s="411">
        <f>N53*(1+O54)</f>
        <v>0</v>
      </c>
      <c r="P53" s="411">
        <f>O53*(1+P54)</f>
        <v>0</v>
      </c>
      <c r="S53" s="419"/>
      <c r="T53" s="419"/>
      <c r="U53" s="419"/>
      <c r="V53" s="419"/>
      <c r="W53" s="419"/>
      <c r="X53" s="419"/>
    </row>
    <row r="54" spans="2:24" s="391" customFormat="1" ht="14.25" hidden="1" customHeight="1" outlineLevel="1">
      <c r="B54" s="450" t="s">
        <v>164</v>
      </c>
      <c r="C54" s="409"/>
      <c r="D54" s="407" t="str">
        <f>IF(AND(C53&gt;0,D53&gt;0),(D53/C53-1)," ")</f>
        <v xml:space="preserve"> </v>
      </c>
      <c r="E54" s="407" t="str">
        <f t="shared" ref="E54:L54" si="15">IF(AND(D53&gt;0,E53&gt;0),(E53/D53-1)," ")</f>
        <v xml:space="preserve"> </v>
      </c>
      <c r="F54" s="407" t="str">
        <f t="shared" si="15"/>
        <v xml:space="preserve"> </v>
      </c>
      <c r="G54" s="407" t="str">
        <f t="shared" si="15"/>
        <v xml:space="preserve"> </v>
      </c>
      <c r="H54" s="407" t="str">
        <f t="shared" si="15"/>
        <v xml:space="preserve"> </v>
      </c>
      <c r="I54" s="407" t="str">
        <f t="shared" si="15"/>
        <v xml:space="preserve"> </v>
      </c>
      <c r="J54" s="407" t="str">
        <f t="shared" si="15"/>
        <v xml:space="preserve"> </v>
      </c>
      <c r="K54" s="407" t="str">
        <f t="shared" si="15"/>
        <v xml:space="preserve"> </v>
      </c>
      <c r="L54" s="407" t="str">
        <f t="shared" si="15"/>
        <v xml:space="preserve"> </v>
      </c>
      <c r="N54" s="407">
        <v>0.15</v>
      </c>
      <c r="O54" s="407">
        <v>0.15</v>
      </c>
      <c r="P54" s="407">
        <v>0.15</v>
      </c>
      <c r="S54" s="419"/>
      <c r="T54" s="419"/>
      <c r="U54" s="419"/>
      <c r="V54" s="419"/>
      <c r="W54" s="419"/>
      <c r="X54" s="419"/>
    </row>
    <row r="55" spans="2:24" s="391" customFormat="1" ht="14.25" hidden="1" customHeight="1" outlineLevel="1">
      <c r="B55" s="450" t="s">
        <v>384</v>
      </c>
      <c r="C55" s="409"/>
      <c r="D55" s="407"/>
      <c r="E55" s="407"/>
      <c r="F55" s="407"/>
      <c r="G55" s="407"/>
      <c r="H55" s="407"/>
      <c r="I55" s="407"/>
      <c r="J55" s="407"/>
      <c r="K55" s="407"/>
      <c r="L55" s="407"/>
      <c r="N55" s="407"/>
      <c r="O55" s="407"/>
      <c r="P55" s="407">
        <v>0.03</v>
      </c>
      <c r="S55" s="419"/>
      <c r="T55" s="419"/>
      <c r="U55" s="419"/>
      <c r="V55" s="419"/>
      <c r="W55" s="419"/>
      <c r="X55" s="419"/>
    </row>
    <row r="56" spans="2:24" s="391" customFormat="1" ht="14.25" hidden="1" customHeight="1" outlineLevel="1">
      <c r="B56" s="441" t="s">
        <v>385</v>
      </c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N56" s="403"/>
      <c r="O56" s="403"/>
      <c r="P56" s="403">
        <f>P53*(1+P55)/(C76-P55)</f>
        <v>0</v>
      </c>
      <c r="S56" s="419"/>
      <c r="T56" s="419"/>
      <c r="U56" s="419"/>
      <c r="V56" s="419"/>
      <c r="W56" s="419"/>
      <c r="X56" s="419"/>
    </row>
    <row r="57" spans="2:24" s="391" customFormat="1" ht="14.25" hidden="1" customHeight="1" outlineLevel="1">
      <c r="B57" s="441" t="s">
        <v>386</v>
      </c>
      <c r="C57" s="403"/>
      <c r="D57" s="403"/>
      <c r="E57" s="410"/>
      <c r="F57" s="410"/>
      <c r="G57" s="410"/>
      <c r="H57" s="410">
        <f t="shared" ref="H57:P57" si="16">1/(1+H32)^$C$76</f>
        <v>1</v>
      </c>
      <c r="I57" s="410">
        <f t="shared" si="16"/>
        <v>0.91604769599923941</v>
      </c>
      <c r="J57" s="410">
        <f t="shared" si="16"/>
        <v>0.8702451178227022</v>
      </c>
      <c r="K57" s="410">
        <f t="shared" si="16"/>
        <v>0.83914338134551492</v>
      </c>
      <c r="L57" s="410">
        <f t="shared" si="16"/>
        <v>0.81578654046685273</v>
      </c>
      <c r="N57" s="410">
        <f t="shared" si="16"/>
        <v>0.91604769599923941</v>
      </c>
      <c r="O57" s="410">
        <f t="shared" si="16"/>
        <v>0.8702451178227022</v>
      </c>
      <c r="P57" s="410">
        <f t="shared" si="16"/>
        <v>0.83914338134551492</v>
      </c>
      <c r="S57" s="419"/>
      <c r="T57" s="419"/>
      <c r="U57" s="419"/>
      <c r="V57" s="419"/>
      <c r="W57" s="419"/>
      <c r="X57" s="419"/>
    </row>
    <row r="58" spans="2:24" s="391" customFormat="1" ht="14.25" hidden="1" customHeight="1" outlineLevel="1">
      <c r="B58" s="441" t="s">
        <v>387</v>
      </c>
      <c r="C58" s="403"/>
      <c r="D58" s="403"/>
      <c r="E58" s="403"/>
      <c r="F58" s="403"/>
      <c r="G58" s="403"/>
      <c r="H58" s="403">
        <f t="shared" ref="H58:P58" si="17">H53*H57</f>
        <v>-1614.0014468299998</v>
      </c>
      <c r="I58" s="403">
        <f t="shared" si="17"/>
        <v>-637.49360989405534</v>
      </c>
      <c r="J58" s="403">
        <f t="shared" si="17"/>
        <v>-1726.5746438335336</v>
      </c>
      <c r="K58" s="403">
        <f t="shared" si="17"/>
        <v>-895.44656717590976</v>
      </c>
      <c r="L58" s="403">
        <f t="shared" si="17"/>
        <v>1993.184029246984</v>
      </c>
      <c r="N58" s="403">
        <f t="shared" si="17"/>
        <v>0</v>
      </c>
      <c r="O58" s="403">
        <f t="shared" si="17"/>
        <v>0</v>
      </c>
      <c r="P58" s="403">
        <f t="shared" si="17"/>
        <v>0</v>
      </c>
      <c r="S58" s="419"/>
      <c r="T58" s="419"/>
      <c r="U58" s="419"/>
      <c r="V58" s="419"/>
      <c r="W58" s="419"/>
      <c r="X58" s="419"/>
    </row>
    <row r="59" spans="2:24" s="391" customFormat="1" ht="14.25" hidden="1" customHeight="1" outlineLevel="1">
      <c r="B59" s="441"/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N59" s="403"/>
      <c r="O59" s="403"/>
      <c r="P59" s="403"/>
      <c r="S59" s="419"/>
      <c r="T59" s="419"/>
      <c r="U59" s="419"/>
      <c r="V59" s="419"/>
      <c r="W59" s="419"/>
      <c r="X59" s="419"/>
    </row>
    <row r="60" spans="2:24" s="391" customFormat="1" ht="14.25" hidden="1" customHeight="1" outlineLevel="1">
      <c r="B60" s="439" t="s">
        <v>398</v>
      </c>
      <c r="C60" s="403"/>
      <c r="D60" s="403"/>
      <c r="E60" s="403"/>
      <c r="F60" s="403"/>
      <c r="G60" s="411"/>
      <c r="H60" s="411">
        <f>SUM(H58:P58)+P56*P57</f>
        <v>-2880.3322384865141</v>
      </c>
      <c r="I60" s="403"/>
      <c r="J60" s="403"/>
      <c r="K60" s="403"/>
      <c r="L60" s="403"/>
      <c r="N60" s="403"/>
      <c r="O60" s="403"/>
      <c r="P60" s="403"/>
      <c r="S60" s="419"/>
      <c r="T60" s="419"/>
      <c r="U60" s="419"/>
      <c r="V60" s="419"/>
      <c r="W60" s="419"/>
      <c r="X60" s="419"/>
    </row>
    <row r="61" spans="2:24" s="391" customFormat="1" ht="14.25" hidden="1" customHeight="1" outlineLevel="1">
      <c r="B61" s="441" t="s">
        <v>1</v>
      </c>
      <c r="C61" s="403"/>
      <c r="D61" s="403"/>
      <c r="E61" s="403"/>
      <c r="F61" s="403"/>
      <c r="G61" s="403"/>
      <c r="H61" s="403">
        <f>BS!L4</f>
        <v>2467.3097058499998</v>
      </c>
      <c r="I61" s="403"/>
      <c r="J61" s="403"/>
      <c r="K61" s="403"/>
      <c r="L61" s="403"/>
      <c r="N61" s="403"/>
      <c r="O61" s="403"/>
      <c r="P61" s="403"/>
      <c r="S61" s="419"/>
      <c r="T61" s="419"/>
      <c r="U61" s="419"/>
      <c r="V61" s="419"/>
      <c r="W61" s="419"/>
      <c r="X61" s="419"/>
    </row>
    <row r="62" spans="2:24" s="391" customFormat="1" ht="14.25" hidden="1" customHeight="1" outlineLevel="1">
      <c r="B62" s="441" t="s">
        <v>388</v>
      </c>
      <c r="C62" s="403"/>
      <c r="D62" s="403"/>
      <c r="E62" s="403"/>
      <c r="F62" s="403"/>
      <c r="G62" s="403"/>
      <c r="H62" s="403">
        <f>BS!L13+BS!L16</f>
        <v>938.28029760000004</v>
      </c>
      <c r="I62" s="403"/>
      <c r="J62" s="403"/>
      <c r="K62" s="403"/>
      <c r="L62" s="403"/>
      <c r="N62" s="403"/>
      <c r="O62" s="403"/>
      <c r="P62" s="403"/>
      <c r="S62" s="419"/>
      <c r="T62" s="419"/>
      <c r="U62" s="419"/>
      <c r="V62" s="419"/>
      <c r="W62" s="419"/>
      <c r="X62" s="419"/>
    </row>
    <row r="63" spans="2:24" s="391" customFormat="1" ht="14.25" hidden="1" customHeight="1" outlineLevel="1">
      <c r="B63" s="439" t="s">
        <v>400</v>
      </c>
      <c r="C63" s="411"/>
      <c r="D63" s="411"/>
      <c r="E63" s="411"/>
      <c r="F63" s="411"/>
      <c r="G63" s="411"/>
      <c r="H63" s="411">
        <f>H60-H62+H61</f>
        <v>-1351.3028302365146</v>
      </c>
      <c r="I63" s="411"/>
      <c r="J63" s="411"/>
      <c r="K63" s="411"/>
      <c r="L63" s="411"/>
      <c r="N63" s="411"/>
      <c r="O63" s="411"/>
      <c r="P63" s="411"/>
      <c r="S63" s="419"/>
      <c r="T63" s="419"/>
      <c r="U63" s="419"/>
      <c r="V63" s="419"/>
      <c r="W63" s="419"/>
      <c r="X63" s="419"/>
    </row>
    <row r="64" spans="2:24" s="391" customFormat="1" ht="14.25" hidden="1" customHeight="1" outlineLevel="1">
      <c r="B64" s="454" t="s">
        <v>389</v>
      </c>
      <c r="C64" s="412"/>
      <c r="D64" s="412"/>
      <c r="E64" s="412"/>
      <c r="F64" s="403"/>
      <c r="G64" s="413"/>
      <c r="H64" s="413">
        <f>H63/PL!BE33</f>
        <v>-3.3713908167690851</v>
      </c>
      <c r="I64" s="403"/>
      <c r="J64" s="403"/>
      <c r="K64" s="403"/>
      <c r="L64" s="403"/>
      <c r="N64" s="403"/>
      <c r="O64" s="403"/>
      <c r="P64" s="403"/>
      <c r="S64" s="419"/>
      <c r="T64" s="419"/>
      <c r="U64" s="419"/>
      <c r="V64" s="419"/>
      <c r="W64" s="419"/>
      <c r="X64" s="419"/>
    </row>
    <row r="65" spans="2:24" s="391" customFormat="1" ht="14.25" hidden="1" customHeight="1" outlineLevel="1">
      <c r="B65" s="439" t="s">
        <v>371</v>
      </c>
      <c r="C65" s="403"/>
      <c r="D65" s="403"/>
      <c r="E65" s="403"/>
      <c r="F65" s="403"/>
      <c r="G65" s="414"/>
      <c r="H65" s="414">
        <f>H64/G104</f>
        <v>1.0753964140882715</v>
      </c>
      <c r="I65" s="403"/>
      <c r="J65" s="403"/>
      <c r="K65" s="403"/>
      <c r="L65" s="403"/>
      <c r="N65" s="403"/>
      <c r="O65" s="403"/>
      <c r="P65" s="403"/>
      <c r="S65" s="419"/>
      <c r="T65" s="419"/>
      <c r="U65" s="419"/>
      <c r="V65" s="419"/>
      <c r="W65" s="419"/>
      <c r="X65" s="419"/>
    </row>
    <row r="66" spans="2:24" s="391" customFormat="1" ht="14.25" hidden="1" customHeight="1" outlineLevel="1">
      <c r="B66" s="439"/>
      <c r="C66" s="403"/>
      <c r="D66" s="403"/>
      <c r="E66" s="403"/>
      <c r="F66" s="403"/>
      <c r="G66" s="414"/>
      <c r="H66" s="415"/>
      <c r="I66" s="403"/>
      <c r="J66" s="403"/>
      <c r="K66" s="403"/>
      <c r="L66" s="403"/>
      <c r="N66" s="403"/>
      <c r="O66" s="403"/>
      <c r="P66" s="403"/>
      <c r="S66" s="419"/>
      <c r="T66" s="419"/>
      <c r="U66" s="419"/>
      <c r="V66" s="419"/>
      <c r="W66" s="419"/>
      <c r="X66" s="419"/>
    </row>
    <row r="67" spans="2:24" s="391" customFormat="1" ht="14.25" hidden="1" customHeight="1" outlineLevel="1">
      <c r="B67" s="439" t="s">
        <v>399</v>
      </c>
      <c r="C67" s="439"/>
      <c r="D67" s="441"/>
      <c r="E67" s="450"/>
      <c r="F67" s="450"/>
      <c r="G67" s="441"/>
      <c r="H67" s="441"/>
      <c r="I67" s="441"/>
      <c r="J67" s="441"/>
      <c r="K67" s="441"/>
      <c r="L67" s="441"/>
      <c r="N67" s="441"/>
      <c r="O67" s="441"/>
      <c r="P67" s="441"/>
      <c r="S67" s="419"/>
      <c r="T67" s="419"/>
      <c r="U67" s="419"/>
      <c r="V67" s="419"/>
      <c r="W67" s="419"/>
      <c r="X67" s="419"/>
    </row>
    <row r="68" spans="2:24" s="391" customFormat="1" ht="14.25" hidden="1" customHeight="1" outlineLevel="1">
      <c r="B68" s="450" t="s">
        <v>390</v>
      </c>
      <c r="C68" s="416">
        <f>C119</f>
        <v>0.03</v>
      </c>
      <c r="D68" s="452"/>
      <c r="E68" s="450"/>
      <c r="F68" s="417"/>
      <c r="G68" s="441"/>
      <c r="H68" s="441"/>
      <c r="I68" s="441"/>
      <c r="J68" s="441"/>
      <c r="K68" s="441"/>
      <c r="L68" s="441"/>
      <c r="N68" s="441"/>
      <c r="O68" s="441"/>
      <c r="P68" s="441"/>
      <c r="S68" s="419"/>
      <c r="T68" s="419"/>
      <c r="U68" s="419"/>
      <c r="V68" s="419"/>
      <c r="W68" s="419"/>
      <c r="X68" s="419"/>
    </row>
    <row r="69" spans="2:24" s="391" customFormat="1" ht="14.25" hidden="1" customHeight="1" outlineLevel="1">
      <c r="B69" s="450" t="s">
        <v>162</v>
      </c>
      <c r="C69" s="415">
        <f>C118</f>
        <v>1.496</v>
      </c>
      <c r="D69" s="441"/>
      <c r="E69" s="450"/>
      <c r="F69" s="400"/>
      <c r="G69" s="441"/>
      <c r="H69" s="441"/>
      <c r="I69" s="441"/>
      <c r="J69" s="441"/>
      <c r="K69" s="441"/>
      <c r="L69" s="441"/>
      <c r="N69" s="441"/>
      <c r="O69" s="441"/>
      <c r="P69" s="441"/>
      <c r="S69" s="419"/>
      <c r="T69" s="419"/>
      <c r="U69" s="419"/>
      <c r="V69" s="419"/>
      <c r="W69" s="419"/>
      <c r="X69" s="419"/>
    </row>
    <row r="70" spans="2:24" s="391" customFormat="1" ht="14.25" hidden="1" customHeight="1" outlineLevel="1">
      <c r="B70" s="450" t="s">
        <v>306</v>
      </c>
      <c r="C70" s="416">
        <f>C120</f>
        <v>6.5000000000000002E-2</v>
      </c>
      <c r="D70" s="441" t="s">
        <v>391</v>
      </c>
      <c r="E70" s="450"/>
      <c r="F70" s="417"/>
      <c r="G70" s="441"/>
      <c r="H70" s="441"/>
      <c r="I70" s="441"/>
      <c r="J70" s="441"/>
      <c r="K70" s="441"/>
      <c r="L70" s="441"/>
      <c r="N70" s="441"/>
      <c r="O70" s="441"/>
      <c r="P70" s="441"/>
      <c r="S70" s="419"/>
      <c r="T70" s="419"/>
      <c r="U70" s="419"/>
      <c r="V70" s="419"/>
      <c r="W70" s="419"/>
      <c r="X70" s="419"/>
    </row>
    <row r="71" spans="2:24" s="391" customFormat="1" ht="14.25" hidden="1" customHeight="1" outlineLevel="1">
      <c r="B71" s="450" t="s">
        <v>392</v>
      </c>
      <c r="C71" s="416">
        <f>C117</f>
        <v>0.12724000000000002</v>
      </c>
      <c r="D71" s="452" t="s">
        <v>393</v>
      </c>
      <c r="E71" s="450"/>
      <c r="F71" s="455"/>
      <c r="G71" s="441"/>
      <c r="H71" s="441"/>
      <c r="I71" s="441"/>
      <c r="J71" s="441"/>
      <c r="K71" s="441"/>
      <c r="L71" s="441"/>
      <c r="N71" s="441"/>
      <c r="O71" s="441"/>
      <c r="P71" s="441"/>
      <c r="S71" s="419"/>
      <c r="T71" s="419"/>
      <c r="U71" s="419"/>
      <c r="V71" s="419"/>
      <c r="W71" s="419"/>
      <c r="X71" s="419"/>
    </row>
    <row r="72" spans="2:24" s="391" customFormat="1" ht="14.25" hidden="1" customHeight="1" outlineLevel="1">
      <c r="B72" s="450" t="s">
        <v>394</v>
      </c>
      <c r="C72" s="388">
        <f>PL!BE64</f>
        <v>7.1966739063967305E-2</v>
      </c>
      <c r="D72" s="452"/>
      <c r="E72" s="450"/>
      <c r="F72" s="388"/>
      <c r="G72" s="441"/>
      <c r="H72" s="441"/>
      <c r="I72" s="441"/>
      <c r="J72" s="441"/>
      <c r="K72" s="441"/>
      <c r="L72" s="441"/>
      <c r="N72" s="441"/>
      <c r="O72" s="441"/>
      <c r="P72" s="441"/>
      <c r="S72" s="419"/>
      <c r="T72" s="419"/>
      <c r="U72" s="419"/>
      <c r="V72" s="419"/>
      <c r="W72" s="419"/>
      <c r="X72" s="419"/>
    </row>
    <row r="73" spans="2:24" s="391" customFormat="1" ht="14.25" hidden="1" customHeight="1" outlineLevel="1">
      <c r="B73" s="450" t="s">
        <v>175</v>
      </c>
      <c r="C73" s="388">
        <f>PL!BD55</f>
        <v>-7.2727410275790771E-3</v>
      </c>
      <c r="D73" s="441"/>
      <c r="E73" s="450"/>
      <c r="F73" s="400"/>
      <c r="G73" s="441"/>
      <c r="H73" s="441"/>
      <c r="I73" s="441"/>
      <c r="J73" s="441"/>
      <c r="K73" s="441"/>
      <c r="L73" s="441"/>
      <c r="N73" s="441"/>
      <c r="O73" s="441"/>
      <c r="P73" s="441"/>
      <c r="S73" s="419"/>
      <c r="T73" s="419"/>
      <c r="U73" s="419"/>
      <c r="V73" s="419"/>
      <c r="W73" s="419"/>
      <c r="X73" s="419"/>
    </row>
    <row r="74" spans="2:24" s="391" customFormat="1" ht="14.25" hidden="1" customHeight="1" outlineLevel="1">
      <c r="B74" s="450" t="s">
        <v>395</v>
      </c>
      <c r="C74" s="388">
        <f>C78/(C78+C79)</f>
        <v>1.3417794058385606E-2</v>
      </c>
      <c r="D74" s="452"/>
      <c r="E74" s="450"/>
      <c r="F74" s="400"/>
      <c r="G74" s="441"/>
      <c r="H74" s="441"/>
      <c r="I74" s="441"/>
      <c r="J74" s="441"/>
      <c r="K74" s="441"/>
      <c r="L74" s="441"/>
      <c r="N74" s="441"/>
      <c r="O74" s="441"/>
      <c r="P74" s="441"/>
      <c r="S74" s="419"/>
      <c r="T74" s="419"/>
      <c r="U74" s="419"/>
      <c r="V74" s="419"/>
      <c r="W74" s="419"/>
      <c r="X74" s="419"/>
    </row>
    <row r="75" spans="2:24" s="391" customFormat="1" ht="14.25" hidden="1" customHeight="1" outlineLevel="1">
      <c r="B75" s="450" t="s">
        <v>401</v>
      </c>
      <c r="C75" s="388">
        <f>1-C74</f>
        <v>0.98658220594161439</v>
      </c>
      <c r="D75" s="441"/>
      <c r="E75" s="441"/>
      <c r="F75" s="441"/>
      <c r="G75" s="441"/>
      <c r="H75" s="441"/>
      <c r="I75" s="441"/>
      <c r="J75" s="441"/>
      <c r="K75" s="441"/>
      <c r="L75" s="441"/>
      <c r="N75" s="441"/>
      <c r="O75" s="441"/>
      <c r="P75" s="441"/>
      <c r="S75" s="419"/>
      <c r="T75" s="419"/>
      <c r="U75" s="419"/>
      <c r="V75" s="419"/>
      <c r="W75" s="419"/>
      <c r="X75" s="419"/>
    </row>
    <row r="76" spans="2:24" s="391" customFormat="1" ht="14.25" hidden="1" customHeight="1" outlineLevel="1">
      <c r="B76" s="453" t="s">
        <v>396</v>
      </c>
      <c r="C76" s="456">
        <f>C75*C71+(1-C73)*C74*C72</f>
        <v>0.12650537758026212</v>
      </c>
      <c r="D76" s="452" t="s">
        <v>397</v>
      </c>
      <c r="E76" s="450"/>
      <c r="F76" s="450"/>
      <c r="G76" s="441"/>
      <c r="H76" s="441"/>
      <c r="I76" s="441"/>
      <c r="J76" s="441"/>
      <c r="K76" s="441"/>
      <c r="L76" s="441"/>
      <c r="N76" s="441"/>
      <c r="O76" s="441"/>
      <c r="P76" s="441"/>
      <c r="S76" s="419"/>
      <c r="T76" s="419"/>
      <c r="U76" s="419"/>
      <c r="V76" s="419"/>
      <c r="W76" s="419"/>
      <c r="X76" s="419"/>
    </row>
    <row r="77" spans="2:24" s="391" customFormat="1" hidden="1" outlineLevel="1">
      <c r="B77" s="439"/>
      <c r="C77" s="441"/>
      <c r="D77" s="441"/>
      <c r="E77" s="450"/>
      <c r="F77" s="450"/>
      <c r="G77" s="441"/>
      <c r="H77" s="441"/>
      <c r="I77" s="441"/>
      <c r="J77" s="441"/>
      <c r="K77" s="441"/>
      <c r="L77" s="441"/>
      <c r="N77" s="441"/>
      <c r="O77" s="441"/>
      <c r="P77" s="441"/>
      <c r="S77" s="419"/>
      <c r="T77" s="419"/>
      <c r="U77" s="419"/>
      <c r="V77" s="419"/>
      <c r="W77" s="419"/>
      <c r="X77" s="419"/>
    </row>
    <row r="78" spans="2:24" s="391" customFormat="1" hidden="1" outlineLevel="1">
      <c r="B78" s="441" t="s">
        <v>402</v>
      </c>
      <c r="C78" s="457">
        <f>BS!L21+BS!L24</f>
        <v>67.182932309999998</v>
      </c>
      <c r="D78" s="441"/>
      <c r="E78" s="450"/>
      <c r="F78" s="450"/>
      <c r="G78" s="441"/>
      <c r="H78" s="441"/>
      <c r="I78" s="441"/>
      <c r="J78" s="441"/>
      <c r="K78" s="441"/>
      <c r="L78" s="441"/>
      <c r="N78" s="441"/>
      <c r="O78" s="441"/>
      <c r="P78" s="441"/>
      <c r="S78" s="419"/>
      <c r="T78" s="419"/>
      <c r="U78" s="419"/>
      <c r="V78" s="419"/>
      <c r="W78" s="419"/>
      <c r="X78" s="419"/>
    </row>
    <row r="79" spans="2:24" s="391" customFormat="1" hidden="1" outlineLevel="1">
      <c r="B79" s="441" t="s">
        <v>403</v>
      </c>
      <c r="C79" s="457">
        <f>BS!L35</f>
        <v>4939.8198594799996</v>
      </c>
      <c r="D79" s="441"/>
      <c r="E79" s="450"/>
      <c r="F79" s="450"/>
      <c r="G79" s="441"/>
      <c r="H79" s="441"/>
      <c r="I79" s="441"/>
      <c r="J79" s="441"/>
      <c r="K79" s="441"/>
      <c r="L79" s="441"/>
      <c r="N79" s="441"/>
      <c r="O79" s="441"/>
      <c r="P79" s="441"/>
      <c r="S79" s="419"/>
      <c r="T79" s="419"/>
      <c r="U79" s="419"/>
      <c r="V79" s="419"/>
      <c r="W79" s="419"/>
      <c r="X79" s="419"/>
    </row>
    <row r="80" spans="2:24" s="391" customFormat="1" hidden="1" outlineLevel="1">
      <c r="B80" s="441" t="s">
        <v>404</v>
      </c>
      <c r="C80" s="457">
        <f>PL!BE33</f>
        <v>400.81464999999992</v>
      </c>
      <c r="D80" s="441"/>
      <c r="E80" s="450"/>
      <c r="F80" s="450"/>
      <c r="G80" s="441"/>
      <c r="H80" s="441"/>
      <c r="I80" s="441"/>
      <c r="J80" s="441"/>
      <c r="K80" s="441"/>
      <c r="L80" s="441"/>
      <c r="N80" s="441"/>
      <c r="O80" s="441"/>
      <c r="P80" s="441"/>
      <c r="S80" s="419"/>
      <c r="T80" s="419"/>
      <c r="U80" s="419"/>
      <c r="V80" s="419"/>
      <c r="W80" s="419"/>
      <c r="X80" s="419"/>
    </row>
    <row r="81" spans="2:32" s="391" customFormat="1" collapsed="1">
      <c r="B81" s="439"/>
      <c r="C81" s="441"/>
      <c r="D81" s="441"/>
      <c r="E81" s="450"/>
      <c r="F81" s="450"/>
      <c r="G81" s="441"/>
      <c r="H81" s="441"/>
      <c r="I81" s="441"/>
      <c r="J81" s="441"/>
      <c r="K81" s="400" t="e">
        <f>(((#REF!/#REF!)^(1/3)-1))</f>
        <v>#REF!</v>
      </c>
      <c r="L81" s="441"/>
      <c r="N81" s="441"/>
      <c r="O81" s="400">
        <f>(O84/I84)^(1/6)-1</f>
        <v>1.5484809416339838</v>
      </c>
      <c r="P81" s="441"/>
      <c r="S81" s="419"/>
      <c r="T81" s="419"/>
      <c r="U81" s="419"/>
      <c r="V81" s="419"/>
      <c r="W81" s="419"/>
      <c r="X81" s="419"/>
    </row>
    <row r="82" spans="2:32" s="133" customFormat="1" ht="12" customHeight="1">
      <c r="G82" s="133">
        <f>F82+1</f>
        <v>1</v>
      </c>
      <c r="H82" s="134">
        <v>0</v>
      </c>
      <c r="I82" s="134">
        <v>0</v>
      </c>
      <c r="J82" s="134">
        <v>0</v>
      </c>
      <c r="K82" s="134">
        <v>0</v>
      </c>
      <c r="L82" s="134">
        <v>0</v>
      </c>
      <c r="M82" s="134">
        <f t="shared" ref="M82:O82" si="18">L82+1</f>
        <v>1</v>
      </c>
      <c r="N82" s="134">
        <f t="shared" si="18"/>
        <v>2</v>
      </c>
      <c r="O82" s="134">
        <f t="shared" si="18"/>
        <v>3</v>
      </c>
      <c r="P82" s="391"/>
      <c r="Q82" s="391"/>
      <c r="R82" s="391"/>
      <c r="S82" s="391"/>
      <c r="T82" s="391"/>
      <c r="U82" s="391"/>
      <c r="V82" s="391"/>
      <c r="W82" s="391"/>
      <c r="X82" s="391"/>
      <c r="Y82" s="391"/>
      <c r="Z82" s="391"/>
      <c r="AA82" s="391"/>
      <c r="AB82" s="172"/>
      <c r="AC82" s="172"/>
      <c r="AD82" s="172"/>
    </row>
    <row r="83" spans="2:32">
      <c r="B83" s="177" t="s">
        <v>283</v>
      </c>
      <c r="C83" s="178">
        <v>2018</v>
      </c>
      <c r="D83" s="179">
        <v>2019</v>
      </c>
      <c r="E83" s="179">
        <v>2020</v>
      </c>
      <c r="F83" s="179">
        <v>2021</v>
      </c>
      <c r="G83" s="179">
        <v>2022</v>
      </c>
      <c r="H83" s="179">
        <v>2023</v>
      </c>
      <c r="I83" s="179">
        <v>2024</v>
      </c>
      <c r="J83" s="179">
        <v>2025</v>
      </c>
      <c r="K83" s="180">
        <v>2026</v>
      </c>
      <c r="L83" s="181">
        <f>K83+1</f>
        <v>2027</v>
      </c>
      <c r="M83" s="181" t="s">
        <v>380</v>
      </c>
      <c r="N83" s="181" t="s">
        <v>381</v>
      </c>
      <c r="O83" s="180" t="s">
        <v>382</v>
      </c>
      <c r="AB83" s="172"/>
      <c r="AC83" s="172"/>
      <c r="AD83" s="172"/>
    </row>
    <row r="84" spans="2:32" hidden="1">
      <c r="B84" s="183" t="s">
        <v>499</v>
      </c>
      <c r="C84" s="184">
        <f>C87/Assumption!BC67</f>
        <v>17.013191649342154</v>
      </c>
      <c r="D84" s="185">
        <f>D87/Assumption!BD67</f>
        <v>63.754949709903499</v>
      </c>
      <c r="E84" s="185">
        <f>E87/Assumption!BE67</f>
        <v>66.839349803564602</v>
      </c>
      <c r="F84" s="185">
        <f>F87/Assumption!BF67</f>
        <v>111.74318951291707</v>
      </c>
      <c r="G84" s="185">
        <f>G87/Assumption!BG67</f>
        <v>107.79552692727103</v>
      </c>
      <c r="H84" s="185">
        <f>H87/Assumption!BH67</f>
        <v>99.474723737874797</v>
      </c>
      <c r="I84" s="185">
        <f>I87/Assumption!BI67</f>
        <v>163.07645211245605</v>
      </c>
      <c r="J84" s="185">
        <f>J87/Assumption!BJ67</f>
        <v>904.31316638261319</v>
      </c>
      <c r="K84" s="185">
        <f>K87/Assumption!BK67</f>
        <v>3339.8020612712899</v>
      </c>
      <c r="L84" s="185">
        <f>L87/Assumption!BL67</f>
        <v>12763.86188098958</v>
      </c>
      <c r="M84" s="185">
        <f>M87/Assumption!$BL$67</f>
        <v>24121.615945487109</v>
      </c>
      <c r="N84" s="185">
        <f>N87/Assumption!$BL$67</f>
        <v>35457.846617149109</v>
      </c>
      <c r="O84" s="185">
        <f>O87/Assumption!$BL$67</f>
        <v>44676.546549955281</v>
      </c>
      <c r="AB84" s="172"/>
      <c r="AC84" s="172"/>
      <c r="AD84" s="172"/>
    </row>
    <row r="85" spans="2:32">
      <c r="B85" s="183" t="s">
        <v>711</v>
      </c>
      <c r="C85" s="307">
        <f>Assumption!BC117</f>
        <v>0</v>
      </c>
      <c r="D85" s="185">
        <f>Assumption!BD117</f>
        <v>0</v>
      </c>
      <c r="E85" s="185">
        <f>Assumption!BE117</f>
        <v>9.75</v>
      </c>
      <c r="F85" s="185">
        <f>Assumption!BF117</f>
        <v>4.1234999999999999</v>
      </c>
      <c r="G85" s="185">
        <f>Assumption!BG117</f>
        <v>10.989914554620965</v>
      </c>
      <c r="H85" s="185">
        <f>Assumption!BH117</f>
        <v>4.3597544698933195</v>
      </c>
      <c r="I85" s="185">
        <f>Assumption!BI117</f>
        <v>25.901842580654975</v>
      </c>
      <c r="J85" s="185">
        <f>Assumption!BJ117</f>
        <v>115.93440785993835</v>
      </c>
      <c r="K85" s="185">
        <f>Assumption!BK117</f>
        <v>405.01923303326282</v>
      </c>
      <c r="L85" s="185">
        <f>Assumption!BL117</f>
        <v>1032.607830338211</v>
      </c>
      <c r="M85" s="185">
        <f>Assumption!BM117</f>
        <v>1858.6940946087793</v>
      </c>
      <c r="N85" s="185">
        <f>Assumption!BN117</f>
        <v>2602.1717324522915</v>
      </c>
      <c r="O85" s="185">
        <f>Assumption!BO117</f>
        <v>3122.6060789427493</v>
      </c>
      <c r="AB85" s="172"/>
      <c r="AC85" s="172"/>
      <c r="AD85" s="172"/>
    </row>
    <row r="86" spans="2:32">
      <c r="B86" s="204" t="s">
        <v>710</v>
      </c>
      <c r="C86" s="311">
        <f>Assumption!BC146</f>
        <v>0</v>
      </c>
      <c r="D86" s="312">
        <f>Assumption!BD146</f>
        <v>0</v>
      </c>
      <c r="E86" s="312">
        <f>Assumption!BE146</f>
        <v>1288.4102579040261</v>
      </c>
      <c r="F86" s="312">
        <f>Assumption!BF146</f>
        <v>1506.4781608428966</v>
      </c>
      <c r="G86" s="312">
        <f>Assumption!BG146</f>
        <v>1914.3533562251978</v>
      </c>
      <c r="H86" s="312">
        <f>Assumption!BH146</f>
        <v>2912.9196107200146</v>
      </c>
      <c r="I86" s="312">
        <f>Assumption!BI146</f>
        <v>6252.0581711685682</v>
      </c>
      <c r="J86" s="312">
        <f>Assumption!BJ146</f>
        <v>7775.7934375863879</v>
      </c>
      <c r="K86" s="312">
        <f>Assumption!BK146</f>
        <v>8238.7238991638096</v>
      </c>
      <c r="L86" s="312">
        <f>Assumption!BL146</f>
        <v>12357.79366704992</v>
      </c>
      <c r="M86" s="312">
        <f>Assumption!BM146</f>
        <v>12975.987884491267</v>
      </c>
      <c r="N86" s="312">
        <f>Assumption!BN146</f>
        <v>13624.985765240634</v>
      </c>
      <c r="O86" s="312">
        <f>Assumption!BO146</f>
        <v>14306.375737059983</v>
      </c>
      <c r="AB86" s="172"/>
      <c r="AC86" s="172"/>
      <c r="AD86" s="172"/>
    </row>
    <row r="87" spans="2:32">
      <c r="B87" s="183" t="s">
        <v>82</v>
      </c>
      <c r="C87" s="186">
        <f>PL!BA4</f>
        <v>117.02523876000001</v>
      </c>
      <c r="D87" s="186">
        <f>PL!BB4</f>
        <v>443.93846582000003</v>
      </c>
      <c r="E87" s="186">
        <f>PL!BC4</f>
        <v>458.92733067</v>
      </c>
      <c r="F87" s="186">
        <f>PL!BD4</f>
        <v>721.04527897000003</v>
      </c>
      <c r="G87" s="186">
        <f>PL!BE4</f>
        <v>729.03462304999994</v>
      </c>
      <c r="H87" s="186">
        <f>PL!BF4</f>
        <v>709.38658426000006</v>
      </c>
      <c r="I87" s="186">
        <f>PL!BG4</f>
        <v>1174.4643773799999</v>
      </c>
      <c r="J87" s="186">
        <f>PL!BH4</f>
        <v>6497.1961986800006</v>
      </c>
      <c r="K87" s="186">
        <f>PL!BI4</f>
        <v>23980.446760340114</v>
      </c>
      <c r="L87" s="186">
        <f>PL!BJ4</f>
        <v>91261.612449075503</v>
      </c>
      <c r="M87" s="186">
        <f>PL!BK4</f>
        <v>172469.55401023282</v>
      </c>
      <c r="N87" s="186">
        <f>PL!BL4</f>
        <v>253523.60331261615</v>
      </c>
      <c r="O87" s="458">
        <f>PL!BM4</f>
        <v>319437.30783218029</v>
      </c>
      <c r="P87" s="400">
        <f>(L87/J87)^0.5-1</f>
        <v>2.7478403114980683</v>
      </c>
      <c r="AB87" s="172"/>
      <c r="AC87" s="172"/>
      <c r="AD87" s="172"/>
    </row>
    <row r="88" spans="2:32" s="146" customFormat="1">
      <c r="B88" s="210" t="s">
        <v>326</v>
      </c>
      <c r="C88" s="211">
        <f>Assumption!BC15</f>
        <v>13.920457537392672</v>
      </c>
      <c r="D88" s="211">
        <f>Assumption!BD15</f>
        <v>2.7935275375121993</v>
      </c>
      <c r="E88" s="211">
        <f>Assumption!BE15</f>
        <v>3.3763383901221466E-2</v>
      </c>
      <c r="F88" s="211">
        <f>Assumption!BF15</f>
        <v>0.57115349377280977</v>
      </c>
      <c r="G88" s="211">
        <f>Assumption!BG15</f>
        <v>1.1080225213335515E-2</v>
      </c>
      <c r="H88" s="211">
        <f>Assumption!BH15</f>
        <v>-2.6950762239247417E-2</v>
      </c>
      <c r="I88" s="211">
        <f>Assumption!BI15</f>
        <v>0.65560556604710518</v>
      </c>
      <c r="J88" s="211">
        <f>Assumption!BJ15</f>
        <v>4.532050459609489</v>
      </c>
      <c r="K88" s="211">
        <f>Assumption!BK15</f>
        <v>2.6908915826202215</v>
      </c>
      <c r="L88" s="211">
        <f>Assumption!BL15</f>
        <v>2.805667732596536</v>
      </c>
      <c r="M88" s="211">
        <f>Assumption!BM15</f>
        <v>0.88983680412694666</v>
      </c>
      <c r="N88" s="211">
        <f>Assumption!BN15</f>
        <v>0.46996149417522282</v>
      </c>
      <c r="O88" s="211">
        <f>Assumption!BO15</f>
        <v>0.25999040585695266</v>
      </c>
      <c r="P88" s="434"/>
      <c r="Q88" s="434"/>
      <c r="R88" s="434"/>
      <c r="S88" s="434"/>
      <c r="T88" s="434"/>
      <c r="U88" s="434"/>
      <c r="V88" s="434"/>
      <c r="W88" s="434"/>
      <c r="X88" s="434"/>
      <c r="Y88" s="434"/>
      <c r="Z88" s="434"/>
      <c r="AA88" s="434"/>
      <c r="AB88" s="434"/>
      <c r="AC88" s="434"/>
      <c r="AD88" s="434"/>
      <c r="AE88" s="434"/>
      <c r="AF88" s="434"/>
    </row>
    <row r="89" spans="2:32" s="146" customFormat="1">
      <c r="B89" s="210" t="s">
        <v>166</v>
      </c>
      <c r="C89" s="212">
        <f>PL!BA43</f>
        <v>0.9989990031958812</v>
      </c>
      <c r="D89" s="212">
        <f>PL!BB43</f>
        <v>0.68188074854216063</v>
      </c>
      <c r="E89" s="212">
        <f>PL!BC43</f>
        <v>0.65382327348414482</v>
      </c>
      <c r="F89" s="212">
        <f>PL!BD43</f>
        <v>0.62394779953717505</v>
      </c>
      <c r="G89" s="212">
        <f>PL!BE43</f>
        <v>0.65759876726337596</v>
      </c>
      <c r="H89" s="212">
        <f>PL!BF43</f>
        <v>0.69156500233473983</v>
      </c>
      <c r="I89" s="212">
        <f>PL!BG43</f>
        <v>0.56711355454291201</v>
      </c>
      <c r="J89" s="212">
        <f>PL!BH43</f>
        <v>0.55151682273778391</v>
      </c>
      <c r="K89" s="212">
        <f>PL!BI43</f>
        <v>0.51316578444627792</v>
      </c>
      <c r="L89" s="212">
        <f>PL!BJ43</f>
        <v>0.51001835001274787</v>
      </c>
      <c r="M89" s="212">
        <f>PL!BK43</f>
        <v>0.50501254822919028</v>
      </c>
      <c r="N89" s="212">
        <f>PL!BL43</f>
        <v>0.50000997687442672</v>
      </c>
      <c r="O89" s="212">
        <f>PL!BM43</f>
        <v>0.50000877886748762</v>
      </c>
      <c r="P89" s="434"/>
      <c r="Q89" s="434"/>
      <c r="R89" s="434"/>
      <c r="S89" s="434"/>
      <c r="T89" s="434"/>
      <c r="U89" s="434"/>
      <c r="V89" s="434"/>
      <c r="W89" s="434"/>
      <c r="X89" s="434"/>
      <c r="Y89" s="434"/>
      <c r="Z89" s="434"/>
      <c r="AA89" s="434"/>
      <c r="AB89" s="434"/>
      <c r="AC89" s="434"/>
      <c r="AD89" s="434"/>
      <c r="AE89" s="434"/>
      <c r="AF89" s="434"/>
    </row>
    <row r="90" spans="2:32">
      <c r="B90" s="183" t="s">
        <v>308</v>
      </c>
      <c r="C90" s="186">
        <f>PL!BA6</f>
        <v>116.90809687000001</v>
      </c>
      <c r="D90" s="186">
        <f>PL!BB6</f>
        <v>302.71309338000003</v>
      </c>
      <c r="E90" s="186">
        <f>PL!BC6</f>
        <v>300.05736962999998</v>
      </c>
      <c r="F90" s="186">
        <f>PL!BD6</f>
        <v>449.89461518000002</v>
      </c>
      <c r="G90" s="186">
        <f>PL!BE6</f>
        <v>479.41226940999991</v>
      </c>
      <c r="H90" s="186">
        <f>PL!BF6</f>
        <v>490.58693480000005</v>
      </c>
      <c r="I90" s="186">
        <f>PL!BG6</f>
        <v>666.05466773999979</v>
      </c>
      <c r="J90" s="186">
        <f>PL!BH6</f>
        <v>3583.3130042000012</v>
      </c>
      <c r="K90" s="186">
        <f>PL!BI6</f>
        <v>12305.944773142139</v>
      </c>
      <c r="L90" s="186">
        <f>PL!BJ6</f>
        <v>46545.097000780333</v>
      </c>
      <c r="M90" s="186">
        <f>M87*M89</f>
        <v>87099.288962659644</v>
      </c>
      <c r="N90" s="186">
        <f t="shared" ref="N90:O90" si="19">N87*N89</f>
        <v>126764.33102946254</v>
      </c>
      <c r="O90" s="458">
        <f t="shared" si="19"/>
        <v>159721.45821388622</v>
      </c>
      <c r="AB90" s="391"/>
      <c r="AC90" s="391"/>
      <c r="AD90" s="391"/>
      <c r="AE90" s="391"/>
      <c r="AF90" s="391"/>
    </row>
    <row r="91" spans="2:32" s="146" customFormat="1" ht="12.75" customHeight="1">
      <c r="B91" s="210" t="s">
        <v>176</v>
      </c>
      <c r="C91" s="212">
        <f>PL!BA50</f>
        <v>2.4910879331582576</v>
      </c>
      <c r="D91" s="212">
        <f>PL!BB50</f>
        <v>3.6507034079068212</v>
      </c>
      <c r="E91" s="212">
        <f>PL!BC50</f>
        <v>2.1369856703200041</v>
      </c>
      <c r="F91" s="212">
        <f>PL!BD50</f>
        <v>2.2257586362849939</v>
      </c>
      <c r="G91" s="212">
        <f>PL!BE50</f>
        <v>2.613958216768125</v>
      </c>
      <c r="H91" s="212">
        <f>PL!BF50</f>
        <v>1.9135964384723476</v>
      </c>
      <c r="I91" s="212">
        <f>PL!BG50</f>
        <v>1.2511464943602668</v>
      </c>
      <c r="J91" s="212">
        <f>PL!BH50</f>
        <v>0.25284036232948442</v>
      </c>
      <c r="K91" s="212">
        <f>PL!BI50</f>
        <v>0.24527856828262765</v>
      </c>
      <c r="L91" s="212">
        <f>PL!BJ50</f>
        <v>0.33821431917770883</v>
      </c>
      <c r="M91" s="212">
        <f>PL!BK50</f>
        <v>0.32587092932456319</v>
      </c>
      <c r="N91" s="212">
        <f>PL!BL50</f>
        <v>0.31433641309556448</v>
      </c>
      <c r="O91" s="212">
        <f>PL!BM50</f>
        <v>0.3097136860596873</v>
      </c>
      <c r="P91" s="434"/>
      <c r="Q91" s="434"/>
      <c r="R91" s="434"/>
      <c r="S91" s="434"/>
      <c r="T91" s="434"/>
      <c r="U91" s="434"/>
      <c r="V91" s="434"/>
      <c r="W91" s="434"/>
      <c r="X91" s="434"/>
      <c r="Y91" s="434"/>
      <c r="Z91" s="434"/>
      <c r="AA91" s="434"/>
      <c r="AB91" s="434"/>
      <c r="AC91" s="434"/>
      <c r="AD91" s="434"/>
      <c r="AE91" s="434"/>
      <c r="AF91" s="434"/>
    </row>
    <row r="92" spans="2:32" ht="12.75" hidden="1" customHeight="1">
      <c r="B92" s="183" t="s">
        <v>327</v>
      </c>
      <c r="C92" s="166"/>
      <c r="D92" s="166">
        <f>D91-C91</f>
        <v>1.1596154747485636</v>
      </c>
      <c r="E92" s="166">
        <f t="shared" ref="E92:L92" si="20">E91-D91</f>
        <v>-1.5137177375868172</v>
      </c>
      <c r="F92" s="166">
        <f t="shared" si="20"/>
        <v>8.8772965964989847E-2</v>
      </c>
      <c r="G92" s="166">
        <f t="shared" si="20"/>
        <v>0.38819958048313108</v>
      </c>
      <c r="H92" s="166">
        <f t="shared" si="20"/>
        <v>-0.70036177829577739</v>
      </c>
      <c r="I92" s="166">
        <f t="shared" si="20"/>
        <v>-0.6624499441120808</v>
      </c>
      <c r="J92" s="166">
        <f t="shared" si="20"/>
        <v>-0.99830613203078244</v>
      </c>
      <c r="K92" s="166">
        <f t="shared" si="20"/>
        <v>-7.561794046856779E-3</v>
      </c>
      <c r="L92" s="166">
        <f t="shared" si="20"/>
        <v>9.2935750895081187E-2</v>
      </c>
      <c r="M92" s="166">
        <f t="shared" ref="M92" si="21">M91-L91</f>
        <v>-1.2343389853145648E-2</v>
      </c>
      <c r="N92" s="166">
        <f t="shared" ref="N92" si="22">N91-M91</f>
        <v>-1.1534516228998704E-2</v>
      </c>
      <c r="O92" s="166">
        <f t="shared" ref="O92" si="23">O91-N91</f>
        <v>-4.6227270358771833E-3</v>
      </c>
      <c r="AB92" s="391"/>
      <c r="AC92" s="391"/>
      <c r="AD92" s="391"/>
      <c r="AE92" s="391"/>
      <c r="AF92" s="391"/>
    </row>
    <row r="93" spans="2:32">
      <c r="B93" s="183" t="s">
        <v>307</v>
      </c>
      <c r="C93" s="186">
        <f>C87*C89-C87*C91</f>
        <v>-174.61206328000003</v>
      </c>
      <c r="D93" s="186">
        <f t="shared" ref="D93:K93" si="24">D87*D89-D87*D91</f>
        <v>-1317.97457669</v>
      </c>
      <c r="E93" s="186">
        <f t="shared" si="24"/>
        <v>-680.66375973000004</v>
      </c>
      <c r="F93" s="186">
        <f t="shared" si="24"/>
        <v>-1154.9781416400001</v>
      </c>
      <c r="G93" s="186">
        <f t="shared" si="24"/>
        <v>-1426.2537738200001</v>
      </c>
      <c r="H93" s="186">
        <f t="shared" si="24"/>
        <v>-866.8927063399999</v>
      </c>
      <c r="I93" s="186">
        <f t="shared" si="24"/>
        <v>-803.37232077000044</v>
      </c>
      <c r="J93" s="186">
        <f t="shared" si="24"/>
        <v>1940.5595632000009</v>
      </c>
      <c r="K93" s="186">
        <f t="shared" si="24"/>
        <v>6424.0551249881391</v>
      </c>
      <c r="L93" s="186">
        <f t="shared" ref="L93" si="25">L87*L89-L87*L91</f>
        <v>15679.112879256354</v>
      </c>
      <c r="M93" s="186">
        <f>M90-M122</f>
        <v>30896.475117152127</v>
      </c>
      <c r="N93" s="186">
        <f>N90-N122</f>
        <v>47072.630929112012</v>
      </c>
      <c r="O93" s="458">
        <f>O90-O122</f>
        <v>60787.352140198636</v>
      </c>
      <c r="AB93" s="391"/>
      <c r="AC93" s="391"/>
      <c r="AD93" s="391"/>
      <c r="AE93" s="391"/>
      <c r="AF93" s="391"/>
    </row>
    <row r="94" spans="2:32" s="213" customFormat="1" ht="12.75" customHeight="1">
      <c r="B94" s="210" t="s">
        <v>169</v>
      </c>
      <c r="C94" s="212">
        <f t="shared" ref="C94:K94" si="26">C93/C87</f>
        <v>-1.4920889299623765</v>
      </c>
      <c r="D94" s="212">
        <f t="shared" si="26"/>
        <v>-2.9688226593646609</v>
      </c>
      <c r="E94" s="212">
        <f t="shared" si="26"/>
        <v>-1.4831623968358589</v>
      </c>
      <c r="F94" s="212">
        <f t="shared" si="26"/>
        <v>-1.6018108367478188</v>
      </c>
      <c r="G94" s="212">
        <f t="shared" si="26"/>
        <v>-1.9563594495047489</v>
      </c>
      <c r="H94" s="212">
        <f t="shared" si="26"/>
        <v>-1.2220314361376077</v>
      </c>
      <c r="I94" s="212">
        <f t="shared" si="26"/>
        <v>-0.68403293981735469</v>
      </c>
      <c r="J94" s="212">
        <f t="shared" si="26"/>
        <v>0.29867646040829943</v>
      </c>
      <c r="K94" s="212">
        <f t="shared" si="26"/>
        <v>0.2678872161636503</v>
      </c>
      <c r="L94" s="212">
        <f t="shared" ref="L94" si="27">L93/L87</f>
        <v>0.17180403083503909</v>
      </c>
      <c r="M94" s="212">
        <f>M93/M87</f>
        <v>0.1791416189046271</v>
      </c>
      <c r="N94" s="212">
        <f t="shared" ref="N94:O94" si="28">N93/N87</f>
        <v>0.18567356377886227</v>
      </c>
      <c r="O94" s="212">
        <f t="shared" si="28"/>
        <v>0.19029509280780035</v>
      </c>
      <c r="P94" s="391"/>
      <c r="Q94" s="391"/>
      <c r="R94" s="391"/>
      <c r="S94" s="391"/>
      <c r="T94" s="391"/>
      <c r="U94" s="391"/>
      <c r="V94" s="391"/>
      <c r="W94" s="391"/>
      <c r="X94" s="391"/>
      <c r="Y94" s="391"/>
      <c r="Z94" s="391"/>
      <c r="AA94" s="400"/>
      <c r="AB94" s="391"/>
      <c r="AC94" s="391"/>
      <c r="AD94" s="391"/>
      <c r="AE94" s="391"/>
      <c r="AF94" s="391"/>
    </row>
    <row r="95" spans="2:32" ht="15.75" hidden="1" customHeight="1" outlineLevel="1">
      <c r="B95" s="183" t="s">
        <v>328</v>
      </c>
      <c r="C95" s="165">
        <f>PL!BA13</f>
        <v>133.56555591000003</v>
      </c>
      <c r="D95" s="165">
        <f>PL!BB13</f>
        <v>138.84924525999992</v>
      </c>
      <c r="E95" s="165">
        <f>PL!BC13</f>
        <v>246.15442856999999</v>
      </c>
      <c r="F95" s="165">
        <f>PL!BD13</f>
        <v>331.15511572999992</v>
      </c>
      <c r="G95" s="165">
        <f>PL!BE13</f>
        <v>103.52288470000003</v>
      </c>
      <c r="H95" s="165">
        <f>PL!BF13</f>
        <v>-7.8460847100001843</v>
      </c>
      <c r="I95" s="165">
        <f>PL!BG13</f>
        <v>347.60326535000024</v>
      </c>
      <c r="J95" s="165">
        <f>PL!BH13</f>
        <v>118.81105110999985</v>
      </c>
      <c r="K95" s="165">
        <f>PL!BI13</f>
        <v>-49.595515307159758</v>
      </c>
      <c r="L95" s="165">
        <f>PL!BJ13</f>
        <v>184.2139696415868</v>
      </c>
      <c r="M95" s="165">
        <f>PL!BK13</f>
        <v>90.06896938293076</v>
      </c>
      <c r="N95" s="165">
        <f>PL!BL13</f>
        <v>90.858398538369556</v>
      </c>
      <c r="O95" s="165">
        <f>PL!BM13</f>
        <v>49.763746766693167</v>
      </c>
      <c r="AA95" s="400"/>
      <c r="AB95" s="391"/>
      <c r="AC95" s="391"/>
      <c r="AD95" s="391"/>
      <c r="AE95" s="391"/>
      <c r="AF95" s="391"/>
    </row>
    <row r="96" spans="2:32" ht="13.5" outlineLevel="1" thickBot="1">
      <c r="B96" s="183" t="s">
        <v>329</v>
      </c>
      <c r="C96" s="186">
        <f>C93+C95</f>
        <v>-41.04650737</v>
      </c>
      <c r="D96" s="186">
        <f t="shared" ref="D96:K96" si="29">D93+D95</f>
        <v>-1179.1253314300002</v>
      </c>
      <c r="E96" s="186">
        <f t="shared" si="29"/>
        <v>-434.50933116000004</v>
      </c>
      <c r="F96" s="186">
        <f t="shared" si="29"/>
        <v>-823.82302591000018</v>
      </c>
      <c r="G96" s="186">
        <f t="shared" si="29"/>
        <v>-1322.73088912</v>
      </c>
      <c r="H96" s="186">
        <f t="shared" si="29"/>
        <v>-874.73879105000015</v>
      </c>
      <c r="I96" s="186">
        <f t="shared" si="29"/>
        <v>-455.7690554200002</v>
      </c>
      <c r="J96" s="186">
        <f t="shared" si="29"/>
        <v>2059.3706143100007</v>
      </c>
      <c r="K96" s="186">
        <f t="shared" si="29"/>
        <v>6374.4596096809792</v>
      </c>
      <c r="L96" s="186">
        <f t="shared" ref="L96" si="30">L93+L95</f>
        <v>15863.326848897941</v>
      </c>
      <c r="M96" s="186">
        <f>M95+M93</f>
        <v>30986.544086535057</v>
      </c>
      <c r="N96" s="186">
        <f t="shared" ref="N96:O96" si="31">N95+N93</f>
        <v>47163.489327650379</v>
      </c>
      <c r="O96" s="458">
        <f t="shared" si="31"/>
        <v>60837.11588696533</v>
      </c>
      <c r="AB96" s="391"/>
      <c r="AC96" s="391"/>
      <c r="AD96" s="391"/>
      <c r="AE96" s="391"/>
      <c r="AF96" s="391"/>
    </row>
    <row r="97" spans="2:32" ht="12.75" hidden="1" customHeight="1" outlineLevel="1">
      <c r="B97" s="183" t="s">
        <v>173</v>
      </c>
      <c r="C97" s="165">
        <f>PL!BA23</f>
        <v>0</v>
      </c>
      <c r="D97" s="165">
        <f>PL!BB23</f>
        <v>2.0440999999999998E-4</v>
      </c>
      <c r="E97" s="165">
        <f>PL!BC23</f>
        <v>0</v>
      </c>
      <c r="F97" s="165">
        <f>PL!BD23</f>
        <v>5.9914515199999991</v>
      </c>
      <c r="G97" s="165">
        <f>PL!BE23</f>
        <v>2.2759520499999994</v>
      </c>
      <c r="H97" s="165">
        <f>PL!BF23</f>
        <v>0</v>
      </c>
      <c r="I97" s="165">
        <f>PL!BG23</f>
        <v>0.9380792</v>
      </c>
      <c r="J97" s="165">
        <f>PL!BH23</f>
        <v>0.894181</v>
      </c>
      <c r="K97" s="165">
        <f>PL!BI23</f>
        <v>194.12324050804895</v>
      </c>
      <c r="L97" s="165">
        <f>PL!BJ23</f>
        <v>1576.8625900322916</v>
      </c>
      <c r="M97" s="165">
        <f>PL!BK23</f>
        <v>3718.3852903842094</v>
      </c>
      <c r="N97" s="165">
        <f>PL!BL23</f>
        <v>6602.888505871053</v>
      </c>
      <c r="O97" s="165">
        <f>PL!BM23</f>
        <v>9733.938541914451</v>
      </c>
      <c r="AB97" s="391"/>
      <c r="AC97" s="391"/>
      <c r="AD97" s="391"/>
      <c r="AE97" s="391"/>
      <c r="AF97" s="391"/>
    </row>
    <row r="98" spans="2:32" ht="12.75" hidden="1" customHeight="1" outlineLevel="1">
      <c r="B98" s="183" t="s">
        <v>175</v>
      </c>
      <c r="C98" s="167">
        <f t="shared" ref="C98:J98" si="32">C97/C96</f>
        <v>0</v>
      </c>
      <c r="D98" s="167">
        <f t="shared" si="32"/>
        <v>-1.7335731372346906E-7</v>
      </c>
      <c r="E98" s="167">
        <f t="shared" si="32"/>
        <v>0</v>
      </c>
      <c r="F98" s="167">
        <f t="shared" si="32"/>
        <v>-7.2727410275790771E-3</v>
      </c>
      <c r="G98" s="167">
        <f t="shared" si="32"/>
        <v>-1.7206463300438748E-3</v>
      </c>
      <c r="H98" s="167">
        <f t="shared" si="32"/>
        <v>0</v>
      </c>
      <c r="I98" s="167">
        <f t="shared" si="32"/>
        <v>-2.058233635751206E-3</v>
      </c>
      <c r="J98" s="167">
        <f t="shared" si="32"/>
        <v>4.3420110677824662E-4</v>
      </c>
      <c r="K98" s="167">
        <f>K97/K96</f>
        <v>3.0453285830414758E-2</v>
      </c>
      <c r="L98" s="167">
        <f>L97/L96</f>
        <v>9.9403019622068711E-2</v>
      </c>
      <c r="M98" s="167">
        <f t="shared" ref="M98:O98" si="33">M97/M96</f>
        <v>0.12000000000000008</v>
      </c>
      <c r="N98" s="167">
        <f t="shared" si="33"/>
        <v>0.13999999999999999</v>
      </c>
      <c r="O98" s="167">
        <f t="shared" si="33"/>
        <v>0.15999999999999998</v>
      </c>
      <c r="AB98" s="391"/>
      <c r="AC98" s="391"/>
      <c r="AD98" s="391"/>
      <c r="AE98" s="391"/>
      <c r="AF98" s="391"/>
    </row>
    <row r="99" spans="2:32" ht="13.5" hidden="1" outlineLevel="1" thickBot="1">
      <c r="B99" s="183" t="s">
        <v>174</v>
      </c>
      <c r="C99" s="165">
        <f>PL!BA24</f>
        <v>0</v>
      </c>
      <c r="D99" s="165">
        <f>PL!BB24</f>
        <v>-0.1396819</v>
      </c>
      <c r="E99" s="165">
        <f>PL!BC24</f>
        <v>0</v>
      </c>
      <c r="F99" s="165">
        <f>PL!BD24</f>
        <v>-4.8650683199999998</v>
      </c>
      <c r="G99" s="165">
        <f>PL!BE24</f>
        <v>-68.44431917</v>
      </c>
      <c r="H99" s="165">
        <f>PL!BF24</f>
        <v>-29.63730322</v>
      </c>
      <c r="I99" s="165">
        <f>PL!BG24</f>
        <v>-4.5878616699999997</v>
      </c>
      <c r="J99" s="165">
        <f>PL!BH24</f>
        <v>-0.74114933000000005</v>
      </c>
      <c r="K99" s="165">
        <f>PL!BI24</f>
        <v>1.2890602000000002</v>
      </c>
      <c r="L99" s="165">
        <f>PL!BJ24</f>
        <v>2.8996680000000001</v>
      </c>
      <c r="M99" s="165">
        <f>PL!BK24</f>
        <v>2.8996680000000001</v>
      </c>
      <c r="N99" s="165">
        <f>PL!BL24</f>
        <v>2.8996680000000001</v>
      </c>
      <c r="O99" s="165">
        <f>PL!BM24</f>
        <v>2.8996680000000001</v>
      </c>
      <c r="AB99" s="391"/>
      <c r="AC99" s="391"/>
      <c r="AD99" s="391"/>
      <c r="AE99" s="391"/>
      <c r="AF99" s="391"/>
    </row>
    <row r="100" spans="2:32" ht="13.5" outlineLevel="1" thickBot="1">
      <c r="B100" s="187" t="s">
        <v>40</v>
      </c>
      <c r="C100" s="188">
        <f>PL!BA39</f>
        <v>-158.80866028000003</v>
      </c>
      <c r="D100" s="188">
        <f>PL!BB39</f>
        <v>-1267.8014504100001</v>
      </c>
      <c r="E100" s="188">
        <f>PL!BC39</f>
        <v>-559.59330110000008</v>
      </c>
      <c r="F100" s="188">
        <f>PL!BD39</f>
        <v>-965.20809628999996</v>
      </c>
      <c r="G100" s="188">
        <f>PL!BE39</f>
        <v>-1141.1977894200002</v>
      </c>
      <c r="H100" s="188">
        <f>PL!BF39</f>
        <v>-616.84900018999986</v>
      </c>
      <c r="I100" s="188">
        <f>PL!BG39</f>
        <v>-632.37760625000044</v>
      </c>
      <c r="J100" s="188">
        <f>PL!BH39</f>
        <v>2185.310500380001</v>
      </c>
      <c r="K100" s="188">
        <f>PL!BI39</f>
        <v>6744.1177914973387</v>
      </c>
      <c r="L100" s="188">
        <f>PL!BJ39</f>
        <v>16003.967299267772</v>
      </c>
      <c r="M100" s="188">
        <f>PL!BK39</f>
        <v>31225.784955471714</v>
      </c>
      <c r="N100" s="188">
        <f>PL!BL39</f>
        <v>47407.24596695623</v>
      </c>
      <c r="O100" s="188">
        <f>PL!BM39</f>
        <v>61129.309723039616</v>
      </c>
      <c r="P100" s="400">
        <f>O100/O87</f>
        <v>0.19136559263501723</v>
      </c>
      <c r="T100" s="391">
        <f>6000-151-13</f>
        <v>5836</v>
      </c>
      <c r="AB100" s="391"/>
      <c r="AC100" s="391"/>
      <c r="AD100" s="391"/>
      <c r="AE100" s="391"/>
      <c r="AF100" s="391"/>
    </row>
    <row r="101" spans="2:32" s="146" customFormat="1" outlineLevel="1">
      <c r="B101" s="210" t="s">
        <v>466</v>
      </c>
      <c r="C101" s="214"/>
      <c r="D101" s="214"/>
      <c r="E101" s="214"/>
      <c r="F101" s="214"/>
      <c r="G101" s="214"/>
      <c r="H101" s="214"/>
      <c r="I101" s="214"/>
      <c r="J101" s="214"/>
      <c r="K101" s="215">
        <f>K100/J100-1</f>
        <v>2.0861142113784803</v>
      </c>
      <c r="L101" s="211">
        <f>L100/K100-1</f>
        <v>1.3730260642014303</v>
      </c>
      <c r="M101" s="211">
        <f t="shared" ref="M101:O101" si="34">M100/L100-1</f>
        <v>0.95112776548227429</v>
      </c>
      <c r="N101" s="211">
        <f t="shared" si="34"/>
        <v>0.5182083023552313</v>
      </c>
      <c r="O101" s="211">
        <f t="shared" si="34"/>
        <v>0.28945076804604786</v>
      </c>
      <c r="P101" s="434"/>
      <c r="Q101" s="407">
        <f>O101+(O100/O87)</f>
        <v>0.48081636068106509</v>
      </c>
      <c r="R101" s="463">
        <f>Q101-O101</f>
        <v>0.19136559263501723</v>
      </c>
      <c r="S101" s="434"/>
      <c r="T101" s="434"/>
      <c r="U101" s="434"/>
      <c r="V101" s="434"/>
      <c r="W101" s="434"/>
      <c r="X101" s="434"/>
      <c r="Y101" s="434"/>
      <c r="Z101" s="434"/>
      <c r="AA101" s="391">
        <v>26.7</v>
      </c>
      <c r="AB101" s="391">
        <v>16.899999999999999</v>
      </c>
      <c r="AC101" s="391"/>
      <c r="AD101" s="391"/>
      <c r="AE101" s="391"/>
      <c r="AF101" s="391"/>
    </row>
    <row r="102" spans="2:32">
      <c r="B102" s="183" t="s">
        <v>330</v>
      </c>
      <c r="C102" s="186">
        <f>C96-C97-C99</f>
        <v>-41.04650737</v>
      </c>
      <c r="D102" s="186">
        <f t="shared" ref="D102:K102" si="35">D96-D97-D99</f>
        <v>-1178.9858539400002</v>
      </c>
      <c r="E102" s="186">
        <f t="shared" si="35"/>
        <v>-434.50933116000004</v>
      </c>
      <c r="F102" s="186">
        <f t="shared" si="35"/>
        <v>-824.94940911000026</v>
      </c>
      <c r="G102" s="186">
        <f t="shared" si="35"/>
        <v>-1256.5625219999999</v>
      </c>
      <c r="H102" s="186">
        <f t="shared" si="35"/>
        <v>-845.10148783000011</v>
      </c>
      <c r="I102" s="186">
        <f t="shared" si="35"/>
        <v>-452.11927295000021</v>
      </c>
      <c r="J102" s="186">
        <f t="shared" si="35"/>
        <v>2059.2175826400007</v>
      </c>
      <c r="K102" s="186">
        <f t="shared" si="35"/>
        <v>6179.0473089729303</v>
      </c>
      <c r="L102" s="186">
        <f>L96-L97-L99</f>
        <v>14283.56459086565</v>
      </c>
      <c r="M102" s="186">
        <f>M96-M97-M99</f>
        <v>27265.25912815085</v>
      </c>
      <c r="N102" s="186">
        <f t="shared" ref="N102:O102" si="36">N96-N97-N99</f>
        <v>40557.70115377933</v>
      </c>
      <c r="O102" s="458">
        <f t="shared" si="36"/>
        <v>51100.277677050879</v>
      </c>
      <c r="Q102" s="394">
        <f>L96-L97-L99</f>
        <v>14283.56459086565</v>
      </c>
      <c r="AA102" s="400">
        <f>AA101*(1/12)+AB101*(11/12)</f>
        <v>17.716666666666665</v>
      </c>
      <c r="AB102" s="391"/>
      <c r="AC102" s="391"/>
      <c r="AD102" s="391"/>
      <c r="AE102" s="391"/>
      <c r="AF102" s="391"/>
    </row>
    <row r="103" spans="2:32" s="146" customFormat="1">
      <c r="B103" s="218" t="s">
        <v>331</v>
      </c>
      <c r="C103" s="216"/>
      <c r="D103" s="217"/>
      <c r="E103" s="217"/>
      <c r="F103" s="217"/>
      <c r="G103" s="217"/>
      <c r="H103" s="217"/>
      <c r="I103" s="217"/>
      <c r="J103" s="217"/>
      <c r="K103" s="217">
        <f>K102/J102-1</f>
        <v>2.0006772286059933</v>
      </c>
      <c r="L103" s="217">
        <f>L102/K102-1</f>
        <v>1.3116127578637746</v>
      </c>
      <c r="M103" s="217">
        <f t="shared" ref="M103:O103" si="37">M102/L102-1</f>
        <v>0.90885538093110196</v>
      </c>
      <c r="N103" s="217">
        <f t="shared" si="37"/>
        <v>0.48752304033319427</v>
      </c>
      <c r="O103" s="217">
        <f t="shared" si="37"/>
        <v>0.25994018949195663</v>
      </c>
      <c r="P103" s="434"/>
      <c r="Q103" s="464">
        <f>80/67</f>
        <v>1.1940298507462686</v>
      </c>
      <c r="R103" s="434"/>
      <c r="S103" s="434"/>
      <c r="T103" s="434"/>
      <c r="U103" s="434"/>
      <c r="V103" s="434"/>
      <c r="W103" s="434"/>
      <c r="X103" s="434"/>
      <c r="Y103" s="434"/>
      <c r="Z103" s="434"/>
      <c r="AA103" s="407"/>
      <c r="AB103" s="434"/>
      <c r="AC103" s="434"/>
      <c r="AD103" s="434"/>
      <c r="AE103" s="434"/>
      <c r="AF103" s="434"/>
    </row>
    <row r="104" spans="2:32" hidden="1">
      <c r="B104" s="183" t="s">
        <v>34</v>
      </c>
      <c r="C104" s="191">
        <f>PL!BA27</f>
        <v>0</v>
      </c>
      <c r="D104" s="191">
        <f>PL!BB27</f>
        <v>-3.2749607053888896</v>
      </c>
      <c r="E104" s="191">
        <f>PL!BC27</f>
        <v>-1.1422000571944653</v>
      </c>
      <c r="F104" s="191">
        <f>PL!BD27</f>
        <v>-2.0618580582604347</v>
      </c>
      <c r="G104" s="191">
        <f>PL!BE27</f>
        <v>-3.1350214419557774</v>
      </c>
      <c r="H104" s="191">
        <f>PL!BF27</f>
        <v>-2.0526964190755552</v>
      </c>
      <c r="I104" s="191">
        <f>PL!BG27</f>
        <v>-1.0856603232776378</v>
      </c>
      <c r="J104" s="191">
        <f>PL!BH27</f>
        <v>4.9047744259716417</v>
      </c>
      <c r="K104" s="191">
        <f>PL!BI27</f>
        <v>10.625408459440578</v>
      </c>
      <c r="L104" s="191">
        <f>PL!BJ27</f>
        <v>22.58319660153737</v>
      </c>
      <c r="M104" s="191"/>
      <c r="N104" s="191"/>
      <c r="O104" s="459"/>
      <c r="AA104" s="400"/>
      <c r="AB104" s="391"/>
      <c r="AC104" s="391"/>
      <c r="AD104" s="391"/>
      <c r="AE104" s="391"/>
      <c r="AF104" s="391"/>
    </row>
    <row r="105" spans="2:32" hidden="1">
      <c r="B105" s="189" t="s">
        <v>189</v>
      </c>
      <c r="C105" s="190"/>
      <c r="D105" s="168"/>
      <c r="E105" s="168"/>
      <c r="F105" s="168"/>
      <c r="G105" s="168"/>
      <c r="H105" s="168"/>
      <c r="I105" s="168"/>
      <c r="J105" s="168"/>
      <c r="K105" s="168"/>
      <c r="L105" s="168">
        <f>L103</f>
        <v>1.3116127578637746</v>
      </c>
      <c r="M105" s="168"/>
      <c r="N105" s="168"/>
      <c r="O105" s="168"/>
      <c r="AA105" s="400"/>
      <c r="AB105" s="391"/>
      <c r="AC105" s="391"/>
      <c r="AD105" s="391"/>
      <c r="AE105" s="391"/>
      <c r="AF105" s="391"/>
    </row>
    <row r="106" spans="2:32">
      <c r="B106" s="192"/>
      <c r="C106" s="192"/>
      <c r="D106" s="192"/>
      <c r="E106" s="192"/>
      <c r="F106" s="192"/>
      <c r="G106" s="192"/>
      <c r="H106" s="192"/>
      <c r="I106" s="192"/>
      <c r="J106" s="192"/>
      <c r="K106" s="172"/>
      <c r="L106" s="172"/>
      <c r="M106" s="172"/>
      <c r="N106" s="172"/>
      <c r="O106" s="172"/>
      <c r="Q106" s="391">
        <f>L113/L15</f>
        <v>173.23569319959225</v>
      </c>
      <c r="S106" s="391">
        <f>224/49-1</f>
        <v>3.5714285714285712</v>
      </c>
      <c r="AA106" s="400"/>
      <c r="AB106" s="391"/>
      <c r="AC106" s="391"/>
      <c r="AD106" s="391"/>
      <c r="AE106" s="391"/>
      <c r="AF106" s="391"/>
    </row>
    <row r="107" spans="2:32">
      <c r="B107" s="182" t="s">
        <v>465</v>
      </c>
      <c r="C107" s="193"/>
      <c r="D107" s="193"/>
      <c r="E107" s="193"/>
      <c r="F107" s="193"/>
      <c r="G107" s="193"/>
      <c r="H107" s="193"/>
      <c r="I107" s="193"/>
      <c r="J107" s="171"/>
      <c r="K107" s="193"/>
      <c r="L107" s="171"/>
      <c r="M107" s="171"/>
      <c r="N107" s="171"/>
      <c r="O107" s="460">
        <f>ROUND(X6,0)</f>
        <v>27</v>
      </c>
      <c r="Q107" s="391">
        <f>215/131</f>
        <v>1.6412213740458015</v>
      </c>
      <c r="S107" s="391">
        <f>115/(5026/417)</f>
        <v>9.5413847990449661</v>
      </c>
      <c r="AA107" s="400"/>
      <c r="AB107" s="400"/>
      <c r="AC107" s="391"/>
      <c r="AD107" s="391"/>
      <c r="AE107" s="391"/>
      <c r="AF107" s="391"/>
    </row>
    <row r="108" spans="2:32">
      <c r="B108" s="183" t="s">
        <v>500</v>
      </c>
      <c r="C108" s="192"/>
      <c r="D108" s="192"/>
      <c r="E108" s="192"/>
      <c r="F108" s="192"/>
      <c r="G108" s="192"/>
      <c r="H108" s="192"/>
      <c r="I108" s="192"/>
      <c r="J108" s="172"/>
      <c r="K108" s="192"/>
      <c r="L108" s="172"/>
      <c r="M108" s="172"/>
      <c r="N108" s="172"/>
      <c r="O108" s="165">
        <f>O107*O100</f>
        <v>1650491.3625220696</v>
      </c>
      <c r="Q108" s="391">
        <f>O108/L100</f>
        <v>103.13013839996938</v>
      </c>
      <c r="S108" s="391">
        <f>33/9.5-1</f>
        <v>2.4736842105263159</v>
      </c>
      <c r="AA108" s="434"/>
      <c r="AB108" s="434"/>
      <c r="AC108" s="434"/>
      <c r="AD108" s="434"/>
      <c r="AE108" s="434"/>
      <c r="AF108" s="434"/>
    </row>
    <row r="109" spans="2:32">
      <c r="B109" s="183" t="s">
        <v>779</v>
      </c>
      <c r="C109" s="192"/>
      <c r="D109" s="192"/>
      <c r="E109" s="192"/>
      <c r="F109" s="192"/>
      <c r="G109" s="192"/>
      <c r="H109" s="192"/>
      <c r="I109" s="192"/>
      <c r="J109" s="192"/>
      <c r="K109" s="192"/>
      <c r="L109" s="165">
        <f>O108/(1+C117)^O82</f>
        <v>1152296.0736723137</v>
      </c>
      <c r="M109" s="172"/>
      <c r="N109" s="172"/>
      <c r="O109" s="461"/>
      <c r="Q109" s="393" t="e">
        <f>O108/#REF!</f>
        <v>#REF!</v>
      </c>
      <c r="AA109" s="434"/>
      <c r="AB109" s="434"/>
      <c r="AC109" s="434"/>
      <c r="AD109" s="434"/>
      <c r="AE109" s="434"/>
      <c r="AF109" s="434"/>
    </row>
    <row r="110" spans="2:32" hidden="1" outlineLevel="1">
      <c r="B110" s="183" t="s">
        <v>388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73">
        <f>SUM(BS!Q21,BS!Q24)</f>
        <v>17</v>
      </c>
      <c r="M110" s="172"/>
      <c r="N110" s="174"/>
      <c r="O110" s="462"/>
      <c r="AA110" s="400"/>
      <c r="AB110" s="391"/>
      <c r="AC110" s="391"/>
      <c r="AD110" s="391"/>
      <c r="AE110" s="391"/>
      <c r="AF110" s="391"/>
    </row>
    <row r="111" spans="2:32" hidden="1" outlineLevel="1">
      <c r="B111" s="183" t="s">
        <v>464</v>
      </c>
      <c r="C111" s="192"/>
      <c r="D111" s="192"/>
      <c r="E111" s="192"/>
      <c r="F111" s="192"/>
      <c r="G111" s="192"/>
      <c r="H111" s="192"/>
      <c r="I111" s="192"/>
      <c r="J111" s="192"/>
      <c r="K111" s="192"/>
      <c r="L111" s="165">
        <f>BS!Q4</f>
        <v>11938.969382930754</v>
      </c>
      <c r="M111" s="172"/>
      <c r="N111" s="174"/>
      <c r="O111" s="462"/>
      <c r="Q111" s="425">
        <f>L113/PL!BM27</f>
        <v>22.631948799716277</v>
      </c>
      <c r="AB111" s="391"/>
      <c r="AC111" s="391"/>
      <c r="AD111" s="391"/>
      <c r="AE111" s="391"/>
      <c r="AF111" s="391"/>
    </row>
    <row r="112" spans="2:32" outlineLevel="1">
      <c r="B112" s="183" t="s">
        <v>780</v>
      </c>
      <c r="C112" s="192"/>
      <c r="D112" s="192"/>
      <c r="E112" s="192"/>
      <c r="F112" s="192"/>
      <c r="G112" s="192"/>
      <c r="H112" s="192"/>
      <c r="I112" s="192"/>
      <c r="J112" s="192"/>
      <c r="K112" s="192"/>
      <c r="L112" s="165">
        <f>L109-L110+L111</f>
        <v>1164218.0430552445</v>
      </c>
      <c r="M112" s="172"/>
      <c r="N112" s="174"/>
      <c r="O112" s="462"/>
      <c r="Q112" s="391">
        <f>31/18</f>
        <v>1.7222222222222223</v>
      </c>
      <c r="AA112" s="400"/>
      <c r="AB112" s="391"/>
      <c r="AC112" s="391"/>
      <c r="AD112" s="391"/>
      <c r="AE112" s="391"/>
      <c r="AF112" s="391"/>
    </row>
    <row r="113" spans="2:32" s="154" customFormat="1">
      <c r="B113" s="194" t="s">
        <v>781</v>
      </c>
      <c r="C113" s="195"/>
      <c r="D113" s="195"/>
      <c r="E113" s="195"/>
      <c r="F113" s="195"/>
      <c r="G113" s="195"/>
      <c r="H113" s="195"/>
      <c r="I113" s="195"/>
      <c r="J113" s="195"/>
      <c r="K113" s="195"/>
      <c r="L113" s="306">
        <f>ROUND(L112/PL!BJ34,1)</f>
        <v>1840.7</v>
      </c>
      <c r="M113" s="196"/>
      <c r="N113" s="175"/>
      <c r="O113" s="175"/>
      <c r="P113" s="391"/>
      <c r="Q113" s="391"/>
      <c r="R113" s="391"/>
      <c r="S113" s="391"/>
      <c r="T113" s="391"/>
      <c r="U113" s="391"/>
      <c r="V113" s="391"/>
      <c r="W113" s="391"/>
      <c r="X113" s="391"/>
      <c r="Y113" s="391"/>
      <c r="Z113" s="391"/>
      <c r="AA113" s="391"/>
      <c r="AB113" s="391"/>
      <c r="AC113" s="391"/>
      <c r="AD113" s="391"/>
      <c r="AE113" s="391"/>
      <c r="AF113" s="391"/>
    </row>
    <row r="114" spans="2:32" outlineLevel="1">
      <c r="B114" s="197" t="s">
        <v>506</v>
      </c>
      <c r="C114" s="198"/>
      <c r="D114" s="198"/>
      <c r="E114" s="198"/>
      <c r="F114" s="198"/>
      <c r="G114" s="198"/>
      <c r="H114" s="198"/>
      <c r="I114" s="198"/>
      <c r="J114" s="199"/>
      <c r="K114" s="176">
        <f>$L$109/K87</f>
        <v>48.051484827965346</v>
      </c>
      <c r="L114" s="200">
        <f>$L$109/L87</f>
        <v>12.626295358470697</v>
      </c>
      <c r="M114" s="200">
        <f>$L$109/M87</f>
        <v>6.6811564527148173</v>
      </c>
      <c r="N114" s="176">
        <f>$L$109/N87</f>
        <v>4.5451234465590753</v>
      </c>
      <c r="O114" s="176">
        <f>$L$109/O87</f>
        <v>3.60726829778344</v>
      </c>
      <c r="Q114" s="391" t="e">
        <f>115/(#REF!/417)</f>
        <v>#REF!</v>
      </c>
      <c r="AB114" s="391"/>
      <c r="AC114" s="391"/>
      <c r="AD114" s="391"/>
      <c r="AE114" s="391"/>
      <c r="AF114" s="391"/>
    </row>
    <row r="115" spans="2:32" outlineLevel="1">
      <c r="B115" s="197" t="s">
        <v>740</v>
      </c>
      <c r="C115" s="198"/>
      <c r="D115" s="198"/>
      <c r="E115" s="198"/>
      <c r="F115" s="198"/>
      <c r="G115" s="198"/>
      <c r="H115" s="198"/>
      <c r="I115" s="198"/>
      <c r="J115" s="199"/>
      <c r="K115" s="176">
        <f>$L$112/K102</f>
        <v>188.41384194690016</v>
      </c>
      <c r="L115" s="200">
        <f>$L$112/L102</f>
        <v>81.507528155805218</v>
      </c>
      <c r="M115" s="200">
        <f>$L$112/M102</f>
        <v>42.699687451465003</v>
      </c>
      <c r="N115" s="176">
        <f>$L$112/N102</f>
        <v>28.705227612407661</v>
      </c>
      <c r="O115" s="176">
        <f>$L$112/O102</f>
        <v>22.783008155317606</v>
      </c>
      <c r="P115" s="437">
        <f>O115/((PL!BM74+PL!BM44)*100)</f>
        <v>0.50602449543590344</v>
      </c>
      <c r="AB115" s="391"/>
      <c r="AC115" s="391"/>
      <c r="AD115" s="391"/>
      <c r="AE115" s="391"/>
      <c r="AF115" s="391"/>
    </row>
    <row r="116" spans="2:32">
      <c r="B116" s="192"/>
      <c r="C116" s="192"/>
      <c r="D116" s="186"/>
      <c r="E116" s="192"/>
      <c r="F116" s="192"/>
      <c r="G116" s="192"/>
      <c r="H116" s="192"/>
      <c r="I116" s="192"/>
      <c r="J116" s="192"/>
      <c r="K116" s="172"/>
      <c r="L116" s="172"/>
      <c r="M116" s="172"/>
      <c r="N116" s="174"/>
      <c r="O116" s="174"/>
      <c r="P116" s="437">
        <f>L115/(AVERAGE(L103:M103)*100)</f>
        <v>0.73414724338302939</v>
      </c>
      <c r="Q116" s="400">
        <f>65/24-1</f>
        <v>1.7083333333333335</v>
      </c>
      <c r="AB116" s="133"/>
      <c r="AC116" s="134"/>
      <c r="AD116" s="133"/>
      <c r="AE116" s="133"/>
    </row>
    <row r="117" spans="2:32">
      <c r="B117" s="177" t="s">
        <v>332</v>
      </c>
      <c r="C117" s="201">
        <f>C119+C118*C120</f>
        <v>0.12724000000000002</v>
      </c>
      <c r="D117" s="192"/>
      <c r="E117" s="192"/>
      <c r="F117" s="192"/>
      <c r="G117" s="192"/>
      <c r="H117" s="192"/>
      <c r="I117" s="165"/>
      <c r="J117" s="192"/>
      <c r="K117" s="172"/>
      <c r="L117" s="172"/>
      <c r="M117" s="172"/>
      <c r="N117" s="174"/>
      <c r="O117" s="174"/>
      <c r="Q117" s="425">
        <f>258-171</f>
        <v>87</v>
      </c>
      <c r="AB117" s="133"/>
      <c r="AC117" s="134"/>
      <c r="AD117" s="133"/>
      <c r="AE117" s="133"/>
    </row>
    <row r="118" spans="2:32">
      <c r="B118" s="183" t="s">
        <v>162</v>
      </c>
      <c r="C118" s="202">
        <v>1.496</v>
      </c>
      <c r="D118" s="192"/>
      <c r="E118" s="192"/>
      <c r="F118" s="192"/>
      <c r="G118" s="192"/>
      <c r="H118" s="192"/>
      <c r="I118" s="192"/>
      <c r="J118" s="192"/>
      <c r="K118" s="172"/>
      <c r="L118" s="172"/>
      <c r="M118" s="209"/>
      <c r="N118" s="209"/>
      <c r="O118" s="174"/>
    </row>
    <row r="119" spans="2:32">
      <c r="B119" s="183" t="s">
        <v>163</v>
      </c>
      <c r="C119" s="203">
        <v>0.03</v>
      </c>
      <c r="D119" s="192"/>
      <c r="E119" s="192"/>
      <c r="F119" s="192"/>
      <c r="G119" s="192"/>
      <c r="H119" s="192"/>
      <c r="I119" s="192"/>
      <c r="J119" s="192"/>
      <c r="K119" s="172"/>
      <c r="L119" s="172"/>
      <c r="M119" s="209"/>
      <c r="N119" s="209"/>
      <c r="O119" s="174"/>
      <c r="Q119" s="391">
        <f>L113/PL!BI27</f>
        <v>173.23569319959225</v>
      </c>
      <c r="R119" s="391">
        <f>215</f>
        <v>215</v>
      </c>
    </row>
    <row r="120" spans="2:32">
      <c r="B120" s="204" t="s">
        <v>306</v>
      </c>
      <c r="C120" s="205">
        <v>6.5000000000000002E-2</v>
      </c>
      <c r="D120" s="206"/>
      <c r="E120" s="192"/>
      <c r="F120" s="192"/>
      <c r="G120" s="192"/>
      <c r="H120" s="192"/>
      <c r="I120" s="192"/>
      <c r="J120" s="208"/>
      <c r="K120" s="192"/>
      <c r="L120" s="207"/>
      <c r="M120" s="172"/>
      <c r="N120" s="174"/>
      <c r="O120" s="174"/>
      <c r="Q120" s="391">
        <f>L113/PL!BM27</f>
        <v>22.631948799716277</v>
      </c>
      <c r="R120" s="391">
        <f>112+19.7</f>
        <v>131.69999999999999</v>
      </c>
    </row>
    <row r="121" spans="2:32">
      <c r="B121" s="192"/>
      <c r="C121" s="192"/>
      <c r="D121" s="192"/>
      <c r="E121" s="389"/>
      <c r="F121" s="389"/>
      <c r="G121" s="389"/>
      <c r="H121" s="389"/>
      <c r="I121" s="389"/>
      <c r="J121" s="389"/>
      <c r="K121" s="390"/>
      <c r="L121" s="388"/>
      <c r="M121" s="391"/>
      <c r="N121" s="391"/>
      <c r="O121" s="391"/>
      <c r="Q121" s="392">
        <f>31/45</f>
        <v>0.68888888888888888</v>
      </c>
      <c r="R121" s="391">
        <f>R119/R120</f>
        <v>1.6324981017463935</v>
      </c>
    </row>
    <row r="122" spans="2:32">
      <c r="E122" s="391"/>
      <c r="F122" s="391"/>
      <c r="G122" s="391"/>
      <c r="H122" s="391"/>
      <c r="I122" s="391"/>
      <c r="J122" s="392">
        <f>75/64</f>
        <v>1.171875</v>
      </c>
      <c r="K122" s="391"/>
      <c r="L122" s="391"/>
      <c r="M122" s="393">
        <f>M91*M87</f>
        <v>56202.813845507517</v>
      </c>
      <c r="N122" s="393">
        <f>N91*N87</f>
        <v>79691.700100350528</v>
      </c>
      <c r="O122" s="393">
        <f>O91*O87</f>
        <v>98934.106073687581</v>
      </c>
    </row>
    <row r="123" spans="2:32">
      <c r="E123" s="391"/>
      <c r="F123" s="391"/>
      <c r="G123" s="391"/>
      <c r="H123" s="391"/>
      <c r="I123" s="391"/>
      <c r="J123" s="391"/>
      <c r="K123" s="391">
        <f>75/64</f>
        <v>1.171875</v>
      </c>
      <c r="L123" s="391"/>
      <c r="M123" s="391"/>
      <c r="N123" s="391"/>
      <c r="O123" s="391"/>
    </row>
    <row r="124" spans="2:32">
      <c r="E124" s="391"/>
      <c r="F124" s="391"/>
      <c r="G124" s="391"/>
      <c r="H124" s="391"/>
      <c r="I124" s="391"/>
      <c r="J124" s="391"/>
      <c r="K124" s="391">
        <f>77/60</f>
        <v>1.2833333333333334</v>
      </c>
      <c r="L124" s="394">
        <f>C7</f>
        <v>650864</v>
      </c>
      <c r="M124" s="394">
        <f>L124-L111+L110</f>
        <v>638942.03061706922</v>
      </c>
      <c r="N124" s="394">
        <f>M124/K87</f>
        <v>26.644292202002624</v>
      </c>
      <c r="O124" s="391"/>
      <c r="R124" s="391" t="s">
        <v>485</v>
      </c>
    </row>
    <row r="125" spans="2:32">
      <c r="E125" s="391"/>
      <c r="F125" s="391"/>
      <c r="G125" s="391"/>
      <c r="H125" s="391"/>
      <c r="I125" s="391" t="s">
        <v>473</v>
      </c>
      <c r="J125" s="391"/>
      <c r="K125" s="391"/>
      <c r="L125" s="391"/>
      <c r="M125" s="391"/>
      <c r="N125" s="391"/>
      <c r="O125" s="391"/>
    </row>
    <row r="126" spans="2:32">
      <c r="E126" s="391"/>
      <c r="F126" s="391"/>
      <c r="G126" s="391"/>
      <c r="H126" s="391"/>
      <c r="I126" s="391"/>
      <c r="J126" s="391"/>
      <c r="K126" s="391"/>
      <c r="L126" s="391"/>
      <c r="M126" s="391"/>
      <c r="N126" s="391"/>
      <c r="O126" s="391"/>
    </row>
    <row r="127" spans="2:32">
      <c r="E127" s="391"/>
      <c r="F127" s="391"/>
      <c r="G127" s="391"/>
      <c r="H127" s="391"/>
      <c r="I127" s="391"/>
      <c r="J127" s="391"/>
      <c r="K127" s="391"/>
      <c r="L127" s="391"/>
      <c r="M127" s="391"/>
      <c r="N127" s="391"/>
      <c r="O127" s="391"/>
    </row>
    <row r="128" spans="2:32">
      <c r="E128" s="391"/>
      <c r="F128" s="391"/>
      <c r="G128" s="391"/>
      <c r="H128" s="391"/>
      <c r="I128" s="391"/>
      <c r="J128" s="391"/>
      <c r="K128" s="391"/>
      <c r="L128" s="391"/>
      <c r="M128" s="391"/>
      <c r="N128" s="391"/>
      <c r="O128" s="391"/>
    </row>
    <row r="129" spans="5:15">
      <c r="E129" s="391" t="e">
        <f>(((#REF!/#REF!)^(1/2)-1))</f>
        <v>#REF!</v>
      </c>
      <c r="F129" s="391"/>
      <c r="G129" s="391"/>
      <c r="H129" s="391"/>
      <c r="I129" s="391"/>
      <c r="J129" s="391"/>
      <c r="K129" s="391"/>
      <c r="L129" s="391"/>
      <c r="M129" s="391"/>
      <c r="N129" s="391"/>
      <c r="O129" s="391"/>
    </row>
    <row r="130" spans="5:15">
      <c r="E130" s="391" t="e">
        <f>(((#REF!/#REF!)^(1/4)-1))</f>
        <v>#REF!</v>
      </c>
      <c r="F130" s="391"/>
      <c r="G130" s="391"/>
      <c r="H130" s="391"/>
      <c r="I130" s="391"/>
      <c r="J130" s="391"/>
      <c r="K130" s="391"/>
      <c r="L130" s="391"/>
      <c r="M130" s="391"/>
      <c r="N130" s="391"/>
      <c r="O130" s="391"/>
    </row>
    <row r="131" spans="5:15">
      <c r="E131" s="391"/>
      <c r="F131" s="391"/>
      <c r="G131" s="391"/>
      <c r="H131" s="391"/>
      <c r="I131" s="391"/>
      <c r="J131" s="391"/>
      <c r="K131" s="391"/>
      <c r="L131" s="391"/>
      <c r="M131" s="391"/>
      <c r="N131" s="391"/>
      <c r="O131" s="391"/>
    </row>
    <row r="132" spans="5:15"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</row>
    <row r="133" spans="5:15">
      <c r="E133" s="391"/>
      <c r="F133" s="391"/>
      <c r="G133" s="391"/>
      <c r="H133" s="391"/>
      <c r="I133" s="391"/>
      <c r="J133" s="391"/>
      <c r="K133" s="391"/>
      <c r="L133" s="391"/>
      <c r="M133" s="391"/>
      <c r="N133" s="391"/>
      <c r="O133" s="391"/>
    </row>
    <row r="134" spans="5:15">
      <c r="E134" s="391"/>
      <c r="F134" s="391"/>
      <c r="G134" s="391"/>
      <c r="H134" s="391"/>
      <c r="I134" s="391"/>
      <c r="J134" s="391"/>
      <c r="K134" s="391"/>
      <c r="L134" s="391"/>
      <c r="M134" s="391"/>
      <c r="N134" s="391"/>
      <c r="O134" s="391"/>
    </row>
    <row r="135" spans="5:15">
      <c r="E135" s="391"/>
      <c r="F135" s="391"/>
      <c r="G135" s="391"/>
      <c r="H135" s="391"/>
      <c r="I135" s="391"/>
      <c r="J135" s="391"/>
      <c r="K135" s="391"/>
      <c r="L135" s="391"/>
      <c r="M135" s="391"/>
      <c r="N135" s="391"/>
      <c r="O135" s="391"/>
    </row>
    <row r="136" spans="5:15">
      <c r="E136" s="391"/>
      <c r="F136" s="391"/>
      <c r="G136" s="391"/>
      <c r="H136" s="391"/>
      <c r="I136" s="391"/>
      <c r="J136" s="391"/>
      <c r="K136" s="391"/>
      <c r="L136" s="391"/>
      <c r="M136" s="391"/>
      <c r="N136" s="391"/>
      <c r="O136" s="391"/>
    </row>
    <row r="137" spans="5:15">
      <c r="E137" s="391"/>
      <c r="F137" s="391"/>
      <c r="G137" s="391"/>
      <c r="H137" s="391"/>
      <c r="I137" s="391"/>
      <c r="J137" s="391"/>
      <c r="K137" s="391"/>
      <c r="L137" s="391"/>
      <c r="M137" s="391"/>
      <c r="N137" s="391"/>
      <c r="O137" s="391"/>
    </row>
    <row r="138" spans="5:15">
      <c r="E138" s="391"/>
      <c r="F138" s="391"/>
      <c r="G138" s="391"/>
      <c r="H138" s="391"/>
      <c r="I138" s="391"/>
      <c r="J138" s="391"/>
      <c r="K138" s="391"/>
      <c r="L138" s="391"/>
      <c r="M138" s="391"/>
      <c r="N138" s="391"/>
      <c r="O138" s="391"/>
    </row>
    <row r="139" spans="5:15">
      <c r="E139" s="391"/>
      <c r="F139" s="391"/>
      <c r="G139" s="391"/>
      <c r="H139" s="391"/>
      <c r="I139" s="391"/>
      <c r="J139" s="391"/>
      <c r="K139" s="391"/>
      <c r="L139" s="391"/>
      <c r="M139" s="391"/>
      <c r="N139" s="391"/>
      <c r="O139" s="391"/>
    </row>
    <row r="140" spans="5:15">
      <c r="E140" s="391"/>
      <c r="F140" s="391"/>
      <c r="G140" s="391"/>
      <c r="H140" s="391"/>
      <c r="I140" s="391"/>
      <c r="J140" s="391"/>
      <c r="K140" s="391"/>
      <c r="L140" s="391"/>
      <c r="M140" s="391"/>
      <c r="N140" s="391"/>
      <c r="O140" s="391"/>
    </row>
    <row r="141" spans="5:15">
      <c r="E141" s="391"/>
      <c r="F141" s="391"/>
      <c r="G141" s="391"/>
      <c r="H141" s="391"/>
      <c r="I141" s="391"/>
      <c r="J141" s="391"/>
      <c r="K141" s="391"/>
      <c r="L141" s="391"/>
      <c r="M141" s="391"/>
      <c r="N141" s="391"/>
      <c r="O141" s="391"/>
    </row>
    <row r="142" spans="5:15">
      <c r="E142" s="391"/>
      <c r="F142" s="391"/>
      <c r="G142" s="391"/>
      <c r="H142" s="391"/>
      <c r="I142" s="391"/>
      <c r="J142" s="391"/>
      <c r="K142" s="391"/>
      <c r="L142" s="391"/>
      <c r="M142" s="391"/>
      <c r="N142" s="391"/>
      <c r="O142" s="391"/>
    </row>
    <row r="143" spans="5:15"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</row>
    <row r="144" spans="5:15">
      <c r="E144" s="391"/>
      <c r="F144" s="391"/>
      <c r="G144" s="391"/>
      <c r="H144" s="391"/>
      <c r="I144" s="391"/>
      <c r="J144" s="391"/>
      <c r="K144" s="391"/>
      <c r="L144" s="391"/>
      <c r="M144" s="391"/>
      <c r="N144" s="391"/>
      <c r="O144" s="391"/>
    </row>
    <row r="145" spans="5:15">
      <c r="E145" s="391"/>
      <c r="F145" s="391"/>
      <c r="G145" s="391"/>
      <c r="H145" s="391"/>
      <c r="I145" s="391"/>
      <c r="J145" s="391"/>
      <c r="K145" s="391"/>
      <c r="L145" s="391"/>
      <c r="M145" s="391"/>
      <c r="N145" s="391"/>
      <c r="O145" s="391"/>
    </row>
    <row r="146" spans="5:15">
      <c r="E146" s="391"/>
      <c r="F146" s="391"/>
      <c r="G146" s="391"/>
      <c r="H146" s="391"/>
      <c r="I146" s="391"/>
      <c r="J146" s="391"/>
      <c r="K146" s="391"/>
      <c r="L146" s="391"/>
      <c r="M146" s="391"/>
      <c r="N146" s="391"/>
      <c r="O146" s="391"/>
    </row>
    <row r="147" spans="5:15">
      <c r="E147" s="391"/>
      <c r="F147" s="391"/>
      <c r="G147" s="391"/>
      <c r="H147" s="391"/>
      <c r="I147" s="391"/>
      <c r="J147" s="391"/>
      <c r="K147" s="391"/>
      <c r="L147" s="391"/>
      <c r="M147" s="391"/>
      <c r="N147" s="391"/>
      <c r="O147" s="391"/>
    </row>
    <row r="148" spans="5:15">
      <c r="E148" s="391"/>
      <c r="F148" s="391"/>
      <c r="G148" s="391"/>
      <c r="H148" s="391"/>
      <c r="I148" s="391"/>
      <c r="J148" s="391"/>
      <c r="K148" s="391"/>
      <c r="L148" s="391"/>
      <c r="M148" s="391"/>
      <c r="N148" s="391"/>
      <c r="O148" s="391"/>
    </row>
    <row r="149" spans="5:15">
      <c r="E149" s="391"/>
      <c r="F149" s="391"/>
      <c r="G149" s="391"/>
      <c r="H149" s="391"/>
      <c r="I149" s="391"/>
      <c r="J149" s="391"/>
      <c r="K149" s="391"/>
      <c r="L149" s="391"/>
      <c r="M149" s="391"/>
      <c r="N149" s="391"/>
      <c r="O149" s="391"/>
    </row>
    <row r="150" spans="5:15">
      <c r="E150" s="391"/>
      <c r="F150" s="391"/>
      <c r="G150" s="391"/>
      <c r="H150" s="391"/>
      <c r="I150" s="391"/>
      <c r="J150" s="391"/>
      <c r="K150" s="391"/>
      <c r="L150" s="391"/>
      <c r="M150" s="391"/>
      <c r="N150" s="391"/>
      <c r="O150" s="391"/>
    </row>
    <row r="151" spans="5:15">
      <c r="E151" s="391"/>
      <c r="F151" s="391"/>
      <c r="G151" s="391"/>
      <c r="H151" s="391"/>
      <c r="I151" s="391"/>
      <c r="J151" s="391"/>
      <c r="K151" s="391"/>
      <c r="L151" s="391"/>
      <c r="M151" s="391"/>
      <c r="N151" s="391"/>
      <c r="O151" s="391"/>
    </row>
    <row r="152" spans="5:15">
      <c r="E152" s="391"/>
      <c r="F152" s="391"/>
      <c r="G152" s="391"/>
      <c r="H152" s="391"/>
      <c r="I152" s="391"/>
      <c r="J152" s="391"/>
      <c r="K152" s="391"/>
      <c r="L152" s="391"/>
      <c r="M152" s="391"/>
      <c r="N152" s="391"/>
      <c r="O152" s="391"/>
    </row>
    <row r="153" spans="5:15">
      <c r="E153" s="391"/>
      <c r="F153" s="391"/>
      <c r="G153" s="391"/>
      <c r="H153" s="391"/>
      <c r="I153" s="391"/>
      <c r="J153" s="391"/>
      <c r="K153" s="391"/>
      <c r="L153" s="391"/>
      <c r="M153" s="391"/>
      <c r="N153" s="391"/>
      <c r="O153" s="391"/>
    </row>
    <row r="154" spans="5:15"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</row>
    <row r="155" spans="5:15">
      <c r="E155" s="391"/>
      <c r="F155" s="391"/>
      <c r="G155" s="391"/>
      <c r="H155" s="391"/>
      <c r="I155" s="391"/>
      <c r="J155" s="391"/>
      <c r="K155" s="391"/>
      <c r="L155" s="391"/>
      <c r="M155" s="391"/>
      <c r="N155" s="391"/>
      <c r="O155" s="391"/>
    </row>
    <row r="156" spans="5:15">
      <c r="E156" s="391"/>
      <c r="F156" s="391"/>
      <c r="G156" s="391"/>
      <c r="H156" s="391"/>
      <c r="I156" s="391"/>
      <c r="J156" s="391"/>
      <c r="K156" s="391"/>
      <c r="L156" s="391"/>
      <c r="M156" s="391"/>
      <c r="N156" s="391"/>
      <c r="O156" s="391"/>
    </row>
    <row r="157" spans="5:15">
      <c r="E157" s="391"/>
      <c r="F157" s="391"/>
      <c r="G157" s="391"/>
      <c r="H157" s="391"/>
      <c r="I157" s="391"/>
      <c r="J157" s="391"/>
      <c r="K157" s="391"/>
      <c r="L157" s="391"/>
      <c r="M157" s="391"/>
      <c r="N157" s="391"/>
      <c r="O157" s="391"/>
    </row>
    <row r="158" spans="5:15">
      <c r="E158" s="391"/>
      <c r="F158" s="391"/>
      <c r="G158" s="391"/>
      <c r="H158" s="391"/>
      <c r="I158" s="391"/>
      <c r="J158" s="391"/>
      <c r="K158" s="391"/>
      <c r="L158" s="391"/>
      <c r="M158" s="391"/>
      <c r="N158" s="391"/>
      <c r="O158" s="391"/>
    </row>
    <row r="159" spans="5:15">
      <c r="E159" s="391"/>
      <c r="F159" s="391"/>
      <c r="G159" s="391"/>
      <c r="H159" s="391"/>
      <c r="I159" s="391"/>
      <c r="J159" s="391"/>
      <c r="K159" s="391"/>
      <c r="L159" s="391"/>
      <c r="M159" s="391"/>
      <c r="N159" s="391"/>
      <c r="O159" s="391"/>
    </row>
    <row r="160" spans="5:15">
      <c r="E160" s="391"/>
      <c r="F160" s="391"/>
      <c r="G160" s="391"/>
      <c r="H160" s="391"/>
      <c r="I160" s="391"/>
      <c r="J160" s="391"/>
      <c r="K160" s="391"/>
      <c r="L160" s="391"/>
      <c r="M160" s="391"/>
      <c r="N160" s="391"/>
      <c r="O160" s="391"/>
    </row>
    <row r="161" spans="5:15">
      <c r="E161" s="391"/>
      <c r="F161" s="391"/>
      <c r="G161" s="391"/>
      <c r="H161" s="391"/>
      <c r="I161" s="391"/>
      <c r="J161" s="391"/>
      <c r="K161" s="391"/>
      <c r="L161" s="391"/>
      <c r="M161" s="391"/>
      <c r="N161" s="391"/>
      <c r="O161" s="391"/>
    </row>
    <row r="162" spans="5:15">
      <c r="E162" s="391"/>
      <c r="F162" s="391"/>
      <c r="G162" s="391"/>
      <c r="H162" s="391"/>
      <c r="I162" s="391"/>
      <c r="J162" s="391"/>
      <c r="K162" s="391"/>
      <c r="L162" s="391"/>
      <c r="M162" s="391"/>
      <c r="N162" s="391"/>
      <c r="O162" s="391"/>
    </row>
    <row r="163" spans="5:15">
      <c r="E163" s="391"/>
      <c r="F163" s="391"/>
      <c r="G163" s="391"/>
      <c r="H163" s="391"/>
      <c r="I163" s="391"/>
      <c r="J163" s="391"/>
      <c r="K163" s="391"/>
      <c r="L163" s="391"/>
      <c r="M163" s="391"/>
      <c r="N163" s="391"/>
      <c r="O163" s="391"/>
    </row>
    <row r="164" spans="5:15">
      <c r="E164" s="391"/>
      <c r="F164" s="391"/>
      <c r="G164" s="391"/>
      <c r="H164" s="391"/>
      <c r="I164" s="391"/>
      <c r="J164" s="391"/>
      <c r="K164" s="391"/>
      <c r="L164" s="391"/>
      <c r="M164" s="391"/>
      <c r="N164" s="391"/>
      <c r="O164" s="391"/>
    </row>
    <row r="165" spans="5:15"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</row>
    <row r="166" spans="5:15">
      <c r="E166" s="391"/>
      <c r="F166" s="391"/>
      <c r="G166" s="391"/>
      <c r="H166" s="391"/>
      <c r="I166" s="391"/>
      <c r="J166" s="391"/>
      <c r="K166" s="391"/>
      <c r="L166" s="391"/>
      <c r="M166" s="391"/>
      <c r="N166" s="391"/>
      <c r="O166" s="391"/>
    </row>
    <row r="167" spans="5:15">
      <c r="E167" s="391"/>
      <c r="F167" s="391"/>
      <c r="G167" s="391"/>
      <c r="H167" s="391"/>
      <c r="I167" s="391"/>
      <c r="J167" s="391"/>
      <c r="K167" s="391"/>
      <c r="L167" s="391"/>
      <c r="M167" s="391"/>
      <c r="N167" s="391"/>
      <c r="O167" s="391"/>
    </row>
    <row r="168" spans="5:15">
      <c r="E168" s="391"/>
      <c r="F168" s="391"/>
      <c r="G168" s="391"/>
      <c r="H168" s="391"/>
      <c r="I168" s="391"/>
      <c r="J168" s="391"/>
      <c r="K168" s="391"/>
      <c r="L168" s="391"/>
      <c r="M168" s="391"/>
      <c r="N168" s="391"/>
      <c r="O168" s="391"/>
    </row>
    <row r="169" spans="5:15">
      <c r="E169" s="391"/>
      <c r="F169" s="391"/>
      <c r="G169" s="391"/>
      <c r="H169" s="391"/>
      <c r="I169" s="391"/>
      <c r="J169" s="391"/>
      <c r="K169" s="391"/>
      <c r="L169" s="391"/>
      <c r="M169" s="391"/>
      <c r="N169" s="391"/>
      <c r="O169" s="391"/>
    </row>
    <row r="170" spans="5:15">
      <c r="E170" s="391"/>
      <c r="F170" s="391"/>
      <c r="G170" s="391"/>
      <c r="H170" s="391"/>
      <c r="I170" s="391"/>
      <c r="J170" s="391"/>
      <c r="K170" s="391"/>
      <c r="L170" s="391"/>
      <c r="M170" s="391"/>
      <c r="N170" s="391"/>
      <c r="O170" s="391"/>
    </row>
    <row r="171" spans="5:15">
      <c r="E171" s="391"/>
      <c r="F171" s="391"/>
      <c r="G171" s="391"/>
      <c r="H171" s="391"/>
      <c r="I171" s="391"/>
      <c r="J171" s="391"/>
      <c r="K171" s="391"/>
      <c r="L171" s="391"/>
      <c r="M171" s="391"/>
      <c r="N171" s="391"/>
      <c r="O171" s="391"/>
    </row>
    <row r="172" spans="5:15">
      <c r="E172" s="391"/>
      <c r="F172" s="391"/>
      <c r="G172" s="391"/>
      <c r="H172" s="391"/>
      <c r="I172" s="391"/>
      <c r="J172" s="391"/>
      <c r="K172" s="391"/>
      <c r="L172" s="391"/>
      <c r="M172" s="391"/>
      <c r="N172" s="391"/>
      <c r="O172" s="391"/>
    </row>
    <row r="173" spans="5:15">
      <c r="E173" s="391"/>
      <c r="F173" s="391"/>
      <c r="G173" s="391"/>
      <c r="H173" s="391"/>
      <c r="I173" s="391"/>
      <c r="J173" s="391"/>
      <c r="K173" s="391"/>
      <c r="L173" s="391"/>
      <c r="M173" s="391"/>
      <c r="N173" s="391"/>
      <c r="O173" s="391"/>
    </row>
    <row r="174" spans="5:15">
      <c r="E174" s="391"/>
      <c r="F174" s="391"/>
      <c r="G174" s="391"/>
      <c r="H174" s="391"/>
      <c r="I174" s="391"/>
      <c r="J174" s="391"/>
      <c r="K174" s="391"/>
      <c r="L174" s="391"/>
      <c r="M174" s="391"/>
      <c r="N174" s="391"/>
      <c r="O174" s="391"/>
    </row>
    <row r="175" spans="5:15">
      <c r="E175" s="391"/>
      <c r="F175" s="391"/>
      <c r="G175" s="391"/>
      <c r="H175" s="391"/>
      <c r="I175" s="391"/>
      <c r="J175" s="391"/>
      <c r="K175" s="391"/>
      <c r="L175" s="391"/>
      <c r="M175" s="391"/>
      <c r="N175" s="391"/>
      <c r="O175" s="391"/>
    </row>
    <row r="176" spans="5:15"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</row>
    <row r="177" spans="5:15">
      <c r="E177" s="391"/>
      <c r="F177" s="391"/>
      <c r="G177" s="391"/>
      <c r="H177" s="391"/>
      <c r="I177" s="391"/>
      <c r="J177" s="391"/>
      <c r="K177" s="391"/>
      <c r="L177" s="391"/>
      <c r="M177" s="391"/>
      <c r="N177" s="391"/>
      <c r="O177" s="391"/>
    </row>
    <row r="178" spans="5:15">
      <c r="E178" s="391"/>
      <c r="F178" s="391"/>
      <c r="G178" s="391"/>
      <c r="H178" s="391"/>
      <c r="I178" s="391"/>
      <c r="J178" s="391"/>
      <c r="K178" s="391"/>
      <c r="L178" s="391"/>
      <c r="M178" s="391"/>
      <c r="N178" s="391"/>
      <c r="O178" s="391"/>
    </row>
    <row r="179" spans="5:15">
      <c r="E179" s="391"/>
      <c r="F179" s="391"/>
      <c r="G179" s="391"/>
      <c r="H179" s="391"/>
      <c r="I179" s="391"/>
      <c r="J179" s="391"/>
      <c r="K179" s="391"/>
      <c r="L179" s="391"/>
      <c r="M179" s="391"/>
      <c r="N179" s="391"/>
      <c r="O179" s="391"/>
    </row>
    <row r="180" spans="5:15">
      <c r="E180" s="391"/>
      <c r="F180" s="391"/>
      <c r="G180" s="391"/>
      <c r="H180" s="391"/>
      <c r="I180" s="391"/>
      <c r="J180" s="391"/>
      <c r="K180" s="391"/>
      <c r="L180" s="391"/>
      <c r="M180" s="391"/>
      <c r="N180" s="391"/>
      <c r="O180" s="391"/>
    </row>
    <row r="181" spans="5:15">
      <c r="E181" s="391"/>
      <c r="F181" s="391"/>
      <c r="G181" s="391"/>
      <c r="H181" s="391"/>
      <c r="I181" s="391"/>
      <c r="J181" s="391"/>
      <c r="K181" s="391"/>
      <c r="L181" s="391"/>
      <c r="M181" s="391"/>
      <c r="N181" s="391"/>
      <c r="O181" s="391"/>
    </row>
    <row r="182" spans="5:15">
      <c r="E182" s="391"/>
      <c r="F182" s="391"/>
      <c r="G182" s="391"/>
      <c r="H182" s="391"/>
      <c r="I182" s="391"/>
      <c r="J182" s="391"/>
      <c r="K182" s="391"/>
      <c r="L182" s="391"/>
      <c r="M182" s="391"/>
      <c r="N182" s="391"/>
      <c r="O182" s="391"/>
    </row>
    <row r="183" spans="5:15">
      <c r="E183" s="391"/>
      <c r="F183" s="391"/>
      <c r="G183" s="391"/>
      <c r="H183" s="391"/>
      <c r="I183" s="391"/>
      <c r="J183" s="391"/>
      <c r="K183" s="391"/>
      <c r="L183" s="391"/>
      <c r="M183" s="391"/>
      <c r="N183" s="391"/>
      <c r="O183" s="391"/>
    </row>
  </sheetData>
  <printOptions horizontalCentered="1" verticalCentered="1"/>
  <pageMargins left="0" right="0" top="0" bottom="0" header="0" footer="0"/>
  <pageSetup paperSize="9" scale="10" orientation="portrait" r:id="rId1"/>
  <customProperties>
    <customPr name="Qube.Worksheet.ID" r:id="rId2"/>
    <customPr name="Qube.Worksheet.Visibility" r:id="rId3"/>
    <customPr name="SHEET_UNIQUE_ID" r:id="rId4"/>
  </customProperties>
  <ignoredErrors>
    <ignoredError sqref="K102:O10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B1:T79"/>
  <sheetViews>
    <sheetView showGridLines="0" zoomScaleNormal="100" workbookViewId="0">
      <pane xSplit="6" ySplit="2" topLeftCell="G24" activePane="bottomRight" state="frozen"/>
      <selection pane="topRight" activeCell="G1" sqref="G1"/>
      <selection pane="bottomLeft" activeCell="A3" sqref="A3"/>
      <selection pane="bottomRight" activeCell="B81" sqref="B81"/>
    </sheetView>
  </sheetViews>
  <sheetFormatPr defaultColWidth="9.28515625" defaultRowHeight="12.75"/>
  <cols>
    <col min="1" max="1" width="1.7109375" style="2" customWidth="1"/>
    <col min="2" max="2" width="25.28515625" style="2" customWidth="1"/>
    <col min="3" max="6" width="8.7109375" style="2" hidden="1" customWidth="1"/>
    <col min="7" max="11" width="8.7109375" style="2" customWidth="1"/>
    <col min="12" max="12" width="9.7109375" style="2" customWidth="1"/>
    <col min="13" max="20" width="11.5703125" style="2" customWidth="1"/>
    <col min="21" max="16384" width="9.28515625" style="2"/>
  </cols>
  <sheetData>
    <row r="1" spans="2:20">
      <c r="B1" s="2" t="str">
        <f>PL!B1</f>
        <v>Cambricon (688256.SS)</v>
      </c>
      <c r="C1" s="20"/>
      <c r="D1" s="20"/>
      <c r="E1" s="20"/>
      <c r="F1" s="20"/>
      <c r="G1" s="20"/>
      <c r="H1" s="20"/>
      <c r="I1" s="327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2:20" s="22" customFormat="1">
      <c r="B2" s="22" t="str">
        <f>PL!B2</f>
        <v>Rmb m</v>
      </c>
      <c r="C2" s="80">
        <v>2013</v>
      </c>
      <c r="D2" s="80">
        <v>2014</v>
      </c>
      <c r="E2" s="80">
        <v>2015</v>
      </c>
      <c r="F2" s="80">
        <v>2016</v>
      </c>
      <c r="G2" s="80">
        <v>2017</v>
      </c>
      <c r="H2" s="80">
        <v>2018</v>
      </c>
      <c r="I2" s="80">
        <v>2019</v>
      </c>
      <c r="J2" s="80">
        <v>2020</v>
      </c>
      <c r="K2" s="80">
        <v>2021</v>
      </c>
      <c r="L2" s="80">
        <v>2022</v>
      </c>
      <c r="M2" s="80">
        <v>2023</v>
      </c>
      <c r="N2" s="80">
        <v>2024</v>
      </c>
      <c r="O2" s="80">
        <v>2025</v>
      </c>
      <c r="P2" s="86" t="s">
        <v>320</v>
      </c>
      <c r="Q2" s="86" t="s">
        <v>379</v>
      </c>
      <c r="R2" s="86" t="s">
        <v>380</v>
      </c>
      <c r="S2" s="86" t="s">
        <v>381</v>
      </c>
      <c r="T2" s="86" t="s">
        <v>382</v>
      </c>
    </row>
    <row r="3" spans="2:20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0">
      <c r="B4" s="2" t="s">
        <v>1</v>
      </c>
      <c r="C4" s="41">
        <f>Annual!F78/1000000</f>
        <v>0</v>
      </c>
      <c r="D4" s="41">
        <f>Annual!G78/1000000</f>
        <v>0</v>
      </c>
      <c r="E4" s="41">
        <f>Annual!H78/1000000</f>
        <v>0</v>
      </c>
      <c r="F4" s="41">
        <f>Annual!I78/1000000</f>
        <v>0</v>
      </c>
      <c r="G4" s="41">
        <f>Annual!J78/1000000</f>
        <v>232.19620608000002</v>
      </c>
      <c r="H4" s="41">
        <f>Annual!K78/1000000</f>
        <v>1354.3748877</v>
      </c>
      <c r="I4" s="41">
        <f>Annual!L78/1000000</f>
        <v>383.30868042999998</v>
      </c>
      <c r="J4" s="41">
        <f>Annual!M78/1000000</f>
        <v>4875.2883558800004</v>
      </c>
      <c r="K4" s="41">
        <f>Annual!N78/1000000</f>
        <v>2920.8458454499996</v>
      </c>
      <c r="L4" s="41">
        <f>Annual!O78/1000000</f>
        <v>2467.3097058499998</v>
      </c>
      <c r="M4" s="41">
        <f>Annual!P78/1000000</f>
        <v>3953.7104085400001</v>
      </c>
      <c r="N4" s="41">
        <f>Annual!Q78/1000000</f>
        <v>1986.4922663</v>
      </c>
      <c r="O4" s="41">
        <f>Annual!R78/1000000</f>
        <v>1317.35897684</v>
      </c>
      <c r="P4" s="4">
        <f>O4+CF!P28</f>
        <v>2845.7552666465954</v>
      </c>
      <c r="Q4" s="4">
        <f>P4+CF!Q28</f>
        <v>11938.969382930754</v>
      </c>
      <c r="R4" s="4">
        <f>Q4+CF!R28</f>
        <v>25456.797076739098</v>
      </c>
      <c r="S4" s="4">
        <f>R4+CF!S28</f>
        <v>58168.733833465827</v>
      </c>
      <c r="T4" s="4">
        <f>S4+CF!T28</f>
        <v>94065.212720976313</v>
      </c>
    </row>
    <row r="5" spans="2:20">
      <c r="B5" s="2" t="s">
        <v>217</v>
      </c>
      <c r="C5" s="41">
        <f>(Annual!F175)/1000000</f>
        <v>0</v>
      </c>
      <c r="D5" s="41">
        <f>(Annual!G175)/1000000</f>
        <v>0</v>
      </c>
      <c r="E5" s="41">
        <f>(Annual!H175)/1000000</f>
        <v>0</v>
      </c>
      <c r="F5" s="41">
        <f>(Annual!I175)/1000000</f>
        <v>0</v>
      </c>
      <c r="G5" s="41">
        <f>(Annual!J175)/1000000</f>
        <v>0</v>
      </c>
      <c r="H5" s="41">
        <f>(Annual!K175)/1000000</f>
        <v>0</v>
      </c>
      <c r="I5" s="41">
        <f>(Annual!L175)/1000000</f>
        <v>3898.6978995599998</v>
      </c>
      <c r="J5" s="41">
        <f>(Annual!M175)/1000000</f>
        <v>1635.99230887</v>
      </c>
      <c r="K5" s="41">
        <f>(Annual!N175)/1000000</f>
        <v>2286.0491904299997</v>
      </c>
      <c r="L5" s="41">
        <f>(Annual!O175)/1000000</f>
        <v>620.98800939</v>
      </c>
      <c r="M5" s="41">
        <f>(Annual!P175)/1000000</f>
        <v>700.26751101000002</v>
      </c>
      <c r="N5" s="41">
        <f>(Annual!Q175)/1000000</f>
        <v>760.18480227999999</v>
      </c>
      <c r="O5" s="41">
        <v>4261.1505388100004</v>
      </c>
      <c r="P5" s="9">
        <f t="shared" ref="P5:T5" si="0">O5</f>
        <v>4261.1505388100004</v>
      </c>
      <c r="Q5" s="9">
        <f t="shared" si="0"/>
        <v>4261.1505388100004</v>
      </c>
      <c r="R5" s="9">
        <f t="shared" si="0"/>
        <v>4261.1505388100004</v>
      </c>
      <c r="S5" s="9">
        <f t="shared" si="0"/>
        <v>4261.1505388100004</v>
      </c>
      <c r="T5" s="9">
        <f t="shared" si="0"/>
        <v>4261.1505388100004</v>
      </c>
    </row>
    <row r="6" spans="2:20">
      <c r="B6" s="2" t="s">
        <v>218</v>
      </c>
      <c r="C6" s="41">
        <f>Annual!F80/1000000</f>
        <v>0</v>
      </c>
      <c r="D6" s="41">
        <f>Annual!G80/1000000</f>
        <v>0</v>
      </c>
      <c r="E6" s="41">
        <f>Annual!H80/1000000</f>
        <v>0</v>
      </c>
      <c r="F6" s="41">
        <f>Annual!I80/1000000</f>
        <v>0</v>
      </c>
      <c r="G6" s="41">
        <f>Annual!J80/1000000</f>
        <v>4.4109130199999997</v>
      </c>
      <c r="H6" s="41">
        <f>Annual!K80/1000000</f>
        <v>32.644376600000001</v>
      </c>
      <c r="I6" s="41">
        <f>Annual!L80/1000000</f>
        <v>64.608654819999998</v>
      </c>
      <c r="J6" s="41">
        <f>Annual!M80/1000000</f>
        <v>207.64623935</v>
      </c>
      <c r="K6" s="41">
        <f>Annual!N80/1000000</f>
        <v>478.03510167000002</v>
      </c>
      <c r="L6" s="41">
        <f>Annual!O80/1000000</f>
        <v>765.63547588999995</v>
      </c>
      <c r="M6" s="41">
        <f>Annual!P80/1000000</f>
        <v>643.92105259000004</v>
      </c>
      <c r="N6" s="41">
        <f>Annual!Q80/1000000</f>
        <v>314.04901839999997</v>
      </c>
      <c r="O6" s="41">
        <f>Annual!R80/1000000</f>
        <v>670.64322327000002</v>
      </c>
      <c r="P6" s="125">
        <f>P41*PL!BI4*2/365-BS!O6</f>
        <v>682.77377197111321</v>
      </c>
      <c r="Q6" s="125">
        <f>Q41*PL!BJ4*2/365-BS!P6</f>
        <v>817.41711760273063</v>
      </c>
      <c r="R6" s="125">
        <f>R41*PL!BK4*2/365-BS!Q6</f>
        <v>1072.660186618999</v>
      </c>
      <c r="S6" s="125">
        <f>S41*PL!BL4*2/365-BS!R6</f>
        <v>1705.6806716014521</v>
      </c>
      <c r="T6" s="125">
        <f>T41*PL!BM4*2/365-BS!S6</f>
        <v>1795.0021539566878</v>
      </c>
    </row>
    <row r="7" spans="2:20">
      <c r="B7" s="2" t="s">
        <v>32</v>
      </c>
      <c r="C7" s="41">
        <f>Annual!F87/1000000</f>
        <v>0</v>
      </c>
      <c r="D7" s="41">
        <f>Annual!G87/1000000</f>
        <v>0</v>
      </c>
      <c r="E7" s="41">
        <f>Annual!H87/1000000</f>
        <v>0</v>
      </c>
      <c r="F7" s="41">
        <f>Annual!I87/1000000</f>
        <v>0</v>
      </c>
      <c r="G7" s="41">
        <f>Annual!J87/1000000</f>
        <v>4.9401710000000001E-2</v>
      </c>
      <c r="H7" s="41">
        <f>Annual!K87/1000000</f>
        <v>5.1485167999999994</v>
      </c>
      <c r="I7" s="41">
        <f>Annual!L87/1000000</f>
        <v>51.065453409999996</v>
      </c>
      <c r="J7" s="41">
        <f>Annual!M87/1000000</f>
        <v>90.618443540000001</v>
      </c>
      <c r="K7" s="41">
        <f>Annual!N87/1000000</f>
        <v>287.02979325000001</v>
      </c>
      <c r="L7" s="41">
        <f>Annual!O87/1000000</f>
        <v>287.12149350999999</v>
      </c>
      <c r="M7" s="41">
        <f>Annual!P87/1000000</f>
        <v>99.401068159999994</v>
      </c>
      <c r="N7" s="41">
        <f>Annual!Q87/1000000</f>
        <v>1773.9743638</v>
      </c>
      <c r="O7" s="41">
        <f>Annual!R87/1000000</f>
        <v>4943.53251026</v>
      </c>
      <c r="P7" s="125">
        <f>P42*PL!BI5*2/365-BS!O7</f>
        <v>8490.1410092554779</v>
      </c>
      <c r="Q7" s="125">
        <f>Q42*PL!BJ5*2/365-BS!P7</f>
        <v>16012.059236385709</v>
      </c>
      <c r="R7" s="125">
        <f>R42*PL!BK5*2/365-BS!Q7</f>
        <v>26088.34544460928</v>
      </c>
      <c r="S7" s="125">
        <f>S42*PL!BL5*2/365-BS!R7</f>
        <v>29477.362953485455</v>
      </c>
      <c r="T7" s="125">
        <f>T42*PL!BM5*2/365-BS!S7</f>
        <v>31783.510872709528</v>
      </c>
    </row>
    <row r="8" spans="2:20">
      <c r="B8" s="2" t="s">
        <v>43</v>
      </c>
      <c r="C8" s="4">
        <f t="shared" ref="C8:H8" si="1">C9-SUM(C4:C7)</f>
        <v>0</v>
      </c>
      <c r="D8" s="4">
        <f t="shared" si="1"/>
        <v>0</v>
      </c>
      <c r="E8" s="4">
        <f t="shared" si="1"/>
        <v>0</v>
      </c>
      <c r="F8" s="4">
        <f t="shared" si="1"/>
        <v>0</v>
      </c>
      <c r="G8" s="4">
        <f t="shared" si="1"/>
        <v>332.77753364</v>
      </c>
      <c r="H8" s="4">
        <f t="shared" si="1"/>
        <v>1561.7762512000004</v>
      </c>
      <c r="I8" s="4">
        <f t="shared" ref="I8:N8" si="2">I9-SUM(I4:I7)</f>
        <v>53.560442559999501</v>
      </c>
      <c r="J8" s="4">
        <f t="shared" si="2"/>
        <v>67.74755647999973</v>
      </c>
      <c r="K8" s="4">
        <f t="shared" si="2"/>
        <v>198.85476158000165</v>
      </c>
      <c r="L8" s="4">
        <f t="shared" si="2"/>
        <v>114.10482824000064</v>
      </c>
      <c r="M8" s="4">
        <f t="shared" si="2"/>
        <v>250.2168278299996</v>
      </c>
      <c r="N8" s="4">
        <f t="shared" si="2"/>
        <v>965.61616865999895</v>
      </c>
      <c r="O8" s="4">
        <f>O9-SUM(O4:O7)</f>
        <v>887.75910997000028</v>
      </c>
      <c r="P8" s="4">
        <f>O8+PL!BI19</f>
        <v>887.95484253000029</v>
      </c>
      <c r="Q8" s="4">
        <f>P8+PL!BJ19</f>
        <v>888.05270881000024</v>
      </c>
      <c r="R8" s="4">
        <f>Q8+PL!BK19</f>
        <v>888.05270881000024</v>
      </c>
      <c r="S8" s="4">
        <f>R8+PL!BL19</f>
        <v>888.05270881000024</v>
      </c>
      <c r="T8" s="4">
        <f>S8+PL!BM19</f>
        <v>888.05270881000024</v>
      </c>
    </row>
    <row r="9" spans="2:20" s="13" customFormat="1">
      <c r="B9" s="13" t="s">
        <v>41</v>
      </c>
      <c r="C9" s="81">
        <f>Annual!F91/1000000</f>
        <v>0</v>
      </c>
      <c r="D9" s="81">
        <f>Annual!G91/1000000</f>
        <v>0</v>
      </c>
      <c r="E9" s="81">
        <f>Annual!H91/1000000</f>
        <v>0</v>
      </c>
      <c r="F9" s="81">
        <f>Annual!I91/1000000</f>
        <v>0</v>
      </c>
      <c r="G9" s="81">
        <f>Annual!J91/1000000</f>
        <v>569.43405445000008</v>
      </c>
      <c r="H9" s="81">
        <f>Annual!K91/1000000</f>
        <v>2953.9440323000003</v>
      </c>
      <c r="I9" s="81">
        <f>Annual!L91/1000000</f>
        <v>4451.2411307799994</v>
      </c>
      <c r="J9" s="81">
        <f>Annual!M91/1000000</f>
        <v>6877.2929041199995</v>
      </c>
      <c r="K9" s="81">
        <f>Annual!N91/1000000</f>
        <v>6170.8146923800005</v>
      </c>
      <c r="L9" s="81">
        <f>Annual!O91/1000000</f>
        <v>4255.15951288</v>
      </c>
      <c r="M9" s="81">
        <f>Annual!P91/1000000</f>
        <v>5647.5168681300001</v>
      </c>
      <c r="N9" s="81">
        <f>Annual!Q91/1000000</f>
        <v>5800.3166194399992</v>
      </c>
      <c r="O9" s="81">
        <f>Annual!R91/1000000</f>
        <v>12080.44435915</v>
      </c>
      <c r="P9" s="14">
        <f t="shared" ref="P9:T9" si="3">SUM(P4:P8)</f>
        <v>17167.775429213187</v>
      </c>
      <c r="Q9" s="14">
        <f t="shared" si="3"/>
        <v>33917.648984539192</v>
      </c>
      <c r="R9" s="14">
        <f t="shared" si="3"/>
        <v>57767.005955587381</v>
      </c>
      <c r="S9" s="14">
        <f t="shared" si="3"/>
        <v>94500.980706172748</v>
      </c>
      <c r="T9" s="14">
        <f t="shared" si="3"/>
        <v>132792.92899526254</v>
      </c>
    </row>
    <row r="10" spans="2:20" s="15" customFormat="1">
      <c r="B10" s="15" t="s">
        <v>50</v>
      </c>
      <c r="C10" s="16">
        <f t="shared" ref="C10:H10" si="4">C12-C11</f>
        <v>0</v>
      </c>
      <c r="D10" s="16">
        <f t="shared" si="4"/>
        <v>0</v>
      </c>
      <c r="E10" s="16">
        <f t="shared" si="4"/>
        <v>0</v>
      </c>
      <c r="F10" s="16">
        <f t="shared" si="4"/>
        <v>0</v>
      </c>
      <c r="G10" s="16">
        <f t="shared" si="4"/>
        <v>7.0498375099999997</v>
      </c>
      <c r="H10" s="16">
        <f t="shared" si="4"/>
        <v>40.506434759999998</v>
      </c>
      <c r="I10" s="16">
        <f t="shared" ref="I10:N10" si="5">I12-I11</f>
        <v>115.56453669999999</v>
      </c>
      <c r="J10" s="16">
        <f t="shared" si="5"/>
        <v>206.91812285999998</v>
      </c>
      <c r="K10" s="16">
        <f t="shared" si="5"/>
        <v>415.92227968999998</v>
      </c>
      <c r="L10" s="16">
        <f t="shared" si="5"/>
        <v>469.95256733000002</v>
      </c>
      <c r="M10" s="16">
        <f t="shared" si="5"/>
        <v>470.36767904999999</v>
      </c>
      <c r="N10" s="16">
        <f t="shared" si="5"/>
        <v>645.12176838999994</v>
      </c>
      <c r="O10" s="16">
        <f t="shared" ref="O10" si="6">O12-O11</f>
        <v>901.37839317999999</v>
      </c>
      <c r="P10" s="23">
        <f>O10-CF!P7-CF!P14</f>
        <v>1788.8506558725842</v>
      </c>
      <c r="Q10" s="23">
        <f>P10-CF!Q7-CF!Q14</f>
        <v>2655.9338404188015</v>
      </c>
      <c r="R10" s="23">
        <f>Q10-CF!R7-CF!R14</f>
        <v>3518.2816104699659</v>
      </c>
      <c r="S10" s="23">
        <f>R10-CF!S7-CF!S14</f>
        <v>4329.5571410703378</v>
      </c>
      <c r="T10" s="23">
        <f>S10-CF!T7-CF!T14</f>
        <v>5140.9279029640757</v>
      </c>
    </row>
    <row r="11" spans="2:20" s="15" customFormat="1">
      <c r="B11" s="15" t="s">
        <v>30</v>
      </c>
      <c r="C11" s="23">
        <f>-Annual!F164/1000000</f>
        <v>0</v>
      </c>
      <c r="D11" s="23">
        <f>-Annual!G164/1000000</f>
        <v>0</v>
      </c>
      <c r="E11" s="23">
        <f>-Annual!H164/1000000</f>
        <v>0</v>
      </c>
      <c r="F11" s="23">
        <f>-Annual!I164/1000000</f>
        <v>0</v>
      </c>
      <c r="G11" s="23">
        <f>-Annual!J164/1000000</f>
        <v>0</v>
      </c>
      <c r="H11" s="23">
        <f>-Annual!K164/1000000</f>
        <v>0</v>
      </c>
      <c r="I11" s="23">
        <f>-Annual!L164/1000000</f>
        <v>-29.516656229999999</v>
      </c>
      <c r="J11" s="23">
        <f>-Annual!M164/1000000</f>
        <v>-71.296881799999994</v>
      </c>
      <c r="K11" s="23">
        <f>-Annual!N164/1000000</f>
        <v>-135.99003986000002</v>
      </c>
      <c r="L11" s="23">
        <f>-Annual!O164/1000000</f>
        <v>-236.71150383000003</v>
      </c>
      <c r="M11" s="23">
        <f>-Annual!P164/1000000</f>
        <v>-328.58415511999999</v>
      </c>
      <c r="N11" s="23">
        <f>-Annual!Q164/1000000</f>
        <v>-413.69648859</v>
      </c>
      <c r="O11" s="23">
        <v>-528.67883305999999</v>
      </c>
      <c r="P11" s="16">
        <f>O11-P48</f>
        <v>-688.9396439116</v>
      </c>
      <c r="Q11" s="16">
        <f t="shared" ref="Q11:T11" si="7">P11-Q48</f>
        <v>-853.89693582174766</v>
      </c>
      <c r="R11" s="16">
        <f t="shared" si="7"/>
        <v>-1023.2608065629107</v>
      </c>
      <c r="S11" s="16">
        <f t="shared" si="7"/>
        <v>-1197.8917109176045</v>
      </c>
      <c r="T11" s="16">
        <f t="shared" si="7"/>
        <v>-1379.5112771337431</v>
      </c>
    </row>
    <row r="12" spans="2:20">
      <c r="B12" s="2" t="s">
        <v>54</v>
      </c>
      <c r="C12" s="41">
        <f>Annual!F96/1000000</f>
        <v>0</v>
      </c>
      <c r="D12" s="41">
        <f>Annual!G96/1000000</f>
        <v>0</v>
      </c>
      <c r="E12" s="41">
        <f>Annual!H96/1000000</f>
        <v>0</v>
      </c>
      <c r="F12" s="41">
        <f>Annual!I96/1000000</f>
        <v>0</v>
      </c>
      <c r="G12" s="41">
        <f>Annual!J96/1000000</f>
        <v>7.0498375099999997</v>
      </c>
      <c r="H12" s="41">
        <f>Annual!K96/1000000</f>
        <v>40.506434759999998</v>
      </c>
      <c r="I12" s="41">
        <f>Annual!L96/1000000</f>
        <v>86.047880469999996</v>
      </c>
      <c r="J12" s="41">
        <f>Annual!M96/1000000</f>
        <v>135.62124105999999</v>
      </c>
      <c r="K12" s="41">
        <f>Annual!N96/1000000</f>
        <v>279.93223982999996</v>
      </c>
      <c r="L12" s="41">
        <f>Annual!O96/1000000</f>
        <v>233.2410635</v>
      </c>
      <c r="M12" s="41">
        <f>Annual!P96/1000000</f>
        <v>141.78352393</v>
      </c>
      <c r="N12" s="41">
        <f>Annual!Q96/1000000</f>
        <v>231.4252798</v>
      </c>
      <c r="O12" s="41">
        <f>Annual!R96/1000000</f>
        <v>372.69956012</v>
      </c>
      <c r="P12" s="4">
        <f>SUM(P10:P11)</f>
        <v>1099.9110119609841</v>
      </c>
      <c r="Q12" s="4">
        <f t="shared" ref="Q12:T12" si="8">SUM(Q10:Q11)</f>
        <v>1802.0369045970538</v>
      </c>
      <c r="R12" s="4">
        <f t="shared" si="8"/>
        <v>2495.0208039070553</v>
      </c>
      <c r="S12" s="4">
        <f t="shared" si="8"/>
        <v>3131.6654301527333</v>
      </c>
      <c r="T12" s="4">
        <f t="shared" si="8"/>
        <v>3761.4166258303326</v>
      </c>
    </row>
    <row r="13" spans="2:20" s="15" customFormat="1">
      <c r="B13" s="15" t="s">
        <v>9</v>
      </c>
      <c r="C13" s="16">
        <f t="shared" ref="C13:H13" si="9">C15-C14</f>
        <v>0</v>
      </c>
      <c r="D13" s="16">
        <f t="shared" si="9"/>
        <v>0</v>
      </c>
      <c r="E13" s="16">
        <f t="shared" si="9"/>
        <v>0</v>
      </c>
      <c r="F13" s="16">
        <f t="shared" si="9"/>
        <v>0</v>
      </c>
      <c r="G13" s="16">
        <f t="shared" si="9"/>
        <v>3.0918119800000001</v>
      </c>
      <c r="H13" s="16">
        <f t="shared" si="9"/>
        <v>35.445492710000003</v>
      </c>
      <c r="I13" s="16">
        <f t="shared" ref="I13:N13" si="10">I15-I14</f>
        <v>155.93456005000002</v>
      </c>
      <c r="J13" s="16">
        <f t="shared" si="10"/>
        <v>376.95336402999999</v>
      </c>
      <c r="K13" s="16">
        <f t="shared" si="10"/>
        <v>502.10912192000001</v>
      </c>
      <c r="L13" s="16">
        <f t="shared" si="10"/>
        <v>716.06129003000001</v>
      </c>
      <c r="M13" s="16">
        <f t="shared" si="10"/>
        <v>726.88690684999995</v>
      </c>
      <c r="N13" s="16">
        <f t="shared" si="10"/>
        <v>842.98600245</v>
      </c>
      <c r="O13" s="16">
        <f>O15-O14</f>
        <v>977.37875556999995</v>
      </c>
      <c r="P13" s="16">
        <f>O13-CF!P7+P54</f>
        <v>1116.57448813</v>
      </c>
      <c r="Q13" s="16">
        <f>P13-CF!Q7+Q54</f>
        <v>1255.67235441</v>
      </c>
      <c r="R13" s="16">
        <f>Q13-CF!R7+R54</f>
        <v>1394.67235441</v>
      </c>
      <c r="S13" s="16">
        <f>R13-CF!S7+S54</f>
        <v>1533.67235441</v>
      </c>
      <c r="T13" s="16">
        <f>S13-CF!T7+T54</f>
        <v>1672.67235441</v>
      </c>
    </row>
    <row r="14" spans="2:20" s="15" customFormat="1">
      <c r="B14" s="15" t="s">
        <v>219</v>
      </c>
      <c r="C14" s="23">
        <f>-Annual!F169/1000000</f>
        <v>0</v>
      </c>
      <c r="D14" s="23">
        <f>-Annual!G169/1000000</f>
        <v>0</v>
      </c>
      <c r="E14" s="23">
        <f>-Annual!H169/1000000</f>
        <v>0</v>
      </c>
      <c r="F14" s="23">
        <f>-Annual!I169/1000000</f>
        <v>0</v>
      </c>
      <c r="G14" s="23">
        <f>-Annual!J169/1000000</f>
        <v>0</v>
      </c>
      <c r="H14" s="23">
        <f>-Annual!K169/1000000</f>
        <v>0</v>
      </c>
      <c r="I14" s="23">
        <f>-Annual!L169/1000000</f>
        <v>-36.784449520000003</v>
      </c>
      <c r="J14" s="23">
        <f>-Annual!M169/1000000</f>
        <v>-116.07468258</v>
      </c>
      <c r="K14" s="23">
        <f>-Annual!N169/1000000</f>
        <v>-241.07617163999998</v>
      </c>
      <c r="L14" s="23">
        <f>-Annual!O169/1000000</f>
        <v>-424.91537188999996</v>
      </c>
      <c r="M14" s="23">
        <f>-Annual!P169/1000000</f>
        <v>-576.96021515999996</v>
      </c>
      <c r="N14" s="23">
        <f>-Annual!Q169/1000000</f>
        <v>-660.22303754999996</v>
      </c>
      <c r="O14" s="23">
        <v>-788.26413348999995</v>
      </c>
      <c r="P14" s="16">
        <f t="shared" ref="P14:T14" si="11">O14-P55</f>
        <v>-948.06598914759991</v>
      </c>
      <c r="Q14" s="16">
        <f t="shared" si="11"/>
        <v>-1107.9631172488798</v>
      </c>
      <c r="R14" s="16">
        <f t="shared" si="11"/>
        <v>-1267.9090848272951</v>
      </c>
      <c r="S14" s="16">
        <f t="shared" si="11"/>
        <v>-1427.8932183168167</v>
      </c>
      <c r="T14" s="16">
        <f t="shared" si="11"/>
        <v>-1588.2312349416552</v>
      </c>
    </row>
    <row r="15" spans="2:20">
      <c r="B15" s="2" t="s">
        <v>29</v>
      </c>
      <c r="C15" s="41">
        <f>Annual!F100/1000000</f>
        <v>0</v>
      </c>
      <c r="D15" s="41">
        <f>Annual!G100/1000000</f>
        <v>0</v>
      </c>
      <c r="E15" s="41">
        <f>Annual!H100/1000000</f>
        <v>0</v>
      </c>
      <c r="F15" s="41">
        <f>Annual!I100/1000000</f>
        <v>0</v>
      </c>
      <c r="G15" s="41">
        <f>Annual!J100/1000000</f>
        <v>3.0918119800000001</v>
      </c>
      <c r="H15" s="41">
        <f>Annual!K100/1000000</f>
        <v>35.445492710000003</v>
      </c>
      <c r="I15" s="41">
        <f>Annual!L100/1000000</f>
        <v>119.15011053000001</v>
      </c>
      <c r="J15" s="41">
        <f>Annual!M100/1000000</f>
        <v>260.87868144999999</v>
      </c>
      <c r="K15" s="41">
        <f>Annual!N100/1000000</f>
        <v>261.03295028000002</v>
      </c>
      <c r="L15" s="41">
        <f>Annual!O100/1000000</f>
        <v>291.14591813999999</v>
      </c>
      <c r="M15" s="41">
        <f>Annual!P100/1000000</f>
        <v>149.92669168999998</v>
      </c>
      <c r="N15" s="41">
        <f>Annual!Q100/1000000</f>
        <v>182.76296490000001</v>
      </c>
      <c r="O15" s="41">
        <f>Annual!R100/1000000</f>
        <v>189.11462208</v>
      </c>
      <c r="P15" s="4">
        <f t="shared" ref="P15:T15" si="12">P57</f>
        <v>168.31276642240002</v>
      </c>
      <c r="Q15" s="4">
        <f t="shared" si="12"/>
        <v>147.41563832112004</v>
      </c>
      <c r="R15" s="4">
        <f t="shared" si="12"/>
        <v>126.46967074270478</v>
      </c>
      <c r="S15" s="4">
        <f t="shared" si="12"/>
        <v>105.48553725318328</v>
      </c>
      <c r="T15" s="4">
        <f t="shared" si="12"/>
        <v>84.147520628344694</v>
      </c>
    </row>
    <row r="16" spans="2:20">
      <c r="B16" s="2" t="s">
        <v>220</v>
      </c>
      <c r="C16" s="41">
        <f>(Annual!F93+Annual!F95)/1000000</f>
        <v>0</v>
      </c>
      <c r="D16" s="41">
        <f>(Annual!G93+Annual!G95)/1000000</f>
        <v>0</v>
      </c>
      <c r="E16" s="41">
        <f>(Annual!H93+Annual!H95)/1000000</f>
        <v>0</v>
      </c>
      <c r="F16" s="41">
        <f>(Annual!I93+Annual!I95)/1000000</f>
        <v>0</v>
      </c>
      <c r="G16" s="41">
        <f>(Annual!J93+Annual!J95)/1000000</f>
        <v>0</v>
      </c>
      <c r="H16" s="41">
        <f>(Annual!K93+Annual!K95)/1000000</f>
        <v>0</v>
      </c>
      <c r="I16" s="41">
        <f>(Annual!L93+Annual!L95)/1000000</f>
        <v>1.36030918</v>
      </c>
      <c r="J16" s="41">
        <f>(Annual!M93+Annual!M95)/1000000</f>
        <v>1.34002372</v>
      </c>
      <c r="K16" s="41">
        <f>(Annual!N93+Annual!N95)/1000000</f>
        <v>130.24834232000001</v>
      </c>
      <c r="L16" s="41">
        <f>(Annual!O93+Annual!O95)/1000000</f>
        <v>222.21900757</v>
      </c>
      <c r="M16" s="41">
        <f>(Annual!P93+Annual!P95)/1000000</f>
        <v>229.55521515000001</v>
      </c>
      <c r="N16" s="41">
        <f>(Annual!Q93+Annual!Q95)/1000000</f>
        <v>246.59058819999998</v>
      </c>
      <c r="O16" s="41">
        <f>(Annual!R93+Annual!R95)/1000000</f>
        <v>299.70339274999998</v>
      </c>
      <c r="P16" s="4">
        <f t="shared" ref="P16:T17" si="13">O16</f>
        <v>299.70339274999998</v>
      </c>
      <c r="Q16" s="4">
        <f t="shared" si="13"/>
        <v>299.70339274999998</v>
      </c>
      <c r="R16" s="4">
        <f t="shared" si="13"/>
        <v>299.70339274999998</v>
      </c>
      <c r="S16" s="4">
        <f t="shared" si="13"/>
        <v>299.70339274999998</v>
      </c>
      <c r="T16" s="4">
        <f t="shared" si="13"/>
        <v>299.70339274999998</v>
      </c>
    </row>
    <row r="17" spans="2:20">
      <c r="B17" s="2" t="s">
        <v>4</v>
      </c>
      <c r="C17" s="4">
        <f t="shared" ref="C17:H17" si="14">C18-C16-C15-C12</f>
        <v>0</v>
      </c>
      <c r="D17" s="4">
        <f t="shared" si="14"/>
        <v>0</v>
      </c>
      <c r="E17" s="4">
        <f t="shared" si="14"/>
        <v>0</v>
      </c>
      <c r="F17" s="4">
        <f t="shared" si="14"/>
        <v>0</v>
      </c>
      <c r="G17" s="4">
        <f t="shared" si="14"/>
        <v>10.608911769999928</v>
      </c>
      <c r="H17" s="4">
        <f t="shared" si="14"/>
        <v>11.555620699999608</v>
      </c>
      <c r="I17" s="4">
        <f t="shared" ref="I17:N17" si="15">I18-I16-I15-I12</f>
        <v>10.672850600001368</v>
      </c>
      <c r="J17" s="4">
        <f t="shared" si="15"/>
        <v>34.395821309999917</v>
      </c>
      <c r="K17" s="4">
        <f t="shared" si="15"/>
        <v>147.11809607000009</v>
      </c>
      <c r="L17" s="4">
        <f t="shared" si="15"/>
        <v>768.65409050000028</v>
      </c>
      <c r="M17" s="4">
        <f t="shared" si="15"/>
        <v>249.25382342999956</v>
      </c>
      <c r="N17" s="4">
        <f t="shared" si="15"/>
        <v>256.71705736000104</v>
      </c>
      <c r="O17" s="4">
        <f>O18-O16-O15-O12</f>
        <v>495.75213181000026</v>
      </c>
      <c r="P17" s="4">
        <f t="shared" si="13"/>
        <v>495.75213181000026</v>
      </c>
      <c r="Q17" s="4">
        <f t="shared" si="13"/>
        <v>495.75213181000026</v>
      </c>
      <c r="R17" s="4">
        <f t="shared" si="13"/>
        <v>495.75213181000026</v>
      </c>
      <c r="S17" s="4">
        <f t="shared" si="13"/>
        <v>495.75213181000026</v>
      </c>
      <c r="T17" s="4">
        <f t="shared" si="13"/>
        <v>495.75213181000026</v>
      </c>
    </row>
    <row r="18" spans="2:20" s="13" customFormat="1">
      <c r="B18" s="13" t="s">
        <v>221</v>
      </c>
      <c r="C18" s="14">
        <f t="shared" ref="C18:H18" si="16">C19-C9</f>
        <v>0</v>
      </c>
      <c r="D18" s="14">
        <f t="shared" si="16"/>
        <v>0</v>
      </c>
      <c r="E18" s="14">
        <f t="shared" si="16"/>
        <v>0</v>
      </c>
      <c r="F18" s="14">
        <f t="shared" si="16"/>
        <v>0</v>
      </c>
      <c r="G18" s="14">
        <f t="shared" si="16"/>
        <v>20.750561259999927</v>
      </c>
      <c r="H18" s="14">
        <f t="shared" si="16"/>
        <v>87.507548169999609</v>
      </c>
      <c r="I18" s="14">
        <f t="shared" ref="I18:N18" si="17">I19-I9</f>
        <v>217.23115078000137</v>
      </c>
      <c r="J18" s="14">
        <f t="shared" si="17"/>
        <v>432.23576753999987</v>
      </c>
      <c r="K18" s="14">
        <f t="shared" si="17"/>
        <v>818.33162850000008</v>
      </c>
      <c r="L18" s="14">
        <f t="shared" si="17"/>
        <v>1515.2600797100004</v>
      </c>
      <c r="M18" s="14">
        <f t="shared" si="17"/>
        <v>770.51925419999952</v>
      </c>
      <c r="N18" s="14">
        <f t="shared" si="17"/>
        <v>917.49589026000103</v>
      </c>
      <c r="O18" s="14">
        <f>O19-O9</f>
        <v>1357.2697067600002</v>
      </c>
      <c r="P18" s="14">
        <f>SUM(P12,P15:P17)</f>
        <v>2063.6793029433843</v>
      </c>
      <c r="Q18" s="14">
        <f t="shared" ref="Q18:T18" si="18">SUM(Q12,Q15:Q17)</f>
        <v>2744.908067478174</v>
      </c>
      <c r="R18" s="14">
        <f t="shared" si="18"/>
        <v>3416.9459992097604</v>
      </c>
      <c r="S18" s="14">
        <f t="shared" si="18"/>
        <v>4032.606491965917</v>
      </c>
      <c r="T18" s="14">
        <f t="shared" si="18"/>
        <v>4641.0196710186774</v>
      </c>
    </row>
    <row r="19" spans="2:20" s="7" customFormat="1">
      <c r="B19" s="7" t="s">
        <v>10</v>
      </c>
      <c r="C19" s="42">
        <f>Annual!F107/1000000</f>
        <v>0</v>
      </c>
      <c r="D19" s="42">
        <f>Annual!G107/1000000</f>
        <v>0</v>
      </c>
      <c r="E19" s="42">
        <f>Annual!H107/1000000</f>
        <v>0</v>
      </c>
      <c r="F19" s="42">
        <f>Annual!I107/1000000</f>
        <v>0</v>
      </c>
      <c r="G19" s="42">
        <f>Annual!J107/1000000</f>
        <v>590.18461571</v>
      </c>
      <c r="H19" s="42">
        <f>Annual!K107/1000000</f>
        <v>3041.45158047</v>
      </c>
      <c r="I19" s="42">
        <f>Annual!L107/1000000</f>
        <v>4668.4722815600007</v>
      </c>
      <c r="J19" s="42">
        <f>Annual!M107/1000000</f>
        <v>7309.5286716599994</v>
      </c>
      <c r="K19" s="42">
        <f>Annual!N107/1000000</f>
        <v>6989.1463208800005</v>
      </c>
      <c r="L19" s="42">
        <f>Annual!O107/1000000</f>
        <v>5770.4195925900003</v>
      </c>
      <c r="M19" s="42">
        <f>Annual!P107/1000000</f>
        <v>6418.0361223299997</v>
      </c>
      <c r="N19" s="42">
        <f>Annual!Q107/1000000</f>
        <v>6717.8125097000002</v>
      </c>
      <c r="O19" s="42">
        <f>Annual!R107/1000000</f>
        <v>13437.71406591</v>
      </c>
      <c r="P19" s="8">
        <f>P18+P9</f>
        <v>19231.45473215657</v>
      </c>
      <c r="Q19" s="8">
        <f t="shared" ref="Q19:T19" si="19">Q18+Q9</f>
        <v>36662.557052017364</v>
      </c>
      <c r="R19" s="8">
        <f t="shared" si="19"/>
        <v>61183.951954797143</v>
      </c>
      <c r="S19" s="8">
        <f t="shared" si="19"/>
        <v>98533.587198138659</v>
      </c>
      <c r="T19" s="8">
        <f t="shared" si="19"/>
        <v>137433.94866628121</v>
      </c>
    </row>
    <row r="20" spans="2:20">
      <c r="B20" s="2" t="s">
        <v>44</v>
      </c>
      <c r="C20" s="41">
        <f>Annual!F113/1000000</f>
        <v>0</v>
      </c>
      <c r="D20" s="41">
        <f>Annual!G113/1000000</f>
        <v>0</v>
      </c>
      <c r="E20" s="41">
        <f>Annual!H113/1000000</f>
        <v>0</v>
      </c>
      <c r="F20" s="41">
        <f>Annual!I113/1000000</f>
        <v>0</v>
      </c>
      <c r="G20" s="41">
        <f>Annual!J113/1000000</f>
        <v>0.88110706999999999</v>
      </c>
      <c r="H20" s="41">
        <f>Annual!K113/1000000</f>
        <v>22.39948729</v>
      </c>
      <c r="I20" s="41">
        <f>Annual!L113/1000000</f>
        <v>124.91385929</v>
      </c>
      <c r="J20" s="41">
        <f>Annual!M113/1000000</f>
        <v>238.6299783</v>
      </c>
      <c r="K20" s="41">
        <f>Annual!N113/1000000</f>
        <v>214.67475238999998</v>
      </c>
      <c r="L20" s="41">
        <f>Annual!O113/1000000</f>
        <v>230.44318265999999</v>
      </c>
      <c r="M20" s="41">
        <f>Annual!P113/1000000</f>
        <v>237.22900544000001</v>
      </c>
      <c r="N20" s="41">
        <f>Annual!Q113/1000000</f>
        <v>514.6430742</v>
      </c>
      <c r="O20" s="41">
        <f>Annual!R113/1000000</f>
        <v>765.00865758000009</v>
      </c>
      <c r="P20" s="125">
        <f>P43*PL!BI5*2/365-BS!O20</f>
        <v>1154.0875594936397</v>
      </c>
      <c r="Q20" s="125">
        <f>Q43*PL!BJ5*2/365-BS!P20</f>
        <v>6196.5725141987168</v>
      </c>
      <c r="R20" s="125">
        <f>R43*PL!BK5*2/365-BS!Q20</f>
        <v>7836.8957127996127</v>
      </c>
      <c r="S20" s="125">
        <f>S43*PL!BL5*2/365-BS!R20</f>
        <v>13000.244936485911</v>
      </c>
      <c r="T20" s="125">
        <f>T43*PL!BM5*2/365-BS!S20</f>
        <v>13254.415274740508</v>
      </c>
    </row>
    <row r="21" spans="2:20">
      <c r="B21" s="2" t="s">
        <v>51</v>
      </c>
      <c r="C21" s="41">
        <f>(Annual!F109+Annual!F112+Annual!F121+Annual!F122)/1000000</f>
        <v>0</v>
      </c>
      <c r="D21" s="41">
        <f>(Annual!G109+Annual!G112+Annual!G121+Annual!G122)/1000000</f>
        <v>0</v>
      </c>
      <c r="E21" s="41">
        <f>(Annual!H109+Annual!H112+Annual!H121+Annual!H122)/1000000</f>
        <v>0</v>
      </c>
      <c r="F21" s="41">
        <f>(Annual!I109+Annual!I112+Annual!I121+Annual!I122)/1000000</f>
        <v>0</v>
      </c>
      <c r="G21" s="41">
        <f>(Annual!J109+Annual!J112+Annual!J121+Annual!J122)/1000000</f>
        <v>0</v>
      </c>
      <c r="H21" s="41">
        <f>(Annual!K109+Annual!K112+Annual!K121+Annual!K122)/1000000</f>
        <v>0</v>
      </c>
      <c r="I21" s="41">
        <f>(Annual!L109+Annual!L112+Annual!L121+Annual!L122)/1000000</f>
        <v>0</v>
      </c>
      <c r="J21" s="41">
        <f>(Annual!M109+Annual!M112+Annual!M121+Annual!M122)/1000000</f>
        <v>3.5954144800000001</v>
      </c>
      <c r="K21" s="41">
        <f>(Annual!N109+Annual!N112+Annual!N121+Annual!N122)/1000000</f>
        <v>55.892880409999997</v>
      </c>
      <c r="L21" s="41">
        <f>(Annual!O109+Annual!O112+Annual!O121+Annual!O122)/1000000</f>
        <v>67.182932309999998</v>
      </c>
      <c r="M21" s="41">
        <f>(Annual!P109+Annual!P112+Annual!P121+Annual!P122)/1000000</f>
        <v>36.582378679999998</v>
      </c>
      <c r="N21" s="41">
        <f>(Annual!Q109+Annual!Q112+Annual!Q121+Annual!Q122)/1000000</f>
        <v>119.55269060000001</v>
      </c>
      <c r="O21" s="41">
        <f>(Annual!R109+Annual!R112+Annual!R121+Annual!R122)/1000000</f>
        <v>366.80954884000005</v>
      </c>
      <c r="P21" s="9">
        <v>17</v>
      </c>
      <c r="Q21" s="9">
        <f>P21</f>
        <v>17</v>
      </c>
      <c r="R21" s="9">
        <f>Q21</f>
        <v>17</v>
      </c>
      <c r="S21" s="9">
        <f>R21</f>
        <v>17</v>
      </c>
      <c r="T21" s="9">
        <f>S21</f>
        <v>17</v>
      </c>
    </row>
    <row r="22" spans="2:20">
      <c r="B22" s="2" t="s">
        <v>6</v>
      </c>
      <c r="C22" s="4">
        <f t="shared" ref="C22:H22" si="20">C23-C20-C21</f>
        <v>0</v>
      </c>
      <c r="D22" s="4">
        <f t="shared" si="20"/>
        <v>0</v>
      </c>
      <c r="E22" s="4">
        <f t="shared" si="20"/>
        <v>0</v>
      </c>
      <c r="F22" s="4">
        <f t="shared" si="20"/>
        <v>0</v>
      </c>
      <c r="G22" s="4">
        <f t="shared" si="20"/>
        <v>505.75817197000003</v>
      </c>
      <c r="H22" s="4">
        <f t="shared" si="20"/>
        <v>2425.3749856999998</v>
      </c>
      <c r="I22" s="4">
        <f t="shared" ref="I22:N22" si="21">I23-I20-I21</f>
        <v>113.06121567</v>
      </c>
      <c r="J22" s="4">
        <f t="shared" si="21"/>
        <v>158.34882054000002</v>
      </c>
      <c r="K22" s="4">
        <f t="shared" si="21"/>
        <v>232.02865821000003</v>
      </c>
      <c r="L22" s="4">
        <f t="shared" si="21"/>
        <v>244.51854406999996</v>
      </c>
      <c r="M22" s="4">
        <f t="shared" si="21"/>
        <v>189.36965537999998</v>
      </c>
      <c r="N22" s="4">
        <f t="shared" si="21"/>
        <v>183.94021457999997</v>
      </c>
      <c r="O22" s="4">
        <f>O23-O20-O21</f>
        <v>201.15064498999993</v>
      </c>
      <c r="P22" s="113">
        <f>O22+PL!BI29-PL!BH29</f>
        <v>1466.5246836999204</v>
      </c>
      <c r="Q22" s="113">
        <f>P22+PL!BJ29-PL!BI29</f>
        <v>3955.7648819619826</v>
      </c>
      <c r="R22" s="113">
        <f>Q22+PL!BK29-PL!BJ29</f>
        <v>7942.9925921141084</v>
      </c>
      <c r="S22" s="113">
        <f>R22+PL!BL29-PL!BK29</f>
        <v>12025.664005152923</v>
      </c>
      <c r="T22" s="113">
        <f>S22+PL!BM29-PL!BL29</f>
        <v>15263.735362421065</v>
      </c>
    </row>
    <row r="23" spans="2:20" s="13" customFormat="1">
      <c r="B23" s="13" t="s">
        <v>11</v>
      </c>
      <c r="C23" s="81">
        <f>Annual!F123/1000000</f>
        <v>0</v>
      </c>
      <c r="D23" s="81">
        <f>Annual!G123/1000000</f>
        <v>0</v>
      </c>
      <c r="E23" s="81">
        <f>Annual!H123/1000000</f>
        <v>0</v>
      </c>
      <c r="F23" s="81">
        <f>Annual!I123/1000000</f>
        <v>0</v>
      </c>
      <c r="G23" s="81">
        <f>Annual!J123/1000000</f>
        <v>506.63927904000002</v>
      </c>
      <c r="H23" s="81">
        <f>Annual!K123/1000000</f>
        <v>2447.7744729899996</v>
      </c>
      <c r="I23" s="81">
        <f>Annual!L123/1000000</f>
        <v>237.97507496</v>
      </c>
      <c r="J23" s="81">
        <f>Annual!M123/1000000</f>
        <v>400.57421332000001</v>
      </c>
      <c r="K23" s="81">
        <f>Annual!N123/1000000</f>
        <v>502.59629101000002</v>
      </c>
      <c r="L23" s="81">
        <f>Annual!O123/1000000</f>
        <v>542.14465903999996</v>
      </c>
      <c r="M23" s="81">
        <f>Annual!P123/1000000</f>
        <v>463.1810395</v>
      </c>
      <c r="N23" s="81">
        <f>Annual!Q123/1000000</f>
        <v>818.13597937999998</v>
      </c>
      <c r="O23" s="81">
        <f>Annual!R123/1000000</f>
        <v>1332.9688514100001</v>
      </c>
      <c r="P23" s="115">
        <f>SUM(P20:P22)</f>
        <v>2637.6122431935601</v>
      </c>
      <c r="Q23" s="115">
        <f t="shared" ref="Q23:T23" si="22">SUM(Q20:Q22)</f>
        <v>10169.337396160699</v>
      </c>
      <c r="R23" s="115">
        <f t="shared" si="22"/>
        <v>15796.888304913722</v>
      </c>
      <c r="S23" s="115">
        <f t="shared" si="22"/>
        <v>25042.908941638834</v>
      </c>
      <c r="T23" s="115">
        <f t="shared" si="22"/>
        <v>28535.150637161572</v>
      </c>
    </row>
    <row r="24" spans="2:20">
      <c r="B24" s="2" t="s">
        <v>52</v>
      </c>
      <c r="C24" s="41">
        <f>(Annual!F125+Annual!F126)/1000000</f>
        <v>0</v>
      </c>
      <c r="D24" s="41">
        <f>(Annual!G125+Annual!G126)/1000000</f>
        <v>0</v>
      </c>
      <c r="E24" s="41">
        <f>(Annual!H125+Annual!H126)/1000000</f>
        <v>0</v>
      </c>
      <c r="F24" s="41">
        <f>(Annual!I125+Annual!I126)/1000000</f>
        <v>0</v>
      </c>
      <c r="G24" s="41">
        <f>(Annual!J125+Annual!J126)/1000000</f>
        <v>0</v>
      </c>
      <c r="H24" s="41">
        <f>(Annual!K125+Annual!K126)/1000000</f>
        <v>0</v>
      </c>
      <c r="I24" s="41">
        <f>(Annual!L125+Annual!L126)/1000000</f>
        <v>0</v>
      </c>
      <c r="J24" s="41">
        <f>(Annual!M125+Annual!M126)/1000000</f>
        <v>0</v>
      </c>
      <c r="K24" s="41">
        <f>(Annual!N125+Annual!N126)/1000000</f>
        <v>0</v>
      </c>
      <c r="L24" s="41">
        <f>(Annual!O125+Annual!O126)/1000000</f>
        <v>0</v>
      </c>
      <c r="M24" s="41">
        <f>(Annual!P125+Annual!P126)/1000000</f>
        <v>0</v>
      </c>
      <c r="N24" s="41">
        <f>(Annual!Q125+Annual!Q126)/1000000</f>
        <v>0</v>
      </c>
      <c r="O24" s="41">
        <f>(Annual!R125+Annual!R126)/1000000</f>
        <v>0</v>
      </c>
      <c r="P24" s="113">
        <f>O24</f>
        <v>0</v>
      </c>
      <c r="Q24" s="113">
        <f t="shared" ref="Q24:T25" si="23">P24</f>
        <v>0</v>
      </c>
      <c r="R24" s="113">
        <f t="shared" si="23"/>
        <v>0</v>
      </c>
      <c r="S24" s="113">
        <f t="shared" si="23"/>
        <v>0</v>
      </c>
      <c r="T24" s="113">
        <f t="shared" si="23"/>
        <v>0</v>
      </c>
    </row>
    <row r="25" spans="2:20">
      <c r="B25" s="2" t="s">
        <v>53</v>
      </c>
      <c r="C25" s="4">
        <f t="shared" ref="C25:H25" si="24">C26-C24</f>
        <v>0</v>
      </c>
      <c r="D25" s="4">
        <f t="shared" si="24"/>
        <v>0</v>
      </c>
      <c r="E25" s="4">
        <f t="shared" si="24"/>
        <v>0</v>
      </c>
      <c r="F25" s="4">
        <f t="shared" si="24"/>
        <v>0</v>
      </c>
      <c r="G25" s="4">
        <f t="shared" si="24"/>
        <v>50.46876801999997</v>
      </c>
      <c r="H25" s="4">
        <f t="shared" si="24"/>
        <v>83.034718340000381</v>
      </c>
      <c r="I25" s="4">
        <f t="shared" ref="I25:N25" si="25">I26-I24</f>
        <v>74.017697830000003</v>
      </c>
      <c r="J25" s="4">
        <f t="shared" si="25"/>
        <v>477.45322577000002</v>
      </c>
      <c r="K25" s="4">
        <f t="shared" si="25"/>
        <v>506.33856449000001</v>
      </c>
      <c r="L25" s="4">
        <f t="shared" si="25"/>
        <v>288.45507407000002</v>
      </c>
      <c r="M25" s="4">
        <f t="shared" si="25"/>
        <v>225.32599350999999</v>
      </c>
      <c r="N25" s="4">
        <f t="shared" si="25"/>
        <v>469.19695866999996</v>
      </c>
      <c r="O25" s="4">
        <f>O26-O24</f>
        <v>261.49147902999994</v>
      </c>
      <c r="P25" s="4">
        <f>O25</f>
        <v>261.49147902999994</v>
      </c>
      <c r="Q25" s="4">
        <f t="shared" si="23"/>
        <v>261.49147902999994</v>
      </c>
      <c r="R25" s="4">
        <f t="shared" si="23"/>
        <v>261.49147902999994</v>
      </c>
      <c r="S25" s="4">
        <f t="shared" si="23"/>
        <v>261.49147902999994</v>
      </c>
      <c r="T25" s="4">
        <f t="shared" si="23"/>
        <v>261.49147902999994</v>
      </c>
    </row>
    <row r="26" spans="2:20" s="13" customFormat="1">
      <c r="B26" s="13" t="s">
        <v>222</v>
      </c>
      <c r="C26" s="14">
        <f t="shared" ref="C26:H26" si="26">C27-C23</f>
        <v>0</v>
      </c>
      <c r="D26" s="14">
        <f t="shared" si="26"/>
        <v>0</v>
      </c>
      <c r="E26" s="14">
        <f t="shared" si="26"/>
        <v>0</v>
      </c>
      <c r="F26" s="14">
        <f t="shared" si="26"/>
        <v>0</v>
      </c>
      <c r="G26" s="14">
        <f t="shared" si="26"/>
        <v>50.46876801999997</v>
      </c>
      <c r="H26" s="14">
        <f t="shared" si="26"/>
        <v>83.034718340000381</v>
      </c>
      <c r="I26" s="14">
        <f t="shared" ref="I26:N26" si="27">I27-I23</f>
        <v>74.017697830000003</v>
      </c>
      <c r="J26" s="14">
        <f t="shared" si="27"/>
        <v>477.45322577000002</v>
      </c>
      <c r="K26" s="14">
        <f t="shared" si="27"/>
        <v>506.33856449000001</v>
      </c>
      <c r="L26" s="14">
        <f t="shared" si="27"/>
        <v>288.45507407000002</v>
      </c>
      <c r="M26" s="14">
        <f t="shared" si="27"/>
        <v>225.32599350999999</v>
      </c>
      <c r="N26" s="14">
        <f t="shared" si="27"/>
        <v>469.19695866999996</v>
      </c>
      <c r="O26" s="14">
        <f>O27-O23</f>
        <v>261.49147902999994</v>
      </c>
      <c r="P26" s="14">
        <f t="shared" ref="P26:T26" si="28">SUM(P24:P25)</f>
        <v>261.49147902999994</v>
      </c>
      <c r="Q26" s="14">
        <f t="shared" si="28"/>
        <v>261.49147902999994</v>
      </c>
      <c r="R26" s="14">
        <f t="shared" si="28"/>
        <v>261.49147902999994</v>
      </c>
      <c r="S26" s="14">
        <f t="shared" si="28"/>
        <v>261.49147902999994</v>
      </c>
      <c r="T26" s="14">
        <f t="shared" si="28"/>
        <v>261.49147902999994</v>
      </c>
    </row>
    <row r="27" spans="2:20" s="7" customFormat="1">
      <c r="B27" s="7" t="s">
        <v>12</v>
      </c>
      <c r="C27" s="42">
        <f>Annual!F134/1000000</f>
        <v>0</v>
      </c>
      <c r="D27" s="42">
        <f>Annual!G134/1000000</f>
        <v>0</v>
      </c>
      <c r="E27" s="42">
        <f>Annual!H134/1000000</f>
        <v>0</v>
      </c>
      <c r="F27" s="42">
        <f>Annual!I134/1000000</f>
        <v>0</v>
      </c>
      <c r="G27" s="42">
        <f>Annual!J134/1000000</f>
        <v>557.10804705999999</v>
      </c>
      <c r="H27" s="42">
        <f>Annual!K134/1000000</f>
        <v>2530.80919133</v>
      </c>
      <c r="I27" s="42">
        <f>Annual!L134/1000000</f>
        <v>311.99277279</v>
      </c>
      <c r="J27" s="42">
        <f>Annual!M134/1000000</f>
        <v>878.02743909000003</v>
      </c>
      <c r="K27" s="42">
        <f>Annual!N134/1000000</f>
        <v>1008.9348555</v>
      </c>
      <c r="L27" s="42">
        <f>Annual!O134/1000000</f>
        <v>830.59973310999999</v>
      </c>
      <c r="M27" s="42">
        <f>Annual!P134/1000000</f>
        <v>688.50703300999999</v>
      </c>
      <c r="N27" s="42">
        <f>Annual!Q134/1000000</f>
        <v>1287.3329380499999</v>
      </c>
      <c r="O27" s="42">
        <f>Annual!R134/1000000</f>
        <v>1594.46033044</v>
      </c>
      <c r="P27" s="8">
        <f>P23+P26</f>
        <v>2899.10372222356</v>
      </c>
      <c r="Q27" s="8">
        <f t="shared" ref="Q27:T27" si="29">Q23+Q26</f>
        <v>10430.828875190698</v>
      </c>
      <c r="R27" s="8">
        <f t="shared" si="29"/>
        <v>16058.379783943721</v>
      </c>
      <c r="S27" s="8">
        <f t="shared" si="29"/>
        <v>25304.400420668833</v>
      </c>
      <c r="T27" s="8">
        <f t="shared" si="29"/>
        <v>28796.642116191571</v>
      </c>
    </row>
    <row r="28" spans="2:20">
      <c r="B28" s="2" t="s">
        <v>13</v>
      </c>
      <c r="C28" s="82">
        <f>Annual!F138/1000000</f>
        <v>0</v>
      </c>
      <c r="D28" s="82">
        <f>Annual!G138/1000000</f>
        <v>0</v>
      </c>
      <c r="E28" s="82">
        <f>Annual!H138/1000000</f>
        <v>0</v>
      </c>
      <c r="F28" s="82">
        <f>Annual!I138/1000000</f>
        <v>0</v>
      </c>
      <c r="G28" s="82">
        <f>Annual!J138/1000000</f>
        <v>0</v>
      </c>
      <c r="H28" s="82">
        <f>Annual!K138/1000000</f>
        <v>0</v>
      </c>
      <c r="I28" s="82">
        <f>Annual!L138/1000000</f>
        <v>0</v>
      </c>
      <c r="J28" s="82">
        <f>Annual!M138/1000000</f>
        <v>0</v>
      </c>
      <c r="K28" s="82">
        <f>Annual!N138/1000000</f>
        <v>0</v>
      </c>
      <c r="L28" s="82">
        <f>Annual!O138/1000000</f>
        <v>0</v>
      </c>
      <c r="M28" s="82">
        <f>Annual!P138/1000000</f>
        <v>0</v>
      </c>
      <c r="N28" s="82">
        <f>Annual!Q138/1000000</f>
        <v>0</v>
      </c>
      <c r="O28" s="82">
        <f>Annual!R138/1000000</f>
        <v>0</v>
      </c>
      <c r="P28" s="4">
        <f>O28</f>
        <v>0</v>
      </c>
      <c r="Q28" s="4">
        <f t="shared" ref="Q28:T30" si="30">P28</f>
        <v>0</v>
      </c>
      <c r="R28" s="4">
        <f t="shared" si="30"/>
        <v>0</v>
      </c>
      <c r="S28" s="4">
        <f t="shared" si="30"/>
        <v>0</v>
      </c>
      <c r="T28" s="4">
        <f t="shared" si="30"/>
        <v>0</v>
      </c>
    </row>
    <row r="29" spans="2:20">
      <c r="B29" s="2" t="s">
        <v>223</v>
      </c>
      <c r="C29" s="41">
        <f>Annual!F136/1000000</f>
        <v>0</v>
      </c>
      <c r="D29" s="41">
        <f>Annual!G136/1000000</f>
        <v>0</v>
      </c>
      <c r="E29" s="41">
        <f>Annual!H136/1000000</f>
        <v>0</v>
      </c>
      <c r="F29" s="41">
        <f>Annual!I136/1000000</f>
        <v>0</v>
      </c>
      <c r="G29" s="41">
        <f>Annual!J136/1000000</f>
        <v>1.0046504999999999</v>
      </c>
      <c r="H29" s="41">
        <f>Annual!K136/1000000</f>
        <v>1.1280288000000001</v>
      </c>
      <c r="I29" s="41">
        <f>Annual!L136/1000000</f>
        <v>360</v>
      </c>
      <c r="J29" s="41">
        <f>Annual!M136/1000000</f>
        <v>400.1</v>
      </c>
      <c r="K29" s="41">
        <f>Annual!N136/1000000</f>
        <v>400.1</v>
      </c>
      <c r="L29" s="41">
        <f>Annual!O136/1000000</f>
        <v>400.81464999999997</v>
      </c>
      <c r="M29" s="41">
        <f>Annual!P136/1000000</f>
        <v>416.59445099999999</v>
      </c>
      <c r="N29" s="41">
        <f>Annual!Q136/1000000</f>
        <v>417.45675299999999</v>
      </c>
      <c r="O29" s="41">
        <f>Annual!R136/1000000</f>
        <v>421.68517000000003</v>
      </c>
      <c r="P29" s="9">
        <v>628.29296899999997</v>
      </c>
      <c r="Q29" s="9">
        <f t="shared" si="30"/>
        <v>628.29296899999997</v>
      </c>
      <c r="R29" s="9">
        <f t="shared" si="30"/>
        <v>628.29296899999997</v>
      </c>
      <c r="S29" s="9">
        <f t="shared" si="30"/>
        <v>628.29296899999997</v>
      </c>
      <c r="T29" s="9">
        <f t="shared" si="30"/>
        <v>628.29296899999997</v>
      </c>
    </row>
    <row r="30" spans="2:20">
      <c r="B30" s="2" t="s">
        <v>14</v>
      </c>
      <c r="C30" s="82">
        <f>-Annual!F141/1000000</f>
        <v>0</v>
      </c>
      <c r="D30" s="82">
        <f>-Annual!G141/1000000</f>
        <v>0</v>
      </c>
      <c r="E30" s="82">
        <f>-Annual!H141/1000000</f>
        <v>0</v>
      </c>
      <c r="F30" s="82">
        <f>-Annual!I141/1000000</f>
        <v>0</v>
      </c>
      <c r="G30" s="82">
        <f>-Annual!J141/1000000</f>
        <v>0</v>
      </c>
      <c r="H30" s="41">
        <f>-Annual!K141/1000000</f>
        <v>0</v>
      </c>
      <c r="I30" s="41">
        <f>-Annual!L141/1000000</f>
        <v>0</v>
      </c>
      <c r="J30" s="41">
        <f>-Annual!M141/1000000</f>
        <v>0</v>
      </c>
      <c r="K30" s="41">
        <f>-Annual!N141/1000000</f>
        <v>0</v>
      </c>
      <c r="L30" s="41">
        <f>-Annual!O141/1000000</f>
        <v>-47.612531300000001</v>
      </c>
      <c r="M30" s="41">
        <f>-Annual!P141/1000000</f>
        <v>-123.07995203</v>
      </c>
      <c r="N30" s="41">
        <f>-Annual!Q141/1000000</f>
        <v>-130.292821</v>
      </c>
      <c r="O30" s="41">
        <f>-Annual!R141/1000000</f>
        <v>-20.064542940000003</v>
      </c>
      <c r="P30" s="4">
        <f>O30</f>
        <v>-20.064542940000003</v>
      </c>
      <c r="Q30" s="4">
        <f t="shared" si="30"/>
        <v>-20.064542940000003</v>
      </c>
      <c r="R30" s="4">
        <f t="shared" si="30"/>
        <v>-20.064542940000003</v>
      </c>
      <c r="S30" s="4">
        <f t="shared" si="30"/>
        <v>-20.064542940000003</v>
      </c>
      <c r="T30" s="4">
        <f t="shared" si="30"/>
        <v>-20.064542940000003</v>
      </c>
    </row>
    <row r="31" spans="2:20">
      <c r="B31" s="2" t="s">
        <v>15</v>
      </c>
      <c r="C31" s="41">
        <f>(Annual!F144+Annual!F145)/1000000</f>
        <v>0</v>
      </c>
      <c r="D31" s="41">
        <f>(Annual!G144+Annual!G145)/1000000</f>
        <v>0</v>
      </c>
      <c r="E31" s="41">
        <f>(Annual!H144+Annual!H145)/1000000</f>
        <v>0</v>
      </c>
      <c r="F31" s="41">
        <f>(Annual!I144+Annual!I145)/1000000</f>
        <v>0</v>
      </c>
      <c r="G31" s="41">
        <f>(Annual!J144+Annual!J145)/1000000</f>
        <v>-381.80917204000002</v>
      </c>
      <c r="H31" s="41">
        <f>(Annual!K144+Annual!K145)/1000000</f>
        <v>-422.85567941000005</v>
      </c>
      <c r="I31" s="41">
        <f>(Annual!L144+Annual!L145)/1000000</f>
        <v>-854.63704386000006</v>
      </c>
      <c r="J31" s="41">
        <f>(Annual!M144+Annual!M145)/1000000</f>
        <v>-1289.1463750200001</v>
      </c>
      <c r="K31" s="41">
        <f>(Annual!N144+Annual!N145)/1000000</f>
        <v>-2115.8571271800001</v>
      </c>
      <c r="L31" s="41">
        <f>(Annual!O144+Annual!O145)/1000000</f>
        <v>-3372.4196491799999</v>
      </c>
      <c r="M31" s="41">
        <f>(Annual!P144+Annual!P145)/1000000</f>
        <v>-4221.0134183800001</v>
      </c>
      <c r="N31" s="41">
        <f>(Annual!Q144+Annual!Q145)/1000000</f>
        <v>-4673.3522094</v>
      </c>
      <c r="O31" s="41">
        <f>(Annual!R144+Annual!R145)/1000000</f>
        <v>164.24869692999999</v>
      </c>
      <c r="P31" s="4">
        <f>O31+PL!BI25-PL!BI29</f>
        <v>4445.4491121930096</v>
      </c>
      <c r="Q31" s="4">
        <f>P31+PL!BJ25-PL!BJ29</f>
        <v>14341.926611086667</v>
      </c>
      <c r="R31" s="4">
        <f>Q31+PL!BK25-PL!BK29</f>
        <v>33232.870937113417</v>
      </c>
      <c r="S31" s="4">
        <f>R31+PL!BL25-PL!BL29</f>
        <v>61333.585875729827</v>
      </c>
      <c r="T31" s="4">
        <f>S31+PL!BM25-PL!BM29</f>
        <v>96738.805980349644</v>
      </c>
    </row>
    <row r="32" spans="2:20">
      <c r="B32" s="2" t="s">
        <v>5</v>
      </c>
      <c r="C32" s="24">
        <f t="shared" ref="C32:H32" si="31">C33-SUM(C29:C31)</f>
        <v>0</v>
      </c>
      <c r="D32" s="24">
        <f t="shared" si="31"/>
        <v>0</v>
      </c>
      <c r="E32" s="24">
        <f t="shared" si="31"/>
        <v>0</v>
      </c>
      <c r="F32" s="24">
        <f t="shared" si="31"/>
        <v>0</v>
      </c>
      <c r="G32" s="24">
        <f t="shared" si="31"/>
        <v>413.88109019000001</v>
      </c>
      <c r="H32" s="24">
        <f t="shared" si="31"/>
        <v>932.37003975000005</v>
      </c>
      <c r="I32" s="24">
        <f t="shared" ref="I32:N32" si="32">I33-SUM(I29:I31)</f>
        <v>4851.1165526300001</v>
      </c>
      <c r="J32" s="24">
        <f t="shared" si="32"/>
        <v>7320.5476075899996</v>
      </c>
      <c r="K32" s="24">
        <f t="shared" si="32"/>
        <v>7606.7144017600003</v>
      </c>
      <c r="L32" s="24">
        <f t="shared" si="32"/>
        <v>7874.2644427799987</v>
      </c>
      <c r="M32" s="24">
        <f t="shared" si="32"/>
        <v>9577.3376960099995</v>
      </c>
      <c r="N32" s="24">
        <f t="shared" si="32"/>
        <v>9808.8469370499988</v>
      </c>
      <c r="O32" s="24">
        <f>O33-SUM(O29:O31)</f>
        <v>11270.30464882</v>
      </c>
      <c r="P32" s="4">
        <f>O32</f>
        <v>11270.30464882</v>
      </c>
      <c r="Q32" s="4">
        <f t="shared" ref="Q32:T32" si="33">P32</f>
        <v>11270.30464882</v>
      </c>
      <c r="R32" s="4">
        <f t="shared" si="33"/>
        <v>11270.30464882</v>
      </c>
      <c r="S32" s="4">
        <f t="shared" si="33"/>
        <v>11270.30464882</v>
      </c>
      <c r="T32" s="4">
        <f t="shared" si="33"/>
        <v>11270.30464882</v>
      </c>
    </row>
    <row r="33" spans="2:20">
      <c r="B33" s="2" t="s">
        <v>16</v>
      </c>
      <c r="C33" s="19">
        <f t="shared" ref="C33:H33" si="34">C35-C34</f>
        <v>0</v>
      </c>
      <c r="D33" s="19">
        <f t="shared" si="34"/>
        <v>0</v>
      </c>
      <c r="E33" s="19">
        <f t="shared" si="34"/>
        <v>0</v>
      </c>
      <c r="F33" s="19">
        <f t="shared" si="34"/>
        <v>0</v>
      </c>
      <c r="G33" s="19">
        <f t="shared" si="34"/>
        <v>33.076568649999999</v>
      </c>
      <c r="H33" s="19">
        <f t="shared" si="34"/>
        <v>510.64238913999998</v>
      </c>
      <c r="I33" s="19">
        <f t="shared" ref="I33:N33" si="35">I35-I34</f>
        <v>4356.4795087700004</v>
      </c>
      <c r="J33" s="19">
        <f t="shared" si="35"/>
        <v>6431.50123257</v>
      </c>
      <c r="K33" s="19">
        <f t="shared" si="35"/>
        <v>5890.9572745799996</v>
      </c>
      <c r="L33" s="19">
        <f t="shared" si="35"/>
        <v>4855.0469122999993</v>
      </c>
      <c r="M33" s="19">
        <f t="shared" si="35"/>
        <v>5649.8387765999996</v>
      </c>
      <c r="N33" s="19">
        <f t="shared" si="35"/>
        <v>5422.6586596499992</v>
      </c>
      <c r="O33" s="19">
        <f>O35-O34</f>
        <v>11836.17397281</v>
      </c>
      <c r="P33" s="4">
        <f>SUM(P29:P32)</f>
        <v>16323.982187073008</v>
      </c>
      <c r="Q33" s="4">
        <f t="shared" ref="Q33:T33" si="36">SUM(Q29:Q32)</f>
        <v>26220.459685966664</v>
      </c>
      <c r="R33" s="4">
        <f t="shared" si="36"/>
        <v>45111.404011993414</v>
      </c>
      <c r="S33" s="4">
        <f t="shared" si="36"/>
        <v>73212.118950609831</v>
      </c>
      <c r="T33" s="4">
        <f t="shared" si="36"/>
        <v>108617.33905522965</v>
      </c>
    </row>
    <row r="34" spans="2:20">
      <c r="B34" s="2" t="s">
        <v>48</v>
      </c>
      <c r="C34" s="41">
        <f>-Annual!F148/1000000</f>
        <v>0</v>
      </c>
      <c r="D34" s="41">
        <f>-Annual!G148/1000000</f>
        <v>0</v>
      </c>
      <c r="E34" s="41">
        <f>-Annual!H148/1000000</f>
        <v>0</v>
      </c>
      <c r="F34" s="41">
        <f>-Annual!I148/1000000</f>
        <v>0</v>
      </c>
      <c r="G34" s="41">
        <f>-Annual!J148/1000000</f>
        <v>0</v>
      </c>
      <c r="H34" s="41">
        <f>Annual!K148/1000000</f>
        <v>0</v>
      </c>
      <c r="I34" s="41">
        <f>Annual!L148/1000000</f>
        <v>0</v>
      </c>
      <c r="J34" s="41">
        <f>Annual!M148/1000000</f>
        <v>0</v>
      </c>
      <c r="K34" s="41">
        <f>Annual!N148/1000000</f>
        <v>89.254190800000003</v>
      </c>
      <c r="L34" s="41">
        <f>Annual!O148/1000000</f>
        <v>84.772947180000003</v>
      </c>
      <c r="M34" s="41">
        <f>Annual!P148/1000000</f>
        <v>79.690312719999994</v>
      </c>
      <c r="N34" s="41">
        <f>Annual!Q148/1000000</f>
        <v>7.8209119999999999</v>
      </c>
      <c r="O34" s="41">
        <f>Annual!R148/1000000</f>
        <v>7.0797626600000001</v>
      </c>
      <c r="P34" s="4">
        <f>O34+PL!BI24+CF!P24</f>
        <v>8.3688228599999999</v>
      </c>
      <c r="Q34" s="4">
        <f>P34+PL!BJ24+CF!Q24</f>
        <v>11.26849086</v>
      </c>
      <c r="R34" s="4">
        <f>Q34+PL!BK24+CF!R24</f>
        <v>14.16815886</v>
      </c>
      <c r="S34" s="4">
        <f>R34+PL!BL24+CF!S24</f>
        <v>17.06782686</v>
      </c>
      <c r="T34" s="4">
        <f>S34+PL!BM24+CF!T24</f>
        <v>19.967494860000002</v>
      </c>
    </row>
    <row r="35" spans="2:20" s="7" customFormat="1">
      <c r="B35" s="7" t="s">
        <v>224</v>
      </c>
      <c r="C35" s="42">
        <f>Annual!F149/1000000</f>
        <v>0</v>
      </c>
      <c r="D35" s="42">
        <f>Annual!G149/1000000</f>
        <v>0</v>
      </c>
      <c r="E35" s="42">
        <f>Annual!H149/1000000</f>
        <v>0</v>
      </c>
      <c r="F35" s="42">
        <f>Annual!I149/1000000</f>
        <v>0</v>
      </c>
      <c r="G35" s="42">
        <f>Annual!J149/1000000</f>
        <v>33.076568649999999</v>
      </c>
      <c r="H35" s="42">
        <f>Annual!K149/1000000</f>
        <v>510.64238913999998</v>
      </c>
      <c r="I35" s="42">
        <f>Annual!L149/1000000</f>
        <v>4356.4795087700004</v>
      </c>
      <c r="J35" s="42">
        <f>Annual!M149/1000000</f>
        <v>6431.50123257</v>
      </c>
      <c r="K35" s="42">
        <f>Annual!N149/1000000</f>
        <v>5980.2114653799999</v>
      </c>
      <c r="L35" s="42">
        <f>Annual!O149/1000000</f>
        <v>4939.8198594799996</v>
      </c>
      <c r="M35" s="42">
        <f>Annual!P149/1000000</f>
        <v>5729.5290893199999</v>
      </c>
      <c r="N35" s="42">
        <f>Annual!Q149/1000000</f>
        <v>5430.4795716499993</v>
      </c>
      <c r="O35" s="42">
        <f>Annual!R149/1000000</f>
        <v>11843.25373547</v>
      </c>
      <c r="P35" s="6">
        <f t="shared" ref="P35:T35" si="37">P28+P33+P34</f>
        <v>16332.351009933009</v>
      </c>
      <c r="Q35" s="6">
        <f t="shared" si="37"/>
        <v>26231.728176826662</v>
      </c>
      <c r="R35" s="6">
        <f t="shared" si="37"/>
        <v>45125.572170853411</v>
      </c>
      <c r="S35" s="6">
        <f t="shared" si="37"/>
        <v>73229.186777469833</v>
      </c>
      <c r="T35" s="6">
        <f t="shared" si="37"/>
        <v>108637.30655008965</v>
      </c>
    </row>
    <row r="36" spans="2:20" s="7" customFormat="1">
      <c r="B36" s="7" t="s">
        <v>17</v>
      </c>
      <c r="C36" s="8">
        <f t="shared" ref="C36:H36" si="38">C35+C27</f>
        <v>0</v>
      </c>
      <c r="D36" s="8">
        <f t="shared" si="38"/>
        <v>0</v>
      </c>
      <c r="E36" s="8">
        <f t="shared" si="38"/>
        <v>0</v>
      </c>
      <c r="F36" s="8">
        <f t="shared" si="38"/>
        <v>0</v>
      </c>
      <c r="G36" s="8">
        <f t="shared" si="38"/>
        <v>590.18461571</v>
      </c>
      <c r="H36" s="8">
        <f t="shared" si="38"/>
        <v>3041.45158047</v>
      </c>
      <c r="I36" s="8">
        <f t="shared" ref="I36:P36" si="39">I35+I27</f>
        <v>4668.4722815600007</v>
      </c>
      <c r="J36" s="8">
        <f t="shared" ref="J36:O36" si="40">J35+J27</f>
        <v>7309.5286716600003</v>
      </c>
      <c r="K36" s="8">
        <f t="shared" si="40"/>
        <v>6989.1463208799996</v>
      </c>
      <c r="L36" s="8">
        <f t="shared" si="40"/>
        <v>5770.4195925899994</v>
      </c>
      <c r="M36" s="8">
        <f t="shared" si="40"/>
        <v>6418.0361223299997</v>
      </c>
      <c r="N36" s="8">
        <f t="shared" si="40"/>
        <v>6717.8125096999993</v>
      </c>
      <c r="O36" s="8">
        <f t="shared" si="40"/>
        <v>13437.71406591</v>
      </c>
      <c r="P36" s="8">
        <f t="shared" si="39"/>
        <v>19231.45473215657</v>
      </c>
      <c r="Q36" s="8">
        <f>Q35+Q27</f>
        <v>36662.557052017364</v>
      </c>
      <c r="R36" s="8">
        <f>R35+R27</f>
        <v>61183.951954797129</v>
      </c>
      <c r="S36" s="8">
        <f>S35+S27</f>
        <v>98533.587198138674</v>
      </c>
      <c r="T36" s="8">
        <f>T35+T27</f>
        <v>137433.94866628121</v>
      </c>
    </row>
    <row r="37" spans="2:20" s="7" customFormat="1">
      <c r="B37" s="2" t="s">
        <v>46</v>
      </c>
      <c r="C37" s="25" t="e">
        <f>C33/PL!#REF!</f>
        <v>#REF!</v>
      </c>
      <c r="D37" s="25" t="e">
        <f>D33/PL!#REF!</f>
        <v>#REF!</v>
      </c>
      <c r="E37" s="25" t="e">
        <f>E33/PL!#REF!</f>
        <v>#REF!</v>
      </c>
      <c r="F37" s="25" t="e">
        <f>F33/PL!#REF!</f>
        <v>#REF!</v>
      </c>
      <c r="G37" s="83">
        <f>G33/PL!AZ34</f>
        <v>32.923458108068431</v>
      </c>
      <c r="H37" s="83">
        <f>H33/PL!BA34</f>
        <v>452.68559556280826</v>
      </c>
      <c r="I37" s="83">
        <f>I33/PL!BB34</f>
        <v>12.101331968805557</v>
      </c>
      <c r="J37" s="83">
        <f>J33/PL!BC34</f>
        <v>16.906566899440595</v>
      </c>
      <c r="K37" s="83">
        <f>K33/PL!BD34</f>
        <v>14.723712258385396</v>
      </c>
      <c r="L37" s="83">
        <f>L33/PL!BE34</f>
        <v>12.112947748541627</v>
      </c>
      <c r="M37" s="83">
        <f>M33/PL!BF34</f>
        <v>13.723090057337538</v>
      </c>
      <c r="N37" s="83">
        <f>N33/PL!BG34</f>
        <v>13.021266081065651</v>
      </c>
      <c r="O37" s="83">
        <f>O33/PL!BH34</f>
        <v>28.192146324218136</v>
      </c>
      <c r="P37" s="26">
        <f>P33/PL!BI34</f>
        <v>28.070505006557916</v>
      </c>
      <c r="Q37" s="26">
        <f>Q33/PL!BJ34</f>
        <v>41.456163992113396</v>
      </c>
      <c r="R37" s="26">
        <f>R33/PL!BK34</f>
        <v>71.799950401790099</v>
      </c>
      <c r="S37" s="26">
        <f>S33/PL!BL34</f>
        <v>116.52544682639896</v>
      </c>
      <c r="T37" s="26">
        <f>T33/PL!BM34</f>
        <v>172.8768972667425</v>
      </c>
    </row>
    <row r="38" spans="2:20" s="15" customFormat="1">
      <c r="C38" s="16"/>
      <c r="D38" s="16"/>
      <c r="E38" s="16"/>
      <c r="F38" s="16"/>
      <c r="G38" s="16"/>
      <c r="H38" s="16"/>
      <c r="I38" s="16"/>
      <c r="J38" s="16"/>
      <c r="K38" s="16"/>
      <c r="L38" s="120"/>
      <c r="M38" s="120"/>
      <c r="N38" s="120"/>
      <c r="O38" s="120"/>
      <c r="P38" s="120"/>
      <c r="Q38" s="120"/>
      <c r="R38" s="120"/>
      <c r="S38" s="120"/>
      <c r="T38" s="120"/>
    </row>
    <row r="39" spans="2:20">
      <c r="E39" s="4"/>
      <c r="G39" s="4"/>
      <c r="H39" s="4"/>
      <c r="J39" s="28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0">
      <c r="B40" s="3" t="s">
        <v>187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>
      <c r="B41" s="2" t="s">
        <v>225</v>
      </c>
      <c r="C41" s="24" t="e">
        <f>AVERAGE(C6:C6)/PL!#REF!*365</f>
        <v>#REF!</v>
      </c>
      <c r="D41" s="24" t="e">
        <f>AVERAGE(C6:D6)/PL!#REF!*365</f>
        <v>#REF!</v>
      </c>
      <c r="E41" s="24" t="e">
        <f>AVERAGE(D6:E6)/PL!#REF!*365</f>
        <v>#REF!</v>
      </c>
      <c r="F41" s="24" t="e">
        <f>AVERAGE(E6:F6)/PL!#REF!*365</f>
        <v>#REF!</v>
      </c>
      <c r="G41" s="24">
        <f>AVERAGE(F6:G6)/PL!AZ4*365</f>
        <v>102.63464106712966</v>
      </c>
      <c r="H41" s="24">
        <f>AVERAGE(G6:H6)/PL!BA4*365</f>
        <v>57.787451897611497</v>
      </c>
      <c r="I41" s="24">
        <f>AVERAGE(H6:I6)/PL!BB4*365</f>
        <v>39.9800413811098</v>
      </c>
      <c r="J41" s="24">
        <f>AVERAGE(I6:J6)/PL!BC4*365</f>
        <v>108.26663583858986</v>
      </c>
      <c r="K41" s="24">
        <f>AVERAGE(J6:K6)/PL!BD4*365</f>
        <v>173.54921859401907</v>
      </c>
      <c r="L41" s="24">
        <f>AVERAGE(K6:L6)/PL!BE4*365</f>
        <v>311.3293569723005</v>
      </c>
      <c r="M41" s="24">
        <f>AVERAGE(L6:M6)/PL!BF4*365</f>
        <v>362.62888551232658</v>
      </c>
      <c r="N41" s="24">
        <f>AVERAGE(M6:N6)/PL!BG4*365</f>
        <v>148.85895334321293</v>
      </c>
      <c r="O41" s="24">
        <f>AVERAGE(N6:O6)/PL!BH4*365</f>
        <v>27.65905917098285</v>
      </c>
      <c r="P41" s="10">
        <v>10.3</v>
      </c>
      <c r="Q41" s="10">
        <v>3</v>
      </c>
      <c r="R41" s="10">
        <v>2</v>
      </c>
      <c r="S41" s="10">
        <f t="shared" ref="S41:T41" si="41">R41</f>
        <v>2</v>
      </c>
      <c r="T41" s="10">
        <f t="shared" si="41"/>
        <v>2</v>
      </c>
    </row>
    <row r="42" spans="2:20">
      <c r="B42" s="2" t="s">
        <v>31</v>
      </c>
      <c r="C42" s="24" t="e">
        <f>AVERAGE(C7:C7)/PL!#REF!*365</f>
        <v>#REF!</v>
      </c>
      <c r="D42" s="24" t="e">
        <f>AVERAGE(C7:D7)/PL!#REF!*365</f>
        <v>#REF!</v>
      </c>
      <c r="E42" s="24" t="e">
        <f>AVERAGE(D7:E7)/PL!#REF!*365</f>
        <v>#REF!</v>
      </c>
      <c r="F42" s="24" t="e">
        <f>AVERAGE(E7:F7)/PL!#REF!*365</f>
        <v>#REF!</v>
      </c>
      <c r="G42" s="24">
        <f>AVERAGE(F7:G7)/PL!AZ5*365</f>
        <v>3005.2706916666671</v>
      </c>
      <c r="H42" s="24">
        <f>AVERAGE(G7:H7)/PL!BA5*365</f>
        <v>8098.043561316962</v>
      </c>
      <c r="I42" s="24">
        <f>AVERAGE(H7:I7)/PL!BB5*365</f>
        <v>72.643105031877937</v>
      </c>
      <c r="J42" s="24">
        <f>AVERAGE(I7:J7)/PL!BC5*365</f>
        <v>162.75771092349351</v>
      </c>
      <c r="K42" s="24">
        <f>AVERAGE(J7:K7)/PL!BD5*365</f>
        <v>254.17899499428327</v>
      </c>
      <c r="L42" s="24">
        <f>AVERAGE(K7:L7)/PL!BE5*365</f>
        <v>419.76452952132331</v>
      </c>
      <c r="M42" s="24">
        <f>AVERAGE(L7:M7)/PL!BF5*365</f>
        <v>322.39707732105336</v>
      </c>
      <c r="N42" s="24">
        <f>AVERAGE(M7:N7)/PL!BG5*365</f>
        <v>672.47145333787932</v>
      </c>
      <c r="O42" s="24">
        <f>AVERAGE(N7:O7)/PL!BH5*365</f>
        <v>420.72551392531972</v>
      </c>
      <c r="P42" s="10">
        <v>210</v>
      </c>
      <c r="Q42" s="10">
        <v>100</v>
      </c>
      <c r="R42" s="10">
        <v>90</v>
      </c>
      <c r="S42" s="10">
        <v>80</v>
      </c>
      <c r="T42" s="10">
        <v>70</v>
      </c>
    </row>
    <row r="43" spans="2:20">
      <c r="B43" s="2" t="s">
        <v>226</v>
      </c>
      <c r="C43" s="24" t="e">
        <f>AVERAGE(C20:C20)/PL!#REF!*365</f>
        <v>#REF!</v>
      </c>
      <c r="D43" s="24" t="e">
        <f>AVERAGE(C20:D20)/PL!#REF!*365</f>
        <v>#REF!</v>
      </c>
      <c r="E43" s="24" t="e">
        <f>AVERAGE(D20:E20)/PL!#REF!*365</f>
        <v>#REF!</v>
      </c>
      <c r="F43" s="24" t="e">
        <f>AVERAGE(E20:F20)/PL!#REF!*365</f>
        <v>#REF!</v>
      </c>
      <c r="G43" s="24">
        <f>AVERAGE(F20:G20)/PL!AZ5*365</f>
        <v>53600.680091666669</v>
      </c>
      <c r="H43" s="24">
        <f>AVERAGE(G20:H20)/PL!BA5*365</f>
        <v>36269.762001449693</v>
      </c>
      <c r="I43" s="24">
        <f>AVERAGE(H20:I20)/PL!BB5*365</f>
        <v>190.3672497820605</v>
      </c>
      <c r="J43" s="24">
        <f>AVERAGE(I20:J20)/PL!BC5*365</f>
        <v>417.61670945126201</v>
      </c>
      <c r="K43" s="24">
        <f>AVERAGE(J20:K20)/PL!BD5*365</f>
        <v>305.10016901524546</v>
      </c>
      <c r="L43" s="24">
        <f>AVERAGE(K20:L20)/PL!BE5*365</f>
        <v>325.42767890001932</v>
      </c>
      <c r="M43" s="24">
        <f>AVERAGE(L20:M20)/PL!BF5*365</f>
        <v>390.08368861145425</v>
      </c>
      <c r="N43" s="24">
        <f>AVERAGE(M20:N20)/PL!BG5*365</f>
        <v>269.89385122377342</v>
      </c>
      <c r="O43" s="24">
        <f>AVERAGE(N20:O20)/PL!BH5*365</f>
        <v>80.146123047161481</v>
      </c>
      <c r="P43" s="10">
        <v>30</v>
      </c>
      <c r="Q43" s="10">
        <f t="shared" ref="Q43" si="42">P43</f>
        <v>30</v>
      </c>
      <c r="R43" s="10">
        <f t="shared" ref="R43:T43" si="43">Q43</f>
        <v>30</v>
      </c>
      <c r="S43" s="10">
        <v>30</v>
      </c>
      <c r="T43" s="10">
        <f t="shared" si="43"/>
        <v>30</v>
      </c>
    </row>
    <row r="44" spans="2:20">
      <c r="B44" s="2" t="s">
        <v>66</v>
      </c>
      <c r="C44" s="4" t="e">
        <f t="shared" ref="C44:H44" si="44">C41+C42-C43</f>
        <v>#REF!</v>
      </c>
      <c r="D44" s="4" t="e">
        <f t="shared" si="44"/>
        <v>#REF!</v>
      </c>
      <c r="E44" s="4" t="e">
        <f t="shared" si="44"/>
        <v>#REF!</v>
      </c>
      <c r="F44" s="4" t="e">
        <f t="shared" si="44"/>
        <v>#REF!</v>
      </c>
      <c r="G44" s="4">
        <f t="shared" si="44"/>
        <v>-50492.774758932872</v>
      </c>
      <c r="H44" s="4">
        <f t="shared" si="44"/>
        <v>-28113.930988235119</v>
      </c>
      <c r="I44" s="4">
        <f t="shared" ref="I44:Q44" si="45">I41+I42-I43</f>
        <v>-77.744103369072761</v>
      </c>
      <c r="J44" s="4">
        <f t="shared" si="45"/>
        <v>-146.59236268917863</v>
      </c>
      <c r="K44" s="4">
        <f t="shared" si="45"/>
        <v>122.62804457305685</v>
      </c>
      <c r="L44" s="4">
        <f t="shared" si="45"/>
        <v>405.6662075936045</v>
      </c>
      <c r="M44" s="4">
        <f t="shared" si="45"/>
        <v>294.94227422192569</v>
      </c>
      <c r="N44" s="4">
        <f t="shared" ref="N44:O44" si="46">N41+N42-N43</f>
        <v>551.43655545731872</v>
      </c>
      <c r="O44" s="4">
        <f t="shared" si="46"/>
        <v>368.23845004914108</v>
      </c>
      <c r="P44" s="4">
        <f t="shared" si="45"/>
        <v>190.3</v>
      </c>
      <c r="Q44" s="4">
        <f t="shared" si="45"/>
        <v>73</v>
      </c>
      <c r="R44" s="4">
        <f t="shared" ref="R44:T44" si="47">R41+R42-R43</f>
        <v>62</v>
      </c>
      <c r="S44" s="4">
        <f t="shared" si="47"/>
        <v>52</v>
      </c>
      <c r="T44" s="4">
        <f t="shared" si="47"/>
        <v>42</v>
      </c>
    </row>
    <row r="46" spans="2:20">
      <c r="B46" s="2" t="s">
        <v>227</v>
      </c>
      <c r="C46" s="4" t="e">
        <f>#REF!</f>
        <v>#REF!</v>
      </c>
      <c r="D46" s="4">
        <f t="shared" ref="D46:O46" si="48">C50</f>
        <v>0</v>
      </c>
      <c r="E46" s="4">
        <f t="shared" si="48"/>
        <v>0</v>
      </c>
      <c r="F46" s="4">
        <f t="shared" si="48"/>
        <v>0</v>
      </c>
      <c r="G46" s="4">
        <f t="shared" si="48"/>
        <v>0</v>
      </c>
      <c r="H46" s="4">
        <f t="shared" si="48"/>
        <v>7.0498375099999997</v>
      </c>
      <c r="I46" s="4">
        <f t="shared" si="48"/>
        <v>40.506434759999998</v>
      </c>
      <c r="J46" s="4">
        <f t="shared" si="48"/>
        <v>86.047880469999996</v>
      </c>
      <c r="K46" s="4">
        <f t="shared" si="48"/>
        <v>135.62124105999999</v>
      </c>
      <c r="L46" s="4">
        <f t="shared" si="48"/>
        <v>279.93223982999996</v>
      </c>
      <c r="M46" s="4">
        <f t="shared" si="48"/>
        <v>233.2410635</v>
      </c>
      <c r="N46" s="4">
        <f t="shared" si="48"/>
        <v>141.78352393</v>
      </c>
      <c r="O46" s="4">
        <f t="shared" si="48"/>
        <v>231.4252798</v>
      </c>
      <c r="P46" s="4">
        <f t="shared" ref="P46:T46" si="49">O50</f>
        <v>372.69956012</v>
      </c>
      <c r="Q46" s="4">
        <f t="shared" si="49"/>
        <v>1099.7152794009842</v>
      </c>
      <c r="R46" s="4">
        <f t="shared" si="49"/>
        <v>1801.7433057570538</v>
      </c>
      <c r="S46" s="4">
        <f t="shared" si="49"/>
        <v>2494.7272050670554</v>
      </c>
      <c r="T46" s="4">
        <f t="shared" si="49"/>
        <v>3131.3718313127333</v>
      </c>
    </row>
    <row r="47" spans="2:20">
      <c r="B47" s="2" t="s">
        <v>228</v>
      </c>
      <c r="C47" s="24" t="e">
        <f>-CF!C14-C55</f>
        <v>#REF!</v>
      </c>
      <c r="D47" s="24" t="e">
        <f>-CF!D14-D55</f>
        <v>#REF!</v>
      </c>
      <c r="E47" s="24" t="e">
        <f>-CF!E14-E55</f>
        <v>#REF!</v>
      </c>
      <c r="F47" s="24" t="e">
        <f>-CF!F14-F55</f>
        <v>#REF!</v>
      </c>
      <c r="G47" s="24">
        <f>-CF!G14-G54</f>
        <v>20.644931309999997</v>
      </c>
      <c r="H47" s="24">
        <f>-CF!H14-H54</f>
        <v>74.855491689999994</v>
      </c>
      <c r="I47" s="24">
        <f>-CF!I14-I54</f>
        <v>156.21396949000001</v>
      </c>
      <c r="J47" s="24">
        <f>-CF!J14-J54</f>
        <v>38.561355669999983</v>
      </c>
      <c r="K47" s="24">
        <f>-CF!K14-K54</f>
        <v>379.84390693</v>
      </c>
      <c r="L47" s="24">
        <f>-CF!L14-L54</f>
        <v>70.188188679999996</v>
      </c>
      <c r="M47" s="24">
        <f>-CF!M14-M54</f>
        <v>100.38246325</v>
      </c>
      <c r="N47" s="24">
        <f>-CF!N14-N54</f>
        <v>366.04933519999997</v>
      </c>
      <c r="O47" s="24">
        <f>-CF!O14-O54</f>
        <v>568.69788862999997</v>
      </c>
      <c r="P47" s="5">
        <f>-CF!P14</f>
        <v>887.27653013258418</v>
      </c>
      <c r="Q47" s="5">
        <f>-CF!Q14</f>
        <v>866.98531826621729</v>
      </c>
      <c r="R47" s="5">
        <f>-CF!R14</f>
        <v>862.34777005116416</v>
      </c>
      <c r="S47" s="5">
        <f>-CF!S14</f>
        <v>811.27553060037167</v>
      </c>
      <c r="T47" s="5">
        <f>-CF!T14</f>
        <v>811.37076189373795</v>
      </c>
    </row>
    <row r="48" spans="2:20">
      <c r="B48" s="2" t="s">
        <v>35</v>
      </c>
      <c r="C48" s="24" t="e">
        <f>PL!#REF!</f>
        <v>#REF!</v>
      </c>
      <c r="D48" s="24" t="e">
        <f>PL!#REF!</f>
        <v>#REF!</v>
      </c>
      <c r="E48" s="24" t="e">
        <f>PL!#REF!</f>
        <v>#REF!</v>
      </c>
      <c r="F48" s="24" t="e">
        <f>PL!#REF!</f>
        <v>#REF!</v>
      </c>
      <c r="G48" s="24">
        <f>PL!AZ36</f>
        <v>0.40523909999999996</v>
      </c>
      <c r="H48" s="24">
        <f>PL!BA36</f>
        <v>6.6450089700000001</v>
      </c>
      <c r="I48" s="24">
        <f>PL!BB36</f>
        <v>22.608142820000001</v>
      </c>
      <c r="J48" s="24">
        <f>PL!BC36</f>
        <v>41.780225569999999</v>
      </c>
      <c r="K48" s="24">
        <f>PL!BD36</f>
        <v>64.768556289999992</v>
      </c>
      <c r="L48" s="24">
        <f>PL!BE36</f>
        <v>101.21678415000001</v>
      </c>
      <c r="M48" s="24">
        <f>PL!BF36</f>
        <v>97.858862860000016</v>
      </c>
      <c r="N48" s="24">
        <f>PL!BG36</f>
        <v>87.578971789999997</v>
      </c>
      <c r="O48" s="24">
        <f>PL!BH36</f>
        <v>116.70984124</v>
      </c>
      <c r="P48" s="5">
        <f>P46*P51</f>
        <v>160.26081085159998</v>
      </c>
      <c r="Q48" s="5">
        <f t="shared" ref="Q48:T48" si="50">Q46*Q51</f>
        <v>164.95729191014763</v>
      </c>
      <c r="R48" s="5">
        <f t="shared" si="50"/>
        <v>169.36387074116305</v>
      </c>
      <c r="S48" s="5">
        <f t="shared" si="50"/>
        <v>174.63090435469388</v>
      </c>
      <c r="T48" s="5">
        <f t="shared" si="50"/>
        <v>181.61956621613854</v>
      </c>
    </row>
    <row r="49" spans="2:20">
      <c r="B49" s="2" t="s">
        <v>229</v>
      </c>
      <c r="C49" s="4" t="e">
        <f t="shared" ref="C49:H49" si="51">C50-C46-C47+C48</f>
        <v>#REF!</v>
      </c>
      <c r="D49" s="4" t="e">
        <f t="shared" si="51"/>
        <v>#REF!</v>
      </c>
      <c r="E49" s="4" t="e">
        <f t="shared" si="51"/>
        <v>#REF!</v>
      </c>
      <c r="F49" s="4" t="e">
        <f t="shared" si="51"/>
        <v>#REF!</v>
      </c>
      <c r="G49" s="4">
        <f t="shared" si="51"/>
        <v>-13.189854699999998</v>
      </c>
      <c r="H49" s="4">
        <f t="shared" si="51"/>
        <v>-34.753885469999993</v>
      </c>
      <c r="I49" s="4">
        <f t="shared" ref="I49:N49" si="52">I50-I46-I47+I48</f>
        <v>-88.064380960000008</v>
      </c>
      <c r="J49" s="4">
        <f t="shared" si="52"/>
        <v>52.792230490000009</v>
      </c>
      <c r="K49" s="4">
        <f t="shared" si="52"/>
        <v>-170.76435187000004</v>
      </c>
      <c r="L49" s="4">
        <f t="shared" si="52"/>
        <v>-15.662580859999949</v>
      </c>
      <c r="M49" s="4">
        <f t="shared" si="52"/>
        <v>-93.981139959999979</v>
      </c>
      <c r="N49" s="4">
        <f t="shared" si="52"/>
        <v>-188.82860753999998</v>
      </c>
      <c r="O49" s="4">
        <f t="shared" ref="O49" si="53">O50-O46-O47+O48</f>
        <v>-310.71376706999996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2:20">
      <c r="B50" s="2" t="s">
        <v>230</v>
      </c>
      <c r="C50" s="4">
        <f t="shared" ref="C50:H50" si="54">C12</f>
        <v>0</v>
      </c>
      <c r="D50" s="4">
        <f t="shared" si="54"/>
        <v>0</v>
      </c>
      <c r="E50" s="4">
        <f t="shared" si="54"/>
        <v>0</v>
      </c>
      <c r="F50" s="4">
        <f>F12</f>
        <v>0</v>
      </c>
      <c r="G50" s="4">
        <f t="shared" si="54"/>
        <v>7.0498375099999997</v>
      </c>
      <c r="H50" s="4">
        <f t="shared" si="54"/>
        <v>40.506434759999998</v>
      </c>
      <c r="I50" s="4">
        <f t="shared" ref="I50:N50" si="55">I12</f>
        <v>86.047880469999996</v>
      </c>
      <c r="J50" s="4">
        <f t="shared" si="55"/>
        <v>135.62124105999999</v>
      </c>
      <c r="K50" s="4">
        <f t="shared" si="55"/>
        <v>279.93223982999996</v>
      </c>
      <c r="L50" s="4">
        <f t="shared" si="55"/>
        <v>233.2410635</v>
      </c>
      <c r="M50" s="4">
        <f t="shared" si="55"/>
        <v>141.78352393</v>
      </c>
      <c r="N50" s="4">
        <f t="shared" si="55"/>
        <v>231.4252798</v>
      </c>
      <c r="O50" s="4">
        <f t="shared" ref="O50" si="56">O12</f>
        <v>372.69956012</v>
      </c>
      <c r="P50" s="5">
        <f t="shared" ref="P50:T50" si="57">P46+P47-P48+P49</f>
        <v>1099.7152794009842</v>
      </c>
      <c r="Q50" s="5">
        <f t="shared" si="57"/>
        <v>1801.7433057570538</v>
      </c>
      <c r="R50" s="5">
        <f t="shared" si="57"/>
        <v>2494.7272050670554</v>
      </c>
      <c r="S50" s="5">
        <f t="shared" si="57"/>
        <v>3131.3718313127333</v>
      </c>
      <c r="T50" s="5">
        <f t="shared" si="57"/>
        <v>3761.1230269903326</v>
      </c>
    </row>
    <row r="51" spans="2:20">
      <c r="B51" s="2" t="s">
        <v>313</v>
      </c>
      <c r="C51" s="43" t="e">
        <f t="shared" ref="C51:H51" si="58">C48/C46</f>
        <v>#REF!</v>
      </c>
      <c r="D51" s="43" t="e">
        <f t="shared" si="58"/>
        <v>#REF!</v>
      </c>
      <c r="E51" s="43" t="e">
        <f t="shared" si="58"/>
        <v>#REF!</v>
      </c>
      <c r="F51" s="43" t="e">
        <f t="shared" si="58"/>
        <v>#REF!</v>
      </c>
      <c r="G51" s="43" t="e">
        <f t="shared" si="58"/>
        <v>#DIV/0!</v>
      </c>
      <c r="H51" s="43">
        <f t="shared" si="58"/>
        <v>0.94257618853969871</v>
      </c>
      <c r="I51" s="43">
        <f t="shared" ref="I51:N51" si="59">I48/I46</f>
        <v>0.55813707017052716</v>
      </c>
      <c r="J51" s="43">
        <f t="shared" si="59"/>
        <v>0.48554624869076685</v>
      </c>
      <c r="K51" s="43">
        <f t="shared" si="59"/>
        <v>0.47756941157429633</v>
      </c>
      <c r="L51" s="43">
        <f t="shared" si="59"/>
        <v>0.36157601643693471</v>
      </c>
      <c r="M51" s="43">
        <f t="shared" si="59"/>
        <v>0.41956103865904393</v>
      </c>
      <c r="N51" s="43">
        <f t="shared" si="59"/>
        <v>0.61769498572513015</v>
      </c>
      <c r="O51" s="43">
        <f t="shared" ref="O51" si="60">O48/O46</f>
        <v>0.5043089559656655</v>
      </c>
      <c r="P51" s="12">
        <v>0.43</v>
      </c>
      <c r="Q51" s="12">
        <v>0.15</v>
      </c>
      <c r="R51" s="12">
        <v>9.4E-2</v>
      </c>
      <c r="S51" s="12">
        <v>7.0000000000000007E-2</v>
      </c>
      <c r="T51" s="12">
        <v>5.8000000000000003E-2</v>
      </c>
    </row>
    <row r="52" spans="2:20">
      <c r="B52" s="8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2:20">
      <c r="B53" s="2" t="s">
        <v>231</v>
      </c>
      <c r="C53" s="4" t="e">
        <f>#REF!</f>
        <v>#REF!</v>
      </c>
      <c r="D53" s="4">
        <f t="shared" ref="D53:O53" si="61">C57</f>
        <v>0</v>
      </c>
      <c r="E53" s="4">
        <f t="shared" si="61"/>
        <v>0</v>
      </c>
      <c r="F53" s="4">
        <f t="shared" si="61"/>
        <v>0</v>
      </c>
      <c r="G53" s="4">
        <f t="shared" si="61"/>
        <v>0</v>
      </c>
      <c r="H53" s="4">
        <f t="shared" si="61"/>
        <v>3.0918119800000001</v>
      </c>
      <c r="I53" s="4">
        <f t="shared" si="61"/>
        <v>35.445492710000003</v>
      </c>
      <c r="J53" s="4">
        <f t="shared" si="61"/>
        <v>119.15011053000001</v>
      </c>
      <c r="K53" s="4">
        <f t="shared" si="61"/>
        <v>260.87868144999999</v>
      </c>
      <c r="L53" s="4">
        <f t="shared" si="61"/>
        <v>261.03295028000002</v>
      </c>
      <c r="M53" s="4">
        <f t="shared" si="61"/>
        <v>291.14591813999999</v>
      </c>
      <c r="N53" s="4">
        <f t="shared" si="61"/>
        <v>149.92669168999998</v>
      </c>
      <c r="O53" s="4">
        <f t="shared" si="61"/>
        <v>182.76296490000001</v>
      </c>
      <c r="P53" s="4">
        <f t="shared" ref="P53:T53" si="62">O57</f>
        <v>189.11462208</v>
      </c>
      <c r="Q53" s="4">
        <f t="shared" si="62"/>
        <v>168.31276642240002</v>
      </c>
      <c r="R53" s="4">
        <f t="shared" si="62"/>
        <v>147.41563832112004</v>
      </c>
      <c r="S53" s="4">
        <f t="shared" si="62"/>
        <v>126.46967074270478</v>
      </c>
      <c r="T53" s="4">
        <f t="shared" si="62"/>
        <v>105.48553725318328</v>
      </c>
    </row>
    <row r="54" spans="2:20">
      <c r="B54" s="2" t="s">
        <v>232</v>
      </c>
      <c r="C54" s="4">
        <f>Annual!F177/1000000</f>
        <v>0</v>
      </c>
      <c r="D54" s="4">
        <f>Annual!G177/1000000</f>
        <v>0</v>
      </c>
      <c r="E54" s="4">
        <f>Annual!H177/1000000</f>
        <v>0</v>
      </c>
      <c r="F54" s="4">
        <f>Annual!I177/1000000</f>
        <v>0</v>
      </c>
      <c r="G54" s="4">
        <f>Annual!J177/1000000</f>
        <v>0</v>
      </c>
      <c r="H54" s="4">
        <f>Annual!K177/1000000</f>
        <v>0</v>
      </c>
      <c r="I54" s="4">
        <f>Annual!L177/1000000</f>
        <v>0</v>
      </c>
      <c r="J54" s="4">
        <f>Annual!M177/1000000</f>
        <v>221.01880398</v>
      </c>
      <c r="K54" s="4">
        <f>Annual!N177/1000000</f>
        <v>125.15575789</v>
      </c>
      <c r="L54" s="4">
        <f>Annual!O177/1000000</f>
        <v>213.95216811</v>
      </c>
      <c r="M54" s="4">
        <f>Annual!P177/1000000</f>
        <v>0</v>
      </c>
      <c r="N54" s="4">
        <f>Annual!Q177/1000000</f>
        <v>0</v>
      </c>
      <c r="O54" s="4">
        <f>Annual!R177/1000000</f>
        <v>0</v>
      </c>
      <c r="P54" s="9">
        <v>139</v>
      </c>
      <c r="Q54" s="9">
        <v>139</v>
      </c>
      <c r="R54" s="9">
        <f>Q54</f>
        <v>139</v>
      </c>
      <c r="S54" s="9">
        <f>R54</f>
        <v>139</v>
      </c>
      <c r="T54" s="9">
        <f>S54</f>
        <v>139</v>
      </c>
    </row>
    <row r="55" spans="2:20">
      <c r="B55" s="2" t="s">
        <v>36</v>
      </c>
      <c r="C55" s="24" t="e">
        <f>PL!#REF!</f>
        <v>#REF!</v>
      </c>
      <c r="D55" s="24" t="e">
        <f>PL!#REF!</f>
        <v>#REF!</v>
      </c>
      <c r="E55" s="24" t="e">
        <f>PL!#REF!</f>
        <v>#REF!</v>
      </c>
      <c r="F55" s="24" t="e">
        <f>PL!#REF!</f>
        <v>#REF!</v>
      </c>
      <c r="G55" s="24">
        <f>PL!AZ37</f>
        <v>8.0367789999999995E-2</v>
      </c>
      <c r="H55" s="24">
        <f>PL!BA37</f>
        <v>9.1583940300000002</v>
      </c>
      <c r="I55" s="24">
        <f>PL!BB37</f>
        <v>27.564983460000001</v>
      </c>
      <c r="J55" s="24">
        <f>PL!BC37</f>
        <v>79.290233060000006</v>
      </c>
      <c r="K55" s="109">
        <f>PL!BD37</f>
        <v>125.00148906</v>
      </c>
      <c r="L55" s="109">
        <f>PL!BE37</f>
        <v>183.83920025</v>
      </c>
      <c r="M55" s="109">
        <f>PL!BF37</f>
        <v>152.18484329</v>
      </c>
      <c r="N55" s="109">
        <f>PL!BG37</f>
        <v>83.415742730000005</v>
      </c>
      <c r="O55" s="109">
        <f>PL!BH37</f>
        <v>128.04109593999999</v>
      </c>
      <c r="P55" s="5">
        <f t="shared" ref="P55:T55" si="63">P53*P58</f>
        <v>159.80185565759999</v>
      </c>
      <c r="Q55" s="5">
        <f t="shared" si="63"/>
        <v>159.89712810128</v>
      </c>
      <c r="R55" s="5">
        <f t="shared" si="63"/>
        <v>159.94596757841524</v>
      </c>
      <c r="S55" s="5">
        <f t="shared" si="63"/>
        <v>159.98413348952153</v>
      </c>
      <c r="T55" s="5">
        <f t="shared" si="63"/>
        <v>160.33801662483859</v>
      </c>
    </row>
    <row r="56" spans="2:20">
      <c r="B56" s="2" t="s">
        <v>229</v>
      </c>
      <c r="C56" s="4" t="e">
        <f t="shared" ref="C56:H56" si="64">C57-C53-C54+C55</f>
        <v>#REF!</v>
      </c>
      <c r="D56" s="4" t="e">
        <f t="shared" si="64"/>
        <v>#REF!</v>
      </c>
      <c r="E56" s="4" t="e">
        <f t="shared" si="64"/>
        <v>#REF!</v>
      </c>
      <c r="F56" s="4" t="e">
        <f t="shared" si="64"/>
        <v>#REF!</v>
      </c>
      <c r="G56" s="4">
        <f t="shared" si="64"/>
        <v>3.1721797700000001</v>
      </c>
      <c r="H56" s="4">
        <f t="shared" si="64"/>
        <v>41.512074760000004</v>
      </c>
      <c r="I56" s="4">
        <f t="shared" ref="I56:N56" si="65">I57-I53-I54+I55</f>
        <v>111.26960128000002</v>
      </c>
      <c r="J56" s="4">
        <f t="shared" si="65"/>
        <v>0</v>
      </c>
      <c r="K56" s="4">
        <f t="shared" si="65"/>
        <v>0</v>
      </c>
      <c r="L56" s="4">
        <f t="shared" si="65"/>
        <v>0</v>
      </c>
      <c r="M56" s="4">
        <f t="shared" si="65"/>
        <v>10.965616839999996</v>
      </c>
      <c r="N56" s="4">
        <f t="shared" si="65"/>
        <v>116.25201594000004</v>
      </c>
      <c r="O56" s="4">
        <f>O57-O53-O54+O55</f>
        <v>134.39275311999998</v>
      </c>
      <c r="P56" s="308">
        <v>0</v>
      </c>
      <c r="Q56" s="308">
        <f t="shared" ref="Q56:T56" si="66">P56</f>
        <v>0</v>
      </c>
      <c r="R56" s="308">
        <f t="shared" si="66"/>
        <v>0</v>
      </c>
      <c r="S56" s="308">
        <f t="shared" si="66"/>
        <v>0</v>
      </c>
      <c r="T56" s="308">
        <f t="shared" si="66"/>
        <v>0</v>
      </c>
    </row>
    <row r="57" spans="2:20">
      <c r="B57" s="2" t="s">
        <v>233</v>
      </c>
      <c r="C57" s="4">
        <f t="shared" ref="C57:H57" si="67">C15</f>
        <v>0</v>
      </c>
      <c r="D57" s="4">
        <f t="shared" si="67"/>
        <v>0</v>
      </c>
      <c r="E57" s="4">
        <f t="shared" si="67"/>
        <v>0</v>
      </c>
      <c r="F57" s="4">
        <f t="shared" si="67"/>
        <v>0</v>
      </c>
      <c r="G57" s="4">
        <f t="shared" si="67"/>
        <v>3.0918119800000001</v>
      </c>
      <c r="H57" s="4">
        <f t="shared" si="67"/>
        <v>35.445492710000003</v>
      </c>
      <c r="I57" s="4">
        <f t="shared" ref="I57:N57" si="68">I15</f>
        <v>119.15011053000001</v>
      </c>
      <c r="J57" s="4">
        <f t="shared" si="68"/>
        <v>260.87868144999999</v>
      </c>
      <c r="K57" s="4">
        <f t="shared" si="68"/>
        <v>261.03295028000002</v>
      </c>
      <c r="L57" s="4">
        <f t="shared" si="68"/>
        <v>291.14591813999999</v>
      </c>
      <c r="M57" s="4">
        <f t="shared" si="68"/>
        <v>149.92669168999998</v>
      </c>
      <c r="N57" s="4">
        <f t="shared" si="68"/>
        <v>182.76296490000001</v>
      </c>
      <c r="O57" s="4">
        <f t="shared" ref="O57" si="69">O15</f>
        <v>189.11462208</v>
      </c>
      <c r="P57" s="4">
        <f t="shared" ref="P57:T57" si="70">P53+P54-P55+P56</f>
        <v>168.31276642240002</v>
      </c>
      <c r="Q57" s="4">
        <f t="shared" si="70"/>
        <v>147.41563832112004</v>
      </c>
      <c r="R57" s="4">
        <f t="shared" si="70"/>
        <v>126.46967074270478</v>
      </c>
      <c r="S57" s="4">
        <f t="shared" si="70"/>
        <v>105.48553725318328</v>
      </c>
      <c r="T57" s="4">
        <f t="shared" si="70"/>
        <v>84.147520628344694</v>
      </c>
    </row>
    <row r="58" spans="2:20">
      <c r="B58" s="2" t="s">
        <v>314</v>
      </c>
      <c r="C58" s="43" t="e">
        <f t="shared" ref="C58:H58" si="71">C55/C53</f>
        <v>#REF!</v>
      </c>
      <c r="D58" s="43" t="e">
        <f t="shared" si="71"/>
        <v>#REF!</v>
      </c>
      <c r="E58" s="43" t="e">
        <f t="shared" si="71"/>
        <v>#REF!</v>
      </c>
      <c r="F58" s="43" t="e">
        <f t="shared" si="71"/>
        <v>#REF!</v>
      </c>
      <c r="G58" s="43" t="e">
        <f t="shared" si="71"/>
        <v>#DIV/0!</v>
      </c>
      <c r="H58" s="43">
        <f t="shared" si="71"/>
        <v>2.9621445577036671</v>
      </c>
      <c r="I58" s="43">
        <f t="shared" ref="I58:N58" si="72">I55/I53</f>
        <v>0.77767245854148537</v>
      </c>
      <c r="J58" s="43">
        <f t="shared" si="72"/>
        <v>0.66546503991732386</v>
      </c>
      <c r="K58" s="43">
        <f t="shared" si="72"/>
        <v>0.47915563036896819</v>
      </c>
      <c r="L58" s="43">
        <f t="shared" si="72"/>
        <v>0.70427583970836916</v>
      </c>
      <c r="M58" s="43">
        <f t="shared" si="72"/>
        <v>0.52270986405112718</v>
      </c>
      <c r="N58" s="43">
        <f t="shared" si="72"/>
        <v>0.55637686518473206</v>
      </c>
      <c r="O58" s="43">
        <f t="shared" ref="O58" si="73">O55/O53</f>
        <v>0.70058557000352084</v>
      </c>
      <c r="P58" s="12">
        <v>0.84499999999999997</v>
      </c>
      <c r="Q58" s="12">
        <v>0.95</v>
      </c>
      <c r="R58" s="12">
        <v>1.085</v>
      </c>
      <c r="S58" s="12">
        <v>1.2649999999999999</v>
      </c>
      <c r="T58" s="12">
        <v>1.52</v>
      </c>
    </row>
    <row r="59" spans="2:20">
      <c r="B59" s="8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2:20">
      <c r="B60" s="3" t="s">
        <v>71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ht="13.5" customHeight="1">
      <c r="B61" s="2" t="s">
        <v>160</v>
      </c>
      <c r="C61" s="4">
        <f t="shared" ref="C61:M61" si="74">C21+C24-C4</f>
        <v>0</v>
      </c>
      <c r="D61" s="4">
        <f t="shared" si="74"/>
        <v>0</v>
      </c>
      <c r="E61" s="4">
        <f t="shared" si="74"/>
        <v>0</v>
      </c>
      <c r="F61" s="4">
        <f t="shared" si="74"/>
        <v>0</v>
      </c>
      <c r="G61" s="4">
        <f t="shared" si="74"/>
        <v>-232.19620608000002</v>
      </c>
      <c r="H61" s="4">
        <f t="shared" si="74"/>
        <v>-1354.3748877</v>
      </c>
      <c r="I61" s="4">
        <f t="shared" si="74"/>
        <v>-383.30868042999998</v>
      </c>
      <c r="J61" s="4">
        <f t="shared" si="74"/>
        <v>-4871.6929414000006</v>
      </c>
      <c r="K61" s="4">
        <f>K21+K24-K4</f>
        <v>-2864.9529650399995</v>
      </c>
      <c r="L61" s="4">
        <f>L21+L24-L4</f>
        <v>-2400.1267735399997</v>
      </c>
      <c r="M61" s="4">
        <f t="shared" si="74"/>
        <v>-3917.12802986</v>
      </c>
      <c r="N61" s="4">
        <f t="shared" ref="N61" si="75">N21+N24-N4</f>
        <v>-1866.9395757</v>
      </c>
      <c r="O61" s="4">
        <f t="shared" ref="O61:T61" si="76">O21+O24-O4</f>
        <v>-950.54942799999992</v>
      </c>
      <c r="P61" s="4">
        <f t="shared" si="76"/>
        <v>-2828.7552666465954</v>
      </c>
      <c r="Q61" s="4">
        <f t="shared" si="76"/>
        <v>-11921.969382930754</v>
      </c>
      <c r="R61" s="4">
        <f t="shared" si="76"/>
        <v>-25439.797076739098</v>
      </c>
      <c r="S61" s="4">
        <f t="shared" si="76"/>
        <v>-58151.733833465827</v>
      </c>
      <c r="T61" s="4">
        <f t="shared" si="76"/>
        <v>-94048.212720976313</v>
      </c>
    </row>
    <row r="62" spans="2:20">
      <c r="B62" s="2" t="s">
        <v>234</v>
      </c>
      <c r="C62" s="44" t="e">
        <f t="shared" ref="C62:M62" si="77">C61/C35</f>
        <v>#DIV/0!</v>
      </c>
      <c r="D62" s="44" t="e">
        <f t="shared" si="77"/>
        <v>#DIV/0!</v>
      </c>
      <c r="E62" s="44" t="e">
        <f t="shared" si="77"/>
        <v>#DIV/0!</v>
      </c>
      <c r="F62" s="44" t="e">
        <f t="shared" si="77"/>
        <v>#DIV/0!</v>
      </c>
      <c r="G62" s="44">
        <f t="shared" si="77"/>
        <v>-7.0199605206025515</v>
      </c>
      <c r="H62" s="44">
        <f t="shared" si="77"/>
        <v>-2.6522962380404316</v>
      </c>
      <c r="I62" s="20">
        <f t="shared" si="77"/>
        <v>-8.7985879345550411E-2</v>
      </c>
      <c r="J62" s="20">
        <f t="shared" si="77"/>
        <v>-0.7574736854171904</v>
      </c>
      <c r="K62" s="20">
        <f>K61/K35</f>
        <v>-0.47907218358840292</v>
      </c>
      <c r="L62" s="20">
        <f>L61/L35</f>
        <v>-0.4858733398818017</v>
      </c>
      <c r="M62" s="20">
        <f t="shared" si="77"/>
        <v>-0.68367364381858786</v>
      </c>
      <c r="N62" s="20">
        <f t="shared" ref="N62" si="78">N61/N35</f>
        <v>-0.34378907996384345</v>
      </c>
      <c r="O62" s="20">
        <f t="shared" ref="O62:T62" si="79">O61/O35</f>
        <v>-8.0260834499656805E-2</v>
      </c>
      <c r="P62" s="20">
        <f t="shared" si="79"/>
        <v>-0.17319951456628646</v>
      </c>
      <c r="Q62" s="20">
        <f t="shared" si="79"/>
        <v>-0.45448661645795513</v>
      </c>
      <c r="R62" s="20">
        <f t="shared" si="79"/>
        <v>-0.56375566785988929</v>
      </c>
      <c r="S62" s="20">
        <f t="shared" si="79"/>
        <v>-0.79410596228766483</v>
      </c>
      <c r="T62" s="20">
        <f t="shared" si="79"/>
        <v>-0.86570825168252208</v>
      </c>
    </row>
    <row r="63" spans="2:20" s="25" customFormat="1">
      <c r="B63" s="25" t="s">
        <v>235</v>
      </c>
      <c r="C63" s="25" t="e">
        <f>-C61/PL!#REF!</f>
        <v>#REF!</v>
      </c>
      <c r="D63" s="25" t="e">
        <f>-D61/PL!#REF!</f>
        <v>#REF!</v>
      </c>
      <c r="E63" s="25" t="e">
        <f>-E61/PL!#REF!</f>
        <v>#REF!</v>
      </c>
      <c r="F63" s="25" t="e">
        <f>-F61/PL!#REF!</f>
        <v>#REF!</v>
      </c>
      <c r="G63" s="25">
        <f>-G61/PL!AZ33</f>
        <v>231.12137612035235</v>
      </c>
      <c r="H63" s="25">
        <f>-H61/PL!BA33</f>
        <v>1200.6563021263287</v>
      </c>
      <c r="I63" s="25">
        <f>-I61/PL!BB33</f>
        <v>1.0647463345277777</v>
      </c>
      <c r="J63" s="25">
        <f>-J61/PL!BC33</f>
        <v>12.806279537071548</v>
      </c>
      <c r="K63" s="25">
        <f>-K61/PL!BD33</f>
        <v>7.1605922645338618</v>
      </c>
      <c r="L63" s="25">
        <f>-L61/PL!BE33</f>
        <v>5.9881213761522947</v>
      </c>
      <c r="M63" s="25">
        <f>-M61/PL!BF33</f>
        <v>9.514448614450389</v>
      </c>
      <c r="N63" s="25">
        <f>-N61/PL!BG33</f>
        <v>4.4830254858841831</v>
      </c>
      <c r="O63" s="25">
        <f>-O61/PL!BH33</f>
        <v>2.264078630825987</v>
      </c>
      <c r="P63" s="25">
        <f>-P61/PL!BI33</f>
        <v>4.8642903407240281</v>
      </c>
      <c r="Q63" s="25">
        <f>-Q61/PL!BJ33</f>
        <v>18.849368919044995</v>
      </c>
      <c r="R63" s="25">
        <f>-R61/PL!BK33</f>
        <v>40.490341818132158</v>
      </c>
      <c r="S63" s="25">
        <f>-S61/PL!BL33</f>
        <v>92.555124285444336</v>
      </c>
      <c r="T63" s="25">
        <f>-T61/PL!BM33</f>
        <v>149.68846917173809</v>
      </c>
    </row>
    <row r="64" spans="2:20">
      <c r="C64" s="4">
        <f>C21+C24</f>
        <v>0</v>
      </c>
      <c r="D64" s="4">
        <f t="shared" ref="D64:P64" si="80">D21+D24</f>
        <v>0</v>
      </c>
      <c r="E64" s="4">
        <f t="shared" si="80"/>
        <v>0</v>
      </c>
      <c r="F64" s="4">
        <f t="shared" si="80"/>
        <v>0</v>
      </c>
      <c r="G64" s="97">
        <f t="shared" si="80"/>
        <v>0</v>
      </c>
      <c r="H64" s="97">
        <f t="shared" si="80"/>
        <v>0</v>
      </c>
      <c r="I64" s="97">
        <f t="shared" si="80"/>
        <v>0</v>
      </c>
      <c r="J64" s="97">
        <f t="shared" si="80"/>
        <v>3.5954144800000001</v>
      </c>
      <c r="K64" s="97">
        <f>K21+K24</f>
        <v>55.892880409999997</v>
      </c>
      <c r="L64" s="97">
        <f>L21+L24</f>
        <v>67.182932309999998</v>
      </c>
      <c r="M64" s="97">
        <f t="shared" si="80"/>
        <v>36.582378679999998</v>
      </c>
      <c r="N64" s="97">
        <f t="shared" ref="N64" si="81">N21+N24</f>
        <v>119.55269060000001</v>
      </c>
      <c r="O64" s="97">
        <f t="shared" si="80"/>
        <v>366.80954884000005</v>
      </c>
      <c r="P64" s="97">
        <f t="shared" si="80"/>
        <v>17</v>
      </c>
      <c r="Q64" s="97">
        <f>Q21+Q24</f>
        <v>17</v>
      </c>
      <c r="R64" s="97">
        <f>R21+R24</f>
        <v>17</v>
      </c>
      <c r="S64" s="97">
        <f>S21+S24</f>
        <v>17</v>
      </c>
      <c r="T64" s="97">
        <f>T21+T24</f>
        <v>17</v>
      </c>
    </row>
    <row r="65" spans="2:20">
      <c r="B65" s="3" t="s">
        <v>83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>
      <c r="B66" s="2" t="s">
        <v>84</v>
      </c>
      <c r="C66" s="21" t="e">
        <f>PL!#REF!/AVERAGE(BS!C19:C19)</f>
        <v>#REF!</v>
      </c>
      <c r="D66" s="21" t="e">
        <f>PL!#REF!/AVERAGE(BS!C19:D19)</f>
        <v>#REF!</v>
      </c>
      <c r="E66" s="21" t="e">
        <f>PL!#REF!/AVERAGE(BS!D19:E19)</f>
        <v>#REF!</v>
      </c>
      <c r="F66" s="21" t="e">
        <f>PL!#REF!/AVERAGE(BS!E19:F19)</f>
        <v>#REF!</v>
      </c>
      <c r="G66" s="21">
        <f>PL!AZ4/AVERAGE(BS!F19:G19)</f>
        <v>2.6579053168183434E-2</v>
      </c>
      <c r="H66" s="21">
        <f>PL!BA4/AVERAGE(BS!G19:H19)</f>
        <v>6.4447666251974831E-2</v>
      </c>
      <c r="I66" s="21">
        <f>PL!BB4/AVERAGE(BS!H19:I19)</f>
        <v>0.1151602723358444</v>
      </c>
      <c r="J66" s="21">
        <f>PL!BC4/AVERAGE(BS!I19:J19)</f>
        <v>7.6628367698806751E-2</v>
      </c>
      <c r="K66" s="21">
        <f>PL!BD4/AVERAGE(BS!J19:K19)</f>
        <v>0.10085483855618631</v>
      </c>
      <c r="L66" s="21">
        <f>PL!BE4/AVERAGE(BS!K19:L19)</f>
        <v>0.11427263717182945</v>
      </c>
      <c r="M66" s="21">
        <f>PL!BF4/AVERAGE(BS!L19:M19)</f>
        <v>0.11640302936681854</v>
      </c>
      <c r="N66" s="21">
        <f>PL!BG4/AVERAGE(BS!M19:N19)</f>
        <v>0.1788181959582309</v>
      </c>
      <c r="O66" s="21">
        <f>PL!BH4/AVERAGE(BS!N19:O19)</f>
        <v>0.6447061727022495</v>
      </c>
      <c r="P66" s="21">
        <f>PL!BI4/AVERAGE(BS!O19:P19)</f>
        <v>1.4680781692712872</v>
      </c>
      <c r="Q66" s="21">
        <f>PL!BJ4/AVERAGE(BS!P19:Q19)</f>
        <v>3.2655237846039062</v>
      </c>
      <c r="R66" s="21">
        <f>PL!BK4/AVERAGE(BS!Q19:R19)</f>
        <v>3.5253082764193704</v>
      </c>
      <c r="S66" s="21">
        <f>PL!BL4/AVERAGE(BS!R19:S19)</f>
        <v>3.1746495050848158</v>
      </c>
      <c r="T66" s="21">
        <f>PL!BM4/AVERAGE(BS!S19:T19)</f>
        <v>2.7074682681410862</v>
      </c>
    </row>
    <row r="67" spans="2:20">
      <c r="B67" s="2" t="s">
        <v>236</v>
      </c>
      <c r="C67" s="21" t="e">
        <f>AVERAGE(C19:C19)/AVERAGE(C35:C35)</f>
        <v>#DIV/0!</v>
      </c>
      <c r="D67" s="21" t="e">
        <f t="shared" ref="D67:N67" si="82">AVERAGE(C19:D19)/AVERAGE(C35:D35)</f>
        <v>#DIV/0!</v>
      </c>
      <c r="E67" s="21" t="e">
        <f t="shared" si="82"/>
        <v>#DIV/0!</v>
      </c>
      <c r="F67" s="21" t="e">
        <f t="shared" si="82"/>
        <v>#DIV/0!</v>
      </c>
      <c r="G67" s="21">
        <f t="shared" si="82"/>
        <v>17.842981899212209</v>
      </c>
      <c r="H67" s="21">
        <f t="shared" si="82"/>
        <v>6.6792524780470188</v>
      </c>
      <c r="I67" s="21">
        <f t="shared" si="82"/>
        <v>1.5840827543975697</v>
      </c>
      <c r="J67" s="21">
        <f t="shared" si="82"/>
        <v>1.1103098198275225</v>
      </c>
      <c r="K67" s="21">
        <f t="shared" si="82"/>
        <v>1.152030774520076</v>
      </c>
      <c r="L67" s="21">
        <f t="shared" si="82"/>
        <v>1.1684550651811967</v>
      </c>
      <c r="M67" s="21">
        <f t="shared" si="82"/>
        <v>1.142380455771939</v>
      </c>
      <c r="N67" s="21">
        <f t="shared" si="82"/>
        <v>1.1770464549879898</v>
      </c>
      <c r="O67" s="21">
        <f t="shared" ref="O67:T67" si="83">AVERAGE(N19:O19)/AVERAGE(N35:O35)</f>
        <v>1.1668309459948747</v>
      </c>
      <c r="P67" s="21">
        <f t="shared" si="83"/>
        <v>1.1594842095943552</v>
      </c>
      <c r="Q67" s="21">
        <f t="shared" si="83"/>
        <v>1.3131732872435962</v>
      </c>
      <c r="R67" s="21">
        <f t="shared" si="83"/>
        <v>1.371219322060516</v>
      </c>
      <c r="S67" s="21">
        <f t="shared" si="83"/>
        <v>1.3494813438188202</v>
      </c>
      <c r="T67" s="21">
        <f t="shared" si="83"/>
        <v>1.2974766904391732</v>
      </c>
    </row>
    <row r="68" spans="2:20">
      <c r="B68" s="2" t="s">
        <v>70</v>
      </c>
      <c r="C68" s="44" t="e">
        <f>PL!#REF!</f>
        <v>#REF!</v>
      </c>
      <c r="D68" s="44" t="e">
        <f>PL!#REF!</f>
        <v>#REF!</v>
      </c>
      <c r="E68" s="44" t="e">
        <f>PL!#REF!</f>
        <v>#REF!</v>
      </c>
      <c r="F68" s="44" t="e">
        <f>PL!#REF!</f>
        <v>#REF!</v>
      </c>
      <c r="G68" s="44">
        <f>PL!AZ47</f>
        <v>-48.538455553715991</v>
      </c>
      <c r="H68" s="44">
        <f>PL!BA47</f>
        <v>-0.35074918714056036</v>
      </c>
      <c r="I68" s="20">
        <f>PL!BB47</f>
        <v>-2.6557416054549181</v>
      </c>
      <c r="J68" s="20">
        <f>PL!BC47</f>
        <v>-0.94679332025322727</v>
      </c>
      <c r="K68" s="20">
        <f>PL!BD47</f>
        <v>-1.1441020878583732</v>
      </c>
      <c r="L68" s="20">
        <f>PL!BE47</f>
        <v>-1.7235978680176074</v>
      </c>
      <c r="M68" s="20">
        <f>PL!BF47</f>
        <v>-1.1913130394361371</v>
      </c>
      <c r="N68" s="20">
        <f>PL!BG47</f>
        <v>-0.38495784261979049</v>
      </c>
      <c r="O68" s="87">
        <f>PL!BH47</f>
        <v>0.31693941812290671</v>
      </c>
      <c r="P68" s="87">
        <f>PL!BI47</f>
        <v>0.2576702331998294</v>
      </c>
      <c r="Q68" s="87">
        <f>PL!BJ47</f>
        <v>0.15651229698396957</v>
      </c>
      <c r="R68" s="87">
        <f>PL!BK47</f>
        <v>0.15808737538993797</v>
      </c>
      <c r="S68" s="87">
        <f>PL!BL47</f>
        <v>0.15997603625003798</v>
      </c>
      <c r="T68" s="87">
        <f>PL!BM47</f>
        <v>0.15996966047527841</v>
      </c>
    </row>
    <row r="69" spans="2:20">
      <c r="B69" s="2" t="s">
        <v>237</v>
      </c>
      <c r="C69" s="44" t="e">
        <f t="shared" ref="C69:M69" si="84">C66*C67*C68</f>
        <v>#REF!</v>
      </c>
      <c r="D69" s="44" t="e">
        <f t="shared" si="84"/>
        <v>#REF!</v>
      </c>
      <c r="E69" s="44" t="e">
        <f t="shared" si="84"/>
        <v>#REF!</v>
      </c>
      <c r="F69" s="44" t="e">
        <f t="shared" si="84"/>
        <v>#REF!</v>
      </c>
      <c r="G69" s="44">
        <f t="shared" si="84"/>
        <v>-23.019341411643069</v>
      </c>
      <c r="H69" s="44">
        <f t="shared" si="84"/>
        <v>-0.15098427885184518</v>
      </c>
      <c r="I69" s="20">
        <f t="shared" si="84"/>
        <v>-0.48446941690376427</v>
      </c>
      <c r="J69" s="20">
        <f t="shared" si="84"/>
        <v>-8.0554339422379898E-2</v>
      </c>
      <c r="K69" s="20">
        <f>K66*K67*K68</f>
        <v>-0.13293079354733281</v>
      </c>
      <c r="L69" s="20">
        <f>L66*L67*L68</f>
        <v>-0.23013899587254338</v>
      </c>
      <c r="M69" s="20">
        <f t="shared" si="84"/>
        <v>-0.1584166928807873</v>
      </c>
      <c r="N69" s="20">
        <f t="shared" ref="N69" si="85">N66*N67*N68</f>
        <v>-8.1024896428835425E-2</v>
      </c>
      <c r="O69" s="87">
        <f t="shared" ref="O69:T69" si="86">O66*O67*O68</f>
        <v>0.23842183343090279</v>
      </c>
      <c r="P69" s="20">
        <f t="shared" si="86"/>
        <v>0.43860973809132336</v>
      </c>
      <c r="Q69" s="20">
        <f t="shared" si="86"/>
        <v>0.67115581324774909</v>
      </c>
      <c r="R69" s="20">
        <f t="shared" si="86"/>
        <v>0.76418976041145281</v>
      </c>
      <c r="S69" s="20">
        <f t="shared" si="86"/>
        <v>0.68535818101725632</v>
      </c>
      <c r="T69" s="20">
        <f t="shared" si="86"/>
        <v>0.56195373586506914</v>
      </c>
    </row>
    <row r="70" spans="2:20">
      <c r="B70" s="2" t="s">
        <v>238</v>
      </c>
      <c r="C70" s="88" t="e">
        <f>PL!#REF!/AVERAGE(BS!C33:C33)</f>
        <v>#REF!</v>
      </c>
      <c r="D70" s="88" t="e">
        <f>PL!#REF!/AVERAGE(BS!C33:D33)</f>
        <v>#REF!</v>
      </c>
      <c r="E70" s="89" t="e">
        <f>PL!#REF!/AVERAGE(BS!D33:E33)</f>
        <v>#REF!</v>
      </c>
      <c r="F70" s="89" t="e">
        <f>PL!#REF!/AVERAGE(BS!E33:F33)</f>
        <v>#REF!</v>
      </c>
      <c r="G70" s="89">
        <f>PL!AZ25/AVERAGE(BS!F33:G33)</f>
        <v>-23.019341411643072</v>
      </c>
      <c r="H70" s="89">
        <f>PL!BA25/AVERAGE(BS!G33:H33)</f>
        <v>-0.15098427885184518</v>
      </c>
      <c r="I70" s="88">
        <f>PL!BB25/AVERAGE(BS!H33:I33)</f>
        <v>-0.48446941690376427</v>
      </c>
      <c r="J70" s="88">
        <f>PL!BC25/AVERAGE(BS!I33:J33)</f>
        <v>-8.0554339422379911E-2</v>
      </c>
      <c r="K70" s="88">
        <f>PL!BD25/AVERAGE(BS!J33:K33)</f>
        <v>-0.13389363959007539</v>
      </c>
      <c r="L70" s="88">
        <f>PL!BE25/AVERAGE(BS!K33:L33)</f>
        <v>-0.23386600268296209</v>
      </c>
      <c r="M70" s="88">
        <f>PL!BF25/AVERAGE(BS!L33:M33)</f>
        <v>-0.16089684606905866</v>
      </c>
      <c r="N70" s="88">
        <f>PL!BG25/AVERAGE(BS!M33:N33)</f>
        <v>-8.1665274804185936E-2</v>
      </c>
      <c r="O70" s="89">
        <f>PL!BH25/AVERAGE(BS!N33:O33)</f>
        <v>0.23862767853337585</v>
      </c>
      <c r="P70" s="89">
        <f>PL!BI25/AVERAGE(BS!O33:P33)</f>
        <v>0.43885035820757334</v>
      </c>
      <c r="Q70" s="89">
        <f>PL!BJ25/AVERAGE(BS!P33:Q33)</f>
        <v>0.67146559983042609</v>
      </c>
      <c r="R70" s="89">
        <f>PL!BK25/AVERAGE(BS!Q33:R33)</f>
        <v>0.76446226734240175</v>
      </c>
      <c r="S70" s="89">
        <f>PL!BL25/AVERAGE(BS!R33:S33)</f>
        <v>0.68553910732691414</v>
      </c>
      <c r="T70" s="89">
        <f>PL!BM25/AVERAGE(BS!S33:T33)</f>
        <v>0.56206819552208953</v>
      </c>
    </row>
    <row r="71" spans="2:20">
      <c r="B71" s="2" t="s">
        <v>86</v>
      </c>
      <c r="C71" s="44" t="e">
        <f>PL!#REF!/AVERAGE(BS!C19:C19)</f>
        <v>#REF!</v>
      </c>
      <c r="D71" s="44" t="e">
        <f>PL!#REF!/AVERAGE(BS!C19:D19)</f>
        <v>#REF!</v>
      </c>
      <c r="E71" s="44" t="e">
        <f>PL!#REF!/AVERAGE(BS!D19:E19)</f>
        <v>#REF!</v>
      </c>
      <c r="F71" s="44" t="e">
        <f>PL!#REF!/AVERAGE(BS!E19:F19)</f>
        <v>#REF!</v>
      </c>
      <c r="G71" s="44">
        <f>PL!AZ25/AVERAGE(BS!F19:G19)</f>
        <v>-1.2901061908637259</v>
      </c>
      <c r="H71" s="44">
        <f>PL!BA25/AVERAGE(BS!G19:H19)</f>
        <v>-2.2604966550986295E-2</v>
      </c>
      <c r="I71" s="20">
        <f>PL!BB25/AVERAGE(BS!H19:I19)</f>
        <v>-0.30583592653782099</v>
      </c>
      <c r="J71" s="20">
        <f>PL!BC25/AVERAGE(BS!I19:J19)</f>
        <v>-7.2551226679138409E-2</v>
      </c>
      <c r="K71" s="20">
        <f>PL!BD25/AVERAGE(BS!J19:K19)</f>
        <v>-0.11538823136275192</v>
      </c>
      <c r="L71" s="20">
        <f>PL!BE25/AVERAGE(BS!K19:L19)</f>
        <v>-0.19696007380211483</v>
      </c>
      <c r="M71" s="20">
        <f>PL!BF25/AVERAGE(BS!L19:M19)</f>
        <v>-0.13867244671455853</v>
      </c>
      <c r="N71" s="20">
        <f>PL!BG25/AVERAGE(BS!M19:N19)</f>
        <v>-6.8837466937243505E-2</v>
      </c>
      <c r="O71" s="87">
        <f>PL!BH25/AVERAGE(BS!N19:O19)</f>
        <v>0.20433279923649716</v>
      </c>
      <c r="P71" s="20">
        <f>PL!BI25/AVERAGE(BS!O19:P19)</f>
        <v>0.37828004423171119</v>
      </c>
      <c r="Q71" s="20">
        <f>PL!BJ25/AVERAGE(BS!P19:Q19)</f>
        <v>0.51109462838414288</v>
      </c>
      <c r="R71" s="20">
        <f>PL!BK25/AVERAGE(BS!Q19:R19)</f>
        <v>0.55730673285956422</v>
      </c>
      <c r="S71" s="20">
        <f>PL!BL25/AVERAGE(BS!R19:S19)</f>
        <v>0.50786784430661358</v>
      </c>
      <c r="T71" s="20">
        <f>PL!BM25/AVERAGE(BS!S19:T19)</f>
        <v>0.43311277960211969</v>
      </c>
    </row>
    <row r="72" spans="2:20">
      <c r="B72" s="2" t="s">
        <v>340</v>
      </c>
      <c r="C72" s="44" t="e">
        <f>PL!#REF!/BS!C35</f>
        <v>#REF!</v>
      </c>
      <c r="D72" s="44" t="e">
        <f>PL!#REF!/BS!D35</f>
        <v>#REF!</v>
      </c>
      <c r="E72" s="44" t="e">
        <f>PL!#REF!/BS!E35</f>
        <v>#REF!</v>
      </c>
      <c r="F72" s="44" t="e">
        <f>PL!#REF!/BS!F35</f>
        <v>#REF!</v>
      </c>
      <c r="G72" s="44">
        <f>PL!AZ39/BS!G35</f>
        <v>-11.905861653820612</v>
      </c>
      <c r="H72" s="44">
        <f>PL!BA39/BS!H35</f>
        <v>-0.31099780131347526</v>
      </c>
      <c r="I72" s="44">
        <f>PL!BB39/BS!I35</f>
        <v>-0.29101512995936224</v>
      </c>
      <c r="J72" s="44">
        <f>PL!BC39/BS!J35</f>
        <v>-8.7008193089685382E-2</v>
      </c>
      <c r="K72" s="44">
        <f>PL!BD39/BS!K35</f>
        <v>-0.16140032871373852</v>
      </c>
      <c r="L72" s="44">
        <f>PL!BE39/BS!L35</f>
        <v>-0.23102012257186452</v>
      </c>
      <c r="M72" s="44">
        <f>PL!BF39/BS!M35</f>
        <v>-0.10766137854851342</v>
      </c>
      <c r="N72" s="44">
        <f>PL!BG39/BS!N35</f>
        <v>-0.11644967961049867</v>
      </c>
      <c r="O72" s="108">
        <f>PL!BH39/BS!O35</f>
        <v>0.18451943605962748</v>
      </c>
      <c r="P72" s="44">
        <f>PL!BI39/BS!P35</f>
        <v>0.41293000544720726</v>
      </c>
      <c r="Q72" s="44">
        <f>PL!BJ39/BS!Q35</f>
        <v>0.61009961644104771</v>
      </c>
      <c r="R72" s="44">
        <f>PL!BK39/BS!R35</f>
        <v>0.69197538010699033</v>
      </c>
      <c r="S72" s="44">
        <f>PL!BL39/BS!S35</f>
        <v>0.64738184394998433</v>
      </c>
      <c r="T72" s="44">
        <f>PL!BM39/BS!T35</f>
        <v>0.5626916909510693</v>
      </c>
    </row>
    <row r="74" spans="2:20">
      <c r="B74" s="2" t="s">
        <v>311</v>
      </c>
      <c r="C74" s="17">
        <f>Annual!F114/1000000</f>
        <v>0</v>
      </c>
      <c r="D74" s="17">
        <f>Annual!G114/1000000</f>
        <v>0</v>
      </c>
      <c r="E74" s="17">
        <f>Annual!H114/1000000</f>
        <v>0</v>
      </c>
      <c r="F74" s="17">
        <f>Annual!I114/1000000</f>
        <v>0</v>
      </c>
      <c r="G74" s="17">
        <f>Annual!J114/1000000</f>
        <v>0</v>
      </c>
      <c r="H74" s="17">
        <f>Annual!K114/1000000</f>
        <v>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7" spans="2:20">
      <c r="B77" s="2" t="s">
        <v>338</v>
      </c>
      <c r="C77" s="44" t="str">
        <f>_xll.QueryTool.Functions.GQ($B$81, "ROIC", C$2)</f>
        <v>Error:Ticker is a required parameter</v>
      </c>
      <c r="D77" s="44" t="str">
        <f>_xll.QueryTool.Functions.GQ($B$81, "ROIC", D$2)</f>
        <v>Error:Ticker is a required parameter</v>
      </c>
      <c r="E77" s="44" t="str">
        <f>_xll.QueryTool.Functions.GQ($B$81, "ROIC", E$2)</f>
        <v>Error:Ticker is a required parameter</v>
      </c>
      <c r="F77" s="44" t="str">
        <f>_xll.QueryTool.Functions.GQ($B$81, "ROIC", F$2)</f>
        <v>Error:Ticker is a required parameter</v>
      </c>
      <c r="G77" s="44" t="str">
        <f>_xll.QueryTool.Functions.GQ($B$81, "ROIC", G$2)</f>
        <v>Error:Ticker is a required parameter</v>
      </c>
      <c r="H77" s="44" t="str">
        <f>_xll.QueryTool.Functions.GQ($B$81, "ROIC", H$2)</f>
        <v>Error:Ticker is a required parameter</v>
      </c>
      <c r="I77" s="44" t="str">
        <f>_xll.QueryTool.Functions.GQ($B$81, "ROIC", I$2)</f>
        <v>Error:Ticker is a required parameter</v>
      </c>
      <c r="J77" s="44" t="str">
        <f>_xll.QueryTool.Functions.GQ($B$81, "ROIC", J$1)</f>
        <v>Error:Ticker is a required parameter</v>
      </c>
      <c r="K77" s="44" t="str">
        <f>_xll.QueryTool.Functions.GQ($B$81, "ROIC", K$1)</f>
        <v>Error:Ticker is a required parameter</v>
      </c>
      <c r="L77" s="44" t="str">
        <f>_xll.QueryTool.Functions.GQ($B$81, "ROIC", L$1)</f>
        <v>Error:Ticker is a required parameter</v>
      </c>
      <c r="M77" s="44" t="str">
        <f>_xll.QueryTool.Functions.GQ($B$81, "ROIC", M$1)</f>
        <v>Error:Ticker is a required parameter</v>
      </c>
      <c r="N77" s="44" t="str">
        <f>_xll.QueryTool.Functions.GQ($B$81, "ROIC", N$1)</f>
        <v>Error:Ticker is a required parameter</v>
      </c>
      <c r="O77" s="44" t="str">
        <f>_xll.QueryTool.Functions.GQ($B$81, "ROIC", O$1)</f>
        <v>Error:Ticker is a required parameter</v>
      </c>
      <c r="P77" s="44" t="str">
        <f>_xll.QueryTool.Functions.GQ($B$81, "ROIC", P$1)</f>
        <v>Error:Ticker is a required parameter</v>
      </c>
      <c r="Q77" s="44" t="str">
        <f>_xll.QueryTool.Functions.GQ($B$81, "ROIC", Q$1)</f>
        <v>Error:Ticker is a required parameter</v>
      </c>
      <c r="R77" s="44" t="str">
        <f>_xll.QueryTool.Functions.GQ($B$81, "ROIC", R$1)</f>
        <v>Error:Ticker is a required parameter</v>
      </c>
      <c r="S77" s="44" t="str">
        <f>_xll.QueryTool.Functions.GQ($B$81, "ROIC", S$1)</f>
        <v>Error:Ticker is a required parameter</v>
      </c>
      <c r="T77" s="44" t="str">
        <f>_xll.QueryTool.Functions.GQ($B$81, "ROIC", T$1)</f>
        <v>Error:Ticker is a required parameter</v>
      </c>
    </row>
    <row r="78" spans="2:20">
      <c r="B78" s="2" t="s">
        <v>338</v>
      </c>
      <c r="C78" s="44">
        <v>7.8442675631999997E-2</v>
      </c>
      <c r="D78" s="44">
        <v>0.15272627426099999</v>
      </c>
      <c r="E78" s="44">
        <v>0.181259013257</v>
      </c>
      <c r="F78" s="44">
        <v>0.244945660353</v>
      </c>
      <c r="G78" s="44">
        <v>0.20814834786600001</v>
      </c>
      <c r="H78" s="44">
        <v>0.20393294025200001</v>
      </c>
      <c r="I78" s="44">
        <v>0.257071474666</v>
      </c>
      <c r="J78" s="44">
        <v>0.26724190621499999</v>
      </c>
      <c r="K78" s="44">
        <v>0.34850366292200002</v>
      </c>
      <c r="L78" s="44">
        <v>0.38596840457199999</v>
      </c>
      <c r="M78" s="44">
        <v>0.41098739188200001</v>
      </c>
      <c r="N78" s="44">
        <v>0.435780647061</v>
      </c>
      <c r="O78" s="44">
        <v>0.46082057786000002</v>
      </c>
      <c r="P78" s="44">
        <v>1.4608205778600001</v>
      </c>
      <c r="Q78" s="44">
        <v>2.4608205778599999</v>
      </c>
      <c r="R78" s="44">
        <v>2.4608205778599999</v>
      </c>
      <c r="S78" s="44">
        <v>2.4608205778599999</v>
      </c>
      <c r="T78" s="44">
        <v>2.4608205778599999</v>
      </c>
    </row>
    <row r="79" spans="2:20">
      <c r="B79" s="2" t="s">
        <v>339</v>
      </c>
      <c r="C79" s="44" t="e">
        <f>PL!#REF!*(1-PL!#REF!)/(BS!C21+BS!C24+BS!C35)</f>
        <v>#REF!</v>
      </c>
      <c r="D79" s="44" t="e">
        <f>PL!#REF!*(1-PL!#REF!)/(BS!D21+BS!D24+BS!D35)</f>
        <v>#REF!</v>
      </c>
      <c r="E79" s="44" t="e">
        <f>PL!#REF!*(1-PL!#REF!)/(BS!E21+BS!E24+BS!E35)</f>
        <v>#REF!</v>
      </c>
      <c r="F79" s="44" t="e">
        <f>PL!#REF!*(1-PL!#REF!)/(BS!F21+BS!F24+BS!F35)</f>
        <v>#REF!</v>
      </c>
      <c r="G79" s="44">
        <f>PL!AZ12*(1-PL!AZ55)/(BS!G21+BS!G24+BS!G35)</f>
        <v>-11.920542949668995</v>
      </c>
      <c r="H79" s="44">
        <f>PL!BA12*(1-PL!BA55)/(BS!H21+BS!H24+BS!H35)</f>
        <v>-0.34194588423039751</v>
      </c>
      <c r="I79" s="44">
        <f>PL!BB12*(1-PL!BB55)/(BS!I21+BS!I24+BS!I35)</f>
        <v>-0.30253207951909922</v>
      </c>
      <c r="J79" s="44">
        <f>PL!BC12*(1-PL!BC55)/(BS!J21+BS!J24+BS!J35)</f>
        <v>-0.10577366542614902</v>
      </c>
      <c r="K79" s="44">
        <f>PL!BD12*(1-PL!BD55)/(BS!K21+BS!K24+BS!K35)</f>
        <v>-0.19273656184689439</v>
      </c>
      <c r="L79" s="44">
        <f>PL!BE12*(1-PL!BE55)/(BS!L21+BS!L24+BS!L35)</f>
        <v>-0.28534193240001626</v>
      </c>
      <c r="M79" s="44">
        <f>PL!BF12*(1-PL!BF55)/(BS!M21+BS!M24+BS!M35)</f>
        <v>-0.15034268954926833</v>
      </c>
      <c r="N79" s="44">
        <f>PL!BG12*(1-PL!BG55)/(BS!N21+BS!N24+BS!N35)</f>
        <v>-0.14504885929731173</v>
      </c>
      <c r="O79" s="44">
        <f>PL!BH12*(1-PL!BH55)/(BS!O21+BS!O24+BS!O35)</f>
        <v>0.15886215533235096</v>
      </c>
      <c r="P79" s="44">
        <f>PL!BI12*(1-PL!BI55)/(BS!P21+BS!P24+BS!P35)</f>
        <v>0.38095833493895093</v>
      </c>
      <c r="Q79" s="44">
        <f>PL!BJ12*(1-PL!BJ55)/(BS!Q21+BS!Q24+BS!Q35)</f>
        <v>0.53795222453974523</v>
      </c>
      <c r="R79" s="44">
        <f>PL!BK12*(1-PL!BK55)/(BS!R21+BS!R24+BS!R35)</f>
        <v>0.60228951952916321</v>
      </c>
      <c r="S79" s="44">
        <f>PL!BL12*(1-PL!BL55)/(BS!S21+BS!S24+BS!S35)</f>
        <v>0.55269037720730241</v>
      </c>
      <c r="T79" s="44">
        <f>PL!BM12*(1-PL!BM55)/(BS!T21+BS!T24+BS!T35)</f>
        <v>0.46994341429281089</v>
      </c>
    </row>
  </sheetData>
  <pageMargins left="0" right="0" top="0" bottom="0" header="0" footer="0"/>
  <pageSetup paperSize="9" scale="16" fitToHeight="0" orientation="portrait" r:id="rId1"/>
  <customProperties>
    <customPr name="Qube.Worksheet.ID" r:id="rId2"/>
    <customPr name="Qube.Worksheet.Visibility" r:id="rId3"/>
    <customPr name="SHEET_UNIQUE_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1:BM155"/>
  <sheetViews>
    <sheetView showGridLines="0" zoomScaleNormal="100" workbookViewId="0">
      <pane xSplit="10" ySplit="15" topLeftCell="K16" activePane="bottomRight" state="frozen"/>
      <selection pane="topRight" activeCell="K1" sqref="K1"/>
      <selection pane="bottomLeft" activeCell="A16" sqref="A16"/>
      <selection pane="bottomRight" activeCell="Q162" sqref="Q162"/>
    </sheetView>
  </sheetViews>
  <sheetFormatPr defaultColWidth="9.28515625" defaultRowHeight="12.75"/>
  <cols>
    <col min="1" max="1" width="2.7109375" style="127" customWidth="1"/>
    <col min="2" max="2" width="22.85546875" style="127" customWidth="1"/>
    <col min="3" max="10" width="8.5703125" style="127" hidden="1" customWidth="1"/>
    <col min="11" max="50" width="8.5703125" style="127" customWidth="1"/>
    <col min="51" max="51" width="1.7109375" style="127" customWidth="1"/>
    <col min="52" max="65" width="8.5703125" style="127" customWidth="1"/>
    <col min="66" max="16384" width="9.28515625" style="127"/>
  </cols>
  <sheetData>
    <row r="1" spans="2:65">
      <c r="B1" s="127" t="str">
        <f>'Cover Page'!B6:I6</f>
        <v>Cambricon (688256.SS)</v>
      </c>
      <c r="D1" s="128"/>
      <c r="E1" s="60"/>
      <c r="F1" s="128"/>
      <c r="G1" s="40"/>
      <c r="I1" s="129"/>
      <c r="J1" s="130"/>
      <c r="K1" s="130"/>
      <c r="L1" s="131"/>
      <c r="O1" s="131"/>
      <c r="P1" s="128"/>
      <c r="Q1" s="132"/>
      <c r="R1" s="72"/>
      <c r="S1" s="121"/>
      <c r="T1" s="132"/>
      <c r="U1" s="132"/>
      <c r="V1" s="132"/>
      <c r="W1" s="132"/>
      <c r="X1" s="322"/>
      <c r="Y1" s="164"/>
      <c r="Z1" s="164"/>
      <c r="AA1" s="131"/>
      <c r="AB1" s="219"/>
      <c r="AC1" s="164"/>
      <c r="AD1" s="297"/>
      <c r="AE1" s="132"/>
      <c r="AF1" s="132"/>
      <c r="AG1" s="164"/>
      <c r="AH1" s="132"/>
      <c r="AI1" s="164"/>
      <c r="AJ1" s="164"/>
      <c r="AK1" s="164"/>
      <c r="AL1" s="132"/>
      <c r="AM1" s="164"/>
      <c r="AN1" s="164"/>
      <c r="AO1" s="164"/>
      <c r="AP1" s="132"/>
      <c r="AQ1" s="322"/>
      <c r="AR1" s="132"/>
      <c r="AS1" s="132"/>
      <c r="AT1" s="132"/>
      <c r="AU1" s="132"/>
      <c r="AV1" s="164"/>
      <c r="AW1" s="132"/>
      <c r="AX1" s="132"/>
      <c r="AZ1" s="132"/>
      <c r="BA1" s="132"/>
      <c r="BB1" s="164"/>
      <c r="BC1" s="132"/>
      <c r="BD1" s="92"/>
      <c r="BE1" s="132"/>
      <c r="BF1" s="92"/>
      <c r="BG1" s="92"/>
      <c r="BH1" s="91"/>
      <c r="BI1" s="47"/>
      <c r="BJ1" s="47"/>
      <c r="BK1" s="47"/>
      <c r="BL1" s="47"/>
      <c r="BM1" s="47"/>
    </row>
    <row r="2" spans="2:65" s="134" customFormat="1">
      <c r="B2" s="134" t="s">
        <v>283</v>
      </c>
      <c r="C2" s="135" t="s">
        <v>68</v>
      </c>
      <c r="D2" s="135" t="s">
        <v>296</v>
      </c>
      <c r="E2" s="135" t="s">
        <v>303</v>
      </c>
      <c r="F2" s="135" t="s">
        <v>336</v>
      </c>
      <c r="G2" s="135" t="s">
        <v>337</v>
      </c>
      <c r="H2" s="135" t="s">
        <v>342</v>
      </c>
      <c r="I2" s="135" t="s">
        <v>343</v>
      </c>
      <c r="J2" s="135" t="s">
        <v>406</v>
      </c>
      <c r="K2" s="135" t="s">
        <v>410</v>
      </c>
      <c r="L2" s="135" t="s">
        <v>413</v>
      </c>
      <c r="M2" s="135" t="s">
        <v>416</v>
      </c>
      <c r="N2" s="135" t="s">
        <v>456</v>
      </c>
      <c r="O2" s="135" t="s">
        <v>469</v>
      </c>
      <c r="P2" s="135" t="s">
        <v>474</v>
      </c>
      <c r="Q2" s="135" t="s">
        <v>477</v>
      </c>
      <c r="R2" s="135" t="s">
        <v>478</v>
      </c>
      <c r="S2" s="135" t="s">
        <v>483</v>
      </c>
      <c r="T2" s="135" t="s">
        <v>486</v>
      </c>
      <c r="U2" s="135" t="s">
        <v>487</v>
      </c>
      <c r="V2" s="135" t="s">
        <v>489</v>
      </c>
      <c r="W2" s="135" t="s">
        <v>495</v>
      </c>
      <c r="X2" s="135" t="s">
        <v>496</v>
      </c>
      <c r="Y2" s="135" t="s">
        <v>497</v>
      </c>
      <c r="Z2" s="135" t="s">
        <v>532</v>
      </c>
      <c r="AA2" s="135" t="s">
        <v>533</v>
      </c>
      <c r="AB2" s="135" t="s">
        <v>720</v>
      </c>
      <c r="AC2" s="135" t="s">
        <v>770</v>
      </c>
      <c r="AD2" s="135" t="s">
        <v>771</v>
      </c>
      <c r="AE2" s="135" t="s">
        <v>775</v>
      </c>
      <c r="AF2" s="135" t="s">
        <v>784</v>
      </c>
      <c r="AG2" s="136" t="s">
        <v>368</v>
      </c>
      <c r="AH2" s="136" t="s">
        <v>369</v>
      </c>
      <c r="AI2" s="136" t="s">
        <v>441</v>
      </c>
      <c r="AJ2" s="136" t="s">
        <v>442</v>
      </c>
      <c r="AK2" s="136" t="s">
        <v>443</v>
      </c>
      <c r="AL2" s="136" t="s">
        <v>444</v>
      </c>
      <c r="AM2" s="136" t="s">
        <v>696</v>
      </c>
      <c r="AN2" s="136" t="s">
        <v>697</v>
      </c>
      <c r="AO2" s="136" t="s">
        <v>698</v>
      </c>
      <c r="AP2" s="136" t="s">
        <v>699</v>
      </c>
      <c r="AQ2" s="136" t="s">
        <v>700</v>
      </c>
      <c r="AR2" s="136" t="s">
        <v>701</v>
      </c>
      <c r="AS2" s="136" t="s">
        <v>702</v>
      </c>
      <c r="AT2" s="136" t="s">
        <v>703</v>
      </c>
      <c r="AU2" s="136" t="s">
        <v>704</v>
      </c>
      <c r="AV2" s="136" t="s">
        <v>705</v>
      </c>
      <c r="AW2" s="136" t="s">
        <v>706</v>
      </c>
      <c r="AX2" s="136" t="s">
        <v>707</v>
      </c>
      <c r="AZ2" s="135">
        <v>2017</v>
      </c>
      <c r="BA2" s="135">
        <v>2018</v>
      </c>
      <c r="BB2" s="135">
        <v>2019</v>
      </c>
      <c r="BC2" s="135">
        <v>2020</v>
      </c>
      <c r="BD2" s="135">
        <v>2021</v>
      </c>
      <c r="BE2" s="135">
        <v>2022</v>
      </c>
      <c r="BF2" s="135">
        <v>2023</v>
      </c>
      <c r="BG2" s="135">
        <v>2024</v>
      </c>
      <c r="BH2" s="135">
        <v>2025</v>
      </c>
      <c r="BI2" s="136" t="s">
        <v>320</v>
      </c>
      <c r="BJ2" s="136" t="s">
        <v>379</v>
      </c>
      <c r="BK2" s="136" t="s">
        <v>380</v>
      </c>
      <c r="BL2" s="136" t="s">
        <v>381</v>
      </c>
      <c r="BM2" s="136" t="s">
        <v>382</v>
      </c>
    </row>
    <row r="3" spans="2:65">
      <c r="B3" s="137" t="s">
        <v>191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</row>
    <row r="4" spans="2:65">
      <c r="B4" s="127" t="s">
        <v>82</v>
      </c>
      <c r="C4" s="45">
        <f>Quarter!AH5/1000000</f>
        <v>14.246659359999999</v>
      </c>
      <c r="D4" s="45">
        <f>Quarter!AI5/1000000</f>
        <v>83.743849120000007</v>
      </c>
      <c r="E4" s="45">
        <f>Quarter!AJ5/1000000</f>
        <v>12.19526778</v>
      </c>
      <c r="F4" s="45">
        <f>Quarter!AK5/1000000</f>
        <v>333.75268956000002</v>
      </c>
      <c r="G4" s="45">
        <f>Quarter!AL5/1000000</f>
        <v>11.55264124</v>
      </c>
      <c r="H4" s="45">
        <f>Quarter!AM5/1000000</f>
        <v>75.650784810000005</v>
      </c>
      <c r="I4" s="45">
        <f>Quarter!AN5/1000000</f>
        <v>70.326531870000011</v>
      </c>
      <c r="J4" s="45">
        <f>Quarter!AO5/1000000</f>
        <v>301.39737274999999</v>
      </c>
      <c r="K4" s="45">
        <f>Quarter!AP5/1000000</f>
        <v>36.131025539999996</v>
      </c>
      <c r="L4" s="45">
        <f>Quarter!AQ5/1000000</f>
        <v>101.74116365</v>
      </c>
      <c r="M4" s="45">
        <f>Quarter!AR5/1000000</f>
        <v>84.546549769999999</v>
      </c>
      <c r="N4" s="45">
        <f>Quarter!AS5/1000000</f>
        <v>498.62654000999999</v>
      </c>
      <c r="O4" s="45">
        <f>Quarter!AT5/1000000</f>
        <v>62.990732030000004</v>
      </c>
      <c r="P4" s="45">
        <f>Quarter!AU5/1000000</f>
        <v>108.79286171000001</v>
      </c>
      <c r="Q4" s="45">
        <f>Quarter!AV5/1000000</f>
        <v>92.581133969999996</v>
      </c>
      <c r="R4" s="45">
        <f>Quarter!AW5/1000000</f>
        <v>464.66989533999998</v>
      </c>
      <c r="S4" s="45">
        <f>Quarter!AX5/1000000</f>
        <v>75.287960030000008</v>
      </c>
      <c r="T4" s="45">
        <f>Quarter!AY5/1000000</f>
        <v>39.180005260000009</v>
      </c>
      <c r="U4" s="45">
        <f>Quarter!AZ5/1000000</f>
        <v>31.342826029999987</v>
      </c>
      <c r="V4" s="45">
        <f>Quarter!BA5/1000000</f>
        <v>563.57579294000004</v>
      </c>
      <c r="W4" s="45">
        <f>Quarter!BB5/1000000</f>
        <v>25.666105859999998</v>
      </c>
      <c r="X4" s="45">
        <f>Quarter!BC5/1000000</f>
        <v>39.099237299999999</v>
      </c>
      <c r="Y4" s="45">
        <f>Quarter!BD5/1000000</f>
        <v>120.54123401999999</v>
      </c>
      <c r="Z4" s="45">
        <f>Quarter!BE5/1000000</f>
        <v>989.1578002</v>
      </c>
      <c r="AA4" s="45">
        <f>Quarter!BF5/1000000</f>
        <v>1111.3989268</v>
      </c>
      <c r="AB4" s="45">
        <f>Quarter!BG5/1000000</f>
        <v>1769.24454429</v>
      </c>
      <c r="AC4" s="45">
        <f>Quarter!BH5/1000000</f>
        <v>1726.7808925699999</v>
      </c>
      <c r="AD4" s="45">
        <f>Quarter!BI5/1000000</f>
        <v>1889.77183502</v>
      </c>
      <c r="AE4" s="45">
        <v>2884.6967468600001</v>
      </c>
      <c r="AF4" s="45">
        <f>5995.57361961-AE4</f>
        <v>3110.8768727499996</v>
      </c>
      <c r="AG4" s="46">
        <f>Assumption!AD6</f>
        <v>8177.9952011985752</v>
      </c>
      <c r="AH4" s="46">
        <f>Assumption!AE6</f>
        <v>9806.8779395315396</v>
      </c>
      <c r="AI4" s="46">
        <f>Assumption!AF6</f>
        <v>14198.635715019986</v>
      </c>
      <c r="AJ4" s="46">
        <f>Assumption!AG6</f>
        <v>18227.317098775497</v>
      </c>
      <c r="AK4" s="46">
        <f>Assumption!AH6</f>
        <v>24162.810129487309</v>
      </c>
      <c r="AL4" s="46">
        <f>Assumption!AI6</f>
        <v>34672.849505792699</v>
      </c>
      <c r="AM4" s="46">
        <f>Assumption!AJ6</f>
        <v>44042.247007514743</v>
      </c>
      <c r="AN4" s="46">
        <f>Assumption!AK6</f>
        <v>41303.611586035891</v>
      </c>
      <c r="AO4" s="46">
        <f>Assumption!AL6</f>
        <v>40911.027491547706</v>
      </c>
      <c r="AP4" s="46">
        <f>Assumption!AM6</f>
        <v>46212.667925134498</v>
      </c>
      <c r="AQ4" s="46">
        <f>Assumption!AN6</f>
        <v>66690.108665457097</v>
      </c>
      <c r="AR4" s="46">
        <f>Assumption!AO6</f>
        <v>63405.142210870006</v>
      </c>
      <c r="AS4" s="46">
        <f>Assumption!AP6</f>
        <v>59875.435679844311</v>
      </c>
      <c r="AT4" s="46">
        <f>Assumption!AQ6</f>
        <v>63552.916756444727</v>
      </c>
      <c r="AU4" s="46">
        <f>Assumption!AR6</f>
        <v>79209.655824004163</v>
      </c>
      <c r="AV4" s="46">
        <f>Assumption!AS6</f>
        <v>80686.715759664599</v>
      </c>
      <c r="AW4" s="46">
        <f>Assumption!AT6</f>
        <v>76999.591144757651</v>
      </c>
      <c r="AX4" s="46">
        <f>Assumption!AU6</f>
        <v>82541.345103753876</v>
      </c>
      <c r="AZ4" s="45">
        <f>Annual!J183/10^6</f>
        <v>7.8432741399999992</v>
      </c>
      <c r="BA4" s="45">
        <f>Annual!K183/10^6</f>
        <v>117.02523876000001</v>
      </c>
      <c r="BB4" s="138">
        <f>SUM(C4:F4)</f>
        <v>443.93846582000003</v>
      </c>
      <c r="BC4" s="138">
        <f>SUM(G4:J4)</f>
        <v>458.92733067</v>
      </c>
      <c r="BD4" s="138">
        <f>SUM(K4:N4)</f>
        <v>721.04527897000003</v>
      </c>
      <c r="BE4" s="138">
        <f>SUM(O4:R4)</f>
        <v>729.03462304999994</v>
      </c>
      <c r="BF4" s="138">
        <f>SUM(S4:V4)</f>
        <v>709.38658426000006</v>
      </c>
      <c r="BG4" s="132">
        <f>SUM(W4:Z4)</f>
        <v>1174.4643773799999</v>
      </c>
      <c r="BH4" s="132">
        <f>SUM(AA4:AD4)</f>
        <v>6497.1961986800006</v>
      </c>
      <c r="BI4" s="132">
        <f>SUM(AE4:AH4)</f>
        <v>23980.446760340114</v>
      </c>
      <c r="BJ4" s="132">
        <f>SUM(AI4:AL4)</f>
        <v>91261.612449075503</v>
      </c>
      <c r="BK4" s="132">
        <f>SUM(AM4:AP4)</f>
        <v>172469.55401023282</v>
      </c>
      <c r="BL4" s="132">
        <f>SUM(AQ4:AT4)</f>
        <v>253523.60331261615</v>
      </c>
      <c r="BM4" s="132">
        <f>SUM(AU4:AX4)</f>
        <v>319437.30783218029</v>
      </c>
    </row>
    <row r="5" spans="2:65">
      <c r="B5" s="127" t="s">
        <v>47</v>
      </c>
      <c r="C5" s="45">
        <f>Quarter!AH8/1000000</f>
        <v>0.30680598999999997</v>
      </c>
      <c r="D5" s="45">
        <f>Quarter!AI8/1000000</f>
        <v>13.294965529999999</v>
      </c>
      <c r="E5" s="45">
        <f>Quarter!AJ8/1000000</f>
        <v>1.4565272300000001</v>
      </c>
      <c r="F5" s="45">
        <f>Quarter!AK8/1000000</f>
        <v>126.16707369</v>
      </c>
      <c r="G5" s="45">
        <f>Quarter!AL8/1000000</f>
        <v>3.5448730199999998</v>
      </c>
      <c r="H5" s="45">
        <f>Quarter!AM8/1000000</f>
        <v>15.96205559</v>
      </c>
      <c r="I5" s="45">
        <f>Quarter!AN8/1000000</f>
        <v>36.087282009999996</v>
      </c>
      <c r="J5" s="45">
        <f>Quarter!AO8/1000000</f>
        <v>103.27575042000001</v>
      </c>
      <c r="K5" s="45">
        <f>Quarter!AP8/1000000</f>
        <v>20.1917875</v>
      </c>
      <c r="L5" s="45">
        <f>Quarter!AQ8/1000000</f>
        <v>44.652948109999997</v>
      </c>
      <c r="M5" s="45">
        <f>Quarter!AR8/1000000</f>
        <v>44.693689710000001</v>
      </c>
      <c r="N5" s="45">
        <f>Quarter!AS8/1000000</f>
        <v>161.61223846999999</v>
      </c>
      <c r="O5" s="45">
        <f>Quarter!AT8/1000000</f>
        <v>27.350072709999999</v>
      </c>
      <c r="P5" s="45">
        <f>Quarter!AU8/1000000</f>
        <v>50.073076440000008</v>
      </c>
      <c r="Q5" s="45">
        <f>Quarter!AV8/1000000</f>
        <v>33.18253507</v>
      </c>
      <c r="R5" s="45">
        <f>Quarter!AW8/1000000</f>
        <v>139.01666942</v>
      </c>
      <c r="S5" s="45">
        <f>Quarter!AX8/1000000</f>
        <v>17.472752230000001</v>
      </c>
      <c r="T5" s="45">
        <f>Quarter!AY8/1000000</f>
        <v>15.88554207</v>
      </c>
      <c r="U5" s="45">
        <f>Quarter!AZ8/1000000</f>
        <v>10.619693260000002</v>
      </c>
      <c r="V5" s="45">
        <f>Quarter!BA8/1000000</f>
        <v>174.82166190000001</v>
      </c>
      <c r="W5" s="45">
        <f>Quarter!BB8/1000000</f>
        <v>10.87989829</v>
      </c>
      <c r="X5" s="45">
        <f>Quarter!BC8/1000000</f>
        <v>13.264352390000001</v>
      </c>
      <c r="Y5" s="45">
        <f>Quarter!BD8/1000000</f>
        <v>58.818893960000004</v>
      </c>
      <c r="Z5" s="45">
        <f>Quarter!BE8/1000000</f>
        <v>425.44656500000002</v>
      </c>
      <c r="AA5" s="45">
        <f>Quarter!BF8/1000000</f>
        <v>489.12986080000002</v>
      </c>
      <c r="AB5" s="45">
        <f>Quarter!BG8/1000000</f>
        <v>780.50355304999994</v>
      </c>
      <c r="AC5" s="45">
        <f>Quarter!BH8/1000000</f>
        <v>790.21313812999995</v>
      </c>
      <c r="AD5" s="45">
        <f>Quarter!BI8/1000000</f>
        <v>854.03664249999997</v>
      </c>
      <c r="AE5" s="45">
        <v>1317.43015072</v>
      </c>
      <c r="AF5" s="45">
        <f>2682.98483053-AE5</f>
        <v>1365.5546798100002</v>
      </c>
      <c r="AG5" s="48">
        <f t="shared" ref="AG5:AL5" si="0">AG4-AG6</f>
        <v>4088.5413134846062</v>
      </c>
      <c r="AH5" s="48">
        <f t="shared" si="0"/>
        <v>4902.9758431833698</v>
      </c>
      <c r="AI5" s="48">
        <f t="shared" si="0"/>
        <v>6956.9100380352993</v>
      </c>
      <c r="AJ5" s="48">
        <f t="shared" si="0"/>
        <v>8930.9835646033916</v>
      </c>
      <c r="AK5" s="48">
        <f t="shared" si="0"/>
        <v>11839.392224196119</v>
      </c>
      <c r="AL5" s="48">
        <f t="shared" si="0"/>
        <v>16989.229621460359</v>
      </c>
      <c r="AM5" s="48">
        <f t="shared" ref="AM5:AP5" si="1">AM4-AM6</f>
        <v>21800.376402922804</v>
      </c>
      <c r="AN5" s="48">
        <f t="shared" si="1"/>
        <v>20444.766859586296</v>
      </c>
      <c r="AO5" s="48">
        <f t="shared" si="1"/>
        <v>20250.441512625821</v>
      </c>
      <c r="AP5" s="48">
        <f t="shared" si="1"/>
        <v>22874.680272438258</v>
      </c>
      <c r="AQ5" s="48">
        <f t="shared" ref="AQ5:AT5" si="2">AQ4-AQ6</f>
        <v>33344.431567150248</v>
      </c>
      <c r="AR5" s="48">
        <f t="shared" si="2"/>
        <v>31701.963046927078</v>
      </c>
      <c r="AS5" s="48">
        <f t="shared" si="2"/>
        <v>29937.101533947643</v>
      </c>
      <c r="AT5" s="48">
        <f t="shared" si="2"/>
        <v>31775.776135128635</v>
      </c>
      <c r="AU5" s="48">
        <f t="shared" ref="AU5:AX5" si="3">AU4-AU6</f>
        <v>39604.138445275916</v>
      </c>
      <c r="AV5" s="48">
        <f t="shared" si="3"/>
        <v>40342.68364636488</v>
      </c>
      <c r="AW5" s="48">
        <f t="shared" si="3"/>
        <v>38499.10975678706</v>
      </c>
      <c r="AX5" s="48">
        <f t="shared" si="3"/>
        <v>41269.917769866224</v>
      </c>
      <c r="AZ5" s="45">
        <f>Annual!J185/10^6</f>
        <v>3.0000000000000001E-3</v>
      </c>
      <c r="BA5" s="45">
        <f>Annual!K185/10^6</f>
        <v>0.11714189</v>
      </c>
      <c r="BB5" s="49">
        <f>SUM(C5:F5)</f>
        <v>141.22537244</v>
      </c>
      <c r="BC5" s="49">
        <f>SUM(G5:J5)</f>
        <v>158.86996104000002</v>
      </c>
      <c r="BD5" s="49">
        <f>SUM(K5:N5)</f>
        <v>271.15066379000001</v>
      </c>
      <c r="BE5" s="46">
        <f>SUM(O5:R5)</f>
        <v>249.62235364</v>
      </c>
      <c r="BF5" s="46">
        <f>SUM(S5:V5)</f>
        <v>218.79964946000001</v>
      </c>
      <c r="BG5" s="132">
        <f>SUM(W5:Z5)</f>
        <v>508.40970964000002</v>
      </c>
      <c r="BH5" s="132">
        <f>SUM(AA5:AD5)</f>
        <v>2913.8831944799995</v>
      </c>
      <c r="BI5" s="132">
        <f>SUM(AE5:AH5)</f>
        <v>11674.501987197975</v>
      </c>
      <c r="BJ5" s="132">
        <f>SUM(AI5:AL5)</f>
        <v>44716.515448295169</v>
      </c>
      <c r="BK5" s="132">
        <f>SUM(AM5:AP5)</f>
        <v>85370.265047573179</v>
      </c>
      <c r="BL5" s="132">
        <f>SUM(AQ5:AT5)</f>
        <v>126759.27228315361</v>
      </c>
      <c r="BM5" s="132">
        <f>SUM(AU5:AX5)</f>
        <v>159715.84961829407</v>
      </c>
    </row>
    <row r="6" spans="2:65" s="139" customFormat="1">
      <c r="B6" s="139" t="s">
        <v>192</v>
      </c>
      <c r="C6" s="50">
        <f t="shared" ref="C6:L6" si="4">C4-C5</f>
        <v>13.939853369999998</v>
      </c>
      <c r="D6" s="50">
        <f t="shared" si="4"/>
        <v>70.448883590000008</v>
      </c>
      <c r="E6" s="50">
        <f t="shared" si="4"/>
        <v>10.738740549999999</v>
      </c>
      <c r="F6" s="50">
        <f t="shared" si="4"/>
        <v>207.58561587000003</v>
      </c>
      <c r="G6" s="50">
        <f t="shared" si="4"/>
        <v>8.0077682199999991</v>
      </c>
      <c r="H6" s="50">
        <f t="shared" si="4"/>
        <v>59.688729220000006</v>
      </c>
      <c r="I6" s="50">
        <f t="shared" si="4"/>
        <v>34.239249860000015</v>
      </c>
      <c r="J6" s="50">
        <f t="shared" si="4"/>
        <v>198.12162232999998</v>
      </c>
      <c r="K6" s="50">
        <f t="shared" si="4"/>
        <v>15.939238039999996</v>
      </c>
      <c r="L6" s="50">
        <f t="shared" si="4"/>
        <v>57.088215540000007</v>
      </c>
      <c r="M6" s="50">
        <f t="shared" ref="M6:T6" si="5">M4-M5</f>
        <v>39.852860059999998</v>
      </c>
      <c r="N6" s="50">
        <f t="shared" si="5"/>
        <v>337.01430154000002</v>
      </c>
      <c r="O6" s="50">
        <f t="shared" si="5"/>
        <v>35.640659320000005</v>
      </c>
      <c r="P6" s="50">
        <f t="shared" si="5"/>
        <v>58.719785270000003</v>
      </c>
      <c r="Q6" s="50">
        <f t="shared" si="5"/>
        <v>59.398598899999996</v>
      </c>
      <c r="R6" s="50">
        <f t="shared" si="5"/>
        <v>325.65322591999995</v>
      </c>
      <c r="S6" s="50">
        <f t="shared" si="5"/>
        <v>57.81520780000001</v>
      </c>
      <c r="T6" s="50">
        <f t="shared" si="5"/>
        <v>23.294463190000009</v>
      </c>
      <c r="U6" s="50">
        <f>U4-U5</f>
        <v>20.723132769999985</v>
      </c>
      <c r="V6" s="50">
        <f>V4-V5</f>
        <v>388.75413104000006</v>
      </c>
      <c r="W6" s="50">
        <f>W4-W5</f>
        <v>14.786207569999998</v>
      </c>
      <c r="X6" s="50">
        <f>X4-X5</f>
        <v>25.83488491</v>
      </c>
      <c r="Y6" s="50">
        <f>Y4-Y5</f>
        <v>61.722340059999986</v>
      </c>
      <c r="Z6" s="50">
        <f t="shared" ref="Z6:AA6" si="6">Z4-Z5</f>
        <v>563.71123519999992</v>
      </c>
      <c r="AA6" s="50">
        <f t="shared" si="6"/>
        <v>622.26906600000007</v>
      </c>
      <c r="AB6" s="50">
        <f t="shared" ref="AB6" si="7">AB4-AB5</f>
        <v>988.74099124000008</v>
      </c>
      <c r="AC6" s="50">
        <f t="shared" ref="AC6:AF6" si="8">AC4-AC5</f>
        <v>936.56775443999993</v>
      </c>
      <c r="AD6" s="50">
        <f t="shared" si="8"/>
        <v>1035.7351925200001</v>
      </c>
      <c r="AE6" s="50">
        <f t="shared" si="8"/>
        <v>1567.26659614</v>
      </c>
      <c r="AF6" s="50">
        <f t="shared" si="8"/>
        <v>1745.3221929399995</v>
      </c>
      <c r="AG6" s="51">
        <f>Assumption!AD37</f>
        <v>4089.4538877139689</v>
      </c>
      <c r="AH6" s="51">
        <f>Assumption!AE37</f>
        <v>4903.9020963481698</v>
      </c>
      <c r="AI6" s="51">
        <f>Assumption!AF37</f>
        <v>7241.7256769846863</v>
      </c>
      <c r="AJ6" s="51">
        <f>Assumption!AG37</f>
        <v>9296.3335341721049</v>
      </c>
      <c r="AK6" s="51">
        <f>Assumption!AH37</f>
        <v>12323.41790529119</v>
      </c>
      <c r="AL6" s="51">
        <f>Assumption!AI37</f>
        <v>17683.61988433234</v>
      </c>
      <c r="AM6" s="51">
        <f>Assumption!AJ37</f>
        <v>22241.870604591939</v>
      </c>
      <c r="AN6" s="51">
        <f>Assumption!AK37</f>
        <v>20858.844726449595</v>
      </c>
      <c r="AO6" s="51">
        <f>Assumption!AL37</f>
        <v>20660.585978921885</v>
      </c>
      <c r="AP6" s="51">
        <f>Assumption!AM37</f>
        <v>23337.98765269624</v>
      </c>
      <c r="AQ6" s="51">
        <f>Assumption!AN37</f>
        <v>33345.677098306849</v>
      </c>
      <c r="AR6" s="51">
        <f>Assumption!AO37</f>
        <v>31703.179163942928</v>
      </c>
      <c r="AS6" s="51">
        <f>Assumption!AP37</f>
        <v>29938.334145896668</v>
      </c>
      <c r="AT6" s="51">
        <f>Assumption!AQ37</f>
        <v>31777.140621316092</v>
      </c>
      <c r="AU6" s="51">
        <f>Assumption!AR37</f>
        <v>39605.517378728247</v>
      </c>
      <c r="AV6" s="51">
        <f>Assumption!AS37</f>
        <v>40344.03211329972</v>
      </c>
      <c r="AW6" s="51">
        <f>Assumption!AT37</f>
        <v>38500.481387970591</v>
      </c>
      <c r="AX6" s="51">
        <f>Assumption!AU37</f>
        <v>41271.427333887652</v>
      </c>
      <c r="AZ6" s="50">
        <f t="shared" ref="AZ6:BH6" si="9">AZ4-AZ5</f>
        <v>7.8402741399999991</v>
      </c>
      <c r="BA6" s="50">
        <f t="shared" si="9"/>
        <v>116.90809687000001</v>
      </c>
      <c r="BB6" s="52">
        <f t="shared" si="9"/>
        <v>302.71309338000003</v>
      </c>
      <c r="BC6" s="52">
        <f t="shared" si="9"/>
        <v>300.05736962999998</v>
      </c>
      <c r="BD6" s="52">
        <f>BD4-BD5</f>
        <v>449.89461518000002</v>
      </c>
      <c r="BE6" s="50">
        <f>BE4-BE5</f>
        <v>479.41226940999991</v>
      </c>
      <c r="BF6" s="50">
        <f t="shared" si="9"/>
        <v>490.58693480000005</v>
      </c>
      <c r="BG6" s="52">
        <f>BG4-BG5</f>
        <v>666.05466773999979</v>
      </c>
      <c r="BH6" s="52">
        <f t="shared" si="9"/>
        <v>3583.3130042000012</v>
      </c>
      <c r="BI6" s="52">
        <f>BI4-BI5</f>
        <v>12305.944773142139</v>
      </c>
      <c r="BJ6" s="52">
        <f>BJ4-BJ5</f>
        <v>46545.097000780333</v>
      </c>
      <c r="BK6" s="52">
        <f t="shared" ref="BK6:BM6" si="10">BK4-BK5</f>
        <v>87099.288962659644</v>
      </c>
      <c r="BL6" s="52">
        <f t="shared" si="10"/>
        <v>126764.33102946254</v>
      </c>
      <c r="BM6" s="52">
        <f t="shared" si="10"/>
        <v>159721.45821388622</v>
      </c>
    </row>
    <row r="7" spans="2:65" s="139" customFormat="1">
      <c r="B7" s="127" t="s">
        <v>159</v>
      </c>
      <c r="C7" s="45">
        <f>Quarter!AH9/1000000</f>
        <v>0.64108370999999997</v>
      </c>
      <c r="D7" s="45">
        <f>Quarter!AI9/1000000</f>
        <v>5.5735599999999996E-2</v>
      </c>
      <c r="E7" s="45">
        <f>Quarter!AJ9/1000000</f>
        <v>0.39140048</v>
      </c>
      <c r="F7" s="45">
        <f>Quarter!AK9/1000000</f>
        <v>1.4621296499999998</v>
      </c>
      <c r="G7" s="45">
        <f>Quarter!AL9/1000000</f>
        <v>0.99790243999999995</v>
      </c>
      <c r="H7" s="45">
        <f>Quarter!AM9/1000000</f>
        <v>0.25450491000000003</v>
      </c>
      <c r="I7" s="45">
        <f>Quarter!AN9/1000000</f>
        <v>0.45863841</v>
      </c>
      <c r="J7" s="45">
        <f>Quarter!AO9/1000000</f>
        <v>0.70722101000000004</v>
      </c>
      <c r="K7" s="45">
        <f>Quarter!AP9/1000000</f>
        <v>0.18269093</v>
      </c>
      <c r="L7" s="45">
        <f>Quarter!AQ9/1000000</f>
        <v>0.29336589000000002</v>
      </c>
      <c r="M7" s="45">
        <f>Quarter!AR9/1000000</f>
        <v>0.10406530999999999</v>
      </c>
      <c r="N7" s="45">
        <f>Quarter!AS9/1000000</f>
        <v>1.4348583500000001</v>
      </c>
      <c r="O7" s="45">
        <f>Quarter!AT9/1000000</f>
        <v>0.14927942999999999</v>
      </c>
      <c r="P7" s="45">
        <f>Quarter!AU9/1000000</f>
        <v>0.15702507000000002</v>
      </c>
      <c r="Q7" s="45">
        <f>Quarter!AV9/1000000</f>
        <v>0.35673390999999999</v>
      </c>
      <c r="R7" s="45">
        <f>Quarter!AW9/1000000</f>
        <v>2.5529245699999996</v>
      </c>
      <c r="S7" s="45">
        <f>Quarter!AX9/1000000</f>
        <v>0.18540226000000001</v>
      </c>
      <c r="T7" s="45">
        <f>Quarter!AY9/1000000</f>
        <v>0.10078589999999997</v>
      </c>
      <c r="U7" s="45">
        <f>Quarter!AZ9/1000000</f>
        <v>3.4143256999999996</v>
      </c>
      <c r="V7" s="45">
        <f>Quarter!BA9/1000000</f>
        <v>0.64767522</v>
      </c>
      <c r="W7" s="45">
        <f>Quarter!BB9/1000000</f>
        <v>0.17194551999999999</v>
      </c>
      <c r="X7" s="45">
        <f>Quarter!BC9/1000000</f>
        <v>0.27512186999999999</v>
      </c>
      <c r="Y7" s="45">
        <f>Quarter!BD9/1000000</f>
        <v>0.55315610999999998</v>
      </c>
      <c r="Z7" s="45">
        <f>Quarter!BE9/1000000</f>
        <v>1.9712053</v>
      </c>
      <c r="AA7" s="45">
        <f>Quarter!BF9/1000000</f>
        <v>2.3470807999999996</v>
      </c>
      <c r="AB7" s="45">
        <f>Quarter!BG9/1000000</f>
        <v>1.73793508</v>
      </c>
      <c r="AC7" s="45">
        <f>Quarter!BH9/1000000</f>
        <v>12.817366740000001</v>
      </c>
      <c r="AD7" s="45">
        <f>Quarter!BI9/1000000</f>
        <v>8.9269082300000004</v>
      </c>
      <c r="AE7" s="45">
        <v>33.488314600000002</v>
      </c>
      <c r="AF7" s="45">
        <f>70.72738527-AE7</f>
        <v>37.239070669999997</v>
      </c>
      <c r="AG7" s="48">
        <f t="shared" ref="AG7:AL7" si="11">AG$4*AG51</f>
        <v>36.800978405393586</v>
      </c>
      <c r="AH7" s="48">
        <f t="shared" si="11"/>
        <v>39.227511758126163</v>
      </c>
      <c r="AI7" s="48">
        <f t="shared" si="11"/>
        <v>70.993178575099932</v>
      </c>
      <c r="AJ7" s="48">
        <f t="shared" si="11"/>
        <v>91.13658549387749</v>
      </c>
      <c r="AK7" s="48">
        <f t="shared" si="11"/>
        <v>120.81405064743655</v>
      </c>
      <c r="AL7" s="48">
        <f t="shared" si="11"/>
        <v>173.36424752896349</v>
      </c>
      <c r="AM7" s="48">
        <f t="shared" ref="AM7:AP7" si="12">AM$4*AM51</f>
        <v>176.16898803005898</v>
      </c>
      <c r="AN7" s="48">
        <f t="shared" si="12"/>
        <v>165.21444634414357</v>
      </c>
      <c r="AO7" s="48">
        <f t="shared" si="12"/>
        <v>163.64410996619083</v>
      </c>
      <c r="AP7" s="48">
        <f t="shared" si="12"/>
        <v>184.85067170053799</v>
      </c>
      <c r="AQ7" s="48">
        <f t="shared" ref="AQ7:AT7" si="13">AQ$4*AQ51</f>
        <v>200.07032599637131</v>
      </c>
      <c r="AR7" s="48">
        <f t="shared" si="13"/>
        <v>190.21542663261002</v>
      </c>
      <c r="AS7" s="48">
        <f t="shared" si="13"/>
        <v>179.62630703953295</v>
      </c>
      <c r="AT7" s="48">
        <f t="shared" si="13"/>
        <v>190.65875026933418</v>
      </c>
      <c r="AU7" s="48">
        <f t="shared" ref="AU7:AX7" si="14">AU$4*AU51</f>
        <v>158.41931164800832</v>
      </c>
      <c r="AV7" s="48">
        <f t="shared" si="14"/>
        <v>161.37343151932922</v>
      </c>
      <c r="AW7" s="48">
        <f t="shared" si="14"/>
        <v>153.99918228951532</v>
      </c>
      <c r="AX7" s="48">
        <f t="shared" si="14"/>
        <v>165.08269020750777</v>
      </c>
      <c r="AZ7" s="45">
        <f>Annual!J186/10^6</f>
        <v>0.10769124000000001</v>
      </c>
      <c r="BA7" s="45">
        <f>Annual!K186/10^6</f>
        <v>1.1167318700000002</v>
      </c>
      <c r="BB7" s="53">
        <f>SUM(C7:F7)</f>
        <v>2.5503494399999997</v>
      </c>
      <c r="BC7" s="53">
        <f>SUM(G7:J7)</f>
        <v>2.4182667699999998</v>
      </c>
      <c r="BD7" s="53">
        <f>SUM(K7:N7)</f>
        <v>2.0149804800000002</v>
      </c>
      <c r="BE7" s="48">
        <f>SUM(O7:R7)</f>
        <v>3.2159629799999996</v>
      </c>
      <c r="BF7" s="48">
        <f>SUM(S7:V7)</f>
        <v>4.3481890799999992</v>
      </c>
      <c r="BG7" s="132">
        <f>SUM(W7:Z7)</f>
        <v>2.9714288</v>
      </c>
      <c r="BH7" s="132">
        <f>SUM(AA7:AD7)</f>
        <v>25.82929085</v>
      </c>
      <c r="BI7" s="132">
        <f>SUM(AE7:AH7)</f>
        <v>146.75587543351975</v>
      </c>
      <c r="BJ7" s="132">
        <f>SUM(AI7:AL7)</f>
        <v>456.30806224537741</v>
      </c>
      <c r="BK7" s="132">
        <f>SUM(AM7:AP7)</f>
        <v>689.87821604093142</v>
      </c>
      <c r="BL7" s="132">
        <f>SUM(AQ7:AT7)</f>
        <v>760.57080993784848</v>
      </c>
      <c r="BM7" s="132">
        <f>SUM(AU7:AX7)</f>
        <v>638.87461566436059</v>
      </c>
    </row>
    <row r="8" spans="2:65">
      <c r="B8" s="127" t="s">
        <v>193</v>
      </c>
      <c r="C8" s="45">
        <f>Quarter!AH10/1000000</f>
        <v>1.6335713799999998</v>
      </c>
      <c r="D8" s="45">
        <f>Quarter!AI10/1000000</f>
        <v>2.2106052300000001</v>
      </c>
      <c r="E8" s="45">
        <f>Quarter!AJ10/1000000</f>
        <v>3.6001884</v>
      </c>
      <c r="F8" s="45">
        <f>Quarter!AK10/1000000</f>
        <v>11.56869689</v>
      </c>
      <c r="G8" s="45">
        <f>Quarter!AL10/1000000</f>
        <v>5.0989646300000002</v>
      </c>
      <c r="H8" s="45">
        <f>Quarter!AM10/1000000</f>
        <v>8.3270294699999994</v>
      </c>
      <c r="I8" s="45">
        <f>Quarter!AN10/1000000</f>
        <v>11.330385849999999</v>
      </c>
      <c r="J8" s="45">
        <f>Quarter!AO10/1000000</f>
        <v>20.169940320000002</v>
      </c>
      <c r="K8" s="45">
        <f>Quarter!AP10/1000000</f>
        <v>11.414144220000001</v>
      </c>
      <c r="L8" s="45">
        <f>Quarter!AQ10/1000000</f>
        <v>13.348176580000001</v>
      </c>
      <c r="M8" s="45">
        <f>Quarter!AR10/1000000</f>
        <v>18.768150410000001</v>
      </c>
      <c r="N8" s="45">
        <f>Quarter!AS10/1000000</f>
        <v>27.894484909999999</v>
      </c>
      <c r="O8" s="45">
        <f>Quarter!AT10/1000000</f>
        <v>17.732279350000002</v>
      </c>
      <c r="P8" s="45">
        <f>Quarter!AU10/1000000</f>
        <v>15.157773239999999</v>
      </c>
      <c r="Q8" s="45">
        <f>Quarter!AV10/1000000</f>
        <v>17.084830950000001</v>
      </c>
      <c r="R8" s="45">
        <f>Quarter!AW10/1000000</f>
        <v>32.734584140000003</v>
      </c>
      <c r="S8" s="45">
        <f>Quarter!AX10/1000000</f>
        <v>18.533261159999999</v>
      </c>
      <c r="T8" s="45">
        <f>Quarter!AY10/1000000</f>
        <v>19.839750940000002</v>
      </c>
      <c r="U8" s="45">
        <f>Quarter!AZ10/1000000</f>
        <v>17.186293760000002</v>
      </c>
      <c r="V8" s="45">
        <f>Quarter!BA10/1000000</f>
        <v>26.507458510000003</v>
      </c>
      <c r="W8" s="45">
        <f>Quarter!BB10/1000000</f>
        <v>13.021426679999999</v>
      </c>
      <c r="X8" s="45">
        <f>Quarter!BC10/1000000</f>
        <v>12.925927199999999</v>
      </c>
      <c r="Y8" s="45">
        <f>Quarter!BD10/1000000</f>
        <v>14.875356269999999</v>
      </c>
      <c r="Z8" s="45">
        <f>Quarter!BE10/1000000</f>
        <v>29.2323971</v>
      </c>
      <c r="AA8" s="45">
        <f>Quarter!BF10/1000000</f>
        <v>14.3917099</v>
      </c>
      <c r="AB8" s="45">
        <f>Quarter!BG10/1000000</f>
        <v>13.726338119999999</v>
      </c>
      <c r="AC8" s="45">
        <f>Quarter!BH10/1000000</f>
        <v>14.55358977</v>
      </c>
      <c r="AD8" s="45">
        <f>Quarter!BI10/1000000</f>
        <v>25.353031780000002</v>
      </c>
      <c r="AE8" s="45">
        <v>12.647215790000001</v>
      </c>
      <c r="AF8" s="45">
        <f>26.23983475-AE8</f>
        <v>13.592618959999999</v>
      </c>
      <c r="AG8" s="310">
        <f t="shared" ref="AG8:AP8" si="15">AC8*(1+10%)</f>
        <v>16.008948747000002</v>
      </c>
      <c r="AH8" s="310">
        <f t="shared" si="15"/>
        <v>27.888334958000005</v>
      </c>
      <c r="AI8" s="310">
        <f t="shared" si="15"/>
        <v>13.911937369000002</v>
      </c>
      <c r="AJ8" s="310">
        <f t="shared" si="15"/>
        <v>14.951880856000001</v>
      </c>
      <c r="AK8" s="310">
        <f t="shared" si="15"/>
        <v>17.609843621700001</v>
      </c>
      <c r="AL8" s="310">
        <f t="shared" si="15"/>
        <v>30.677168453800007</v>
      </c>
      <c r="AM8" s="310">
        <f t="shared" si="15"/>
        <v>15.303131105900004</v>
      </c>
      <c r="AN8" s="310">
        <f t="shared" si="15"/>
        <v>16.447068941600001</v>
      </c>
      <c r="AO8" s="310">
        <f t="shared" si="15"/>
        <v>19.370827983870004</v>
      </c>
      <c r="AP8" s="310">
        <f t="shared" si="15"/>
        <v>33.744885299180012</v>
      </c>
      <c r="AQ8" s="310">
        <f>AM8*(1+5%)</f>
        <v>16.068287661195004</v>
      </c>
      <c r="AR8" s="310">
        <f t="shared" ref="AR8:AX8" si="16">AN8*(1+5%)</f>
        <v>17.269422388680002</v>
      </c>
      <c r="AS8" s="310">
        <f t="shared" si="16"/>
        <v>20.339369383063506</v>
      </c>
      <c r="AT8" s="310">
        <f t="shared" si="16"/>
        <v>35.432129564139018</v>
      </c>
      <c r="AU8" s="310">
        <f t="shared" si="16"/>
        <v>16.871702044254754</v>
      </c>
      <c r="AV8" s="310">
        <f t="shared" si="16"/>
        <v>18.132893508114002</v>
      </c>
      <c r="AW8" s="310">
        <f t="shared" si="16"/>
        <v>21.356337852216683</v>
      </c>
      <c r="AX8" s="310">
        <f t="shared" si="16"/>
        <v>37.203736042345973</v>
      </c>
      <c r="AZ8" s="45">
        <f>Annual!J187/10^6</f>
        <v>0.12</v>
      </c>
      <c r="BA8" s="45">
        <f>Annual!K187/10^6</f>
        <v>6.2159578799999995</v>
      </c>
      <c r="BB8" s="53">
        <f>SUM(C8:F8)</f>
        <v>19.0130619</v>
      </c>
      <c r="BC8" s="53">
        <f>SUM(G8:J8)</f>
        <v>44.926320270000005</v>
      </c>
      <c r="BD8" s="53">
        <f>SUM(K8:N8)</f>
        <v>71.424956120000004</v>
      </c>
      <c r="BE8" s="48">
        <f>SUM(O8:R8)</f>
        <v>82.709467680000017</v>
      </c>
      <c r="BF8" s="48">
        <f>SUM(S8:V8)</f>
        <v>82.066764370000001</v>
      </c>
      <c r="BG8" s="132">
        <f>SUM(W8:Z8)</f>
        <v>70.055107249999992</v>
      </c>
      <c r="BH8" s="132">
        <f>SUM(AA8:AD8)</f>
        <v>68.02466957</v>
      </c>
      <c r="BI8" s="132">
        <f>SUM(AE8:AH8)</f>
        <v>70.137118455000007</v>
      </c>
      <c r="BJ8" s="132">
        <f>SUM(AI8:AL8)</f>
        <v>77.150830300500019</v>
      </c>
      <c r="BK8" s="132">
        <f>SUM(AM8:AP8)</f>
        <v>84.865913330550029</v>
      </c>
      <c r="BL8" s="132">
        <f>SUM(AQ8:AT8)</f>
        <v>89.109208997077531</v>
      </c>
      <c r="BM8" s="132">
        <f>SUM(AU8:AX8)</f>
        <v>93.564669446931418</v>
      </c>
    </row>
    <row r="9" spans="2:65">
      <c r="B9" s="127" t="s">
        <v>194</v>
      </c>
      <c r="C9" s="45">
        <f>Quarter!AH11/1000000</f>
        <v>16.062280650000002</v>
      </c>
      <c r="D9" s="45">
        <f>Quarter!AI11/1000000</f>
        <v>23.381180230000002</v>
      </c>
      <c r="E9" s="45">
        <f>Quarter!AJ11/1000000</f>
        <v>404.33734480999999</v>
      </c>
      <c r="F9" s="45">
        <f>Quarter!AK11/1000000</f>
        <v>612.29806888999997</v>
      </c>
      <c r="G9" s="45">
        <f>Quarter!AL11/1000000</f>
        <v>30.180999270000001</v>
      </c>
      <c r="H9" s="45">
        <f>Quarter!AM11/1000000</f>
        <v>32.982105310000001</v>
      </c>
      <c r="I9" s="45">
        <f>Quarter!AN11/1000000</f>
        <v>36.980231520000004</v>
      </c>
      <c r="J9" s="45">
        <f>Quarter!AO11/1000000</f>
        <v>64.952942640000003</v>
      </c>
      <c r="K9" s="45">
        <f>Quarter!AP11/1000000</f>
        <v>75.888677760000007</v>
      </c>
      <c r="L9" s="45">
        <f>Quarter!AQ11/1000000</f>
        <v>83.033599680000009</v>
      </c>
      <c r="M9" s="45">
        <f>Quarter!AR11/1000000</f>
        <v>97.924091439999998</v>
      </c>
      <c r="N9" s="45">
        <f>Quarter!AS11/1000000</f>
        <v>138.84588148</v>
      </c>
      <c r="O9" s="45">
        <f>Quarter!AT11/1000000</f>
        <v>93.553441069999991</v>
      </c>
      <c r="P9" s="45">
        <f>Quarter!AU11/1000000</f>
        <v>92.974856560000006</v>
      </c>
      <c r="Q9" s="45">
        <f>Quarter!AV11/1000000</f>
        <v>95.625875909999991</v>
      </c>
      <c r="R9" s="45">
        <f>Quarter!AW11/1000000</f>
        <v>14.48006065</v>
      </c>
      <c r="S9" s="45">
        <f>Quarter!AX11/1000000</f>
        <v>58.507542360000002</v>
      </c>
      <c r="T9" s="45">
        <f>Quarter!AY11/1000000</f>
        <v>69.072954949999996</v>
      </c>
      <c r="U9" s="45">
        <f>Quarter!AZ11/1000000</f>
        <v>75.636291379999975</v>
      </c>
      <c r="V9" s="45">
        <f>Quarter!BA11/1000000</f>
        <v>-49.660263740000005</v>
      </c>
      <c r="W9" s="45">
        <f>Quarter!BB11/1000000</f>
        <v>95.670887319999991</v>
      </c>
      <c r="X9" s="45">
        <f>Quarter!BC11/1000000</f>
        <v>86.628937879999995</v>
      </c>
      <c r="Y9" s="45">
        <f>Quarter!BD11/1000000</f>
        <v>88.007596450000008</v>
      </c>
      <c r="Z9" s="45">
        <f>Quarter!BE11/1000000</f>
        <v>-89.780526599999988</v>
      </c>
      <c r="AA9" s="45">
        <f>Quarter!BF11/1000000</f>
        <v>43.074187600000002</v>
      </c>
      <c r="AB9" s="45">
        <f>Quarter!BG11/1000000</f>
        <v>54.920774770000001</v>
      </c>
      <c r="AC9" s="45">
        <f>Quarter!BH11/1000000</f>
        <v>39.747907499999997</v>
      </c>
      <c r="AD9" s="45">
        <f>Quarter!BI11/1000000</f>
        <v>60.352038719999996</v>
      </c>
      <c r="AE9" s="45">
        <v>35.940082619999998</v>
      </c>
      <c r="AF9" s="45">
        <f>82.45446912-AE9</f>
        <v>46.514386500000001</v>
      </c>
      <c r="AG9" s="310">
        <f>AC9*(1+20%)</f>
        <v>47.697488999999997</v>
      </c>
      <c r="AH9" s="310">
        <f t="shared" ref="AH9" si="17">AD9*(1+10%)</f>
        <v>66.387242592000007</v>
      </c>
      <c r="AI9" s="310">
        <f t="shared" ref="AI9" si="18">AE9*(1+10%)</f>
        <v>39.534090882000001</v>
      </c>
      <c r="AJ9" s="310">
        <f t="shared" ref="AJ9" si="19">AF9*(1+10%)</f>
        <v>51.165825150000003</v>
      </c>
      <c r="AK9" s="310">
        <f t="shared" ref="AK9" si="20">AG9*(1+10%)</f>
        <v>52.467237900000001</v>
      </c>
      <c r="AL9" s="310">
        <f t="shared" ref="AL9" si="21">AH9*(1+10%)</f>
        <v>73.02596685120001</v>
      </c>
      <c r="AM9" s="310">
        <f t="shared" ref="AM9" si="22">AI9*(1+10%)</f>
        <v>43.487499970200005</v>
      </c>
      <c r="AN9" s="310">
        <f t="shared" ref="AN9" si="23">AJ9*(1+10%)</f>
        <v>56.282407665000008</v>
      </c>
      <c r="AO9" s="310">
        <f t="shared" ref="AO9" si="24">AK9*(1+10%)</f>
        <v>57.713961690000005</v>
      </c>
      <c r="AP9" s="310">
        <f t="shared" ref="AP9" si="25">AL9*(1+10%)</f>
        <v>80.328563536320019</v>
      </c>
      <c r="AQ9" s="310">
        <f>AM9*(1+5%)</f>
        <v>45.661874968710009</v>
      </c>
      <c r="AR9" s="310">
        <f t="shared" ref="AR9" si="26">AN9*(1+5%)</f>
        <v>59.096528048250008</v>
      </c>
      <c r="AS9" s="310">
        <f t="shared" ref="AS9" si="27">AO9*(1+5%)</f>
        <v>60.599659774500005</v>
      </c>
      <c r="AT9" s="310">
        <f t="shared" ref="AT9" si="28">AP9*(1+5%)</f>
        <v>84.344991713136025</v>
      </c>
      <c r="AU9" s="310">
        <f t="shared" ref="AU9" si="29">AQ9*(1+5%)</f>
        <v>47.944968717145514</v>
      </c>
      <c r="AV9" s="310">
        <f t="shared" ref="AV9" si="30">AR9*(1+5%)</f>
        <v>62.051354450662508</v>
      </c>
      <c r="AW9" s="310">
        <f t="shared" ref="AW9" si="31">AS9*(1+5%)</f>
        <v>63.629642763225007</v>
      </c>
      <c r="AX9" s="310">
        <f t="shared" ref="AX9" si="32">AT9*(1+5%)</f>
        <v>88.562241298792827</v>
      </c>
      <c r="AZ9" s="45">
        <f>Annual!J188/10^6</f>
        <v>372.04138695</v>
      </c>
      <c r="BA9" s="45">
        <f>Annual!K188/10^6</f>
        <v>44.075626990000004</v>
      </c>
      <c r="BB9" s="53">
        <f>SUM(C9:F9)</f>
        <v>1056.07887458</v>
      </c>
      <c r="BC9" s="53">
        <f>SUM(G9:J9)</f>
        <v>165.09627874</v>
      </c>
      <c r="BD9" s="53">
        <f>SUM(K9:N9)</f>
        <v>395.69225036</v>
      </c>
      <c r="BE9" s="48">
        <f>SUM(O9:R9)</f>
        <v>296.63423418999997</v>
      </c>
      <c r="BF9" s="48">
        <f>SUM(S9:V9)</f>
        <v>153.55652494999998</v>
      </c>
      <c r="BG9" s="132">
        <f>SUM(W9:Z9)</f>
        <v>180.52689505000001</v>
      </c>
      <c r="BH9" s="132">
        <f>SUM(AA9:AD9)</f>
        <v>198.09490858999999</v>
      </c>
      <c r="BI9" s="132">
        <f>SUM(AE9:AH9)</f>
        <v>196.539200712</v>
      </c>
      <c r="BJ9" s="132">
        <f>SUM(AI9:AL9)</f>
        <v>216.19312078320002</v>
      </c>
      <c r="BK9" s="132">
        <f>SUM(AM9:AP9)</f>
        <v>237.81243286152005</v>
      </c>
      <c r="BL9" s="132">
        <f>SUM(AQ9:AT9)</f>
        <v>249.70305450459603</v>
      </c>
      <c r="BM9" s="132">
        <f>SUM(AU9:AX9)</f>
        <v>262.18820722982582</v>
      </c>
    </row>
    <row r="10" spans="2:65">
      <c r="B10" s="127" t="s">
        <v>69</v>
      </c>
      <c r="C10" s="45">
        <f>Quarter!AH12/1000000</f>
        <v>46.911740889999997</v>
      </c>
      <c r="D10" s="45">
        <f>Quarter!AI12/1000000</f>
        <v>85.77429205</v>
      </c>
      <c r="E10" s="45">
        <f>Quarter!AJ12/1000000</f>
        <v>193.54423843999999</v>
      </c>
      <c r="F10" s="45">
        <f>Quarter!AK12/1000000</f>
        <v>216.81511277000001</v>
      </c>
      <c r="G10" s="45">
        <f>Quarter!AL12/1000000</f>
        <v>120.35923331000001</v>
      </c>
      <c r="H10" s="45">
        <f>Quarter!AM12/1000000</f>
        <v>157.03295353999999</v>
      </c>
      <c r="I10" s="45">
        <f>Quarter!AN12/1000000</f>
        <v>155.79135524</v>
      </c>
      <c r="J10" s="45">
        <f>Quarter!AO12/1000000</f>
        <v>335.09672148999999</v>
      </c>
      <c r="K10" s="45">
        <f>Quarter!AP12/1000000</f>
        <v>195.28458859</v>
      </c>
      <c r="L10" s="45">
        <f>Quarter!AQ12/1000000</f>
        <v>220.23625964999999</v>
      </c>
      <c r="M10" s="45">
        <f>Quarter!AR12/1000000</f>
        <v>288.91926302999997</v>
      </c>
      <c r="N10" s="45">
        <f>Quarter!AS12/1000000</f>
        <v>431.30045858999995</v>
      </c>
      <c r="O10" s="45">
        <f>Quarter!AT12/1000000</f>
        <v>278.62719683999995</v>
      </c>
      <c r="P10" s="45">
        <f>Quarter!AU12/1000000</f>
        <v>350.68733363000007</v>
      </c>
      <c r="Q10" s="45">
        <f>Quarter!AV12/1000000</f>
        <v>319.78204337</v>
      </c>
      <c r="R10" s="45">
        <f>Quarter!AW12/1000000</f>
        <v>574.00980454</v>
      </c>
      <c r="S10" s="45">
        <f>Quarter!AX12/1000000</f>
        <v>234.92084738</v>
      </c>
      <c r="T10" s="45">
        <f>Quarter!AY12/1000000</f>
        <v>247.63084428000002</v>
      </c>
      <c r="U10" s="45">
        <f>Quarter!AZ12/1000000</f>
        <v>234.84783193999999</v>
      </c>
      <c r="V10" s="45">
        <f>Quarter!BA12/1000000</f>
        <v>400.10863913999998</v>
      </c>
      <c r="W10" s="45">
        <f>Quarter!BB12/1000000</f>
        <v>169.60857712000001</v>
      </c>
      <c r="X10" s="45">
        <f>Quarter!BC12/1000000</f>
        <v>277.86738604000004</v>
      </c>
      <c r="Y10" s="45">
        <f>Quarter!BD12/1000000</f>
        <v>211.57043775</v>
      </c>
      <c r="Z10" s="45">
        <f>Quarter!BE12/1000000</f>
        <v>556.8271565</v>
      </c>
      <c r="AA10" s="45">
        <f>Quarter!BF12/1000000</f>
        <v>272.5715075</v>
      </c>
      <c r="AB10" s="45">
        <f>Quarter!BG12/1000000</f>
        <v>269.32397116999999</v>
      </c>
      <c r="AC10" s="45">
        <f>Quarter!BH12/1000000</f>
        <v>300.92885117000003</v>
      </c>
      <c r="AD10" s="45">
        <f>Quarter!BI12/1000000</f>
        <v>507.98024214999998</v>
      </c>
      <c r="AE10" s="45">
        <v>324.03954908999998</v>
      </c>
      <c r="AF10" s="45">
        <f>702.46607126-AE10</f>
        <v>378.42652217000006</v>
      </c>
      <c r="AG10" s="46">
        <f t="shared" ref="AG10:AX10" si="33">AG4*AG54</f>
        <v>2167.1687283176225</v>
      </c>
      <c r="AH10" s="46">
        <f t="shared" si="33"/>
        <v>2598.822653975858</v>
      </c>
      <c r="AI10" s="46">
        <f t="shared" si="33"/>
        <v>4685.5497859565958</v>
      </c>
      <c r="AJ10" s="46">
        <f t="shared" si="33"/>
        <v>6015.0146425959138</v>
      </c>
      <c r="AK10" s="46">
        <f t="shared" si="33"/>
        <v>7973.7273427308119</v>
      </c>
      <c r="AL10" s="46">
        <f t="shared" si="33"/>
        <v>11442.040336911592</v>
      </c>
      <c r="AM10" s="46">
        <f t="shared" si="33"/>
        <v>14093.519042404718</v>
      </c>
      <c r="AN10" s="46">
        <f t="shared" si="33"/>
        <v>13217.155707531485</v>
      </c>
      <c r="AO10" s="46">
        <f t="shared" si="33"/>
        <v>13091.528797295266</v>
      </c>
      <c r="AP10" s="46">
        <f t="shared" si="33"/>
        <v>14788.053736043039</v>
      </c>
      <c r="AQ10" s="46">
        <f t="shared" si="33"/>
        <v>20673.933686291701</v>
      </c>
      <c r="AR10" s="46">
        <f t="shared" si="33"/>
        <v>19655.594085369703</v>
      </c>
      <c r="AS10" s="46">
        <f t="shared" si="33"/>
        <v>18561.385060751738</v>
      </c>
      <c r="AT10" s="46">
        <f t="shared" si="33"/>
        <v>19701.404194497864</v>
      </c>
      <c r="AU10" s="46">
        <f t="shared" si="33"/>
        <v>24285.680475639674</v>
      </c>
      <c r="AV10" s="46">
        <f t="shared" si="33"/>
        <v>24738.547051913163</v>
      </c>
      <c r="AW10" s="46">
        <f t="shared" si="33"/>
        <v>23608.074644982695</v>
      </c>
      <c r="AX10" s="46">
        <f t="shared" si="33"/>
        <v>25307.176408810938</v>
      </c>
      <c r="AZ10" s="45">
        <f>Annual!J189/10^6</f>
        <v>29.861853170000003</v>
      </c>
      <c r="BA10" s="45">
        <f>Annual!K189/10^6</f>
        <v>240.11184341000001</v>
      </c>
      <c r="BB10" s="53">
        <f>SUM(C10:F10)</f>
        <v>543.04538415000002</v>
      </c>
      <c r="BC10" s="53">
        <f>SUM(G10:J10)</f>
        <v>768.28026358000011</v>
      </c>
      <c r="BD10" s="53">
        <f>SUM(K10:N10)</f>
        <v>1135.7405698600001</v>
      </c>
      <c r="BE10" s="48">
        <f>SUM(O10:R10)</f>
        <v>1523.10637838</v>
      </c>
      <c r="BF10" s="48">
        <f>SUM(S10:V10)</f>
        <v>1117.50816274</v>
      </c>
      <c r="BG10" s="132">
        <f>SUM(W10:Z10)</f>
        <v>1215.8735574100001</v>
      </c>
      <c r="BH10" s="132">
        <f>SUM(AA10:AD10)</f>
        <v>1350.8045719900001</v>
      </c>
      <c r="BI10" s="132">
        <f>SUM(AE10:AH10)</f>
        <v>5468.4574535534803</v>
      </c>
      <c r="BJ10" s="132">
        <f>SUM(AI10:AL10)</f>
        <v>30116.332108194914</v>
      </c>
      <c r="BK10" s="132">
        <f>SUM(AM10:AP10)</f>
        <v>55190.257283274506</v>
      </c>
      <c r="BL10" s="132">
        <f>SUM(AQ10:AT10)</f>
        <v>78592.317026911012</v>
      </c>
      <c r="BM10" s="132">
        <f>SUM(AU10:AX10)</f>
        <v>97939.47858134647</v>
      </c>
    </row>
    <row r="11" spans="2:65">
      <c r="B11" s="127" t="s">
        <v>167</v>
      </c>
      <c r="C11" s="48">
        <f>SUM(C7:C10)</f>
        <v>65.248676630000006</v>
      </c>
      <c r="D11" s="48">
        <f t="shared" ref="D11:L11" si="34">SUM(D7:D10)</f>
        <v>111.42181311</v>
      </c>
      <c r="E11" s="48">
        <f t="shared" si="34"/>
        <v>601.87317212999994</v>
      </c>
      <c r="F11" s="48">
        <f t="shared" si="34"/>
        <v>842.14400820000003</v>
      </c>
      <c r="G11" s="48">
        <f t="shared" si="34"/>
        <v>156.63709965000001</v>
      </c>
      <c r="H11" s="48">
        <f t="shared" si="34"/>
        <v>198.59659323</v>
      </c>
      <c r="I11" s="48">
        <f t="shared" si="34"/>
        <v>204.56061102000001</v>
      </c>
      <c r="J11" s="48">
        <f t="shared" si="34"/>
        <v>420.92682546000003</v>
      </c>
      <c r="K11" s="48">
        <f t="shared" si="34"/>
        <v>282.77010150000001</v>
      </c>
      <c r="L11" s="48">
        <f t="shared" si="34"/>
        <v>316.91140180000002</v>
      </c>
      <c r="M11" s="48">
        <f>SUM(M7:M10)</f>
        <v>405.71557018999999</v>
      </c>
      <c r="N11" s="48">
        <f>SUM(N7:N10)</f>
        <v>599.47568332999992</v>
      </c>
      <c r="O11" s="48">
        <f t="shared" ref="O11:T11" si="35">SUM(O7:O10)</f>
        <v>390.06219668999995</v>
      </c>
      <c r="P11" s="48">
        <f t="shared" si="35"/>
        <v>458.97698850000006</v>
      </c>
      <c r="Q11" s="48">
        <f t="shared" si="35"/>
        <v>432.84948413999996</v>
      </c>
      <c r="R11" s="48">
        <f t="shared" si="35"/>
        <v>623.77737390000004</v>
      </c>
      <c r="S11" s="48">
        <f t="shared" si="35"/>
        <v>312.14705315999998</v>
      </c>
      <c r="T11" s="48">
        <f t="shared" si="35"/>
        <v>336.64433607000001</v>
      </c>
      <c r="U11" s="48">
        <f>SUM(U7:U10)</f>
        <v>331.08474277999994</v>
      </c>
      <c r="V11" s="48">
        <f>SUM(V7:V10)</f>
        <v>377.60350912999996</v>
      </c>
      <c r="W11" s="48">
        <f>SUM(W7:W10)</f>
        <v>278.47283663999997</v>
      </c>
      <c r="X11" s="48">
        <f>SUM(X7:X10)</f>
        <v>377.69737299000002</v>
      </c>
      <c r="Y11" s="48">
        <f>SUM(Y7:Y10)</f>
        <v>315.00654658000002</v>
      </c>
      <c r="Z11" s="48">
        <f t="shared" ref="Z11:AA11" si="36">SUM(Z7:Z10)</f>
        <v>498.25023229999999</v>
      </c>
      <c r="AA11" s="48">
        <f t="shared" si="36"/>
        <v>332.38448579999999</v>
      </c>
      <c r="AB11" s="48">
        <f t="shared" ref="AB11:AD11" si="37">SUM(AB7:AB10)</f>
        <v>339.70901914000001</v>
      </c>
      <c r="AC11" s="48">
        <f t="shared" si="37"/>
        <v>368.04771518000001</v>
      </c>
      <c r="AD11" s="48">
        <f t="shared" si="37"/>
        <v>602.61222088</v>
      </c>
      <c r="AE11" s="48">
        <f t="shared" ref="AE11:AL11" si="38">SUM(AE7:AE10)</f>
        <v>406.11516209999996</v>
      </c>
      <c r="AF11" s="48">
        <f>SUM(AF7:AF10)</f>
        <v>475.77259830000003</v>
      </c>
      <c r="AG11" s="48">
        <f t="shared" si="38"/>
        <v>2267.676144470016</v>
      </c>
      <c r="AH11" s="48">
        <f t="shared" si="38"/>
        <v>2732.3257432839841</v>
      </c>
      <c r="AI11" s="48">
        <f t="shared" si="38"/>
        <v>4809.9889927826953</v>
      </c>
      <c r="AJ11" s="48">
        <f t="shared" si="38"/>
        <v>6172.2689340957913</v>
      </c>
      <c r="AK11" s="48">
        <f t="shared" si="38"/>
        <v>8164.6184748999485</v>
      </c>
      <c r="AL11" s="48">
        <f t="shared" si="38"/>
        <v>11719.107719745556</v>
      </c>
      <c r="AM11" s="48">
        <f t="shared" ref="AM11:AP11" si="39">SUM(AM7:AM10)</f>
        <v>14328.478661510877</v>
      </c>
      <c r="AN11" s="48">
        <f t="shared" si="39"/>
        <v>13455.099630482229</v>
      </c>
      <c r="AO11" s="48">
        <f t="shared" si="39"/>
        <v>13332.257696935327</v>
      </c>
      <c r="AP11" s="48">
        <f t="shared" si="39"/>
        <v>15086.977856579077</v>
      </c>
      <c r="AQ11" s="48">
        <f t="shared" ref="AQ11:AT11" si="40">SUM(AQ7:AQ10)</f>
        <v>20935.734174917976</v>
      </c>
      <c r="AR11" s="48">
        <f t="shared" si="40"/>
        <v>19922.175462439242</v>
      </c>
      <c r="AS11" s="48">
        <f t="shared" si="40"/>
        <v>18821.950396948836</v>
      </c>
      <c r="AT11" s="48">
        <f t="shared" si="40"/>
        <v>20011.840066044471</v>
      </c>
      <c r="AU11" s="48">
        <f t="shared" ref="AU11:AX11" si="41">SUM(AU7:AU10)</f>
        <v>24508.916458049083</v>
      </c>
      <c r="AV11" s="48">
        <f t="shared" si="41"/>
        <v>24980.104731391268</v>
      </c>
      <c r="AW11" s="48">
        <f t="shared" si="41"/>
        <v>23847.05980788765</v>
      </c>
      <c r="AX11" s="48">
        <f t="shared" si="41"/>
        <v>25598.025076359583</v>
      </c>
      <c r="AZ11" s="48">
        <f t="shared" ref="AZ11:BF11" si="42">SUM(AZ7:AZ10)</f>
        <v>402.13093136000003</v>
      </c>
      <c r="BA11" s="48">
        <f t="shared" si="42"/>
        <v>291.52016015000004</v>
      </c>
      <c r="BB11" s="132">
        <f t="shared" si="42"/>
        <v>1620.68767007</v>
      </c>
      <c r="BC11" s="132">
        <f t="shared" si="42"/>
        <v>980.72112936000008</v>
      </c>
      <c r="BD11" s="132">
        <f>SUM(BD7:BD10)</f>
        <v>1604.8727568200002</v>
      </c>
      <c r="BE11" s="132">
        <f>SUM(BE7:BE10)</f>
        <v>1905.66604323</v>
      </c>
      <c r="BF11" s="48">
        <f t="shared" si="42"/>
        <v>1357.47964114</v>
      </c>
      <c r="BG11" s="48">
        <f>SUM(BG7:BG10)</f>
        <v>1469.4269885100002</v>
      </c>
      <c r="BH11" s="132">
        <f>SUM(AA11:AD11)</f>
        <v>1642.7534410000001</v>
      </c>
      <c r="BI11" s="132">
        <f>SUM(AE11:AH11)</f>
        <v>5881.8896481539996</v>
      </c>
      <c r="BJ11" s="132">
        <f>SUM(AI11:AL11)</f>
        <v>30865.98412152399</v>
      </c>
      <c r="BK11" s="132">
        <f>SUM(AM11:AP11)</f>
        <v>56202.81384550751</v>
      </c>
      <c r="BL11" s="132">
        <f>SUM(AQ11:AT11)</f>
        <v>79691.700100350528</v>
      </c>
      <c r="BM11" s="132">
        <f>SUM(AU11:AX11)</f>
        <v>98934.106073687581</v>
      </c>
    </row>
    <row r="12" spans="2:65" s="139" customFormat="1">
      <c r="B12" s="139" t="s">
        <v>171</v>
      </c>
      <c r="C12" s="50">
        <f>C6-C11</f>
        <v>-51.308823260000011</v>
      </c>
      <c r="D12" s="50">
        <f t="shared" ref="D12:L12" si="43">D6-D11</f>
        <v>-40.972929519999994</v>
      </c>
      <c r="E12" s="50">
        <f t="shared" si="43"/>
        <v>-591.13443157999995</v>
      </c>
      <c r="F12" s="50">
        <f t="shared" si="43"/>
        <v>-634.55839233000006</v>
      </c>
      <c r="G12" s="50">
        <f t="shared" si="43"/>
        <v>-148.62933143000001</v>
      </c>
      <c r="H12" s="50">
        <f t="shared" si="43"/>
        <v>-138.90786401</v>
      </c>
      <c r="I12" s="50">
        <f t="shared" si="43"/>
        <v>-170.32136115999998</v>
      </c>
      <c r="J12" s="50">
        <f t="shared" si="43"/>
        <v>-222.80520313000005</v>
      </c>
      <c r="K12" s="50">
        <f t="shared" si="43"/>
        <v>-266.83086345999999</v>
      </c>
      <c r="L12" s="50">
        <f t="shared" si="43"/>
        <v>-259.82318626</v>
      </c>
      <c r="M12" s="50">
        <f t="shared" ref="M12:T12" si="44">M6-M11</f>
        <v>-365.86271012999998</v>
      </c>
      <c r="N12" s="50">
        <f t="shared" si="44"/>
        <v>-262.4613817899999</v>
      </c>
      <c r="O12" s="50">
        <f t="shared" si="44"/>
        <v>-354.42153736999995</v>
      </c>
      <c r="P12" s="50">
        <f t="shared" si="44"/>
        <v>-400.25720323000007</v>
      </c>
      <c r="Q12" s="50">
        <f t="shared" si="44"/>
        <v>-373.45088523999993</v>
      </c>
      <c r="R12" s="50">
        <f t="shared" si="44"/>
        <v>-298.12414798000009</v>
      </c>
      <c r="S12" s="50">
        <f t="shared" si="44"/>
        <v>-254.33184535999999</v>
      </c>
      <c r="T12" s="50">
        <f t="shared" si="44"/>
        <v>-313.34987288000002</v>
      </c>
      <c r="U12" s="50">
        <f t="shared" ref="U12:Y12" si="45">U6-U11</f>
        <v>-310.36161000999994</v>
      </c>
      <c r="V12" s="50">
        <f t="shared" si="45"/>
        <v>11.150621910000098</v>
      </c>
      <c r="W12" s="50">
        <f t="shared" si="45"/>
        <v>-263.68662906999998</v>
      </c>
      <c r="X12" s="50">
        <f t="shared" si="45"/>
        <v>-351.86248808000005</v>
      </c>
      <c r="Y12" s="50">
        <f t="shared" si="45"/>
        <v>-253.28420652000003</v>
      </c>
      <c r="Z12" s="50">
        <f t="shared" ref="Z12:AA12" si="46">Z6-Z11</f>
        <v>65.461002899999926</v>
      </c>
      <c r="AA12" s="50">
        <f t="shared" si="46"/>
        <v>289.88458020000007</v>
      </c>
      <c r="AB12" s="50">
        <f t="shared" ref="AB12:AD12" si="47">AB6-AB11</f>
        <v>649.03197210000008</v>
      </c>
      <c r="AC12" s="50">
        <f t="shared" si="47"/>
        <v>568.52003925999998</v>
      </c>
      <c r="AD12" s="50">
        <f t="shared" si="47"/>
        <v>433.12297164000006</v>
      </c>
      <c r="AE12" s="50">
        <f t="shared" ref="AE12:AL12" si="48">AE6-AE11</f>
        <v>1161.1514340400001</v>
      </c>
      <c r="AF12" s="50">
        <f t="shared" si="48"/>
        <v>1269.5495946399994</v>
      </c>
      <c r="AG12" s="50">
        <f t="shared" si="48"/>
        <v>1821.777743243953</v>
      </c>
      <c r="AH12" s="50">
        <f t="shared" si="48"/>
        <v>2171.5763530641857</v>
      </c>
      <c r="AI12" s="50">
        <f t="shared" si="48"/>
        <v>2431.736684201991</v>
      </c>
      <c r="AJ12" s="50">
        <f t="shared" si="48"/>
        <v>3124.0646000763136</v>
      </c>
      <c r="AK12" s="50">
        <f t="shared" si="48"/>
        <v>4158.799430391241</v>
      </c>
      <c r="AL12" s="50">
        <f t="shared" si="48"/>
        <v>5964.5121645867839</v>
      </c>
      <c r="AM12" s="50">
        <f t="shared" ref="AM12:AP12" si="49">AM6-AM11</f>
        <v>7913.391943081062</v>
      </c>
      <c r="AN12" s="50">
        <f t="shared" si="49"/>
        <v>7403.7450959673661</v>
      </c>
      <c r="AO12" s="50">
        <f t="shared" si="49"/>
        <v>7328.3282819865581</v>
      </c>
      <c r="AP12" s="50">
        <f t="shared" si="49"/>
        <v>8251.0097961171632</v>
      </c>
      <c r="AQ12" s="50">
        <f t="shared" ref="AQ12:AT12" si="50">AQ6-AQ11</f>
        <v>12409.942923388873</v>
      </c>
      <c r="AR12" s="50">
        <f t="shared" si="50"/>
        <v>11781.003701503687</v>
      </c>
      <c r="AS12" s="50">
        <f t="shared" si="50"/>
        <v>11116.383748947832</v>
      </c>
      <c r="AT12" s="50">
        <f t="shared" si="50"/>
        <v>11765.30055527162</v>
      </c>
      <c r="AU12" s="50">
        <f t="shared" ref="AU12:AX12" si="51">AU6-AU11</f>
        <v>15096.600920679164</v>
      </c>
      <c r="AV12" s="50">
        <f t="shared" si="51"/>
        <v>15363.927381908452</v>
      </c>
      <c r="AW12" s="50">
        <f t="shared" si="51"/>
        <v>14653.421580082941</v>
      </c>
      <c r="AX12" s="50">
        <f t="shared" si="51"/>
        <v>15673.402257528069</v>
      </c>
      <c r="AZ12" s="50">
        <f t="shared" ref="AZ12:BH12" si="52">AZ6-AZ11</f>
        <v>-394.29065722000001</v>
      </c>
      <c r="BA12" s="50">
        <f t="shared" si="52"/>
        <v>-174.61206328000003</v>
      </c>
      <c r="BB12" s="52">
        <f t="shared" si="52"/>
        <v>-1317.97457669</v>
      </c>
      <c r="BC12" s="52">
        <f t="shared" si="52"/>
        <v>-680.66375973000004</v>
      </c>
      <c r="BD12" s="52">
        <f>BD6-BD11</f>
        <v>-1154.9781416400001</v>
      </c>
      <c r="BE12" s="50">
        <f>BE6-BE11</f>
        <v>-1426.2537738200001</v>
      </c>
      <c r="BF12" s="50">
        <f t="shared" si="52"/>
        <v>-866.8927063399999</v>
      </c>
      <c r="BG12" s="50">
        <f>BG6-BG11</f>
        <v>-803.37232077000044</v>
      </c>
      <c r="BH12" s="52">
        <f t="shared" si="52"/>
        <v>1940.5595632000011</v>
      </c>
      <c r="BI12" s="52">
        <f>BI6-BI11</f>
        <v>6424.0551249881391</v>
      </c>
      <c r="BJ12" s="52">
        <f>BJ6-BJ11</f>
        <v>15679.112879256343</v>
      </c>
      <c r="BK12" s="52">
        <f>BK6-BK11</f>
        <v>30896.475117152135</v>
      </c>
      <c r="BL12" s="52">
        <f>BL6-BL11</f>
        <v>47072.630929112012</v>
      </c>
      <c r="BM12" s="52">
        <f>BM6-BM11</f>
        <v>60787.352140198636</v>
      </c>
    </row>
    <row r="13" spans="2:65">
      <c r="B13" s="127" t="s">
        <v>195</v>
      </c>
      <c r="C13" s="48">
        <f t="shared" ref="C13:L13" si="53">C22-C12</f>
        <v>28.602476310000011</v>
      </c>
      <c r="D13" s="48">
        <f t="shared" si="53"/>
        <v>32.879099049999994</v>
      </c>
      <c r="E13" s="48">
        <f t="shared" si="53"/>
        <v>36.114409389999878</v>
      </c>
      <c r="F13" s="48">
        <f t="shared" si="53"/>
        <v>41.253260510000018</v>
      </c>
      <c r="G13" s="48">
        <f t="shared" si="53"/>
        <v>40.271746790000009</v>
      </c>
      <c r="H13" s="48">
        <f t="shared" si="53"/>
        <v>45.40589202999999</v>
      </c>
      <c r="I13" s="48">
        <f t="shared" si="53"/>
        <v>62.668703929999978</v>
      </c>
      <c r="J13" s="48">
        <f t="shared" si="53"/>
        <v>97.808085820000045</v>
      </c>
      <c r="K13" s="48">
        <f t="shared" si="53"/>
        <v>61.238430010000002</v>
      </c>
      <c r="L13" s="48">
        <f t="shared" si="53"/>
        <v>73.941073970000019</v>
      </c>
      <c r="M13" s="48">
        <f t="shared" ref="M13:T13" si="54">M22-M12</f>
        <v>127.98997976999996</v>
      </c>
      <c r="N13" s="48">
        <f t="shared" si="54"/>
        <v>67.985631979999908</v>
      </c>
      <c r="O13" s="48">
        <f t="shared" si="54"/>
        <v>56.335385970000004</v>
      </c>
      <c r="P13" s="48">
        <f t="shared" si="54"/>
        <v>56.042492540000012</v>
      </c>
      <c r="Q13" s="48">
        <f t="shared" si="54"/>
        <v>32.369588309999926</v>
      </c>
      <c r="R13" s="48">
        <f t="shared" si="54"/>
        <v>-41.224582119999923</v>
      </c>
      <c r="S13" s="48">
        <f t="shared" si="54"/>
        <v>-8.2659847400000217</v>
      </c>
      <c r="T13" s="48">
        <f t="shared" si="54"/>
        <v>16.218363340000053</v>
      </c>
      <c r="U13" s="48">
        <f>U22-U12</f>
        <v>39.474635269999908</v>
      </c>
      <c r="V13" s="48">
        <f>V22-V12</f>
        <v>-55.273098580000102</v>
      </c>
      <c r="W13" s="48">
        <f>W22-W12</f>
        <v>34.683246620000006</v>
      </c>
      <c r="X13" s="48">
        <f>X22-X12</f>
        <v>47.678988290000007</v>
      </c>
      <c r="Y13" s="48">
        <f>Y22-Y12</f>
        <v>58.209001540000031</v>
      </c>
      <c r="Z13" s="48">
        <f t="shared" ref="Z13:AA13" si="55">Z22-Z12</f>
        <v>207.03202890000011</v>
      </c>
      <c r="AA13" s="48">
        <f t="shared" si="55"/>
        <v>65.471546399999966</v>
      </c>
      <c r="AB13" s="48">
        <f t="shared" ref="AB13" si="56">AB22-AB12</f>
        <v>33.366468379999901</v>
      </c>
      <c r="AC13" s="48">
        <f t="shared" ref="AC13:AF13" si="57">AC22-AC12</f>
        <v>-2.4091952100000071</v>
      </c>
      <c r="AD13" s="48">
        <f t="shared" si="57"/>
        <v>22.393187529999977</v>
      </c>
      <c r="AE13" s="48">
        <f t="shared" si="57"/>
        <v>-146.90847228000018</v>
      </c>
      <c r="AF13" s="48">
        <f t="shared" si="57"/>
        <v>17.419618920000403</v>
      </c>
      <c r="AG13" s="48">
        <f t="shared" ref="AG13:AL13" si="58">SUM(AG14:AG21)</f>
        <v>39.775553430000002</v>
      </c>
      <c r="AH13" s="48">
        <f t="shared" si="58"/>
        <v>40.117784622839999</v>
      </c>
      <c r="AI13" s="48">
        <f t="shared" si="58"/>
        <v>22.378255266646597</v>
      </c>
      <c r="AJ13" s="48">
        <f t="shared" si="58"/>
        <v>22.378255266646597</v>
      </c>
      <c r="AK13" s="48">
        <f t="shared" si="58"/>
        <v>22.378255266646597</v>
      </c>
      <c r="AL13" s="48">
        <f t="shared" si="58"/>
        <v>22.378255266646594</v>
      </c>
      <c r="AM13" s="48">
        <f t="shared" ref="AM13:AP13" si="59">SUM(AM14:AM21)</f>
        <v>22.51724234573269</v>
      </c>
      <c r="AN13" s="48">
        <f t="shared" si="59"/>
        <v>22.51724234573269</v>
      </c>
      <c r="AO13" s="48">
        <f t="shared" si="59"/>
        <v>22.51724234573269</v>
      </c>
      <c r="AP13" s="48">
        <f t="shared" si="59"/>
        <v>22.517242345732686</v>
      </c>
      <c r="AQ13" s="48">
        <f t="shared" ref="AQ13:AT13" si="60">SUM(AQ14:AQ21)</f>
        <v>22.714599634592389</v>
      </c>
      <c r="AR13" s="48">
        <f t="shared" si="60"/>
        <v>22.714599634592389</v>
      </c>
      <c r="AS13" s="48">
        <f t="shared" si="60"/>
        <v>22.714599634592389</v>
      </c>
      <c r="AT13" s="48">
        <f t="shared" si="60"/>
        <v>22.714599634592386</v>
      </c>
      <c r="AU13" s="48">
        <f t="shared" ref="AU13:AX13" si="61">SUM(AU14:AU21)</f>
        <v>12.440936691673292</v>
      </c>
      <c r="AV13" s="48">
        <f t="shared" si="61"/>
        <v>12.440936691673292</v>
      </c>
      <c r="AW13" s="48">
        <f t="shared" si="61"/>
        <v>12.440936691673292</v>
      </c>
      <c r="AX13" s="48">
        <f t="shared" si="61"/>
        <v>12.44093669167329</v>
      </c>
      <c r="AZ13" s="48">
        <f>AZ22-AZ12</f>
        <v>13.590243980000025</v>
      </c>
      <c r="BA13" s="48">
        <f>BA22-BA12</f>
        <v>133.56555591000003</v>
      </c>
      <c r="BB13" s="132">
        <f t="shared" ref="BB13:BG13" si="62">SUM(BB14:BB21)</f>
        <v>138.84924525999992</v>
      </c>
      <c r="BC13" s="132">
        <f t="shared" si="62"/>
        <v>246.15442856999999</v>
      </c>
      <c r="BD13" s="132">
        <f t="shared" si="62"/>
        <v>331.15511572999992</v>
      </c>
      <c r="BE13" s="132">
        <f>SUM(BE14:BE21)</f>
        <v>103.52288470000003</v>
      </c>
      <c r="BF13" s="48">
        <f t="shared" si="62"/>
        <v>-7.8460847100001843</v>
      </c>
      <c r="BG13" s="48">
        <f t="shared" si="62"/>
        <v>347.60326535000024</v>
      </c>
      <c r="BH13" s="163">
        <f t="shared" ref="BH13:BM13" si="63">SUM(BH14:BH21)</f>
        <v>118.81105110999985</v>
      </c>
      <c r="BI13" s="163">
        <f t="shared" si="63"/>
        <v>-49.595515307159758</v>
      </c>
      <c r="BJ13" s="163">
        <f t="shared" si="63"/>
        <v>184.2139696415868</v>
      </c>
      <c r="BK13" s="163">
        <f t="shared" si="63"/>
        <v>90.06896938293076</v>
      </c>
      <c r="BL13" s="163">
        <f t="shared" si="63"/>
        <v>90.858398538369556</v>
      </c>
      <c r="BM13" s="163">
        <f t="shared" si="63"/>
        <v>49.763746766693167</v>
      </c>
    </row>
    <row r="14" spans="2:65">
      <c r="B14" s="127" t="s">
        <v>37</v>
      </c>
      <c r="C14" s="45">
        <f>Quarter!AH15/1000000</f>
        <v>0.60138798999999998</v>
      </c>
      <c r="D14" s="45">
        <f>Quarter!AI15/1000000</f>
        <v>1.5122841999999999</v>
      </c>
      <c r="E14" s="45">
        <f>Quarter!AJ15/1000000</f>
        <v>1.82933199</v>
      </c>
      <c r="F14" s="45">
        <f>Quarter!AK15/1000000</f>
        <v>1.18234178</v>
      </c>
      <c r="G14" s="45">
        <f>Quarter!AL15/1000000</f>
        <v>0.9765288299999999</v>
      </c>
      <c r="H14" s="45">
        <f>Quarter!AM15/1000000</f>
        <v>1.69571823</v>
      </c>
      <c r="I14" s="45">
        <f>Quarter!AN15/1000000</f>
        <v>4.00615085</v>
      </c>
      <c r="J14" s="45">
        <f>Quarter!AO15/1000000</f>
        <v>15.458351369999999</v>
      </c>
      <c r="K14" s="45">
        <f>Quarter!AP15/1000000</f>
        <v>13.70565002</v>
      </c>
      <c r="L14" s="45">
        <f>Quarter!AQ15/1000000</f>
        <v>13.973681039999999</v>
      </c>
      <c r="M14" s="45">
        <f>Quarter!AR15/1000000</f>
        <v>15.344604009999999</v>
      </c>
      <c r="N14" s="45">
        <f>Quarter!AS15/1000000</f>
        <v>16.50390432</v>
      </c>
      <c r="O14" s="45">
        <f>Quarter!AT15/1000000</f>
        <v>17.311352929999998</v>
      </c>
      <c r="P14" s="45">
        <f>Quarter!AU15/1000000</f>
        <v>11.728195250000001</v>
      </c>
      <c r="Q14" s="45">
        <f>Quarter!AV15/1000000</f>
        <v>12.65551269</v>
      </c>
      <c r="R14" s="45">
        <f>Quarter!AW15/1000000</f>
        <v>8.7659346500000002</v>
      </c>
      <c r="S14" s="45">
        <f>Quarter!AX15/1000000</f>
        <v>12.09355289</v>
      </c>
      <c r="T14" s="45">
        <f>Quarter!AY15/1000000</f>
        <v>14.291607899999999</v>
      </c>
      <c r="U14" s="45">
        <f>Quarter!AZ15/1000000</f>
        <v>12.210355560000002</v>
      </c>
      <c r="V14" s="45">
        <f>Quarter!BA15/1000000</f>
        <v>9.9049928600000001</v>
      </c>
      <c r="W14" s="45">
        <f>(Quarter!BB15-Quarter!BB14)/1000000</f>
        <v>15.543111860000002</v>
      </c>
      <c r="X14" s="45">
        <f>Quarter!BC15/1000000</f>
        <v>7.8345658299999998</v>
      </c>
      <c r="Y14" s="45">
        <f>Quarter!BD15/1000000</f>
        <v>3.9573260299999999</v>
      </c>
      <c r="Z14" s="45">
        <f>Quarter!BE15/1000000</f>
        <v>3.4094679000000001</v>
      </c>
      <c r="AA14" s="45">
        <f>Quarter!BF15/1000000</f>
        <v>3.9315113999999998</v>
      </c>
      <c r="AB14" s="45">
        <f>Quarter!BG15/1000000</f>
        <v>4.2494047100000003</v>
      </c>
      <c r="AC14" s="45">
        <f>Quarter!BH15/1000000</f>
        <v>2.13005624</v>
      </c>
      <c r="AD14" s="45">
        <f>Quarter!BI15/1000000</f>
        <v>2.8456478199999999</v>
      </c>
      <c r="AE14" s="93">
        <v>2.01140031</v>
      </c>
      <c r="AF14" s="93">
        <f>3.96229001-AE14</f>
        <v>1.9508896999999998</v>
      </c>
      <c r="AG14" s="141">
        <f>AF14</f>
        <v>1.9508896999999998</v>
      </c>
      <c r="AH14" s="132">
        <f>BI14-SUM(AE14:AG14)</f>
        <v>1.9909741510400005</v>
      </c>
      <c r="AI14" s="75">
        <f>BJ14/4</f>
        <v>2.8457552666465955</v>
      </c>
      <c r="AJ14" s="141">
        <f>AI14</f>
        <v>2.8457552666465955</v>
      </c>
      <c r="AK14" s="141">
        <f>AJ14</f>
        <v>2.8457552666465955</v>
      </c>
      <c r="AL14" s="132">
        <f>BJ14-SUM(AI14:AK14)</f>
        <v>2.8457552666465951</v>
      </c>
      <c r="AM14" s="75">
        <f>BK14/4</f>
        <v>2.9847423457326885</v>
      </c>
      <c r="AN14" s="141">
        <f>AM14</f>
        <v>2.9847423457326885</v>
      </c>
      <c r="AO14" s="141">
        <f>AN14</f>
        <v>2.9847423457326885</v>
      </c>
      <c r="AP14" s="132">
        <f>BK14-SUM(AM14:AO14)</f>
        <v>2.9847423457326876</v>
      </c>
      <c r="AQ14" s="75">
        <f>BL14/4</f>
        <v>3.1820996345923871</v>
      </c>
      <c r="AR14" s="141">
        <f>AQ14</f>
        <v>3.1820996345923871</v>
      </c>
      <c r="AS14" s="141">
        <f>AR14</f>
        <v>3.1820996345923871</v>
      </c>
      <c r="AT14" s="132">
        <f>BL14-SUM(AQ14:AS14)</f>
        <v>3.1820996345923866</v>
      </c>
      <c r="AU14" s="75">
        <f>BM14/4</f>
        <v>2.9084366916732916</v>
      </c>
      <c r="AV14" s="141">
        <f>AU14</f>
        <v>2.9084366916732916</v>
      </c>
      <c r="AW14" s="141">
        <f>AV14</f>
        <v>2.9084366916732916</v>
      </c>
      <c r="AX14" s="132">
        <f>BM14-SUM(AU14:AW14)</f>
        <v>2.9084366916732911</v>
      </c>
      <c r="AZ14" s="45">
        <f>Annual!J192/10^6</f>
        <v>1.45372652</v>
      </c>
      <c r="BA14" s="45">
        <f>Annual!K192/10^6</f>
        <v>3.7166684900000004</v>
      </c>
      <c r="BB14" s="53">
        <f t="shared" ref="BB14:BB21" si="64">SUM(C14:F14)</f>
        <v>5.1253459599999998</v>
      </c>
      <c r="BC14" s="53">
        <f t="shared" ref="BC14:BC21" si="65">SUM(G14:J14)</f>
        <v>22.13674928</v>
      </c>
      <c r="BD14" s="53">
        <f t="shared" ref="BD14:BD21" si="66">SUM(K14:N14)</f>
        <v>59.527839389999997</v>
      </c>
      <c r="BE14" s="48">
        <f t="shared" ref="BE14:BE21" si="67">SUM(O14:R14)</f>
        <v>50.460995519999997</v>
      </c>
      <c r="BF14" s="48">
        <f t="shared" ref="BF14:BF21" si="68">SUM(S14:V14)</f>
        <v>48.500509210000004</v>
      </c>
      <c r="BG14" s="48">
        <f>SUM(W14:Z14)</f>
        <v>30.744471620000002</v>
      </c>
      <c r="BH14" s="48">
        <f>SUM(AA14:AD14)</f>
        <v>13.15662017</v>
      </c>
      <c r="BI14" s="53">
        <f t="shared" ref="BI14:BM14" si="69">BI59</f>
        <v>7.9041538610400002</v>
      </c>
      <c r="BJ14" s="53">
        <f t="shared" si="69"/>
        <v>11.383021066586382</v>
      </c>
      <c r="BK14" s="53">
        <f t="shared" si="69"/>
        <v>11.938969382930754</v>
      </c>
      <c r="BL14" s="53">
        <f t="shared" si="69"/>
        <v>12.728398538369548</v>
      </c>
      <c r="BM14" s="53">
        <f t="shared" si="69"/>
        <v>11.633746766693166</v>
      </c>
    </row>
    <row r="15" spans="2:65">
      <c r="B15" s="127" t="s">
        <v>28</v>
      </c>
      <c r="C15" s="45">
        <f>-Quarter!AH14/1000000</f>
        <v>0</v>
      </c>
      <c r="D15" s="45">
        <f>-Quarter!AI14/1000000</f>
        <v>0</v>
      </c>
      <c r="E15" s="45">
        <f>-Quarter!AJ14/1000000</f>
        <v>0</v>
      </c>
      <c r="F15" s="45">
        <f>-Quarter!AK14/1000000</f>
        <v>0</v>
      </c>
      <c r="G15" s="45">
        <f>-Quarter!AL14/1000000</f>
        <v>0</v>
      </c>
      <c r="H15" s="45">
        <f>-Quarter!AM14/1000000</f>
        <v>0</v>
      </c>
      <c r="I15" s="45">
        <f>-Quarter!AN14/1000000</f>
        <v>0</v>
      </c>
      <c r="J15" s="45">
        <f>-Quarter!AO14/1000000</f>
        <v>0</v>
      </c>
      <c r="K15" s="45">
        <f>-Quarter!AP14/1000000</f>
        <v>-1.1382782499999999</v>
      </c>
      <c r="L15" s="45">
        <f>-Quarter!AQ14/1000000</f>
        <v>-1.0743322399999999</v>
      </c>
      <c r="M15" s="45">
        <f>-Quarter!AR14/1000000</f>
        <v>-8.4133369999999999E-2</v>
      </c>
      <c r="N15" s="45">
        <f>-Quarter!AS14/1000000</f>
        <v>-1.10590258</v>
      </c>
      <c r="O15" s="45">
        <f>-Quarter!AT14/1000000</f>
        <v>-0.92612016000000008</v>
      </c>
      <c r="P15" s="45">
        <f>-Quarter!AU14/1000000</f>
        <v>-0.73261412000000004</v>
      </c>
      <c r="Q15" s="45">
        <f>-Quarter!AV14/1000000</f>
        <v>-1.13004883</v>
      </c>
      <c r="R15" s="45">
        <f>-Quarter!AW14/1000000</f>
        <v>-1.23364523</v>
      </c>
      <c r="S15" s="45">
        <f>-Quarter!AX14/1000000</f>
        <v>-1.2177713100000001</v>
      </c>
      <c r="T15" s="45">
        <f>-Quarter!AY14/1000000</f>
        <v>-0.99046524999999996</v>
      </c>
      <c r="U15" s="45">
        <f>-Quarter!AZ14/1000000</f>
        <v>-0.79590329999999987</v>
      </c>
      <c r="V15" s="45">
        <f>-Quarter!BA14/1000000</f>
        <v>-0.40844562000000001</v>
      </c>
      <c r="W15" s="296">
        <v>0</v>
      </c>
      <c r="X15" s="45">
        <f>-Quarter!BC14/1000000</f>
        <v>-0.36958040000000003</v>
      </c>
      <c r="Y15" s="45">
        <f>-Quarter!BD14/1000000</f>
        <v>-0.27354747999999995</v>
      </c>
      <c r="Z15" s="45">
        <f>-Quarter!BE14/1000000</f>
        <v>-1.9117364999999999</v>
      </c>
      <c r="AA15" s="45">
        <f>-Quarter!BF14/1000000</f>
        <v>-0.15877370000000002</v>
      </c>
      <c r="AB15" s="45">
        <f>-Quarter!BG14/1000000</f>
        <v>-0.24968022000000001</v>
      </c>
      <c r="AC15" s="45">
        <f>-Quarter!BH14/1000000</f>
        <v>-0.47257484999999999</v>
      </c>
      <c r="AD15" s="45">
        <f>-Quarter!BI14/1000000</f>
        <v>-1.2068764999999999</v>
      </c>
      <c r="AE15" s="93">
        <v>-2.2911405600000001</v>
      </c>
      <c r="AF15" s="332">
        <f>-14.46647683-AE15</f>
        <v>-12.175336269999999</v>
      </c>
      <c r="AG15" s="141">
        <f>AF15</f>
        <v>-12.175336269999999</v>
      </c>
      <c r="AH15" s="132">
        <f>BI15-SUM(AE15:AG15)</f>
        <v>-11.873189528200001</v>
      </c>
      <c r="AI15" s="75">
        <f>BJ15/4</f>
        <v>-0.46750000000000003</v>
      </c>
      <c r="AJ15" s="141">
        <f>AI15</f>
        <v>-0.46750000000000003</v>
      </c>
      <c r="AK15" s="141">
        <f>AJ15</f>
        <v>-0.46750000000000003</v>
      </c>
      <c r="AL15" s="132">
        <f>BJ15-SUM(AI15:AK15)</f>
        <v>-0.46750000000000003</v>
      </c>
      <c r="AM15" s="75">
        <f>BK15/4</f>
        <v>-0.46750000000000003</v>
      </c>
      <c r="AN15" s="141">
        <f>AM15</f>
        <v>-0.46750000000000003</v>
      </c>
      <c r="AO15" s="141">
        <f>AN15</f>
        <v>-0.46750000000000003</v>
      </c>
      <c r="AP15" s="132">
        <f>BK15-SUM(AM15:AO15)</f>
        <v>-0.46750000000000003</v>
      </c>
      <c r="AQ15" s="75">
        <f>BL15/4</f>
        <v>-0.46750000000000003</v>
      </c>
      <c r="AR15" s="141">
        <f>AQ15</f>
        <v>-0.46750000000000003</v>
      </c>
      <c r="AS15" s="141">
        <f>AR15</f>
        <v>-0.46750000000000003</v>
      </c>
      <c r="AT15" s="132">
        <f>BL15-SUM(AQ15:AS15)</f>
        <v>-0.46750000000000003</v>
      </c>
      <c r="AU15" s="75">
        <f>BM15/4</f>
        <v>-0.46750000000000003</v>
      </c>
      <c r="AV15" s="141">
        <f>AU15</f>
        <v>-0.46750000000000003</v>
      </c>
      <c r="AW15" s="141">
        <f>AV15</f>
        <v>-0.46750000000000003</v>
      </c>
      <c r="AX15" s="132">
        <f>BM15-SUM(AU15:AW15)</f>
        <v>-0.46750000000000003</v>
      </c>
      <c r="AZ15" s="45">
        <f>-Annual!J191/10^6</f>
        <v>0</v>
      </c>
      <c r="BA15" s="45">
        <f>-Annual!K191/10^6</f>
        <v>0</v>
      </c>
      <c r="BB15" s="53">
        <f t="shared" si="64"/>
        <v>0</v>
      </c>
      <c r="BC15" s="53">
        <f t="shared" si="65"/>
        <v>0</v>
      </c>
      <c r="BD15" s="53">
        <f t="shared" si="66"/>
        <v>-3.4026464399999998</v>
      </c>
      <c r="BE15" s="48">
        <f t="shared" si="67"/>
        <v>-4.0224283399999994</v>
      </c>
      <c r="BF15" s="48">
        <f t="shared" si="68"/>
        <v>-3.4125854800000002</v>
      </c>
      <c r="BG15" s="48">
        <f>SUM(W15:Z15)</f>
        <v>-2.5548643799999997</v>
      </c>
      <c r="BH15" s="48">
        <f>SUM(AA15:AD15)</f>
        <v>-2.0879052699999998</v>
      </c>
      <c r="BI15" s="53">
        <f t="shared" ref="BI15:BM15" si="70">BI63</f>
        <v>-38.515002628200001</v>
      </c>
      <c r="BJ15" s="53">
        <f t="shared" si="70"/>
        <v>-1.87</v>
      </c>
      <c r="BK15" s="53">
        <f t="shared" si="70"/>
        <v>-1.87</v>
      </c>
      <c r="BL15" s="53">
        <f t="shared" si="70"/>
        <v>-1.87</v>
      </c>
      <c r="BM15" s="53">
        <f t="shared" si="70"/>
        <v>-1.87</v>
      </c>
    </row>
    <row r="16" spans="2:65">
      <c r="B16" s="127" t="s">
        <v>196</v>
      </c>
      <c r="C16" s="45">
        <f>-Quarter!AH46/1000000</f>
        <v>-7.8031049999999994E-3</v>
      </c>
      <c r="D16" s="45">
        <f>-Quarter!AI46/1000000</f>
        <v>-7.8031049999999994E-3</v>
      </c>
      <c r="E16" s="45">
        <f>-Quarter!AJ46/1000000</f>
        <v>-0.36262072500000003</v>
      </c>
      <c r="F16" s="45">
        <f>-Quarter!AK46/1000000</f>
        <v>-0.36262072500000003</v>
      </c>
      <c r="G16" s="45">
        <f>-Quarter!AL46/1000000</f>
        <v>0.169532765</v>
      </c>
      <c r="H16" s="45">
        <f>-Quarter!AM46/1000000</f>
        <v>0.169532765</v>
      </c>
      <c r="I16" s="45">
        <f>-Quarter!AN46/1000000</f>
        <v>-6.9327700000000006E-2</v>
      </c>
      <c r="J16" s="45">
        <f>-Quarter!AO46/1000000</f>
        <v>-6.9327700000000006E-2</v>
      </c>
      <c r="K16" s="45">
        <f>-Quarter!AP46/1000000</f>
        <v>-0.60638266000000007</v>
      </c>
      <c r="L16" s="45">
        <f>-Quarter!AQ46/1000000</f>
        <v>-0.60638266000000007</v>
      </c>
      <c r="M16" s="45">
        <f>-Quarter!AR46/1000000</f>
        <v>-0.94534090000000004</v>
      </c>
      <c r="N16" s="45">
        <f>-Quarter!AS46/1000000</f>
        <v>-0.94534090000000004</v>
      </c>
      <c r="O16" s="45">
        <f>-Quarter!AT46/1000000</f>
        <v>-2.8282304700000003</v>
      </c>
      <c r="P16" s="45">
        <f>-Quarter!AU46/1000000</f>
        <v>-2.8282304700000003</v>
      </c>
      <c r="Q16" s="45">
        <f>-Quarter!AV46/1000000</f>
        <v>5.6169978000000009</v>
      </c>
      <c r="R16" s="45">
        <f>-Quarter!AW46/1000000</f>
        <v>5.6169978000000009</v>
      </c>
      <c r="S16" s="45">
        <f>-Quarter!AX46/1000000</f>
        <v>0.22044480999999999</v>
      </c>
      <c r="T16" s="45">
        <f>-Quarter!AY46/1000000</f>
        <v>0.22044480999999999</v>
      </c>
      <c r="U16" s="45">
        <f>-Quarter!AZ46/1000000</f>
        <v>-0.34177658</v>
      </c>
      <c r="V16" s="45">
        <f>-Quarter!BA46/1000000</f>
        <v>-0.34177658</v>
      </c>
      <c r="W16" s="45">
        <f>(-Quarter!BB46)/1000000</f>
        <v>-0.28829828499999999</v>
      </c>
      <c r="X16" s="45">
        <f>-Quarter!BC46/1000000</f>
        <v>-0.28829828499999999</v>
      </c>
      <c r="Y16" s="296">
        <v>-4</v>
      </c>
      <c r="Z16" s="45">
        <f>-8.7775881-SUM(W16:Y16)</f>
        <v>-4.2009915299999996</v>
      </c>
      <c r="AA16" s="45">
        <f>-15.82067032/2</f>
        <v>-7.9103351599999998</v>
      </c>
      <c r="AB16" s="45">
        <f>AA16</f>
        <v>-7.9103351599999998</v>
      </c>
      <c r="AC16" s="45">
        <f t="shared" ref="AC16:AD16" si="71">AB16</f>
        <v>-7.9103351599999998</v>
      </c>
      <c r="AD16" s="45">
        <f t="shared" si="71"/>
        <v>-7.9103351599999998</v>
      </c>
      <c r="AE16" s="45">
        <f>9.84003925/2</f>
        <v>4.9200196250000001</v>
      </c>
      <c r="AF16" s="45">
        <f>AE16</f>
        <v>4.9200196250000001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0</v>
      </c>
      <c r="AP16" s="74">
        <v>0</v>
      </c>
      <c r="AQ16" s="74">
        <v>0</v>
      </c>
      <c r="AR16" s="74">
        <v>0</v>
      </c>
      <c r="AS16" s="74">
        <v>0</v>
      </c>
      <c r="AT16" s="74">
        <v>0</v>
      </c>
      <c r="AU16" s="74">
        <v>0</v>
      </c>
      <c r="AV16" s="74">
        <v>0</v>
      </c>
      <c r="AW16" s="74">
        <v>0</v>
      </c>
      <c r="AX16" s="74">
        <v>0</v>
      </c>
      <c r="AZ16" s="45">
        <f>-Annual!J230/10^6</f>
        <v>0</v>
      </c>
      <c r="BA16" s="45">
        <f>-Annual!K230/10^6</f>
        <v>-0.99350000000000005</v>
      </c>
      <c r="BB16" s="53">
        <f t="shared" si="64"/>
        <v>-0.74084766000000002</v>
      </c>
      <c r="BC16" s="53">
        <f t="shared" si="65"/>
        <v>0.20041013000000002</v>
      </c>
      <c r="BD16" s="53">
        <f t="shared" si="66"/>
        <v>-3.1034471200000002</v>
      </c>
      <c r="BE16" s="48">
        <f t="shared" si="67"/>
        <v>5.5775346600000013</v>
      </c>
      <c r="BF16" s="48">
        <f t="shared" si="68"/>
        <v>-0.24266354000000001</v>
      </c>
      <c r="BG16" s="132">
        <f>SUM(W16:Z16)</f>
        <v>-8.7775880999999991</v>
      </c>
      <c r="BH16" s="132">
        <f>SUM(AA16:AD16)</f>
        <v>-31.641340639999999</v>
      </c>
      <c r="BI16" s="132">
        <f>SUM(AE16:AH16)</f>
        <v>9.8400392500000002</v>
      </c>
      <c r="BJ16" s="132">
        <f>SUM(AF16:AI16)</f>
        <v>4.9200196250000001</v>
      </c>
      <c r="BK16" s="132">
        <f>SUM(AM16:AP16)</f>
        <v>0</v>
      </c>
      <c r="BL16" s="132">
        <f>SUM(AQ16:AT16)</f>
        <v>0</v>
      </c>
      <c r="BM16" s="132">
        <f>SUM(AU16:AX16)</f>
        <v>0</v>
      </c>
    </row>
    <row r="17" spans="2:65">
      <c r="B17" s="127" t="s">
        <v>197</v>
      </c>
      <c r="C17" s="45">
        <f>Quarter!AH19/1000000</f>
        <v>23.377522899999999</v>
      </c>
      <c r="D17" s="45">
        <f>Quarter!AI19/1000000</f>
        <v>21.402291530000003</v>
      </c>
      <c r="E17" s="45">
        <f>Quarter!AJ19/1000000</f>
        <v>25.531609199999998</v>
      </c>
      <c r="F17" s="45">
        <f>Quarter!AK19/1000000</f>
        <v>33.66391453</v>
      </c>
      <c r="G17" s="45">
        <f>Quarter!AL19/1000000</f>
        <v>33.951574270000002</v>
      </c>
      <c r="H17" s="45">
        <f>Quarter!AM19/1000000</f>
        <v>31.535101649999998</v>
      </c>
      <c r="I17" s="45">
        <f>Quarter!AN19/1000000</f>
        <v>28.215274949999998</v>
      </c>
      <c r="J17" s="45">
        <f>Quarter!AO19/1000000</f>
        <v>24.735680219999999</v>
      </c>
      <c r="K17" s="45">
        <f>Quarter!AP19/1000000</f>
        <v>26.4862152</v>
      </c>
      <c r="L17" s="45">
        <f>Quarter!AQ19/1000000</f>
        <v>22.26610269</v>
      </c>
      <c r="M17" s="45">
        <f>Quarter!AR19/1000000</f>
        <v>21.953712170000003</v>
      </c>
      <c r="N17" s="45">
        <f>Quarter!AS19/1000000</f>
        <v>19.396947359999999</v>
      </c>
      <c r="O17" s="45">
        <f>Quarter!AT19/1000000</f>
        <v>15.160330929999999</v>
      </c>
      <c r="P17" s="45">
        <f>Quarter!AU19/1000000</f>
        <v>16.732457950000001</v>
      </c>
      <c r="Q17" s="45">
        <f>Quarter!AV19/1000000</f>
        <v>14.12898268</v>
      </c>
      <c r="R17" s="45">
        <f>Quarter!AW19/1000000</f>
        <v>45.373092299999996</v>
      </c>
      <c r="S17" s="45">
        <f>Quarter!AX19/1000000</f>
        <v>9.6002577200000001</v>
      </c>
      <c r="T17" s="45">
        <f>Quarter!AY19/1000000</f>
        <v>18.41980882</v>
      </c>
      <c r="U17" s="45">
        <f>Quarter!AZ19/1000000</f>
        <v>20.738009810000001</v>
      </c>
      <c r="V17" s="45">
        <f>Quarter!BA19/1000000</f>
        <v>25.49093572</v>
      </c>
      <c r="W17" s="45">
        <f>Quarter!BB19/1000000</f>
        <v>15.396862140000001</v>
      </c>
      <c r="X17" s="45">
        <f>Quarter!BC19/1000000</f>
        <v>1.5058383500000001</v>
      </c>
      <c r="Y17" s="45">
        <f>Quarter!BD19/1000000</f>
        <v>12.90032439</v>
      </c>
      <c r="Z17" s="45">
        <f>Quarter!BE19/1000000</f>
        <v>-7.1246960000000001</v>
      </c>
      <c r="AA17" s="45">
        <f>Quarter!BF19/1000000</f>
        <v>1.1158436</v>
      </c>
      <c r="AB17" s="45">
        <f>Quarter!BG19/1000000</f>
        <v>2.11507215</v>
      </c>
      <c r="AC17" s="45">
        <f>Quarter!BH19/1000000</f>
        <v>10.41654606</v>
      </c>
      <c r="AD17" s="45">
        <f>Quarter!BI19/1000000</f>
        <v>-4.7603993899999999</v>
      </c>
      <c r="AE17" s="45">
        <v>16.008826970000001</v>
      </c>
      <c r="AF17" s="45">
        <f>83.2737933-AE17</f>
        <v>67.264966329999993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0</v>
      </c>
      <c r="AP17" s="74">
        <v>0</v>
      </c>
      <c r="AQ17" s="74">
        <v>0</v>
      </c>
      <c r="AR17" s="74">
        <v>0</v>
      </c>
      <c r="AS17" s="74">
        <v>0</v>
      </c>
      <c r="AT17" s="74">
        <v>0</v>
      </c>
      <c r="AU17" s="74">
        <v>0</v>
      </c>
      <c r="AV17" s="74">
        <v>0</v>
      </c>
      <c r="AW17" s="74">
        <v>0</v>
      </c>
      <c r="AX17" s="74">
        <v>0</v>
      </c>
      <c r="AZ17" s="45">
        <f>Annual!J196/10^6</f>
        <v>2.9921604500000001</v>
      </c>
      <c r="BA17" s="45">
        <f>Annual!K196/10^6</f>
        <v>62.381326899999998</v>
      </c>
      <c r="BB17" s="53">
        <f t="shared" si="64"/>
        <v>103.97533816000001</v>
      </c>
      <c r="BC17" s="53">
        <f t="shared" si="65"/>
        <v>118.43763109</v>
      </c>
      <c r="BD17" s="53">
        <f t="shared" si="66"/>
        <v>90.102977420000002</v>
      </c>
      <c r="BE17" s="48">
        <f t="shared" si="67"/>
        <v>91.394863859999987</v>
      </c>
      <c r="BF17" s="48">
        <f t="shared" si="68"/>
        <v>74.249012070000006</v>
      </c>
      <c r="BG17" s="132">
        <f t="shared" ref="BG17:BG20" si="72">SUM(W17:Z17)</f>
        <v>22.678328880000002</v>
      </c>
      <c r="BH17" s="132">
        <f>SUM(AA17:AD17)</f>
        <v>8.8870624199999995</v>
      </c>
      <c r="BI17" s="132">
        <f>SUM(AE17:AH17)</f>
        <v>83.273793299999994</v>
      </c>
      <c r="BJ17" s="132">
        <f>SUM(AF17:AI17)</f>
        <v>67.264966329999993</v>
      </c>
      <c r="BK17" s="132">
        <f>SUM(AM17:AP17)</f>
        <v>0</v>
      </c>
      <c r="BL17" s="132">
        <f>SUM(AQ17:AT17)</f>
        <v>0</v>
      </c>
      <c r="BM17" s="132">
        <f>SUM(AU17:AX17)</f>
        <v>0</v>
      </c>
    </row>
    <row r="18" spans="2:65">
      <c r="B18" s="127" t="s">
        <v>198</v>
      </c>
      <c r="C18" s="45">
        <f>Quarter!AH49/1000000</f>
        <v>8.2168837549999996</v>
      </c>
      <c r="D18" s="45">
        <f>Quarter!AI49/1000000</f>
        <v>8.2168837549999996</v>
      </c>
      <c r="E18" s="45">
        <f>Quarter!AJ49/1000000</f>
        <v>8.719654199999999</v>
      </c>
      <c r="F18" s="45">
        <f>Quarter!AK49/1000000</f>
        <v>8.719654199999999</v>
      </c>
      <c r="G18" s="45">
        <f>Quarter!AL49/1000000</f>
        <v>13.498031109999999</v>
      </c>
      <c r="H18" s="45">
        <f>Quarter!AM49/1000000</f>
        <v>13.498031109999999</v>
      </c>
      <c r="I18" s="45">
        <f>Quarter!AN49/1000000</f>
        <v>46.108858524999995</v>
      </c>
      <c r="J18" s="45">
        <f>Quarter!AO49/1000000</f>
        <v>46.108858524999995</v>
      </c>
      <c r="K18" s="45">
        <f>Quarter!AP49/1000000</f>
        <v>38.369011024999999</v>
      </c>
      <c r="L18" s="45">
        <f>Quarter!AQ49/1000000</f>
        <v>38.369011024999999</v>
      </c>
      <c r="M18" s="45">
        <f>Quarter!AR49/1000000</f>
        <v>72.201065095000004</v>
      </c>
      <c r="N18" s="45">
        <f>Quarter!AS49/1000000</f>
        <v>72.201065095000004</v>
      </c>
      <c r="O18" s="45">
        <f>Quarter!AT49/1000000</f>
        <v>50.562580229999995</v>
      </c>
      <c r="P18" s="45">
        <f>Quarter!AU49/1000000</f>
        <v>50.562580229999995</v>
      </c>
      <c r="Q18" s="45">
        <f>Quarter!AV49/1000000</f>
        <v>85.833700290000024</v>
      </c>
      <c r="R18" s="45">
        <f>Quarter!AW49/1000000</f>
        <v>85.833700290000024</v>
      </c>
      <c r="S18" s="45">
        <f>Quarter!AX49/1000000</f>
        <v>38.165252810000005</v>
      </c>
      <c r="T18" s="45">
        <f>Quarter!AY49/1000000</f>
        <v>38.165252810000005</v>
      </c>
      <c r="U18" s="45">
        <f>Quarter!AZ49/1000000</f>
        <v>33.949855560000003</v>
      </c>
      <c r="V18" s="45">
        <f>Quarter!BA49/1000000</f>
        <v>33.949855560000003</v>
      </c>
      <c r="W18" s="45">
        <f>Quarter!BB49/1000000</f>
        <v>27.721780370000001</v>
      </c>
      <c r="X18" s="45">
        <f>Quarter!BC49/1000000</f>
        <v>27.721780370000001</v>
      </c>
      <c r="Y18" s="45">
        <f>(143.22706752+73.97381815-SUM(W18:X18))/2</f>
        <v>80.878662464999991</v>
      </c>
      <c r="Z18" s="45">
        <f>Y18</f>
        <v>80.878662464999991</v>
      </c>
      <c r="AA18" s="45">
        <f>162.34108607/2</f>
        <v>81.170543034999994</v>
      </c>
      <c r="AB18" s="45">
        <f>AA18</f>
        <v>81.170543034999994</v>
      </c>
      <c r="AC18" s="45">
        <f>((151.99524623+111.02452488)-SUM(AA18:AB18))/2</f>
        <v>50.339342519999988</v>
      </c>
      <c r="AD18" s="45">
        <f t="shared" ref="AD18" si="73">AC18</f>
        <v>50.339342519999988</v>
      </c>
      <c r="AE18" s="45">
        <f>167.25487277/2</f>
        <v>83.627436384999996</v>
      </c>
      <c r="AF18" s="45">
        <f t="shared" ref="AF18:AL18" si="74">AE18</f>
        <v>83.627436384999996</v>
      </c>
      <c r="AG18" s="75">
        <v>50</v>
      </c>
      <c r="AH18" s="75">
        <f t="shared" si="74"/>
        <v>50</v>
      </c>
      <c r="AI18" s="75">
        <v>20</v>
      </c>
      <c r="AJ18" s="75">
        <f t="shared" si="74"/>
        <v>20</v>
      </c>
      <c r="AK18" s="75">
        <f t="shared" si="74"/>
        <v>20</v>
      </c>
      <c r="AL18" s="75">
        <f t="shared" si="74"/>
        <v>20</v>
      </c>
      <c r="AM18" s="75">
        <v>20</v>
      </c>
      <c r="AN18" s="75">
        <f t="shared" ref="AN18" si="75">AM18</f>
        <v>20</v>
      </c>
      <c r="AO18" s="75">
        <f t="shared" ref="AO18" si="76">AN18</f>
        <v>20</v>
      </c>
      <c r="AP18" s="75">
        <f t="shared" ref="AP18" si="77">AO18</f>
        <v>20</v>
      </c>
      <c r="AQ18" s="75">
        <v>20</v>
      </c>
      <c r="AR18" s="75">
        <f t="shared" ref="AR18" si="78">AQ18</f>
        <v>20</v>
      </c>
      <c r="AS18" s="75">
        <f t="shared" ref="AS18" si="79">AR18</f>
        <v>20</v>
      </c>
      <c r="AT18" s="75">
        <f t="shared" ref="AT18" si="80">AS18</f>
        <v>20</v>
      </c>
      <c r="AU18" s="75">
        <v>10</v>
      </c>
      <c r="AV18" s="75">
        <f t="shared" ref="AV18" si="81">AU18</f>
        <v>10</v>
      </c>
      <c r="AW18" s="75">
        <f t="shared" ref="AW18" si="82">AV18</f>
        <v>10</v>
      </c>
      <c r="AX18" s="75">
        <f t="shared" ref="AX18" si="83">AW18</f>
        <v>10</v>
      </c>
      <c r="AZ18" s="45">
        <f>Annual!J233/10^6</f>
        <v>8.2401347200000004</v>
      </c>
      <c r="BA18" s="45">
        <f>Annual!K233/10^6</f>
        <v>69.144705799999997</v>
      </c>
      <c r="BB18" s="53">
        <f t="shared" si="64"/>
        <v>33.873075909999997</v>
      </c>
      <c r="BC18" s="53">
        <f t="shared" si="65"/>
        <v>119.21377926999997</v>
      </c>
      <c r="BD18" s="53">
        <f t="shared" si="66"/>
        <v>221.14015224000002</v>
      </c>
      <c r="BE18" s="48">
        <f t="shared" si="67"/>
        <v>272.79256104000001</v>
      </c>
      <c r="BF18" s="48">
        <f t="shared" si="68"/>
        <v>144.23021674</v>
      </c>
      <c r="BG18" s="132">
        <f t="shared" si="72"/>
        <v>217.20088566999999</v>
      </c>
      <c r="BH18" s="132">
        <f>SUM(AA18:AD18)</f>
        <v>263.01977110999997</v>
      </c>
      <c r="BI18" s="132">
        <f>SUM(AE18:AH18)</f>
        <v>267.25487277000002</v>
      </c>
      <c r="BJ18" s="132">
        <f>SUM(AI18:AL18)</f>
        <v>80</v>
      </c>
      <c r="BK18" s="132">
        <f>SUM(AM18:AP18)</f>
        <v>80</v>
      </c>
      <c r="BL18" s="132">
        <f>SUM(AQ18:AT18)</f>
        <v>80</v>
      </c>
      <c r="BM18" s="132">
        <f>SUM(AU18:AX18)</f>
        <v>40</v>
      </c>
    </row>
    <row r="19" spans="2:65">
      <c r="B19" s="127" t="s">
        <v>199</v>
      </c>
      <c r="C19" s="45">
        <f>Quarter!AH22/1000000</f>
        <v>0</v>
      </c>
      <c r="D19" s="45">
        <f>Quarter!AI22/1000000</f>
        <v>0</v>
      </c>
      <c r="E19" s="45">
        <f>Quarter!AJ22/1000000</f>
        <v>0</v>
      </c>
      <c r="F19" s="45">
        <f>Quarter!AK22/1000000</f>
        <v>0</v>
      </c>
      <c r="G19" s="45">
        <f>Quarter!AL22/1000000</f>
        <v>0</v>
      </c>
      <c r="H19" s="45">
        <f>Quarter!AM22/1000000</f>
        <v>0</v>
      </c>
      <c r="I19" s="45">
        <f>Quarter!AN22/1000000</f>
        <v>0</v>
      </c>
      <c r="J19" s="45">
        <f>Quarter!AO22/1000000</f>
        <v>0</v>
      </c>
      <c r="K19" s="45">
        <f>Quarter!AP22/1000000</f>
        <v>0</v>
      </c>
      <c r="L19" s="45">
        <f>Quarter!AQ22/1000000</f>
        <v>0</v>
      </c>
      <c r="M19" s="45">
        <f>Quarter!AR22/1000000</f>
        <v>0</v>
      </c>
      <c r="N19" s="45">
        <f>Quarter!AS22/1000000</f>
        <v>0</v>
      </c>
      <c r="O19" s="45">
        <f>Quarter!AT22/1000000</f>
        <v>0</v>
      </c>
      <c r="P19" s="45">
        <f>Quarter!AU22/1000000</f>
        <v>0</v>
      </c>
      <c r="Q19" s="45">
        <f>Quarter!AV22/1000000</f>
        <v>-0.42596666</v>
      </c>
      <c r="R19" s="45">
        <f>Quarter!AW22/1000000</f>
        <v>0</v>
      </c>
      <c r="S19" s="45">
        <f>Quarter!AX22/1000000</f>
        <v>0</v>
      </c>
      <c r="T19" s="45">
        <f>Quarter!AY22/1000000</f>
        <v>0</v>
      </c>
      <c r="U19" s="45">
        <f>Quarter!AZ22/1000000</f>
        <v>0</v>
      </c>
      <c r="V19" s="45">
        <f>Quarter!BA22/1000000</f>
        <v>0</v>
      </c>
      <c r="W19" s="45">
        <f>Quarter!BB22/1000000</f>
        <v>0</v>
      </c>
      <c r="X19" s="45">
        <f>Quarter!BC22/1000000</f>
        <v>0</v>
      </c>
      <c r="Y19" s="45">
        <f>Quarter!BD22/1000000</f>
        <v>0</v>
      </c>
      <c r="Z19" s="45">
        <f>Quarter!BE22/1000000</f>
        <v>1.2448393999999998</v>
      </c>
      <c r="AA19" s="45">
        <f>Quarter!BF22/1000000</f>
        <v>9.3150000000000004E-4</v>
      </c>
      <c r="AB19" s="45">
        <f>Quarter!BG22/1000000</f>
        <v>1.1995450000000001E-2</v>
      </c>
      <c r="AC19" s="45">
        <f>Quarter!BH22/1000000</f>
        <v>0</v>
      </c>
      <c r="AD19" s="45">
        <f>Quarter!BI22/1000000</f>
        <v>-1.9709599999999999E-3</v>
      </c>
      <c r="AE19" s="45">
        <f>0.19573256/2</f>
        <v>9.786628E-2</v>
      </c>
      <c r="AF19" s="45">
        <f>AE19</f>
        <v>9.786628E-2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0</v>
      </c>
      <c r="AT19" s="74">
        <v>0</v>
      </c>
      <c r="AU19" s="74">
        <v>0</v>
      </c>
      <c r="AV19" s="74">
        <v>0</v>
      </c>
      <c r="AW19" s="74">
        <v>0</v>
      </c>
      <c r="AX19" s="74">
        <v>0</v>
      </c>
      <c r="AZ19" s="45">
        <f>Annual!J199/10^6</f>
        <v>0</v>
      </c>
      <c r="BA19" s="45">
        <f>Annual!K199/10^6</f>
        <v>-2.8796720000000001E-2</v>
      </c>
      <c r="BB19" s="53">
        <f t="shared" si="64"/>
        <v>0</v>
      </c>
      <c r="BC19" s="53">
        <f t="shared" si="65"/>
        <v>0</v>
      </c>
      <c r="BD19" s="53">
        <f t="shared" si="66"/>
        <v>0</v>
      </c>
      <c r="BE19" s="48">
        <f t="shared" si="67"/>
        <v>-0.42596666</v>
      </c>
      <c r="BF19" s="48">
        <f t="shared" si="68"/>
        <v>0</v>
      </c>
      <c r="BG19" s="132">
        <f t="shared" si="72"/>
        <v>1.2448393999999998</v>
      </c>
      <c r="BH19" s="132"/>
      <c r="BI19" s="132">
        <f>SUM(AE19:AH19)</f>
        <v>0.19573256</v>
      </c>
      <c r="BJ19" s="132">
        <f>SUM(AF19:AI19)</f>
        <v>9.786628E-2</v>
      </c>
      <c r="BK19" s="132">
        <f t="shared" ref="BK19:BK21" si="84">SUM(AM19:AP19)</f>
        <v>0</v>
      </c>
      <c r="BL19" s="132">
        <f t="shared" ref="BL19:BL21" si="85">SUM(AQ19:AT19)</f>
        <v>0</v>
      </c>
      <c r="BM19" s="132">
        <f t="shared" ref="BM19:BM21" si="86">SUM(AU19:AX19)</f>
        <v>0</v>
      </c>
    </row>
    <row r="20" spans="2:65">
      <c r="B20" s="127" t="s">
        <v>200</v>
      </c>
      <c r="C20" s="45">
        <f>Quarter!AH16/1000000</f>
        <v>0.28813973999999998</v>
      </c>
      <c r="D20" s="45">
        <f>Quarter!AI16/1000000</f>
        <v>-1.44555904</v>
      </c>
      <c r="E20" s="45">
        <f>Quarter!AJ16/1000000</f>
        <v>1.7336987800000001</v>
      </c>
      <c r="F20" s="45">
        <f>Quarter!AK16/1000000</f>
        <v>-2.3295422100000001</v>
      </c>
      <c r="G20" s="45">
        <f>Quarter!AL16/1000000</f>
        <v>-3.2518269200000001</v>
      </c>
      <c r="H20" s="45">
        <f>Quarter!AM16/1000000</f>
        <v>-6.3235603300000003</v>
      </c>
      <c r="I20" s="45">
        <f>Quarter!AN16/1000000</f>
        <v>-5.7889360000000001E-2</v>
      </c>
      <c r="J20" s="45">
        <f>Quarter!AO16/1000000</f>
        <v>0.98560629</v>
      </c>
      <c r="K20" s="45">
        <f>Quarter!AP16/1000000</f>
        <v>-2.8915308500000001</v>
      </c>
      <c r="L20" s="45">
        <f>Quarter!AQ16/1000000</f>
        <v>-8.8596307100000011</v>
      </c>
      <c r="M20" s="45">
        <f>Quarter!AR16/1000000</f>
        <v>-2.04018655</v>
      </c>
      <c r="N20" s="45">
        <f>Quarter!AS16/1000000</f>
        <v>-10.72663242</v>
      </c>
      <c r="O20" s="45">
        <f>Quarter!AT16/1000000</f>
        <v>-14.23083374</v>
      </c>
      <c r="P20" s="45">
        <f>Quarter!AU16/1000000</f>
        <v>-5.967517889999999</v>
      </c>
      <c r="Q20" s="45">
        <f>Quarter!AV16/1000000</f>
        <v>-26.826270829999999</v>
      </c>
      <c r="R20" s="45">
        <f>Quarter!AW16/1000000</f>
        <v>-149.40505073</v>
      </c>
      <c r="S20" s="45">
        <f>Quarter!AX16/1000000</f>
        <v>-53.775493320000002</v>
      </c>
      <c r="T20" s="45">
        <f>Quarter!AY16/1000000</f>
        <v>-56.531867089999999</v>
      </c>
      <c r="U20" s="45">
        <f>Quarter!AZ16/1000000</f>
        <v>-2.0462824600000085</v>
      </c>
      <c r="V20" s="45">
        <f>Quarter!BA16/1000000</f>
        <v>-25.679802780000003</v>
      </c>
      <c r="W20" s="45">
        <f>Quarter!BB16/1000000</f>
        <v>-5.4182331100000001</v>
      </c>
      <c r="X20" s="45">
        <f>Quarter!BC16/1000000</f>
        <v>-20.771346609999998</v>
      </c>
      <c r="Y20" s="45">
        <f>Quarter!BD16/1000000</f>
        <v>-20.874297730000002</v>
      </c>
      <c r="Z20" s="45">
        <f>Quarter!BE16/1000000</f>
        <v>-5.8537305000000002</v>
      </c>
      <c r="AA20" s="45">
        <f>Quarter!BF16/1000000</f>
        <v>-1.5069082</v>
      </c>
      <c r="AB20" s="45">
        <f>Quarter!BG16/1000000</f>
        <v>-27.83053778</v>
      </c>
      <c r="AC20" s="45">
        <f>Quarter!BH16/1000000</f>
        <v>-57.600228049999998</v>
      </c>
      <c r="AD20" s="45">
        <f>Quarter!BI16/1000000</f>
        <v>-54.622353880000006</v>
      </c>
      <c r="AE20" s="45">
        <v>-246.3334055</v>
      </c>
      <c r="AF20" s="45">
        <f>-397.01772497-AE20</f>
        <v>-150.68431947000002</v>
      </c>
      <c r="AG20" s="141">
        <v>0</v>
      </c>
      <c r="AH20" s="141">
        <f t="shared" ref="AH20:AX20" si="87">AG20</f>
        <v>0</v>
      </c>
      <c r="AI20" s="141">
        <f t="shared" si="87"/>
        <v>0</v>
      </c>
      <c r="AJ20" s="141">
        <f t="shared" si="87"/>
        <v>0</v>
      </c>
      <c r="AK20" s="141">
        <f t="shared" si="87"/>
        <v>0</v>
      </c>
      <c r="AL20" s="141">
        <f t="shared" si="87"/>
        <v>0</v>
      </c>
      <c r="AM20" s="141">
        <f t="shared" si="87"/>
        <v>0</v>
      </c>
      <c r="AN20" s="141">
        <f t="shared" si="87"/>
        <v>0</v>
      </c>
      <c r="AO20" s="141">
        <f t="shared" si="87"/>
        <v>0</v>
      </c>
      <c r="AP20" s="141">
        <f t="shared" si="87"/>
        <v>0</v>
      </c>
      <c r="AQ20" s="141">
        <f t="shared" si="87"/>
        <v>0</v>
      </c>
      <c r="AR20" s="141">
        <f t="shared" si="87"/>
        <v>0</v>
      </c>
      <c r="AS20" s="141">
        <f t="shared" si="87"/>
        <v>0</v>
      </c>
      <c r="AT20" s="141">
        <f t="shared" si="87"/>
        <v>0</v>
      </c>
      <c r="AU20" s="141">
        <f t="shared" si="87"/>
        <v>0</v>
      </c>
      <c r="AV20" s="141">
        <f t="shared" si="87"/>
        <v>0</v>
      </c>
      <c r="AW20" s="141">
        <f t="shared" si="87"/>
        <v>0</v>
      </c>
      <c r="AX20" s="141">
        <f t="shared" si="87"/>
        <v>0</v>
      </c>
      <c r="AZ20" s="45">
        <f>Annual!J193/10^6</f>
        <v>0</v>
      </c>
      <c r="BA20" s="45">
        <f>Annual!K193/10^6</f>
        <v>0</v>
      </c>
      <c r="BB20" s="53">
        <f t="shared" si="64"/>
        <v>-1.7532627299999999</v>
      </c>
      <c r="BC20" s="53">
        <f t="shared" si="65"/>
        <v>-8.6476703200000014</v>
      </c>
      <c r="BD20" s="53">
        <f t="shared" si="66"/>
        <v>-24.517980530000003</v>
      </c>
      <c r="BE20" s="48">
        <f t="shared" si="67"/>
        <v>-196.42967318999999</v>
      </c>
      <c r="BF20" s="48">
        <f t="shared" si="68"/>
        <v>-138.03344565000003</v>
      </c>
      <c r="BG20" s="48">
        <f t="shared" si="72"/>
        <v>-52.917607949999997</v>
      </c>
      <c r="BH20" s="132">
        <f>SUM(AA20:AD20)</f>
        <v>-141.56002791</v>
      </c>
      <c r="BI20" s="132">
        <f>SUM(AE20:AH20)</f>
        <v>-397.01772497000002</v>
      </c>
      <c r="BJ20" s="132">
        <f>SUM(AI20:AL20)</f>
        <v>0</v>
      </c>
      <c r="BK20" s="132">
        <f t="shared" si="84"/>
        <v>0</v>
      </c>
      <c r="BL20" s="132">
        <f t="shared" si="85"/>
        <v>0</v>
      </c>
      <c r="BM20" s="132">
        <f t="shared" si="86"/>
        <v>0</v>
      </c>
    </row>
    <row r="21" spans="2:65">
      <c r="B21" s="127" t="s">
        <v>33</v>
      </c>
      <c r="C21" s="48">
        <f t="shared" ref="C21:L21" si="88">C13-SUM(C14:C20)</f>
        <v>-3.8736549699999863</v>
      </c>
      <c r="D21" s="48">
        <f t="shared" si="88"/>
        <v>3.2010017099999928</v>
      </c>
      <c r="E21" s="48">
        <f t="shared" si="88"/>
        <v>-1.3372640550001194</v>
      </c>
      <c r="F21" s="48">
        <f t="shared" si="88"/>
        <v>0.37951293500001526</v>
      </c>
      <c r="G21" s="48">
        <f t="shared" si="88"/>
        <v>-5.0720932649999924</v>
      </c>
      <c r="H21" s="48">
        <f t="shared" si="88"/>
        <v>4.8310686049999916</v>
      </c>
      <c r="I21" s="48">
        <f t="shared" si="88"/>
        <v>-15.534363335000009</v>
      </c>
      <c r="J21" s="48">
        <f t="shared" si="88"/>
        <v>10.588917115000044</v>
      </c>
      <c r="K21" s="48">
        <f t="shared" si="88"/>
        <v>-12.686254475000013</v>
      </c>
      <c r="L21" s="48">
        <f t="shared" si="88"/>
        <v>9.872624825000031</v>
      </c>
      <c r="M21" s="48">
        <f t="shared" ref="M21:T21" si="89">M13-SUM(M14:M20)</f>
        <v>21.560259314999954</v>
      </c>
      <c r="N21" s="48">
        <f t="shared" si="89"/>
        <v>-27.338408895000086</v>
      </c>
      <c r="O21" s="48">
        <f t="shared" si="89"/>
        <v>-8.7136937499999902</v>
      </c>
      <c r="P21" s="48">
        <f t="shared" si="89"/>
        <v>-13.45237840999998</v>
      </c>
      <c r="Q21" s="48">
        <f t="shared" si="89"/>
        <v>-57.483318830000101</v>
      </c>
      <c r="R21" s="48">
        <f t="shared" si="89"/>
        <v>-36.175611199999963</v>
      </c>
      <c r="S21" s="48">
        <f t="shared" si="89"/>
        <v>-13.352228340000025</v>
      </c>
      <c r="T21" s="48">
        <f t="shared" si="89"/>
        <v>2.643581340000047</v>
      </c>
      <c r="U21" s="48">
        <f t="shared" ref="U21:AA21" si="90">U13-SUM(U14:U20)</f>
        <v>-24.239623320000085</v>
      </c>
      <c r="V21" s="48">
        <f t="shared" si="90"/>
        <v>-98.188857740000117</v>
      </c>
      <c r="W21" s="48">
        <f t="shared" si="90"/>
        <v>-18.271976354999993</v>
      </c>
      <c r="X21" s="48">
        <f t="shared" si="90"/>
        <v>32.046029035000004</v>
      </c>
      <c r="Y21" s="48">
        <f t="shared" si="90"/>
        <v>-14.379466134999944</v>
      </c>
      <c r="Z21" s="48">
        <f t="shared" si="90"/>
        <v>140.59021366500014</v>
      </c>
      <c r="AA21" s="48">
        <f t="shared" si="90"/>
        <v>-11.17126607500002</v>
      </c>
      <c r="AB21" s="48">
        <f t="shared" ref="AB21" si="91">AB13-SUM(AB14:AB20)</f>
        <v>-18.1899938050001</v>
      </c>
      <c r="AC21" s="48">
        <f t="shared" ref="AC21:AF21" si="92">AC13-SUM(AC14:AC20)</f>
        <v>0.68799803000000281</v>
      </c>
      <c r="AD21" s="48">
        <f t="shared" si="92"/>
        <v>37.710133079999999</v>
      </c>
      <c r="AE21" s="48">
        <f t="shared" si="92"/>
        <v>-4.9494757900001787</v>
      </c>
      <c r="AF21" s="48">
        <f t="shared" si="92"/>
        <v>22.418096340000432</v>
      </c>
      <c r="AG21" s="75">
        <v>0</v>
      </c>
      <c r="AH21" s="75">
        <v>0</v>
      </c>
      <c r="AI21" s="75">
        <v>0</v>
      </c>
      <c r="AJ21" s="75">
        <v>0</v>
      </c>
      <c r="AK21" s="75">
        <v>0</v>
      </c>
      <c r="AL21" s="75">
        <v>0</v>
      </c>
      <c r="AM21" s="75">
        <v>0</v>
      </c>
      <c r="AN21" s="75">
        <v>0</v>
      </c>
      <c r="AO21" s="75">
        <v>0</v>
      </c>
      <c r="AP21" s="75">
        <v>0</v>
      </c>
      <c r="AQ21" s="75">
        <v>0</v>
      </c>
      <c r="AR21" s="75">
        <v>0</v>
      </c>
      <c r="AS21" s="75">
        <v>0</v>
      </c>
      <c r="AT21" s="75">
        <v>0</v>
      </c>
      <c r="AU21" s="75">
        <v>0</v>
      </c>
      <c r="AV21" s="75">
        <v>0</v>
      </c>
      <c r="AW21" s="75">
        <v>0</v>
      </c>
      <c r="AX21" s="75">
        <v>0</v>
      </c>
      <c r="AZ21" s="48">
        <f>AZ13-SUM(AZ14:AZ20)</f>
        <v>0.90422229000002474</v>
      </c>
      <c r="BA21" s="48">
        <f>BA13-SUM(BA14:BA20)</f>
        <v>-0.65484855999997649</v>
      </c>
      <c r="BB21" s="53">
        <f t="shared" si="64"/>
        <v>-1.6304043800000976</v>
      </c>
      <c r="BC21" s="53">
        <f t="shared" si="65"/>
        <v>-5.1864708799999661</v>
      </c>
      <c r="BD21" s="53">
        <f t="shared" si="66"/>
        <v>-8.5917792300001139</v>
      </c>
      <c r="BE21" s="48">
        <f t="shared" si="67"/>
        <v>-115.82500219000003</v>
      </c>
      <c r="BF21" s="48">
        <f t="shared" si="68"/>
        <v>-133.13712806000018</v>
      </c>
      <c r="BG21" s="48">
        <f>SUM(W21:Z21)</f>
        <v>139.9848002100002</v>
      </c>
      <c r="BH21" s="132">
        <f>SUM(AA21:AD21)</f>
        <v>9.0368712299998819</v>
      </c>
      <c r="BI21" s="132">
        <f>SUM(AE21:AH21)</f>
        <v>17.468620550000253</v>
      </c>
      <c r="BJ21" s="132">
        <f>SUM(AF21:AI21)</f>
        <v>22.418096340000432</v>
      </c>
      <c r="BK21" s="132">
        <f t="shared" si="84"/>
        <v>0</v>
      </c>
      <c r="BL21" s="132">
        <f t="shared" si="85"/>
        <v>0</v>
      </c>
      <c r="BM21" s="132">
        <f t="shared" si="86"/>
        <v>0</v>
      </c>
    </row>
    <row r="22" spans="2:65" s="139" customFormat="1">
      <c r="B22" s="139" t="s">
        <v>172</v>
      </c>
      <c r="C22" s="54">
        <f>Quarter!AH27/1000000</f>
        <v>-22.70634695</v>
      </c>
      <c r="D22" s="54">
        <f>Quarter!AI27/1000000</f>
        <v>-8.0938304700000003</v>
      </c>
      <c r="E22" s="54">
        <f>Quarter!AJ27/1000000</f>
        <v>-555.02002219000008</v>
      </c>
      <c r="F22" s="54">
        <f>Quarter!AK27/1000000</f>
        <v>-593.30513182000004</v>
      </c>
      <c r="G22" s="54">
        <f>Quarter!AL27/1000000</f>
        <v>-108.35758464</v>
      </c>
      <c r="H22" s="54">
        <f>Quarter!AM27/1000000</f>
        <v>-93.501971980000008</v>
      </c>
      <c r="I22" s="54">
        <f>Quarter!AN27/1000000</f>
        <v>-107.65265723</v>
      </c>
      <c r="J22" s="54">
        <f>Quarter!AO27/1000000</f>
        <v>-124.99711731000001</v>
      </c>
      <c r="K22" s="54">
        <f>Quarter!AP27/1000000</f>
        <v>-205.59243344999999</v>
      </c>
      <c r="L22" s="54">
        <f>Quarter!AQ27/1000000</f>
        <v>-185.88211228999998</v>
      </c>
      <c r="M22" s="54">
        <f>Quarter!AR27/1000000</f>
        <v>-237.87273036000002</v>
      </c>
      <c r="N22" s="54">
        <f>Quarter!AS27/1000000</f>
        <v>-194.47574981</v>
      </c>
      <c r="O22" s="54">
        <f>Quarter!AT27/1000000</f>
        <v>-298.08615139999995</v>
      </c>
      <c r="P22" s="54">
        <f>Quarter!AU27/1000000</f>
        <v>-344.21471069000006</v>
      </c>
      <c r="Q22" s="54">
        <f>Quarter!AV27/1000000</f>
        <v>-341.08129693000001</v>
      </c>
      <c r="R22" s="54">
        <f>Quarter!AW27/1000000</f>
        <v>-339.34873010000001</v>
      </c>
      <c r="S22" s="54">
        <f>Quarter!AX27/1000000</f>
        <v>-262.59783010000001</v>
      </c>
      <c r="T22" s="54">
        <f>Quarter!AY27/1000000</f>
        <v>-297.13150953999997</v>
      </c>
      <c r="U22" s="54">
        <f>Quarter!AZ27/1000000</f>
        <v>-270.88697474000003</v>
      </c>
      <c r="V22" s="54">
        <f>Quarter!BA27/1000000</f>
        <v>-44.122476670000005</v>
      </c>
      <c r="W22" s="54">
        <f>Quarter!BB27/1000000</f>
        <v>-229.00338244999998</v>
      </c>
      <c r="X22" s="54">
        <f>Quarter!BC27/1000000</f>
        <v>-304.18349979000004</v>
      </c>
      <c r="Y22" s="54">
        <f>Quarter!BD27/1000000</f>
        <v>-195.07520498</v>
      </c>
      <c r="Z22" s="54">
        <f>Quarter!BE27/1000000</f>
        <v>272.49303180000004</v>
      </c>
      <c r="AA22" s="54">
        <f>Quarter!BF27/1000000</f>
        <v>355.35612660000004</v>
      </c>
      <c r="AB22" s="54">
        <f>Quarter!BG27/1000000</f>
        <v>682.39844047999998</v>
      </c>
      <c r="AC22" s="54">
        <f>Quarter!BH27/1000000</f>
        <v>566.11084404999997</v>
      </c>
      <c r="AD22" s="54">
        <f>Quarter!BI27/1000000</f>
        <v>455.51615917000004</v>
      </c>
      <c r="AE22" s="54">
        <v>1014.24296176</v>
      </c>
      <c r="AF22" s="54">
        <f>2301.21217532-AE22</f>
        <v>1286.9692135599998</v>
      </c>
      <c r="AG22" s="50">
        <f t="shared" ref="AG22:AL22" si="93">AG12+AG13</f>
        <v>1861.5532966739529</v>
      </c>
      <c r="AH22" s="50">
        <f t="shared" si="93"/>
        <v>2211.6941376870259</v>
      </c>
      <c r="AI22" s="50">
        <f t="shared" si="93"/>
        <v>2454.1149394686377</v>
      </c>
      <c r="AJ22" s="50">
        <f t="shared" si="93"/>
        <v>3146.4428553429602</v>
      </c>
      <c r="AK22" s="50">
        <f t="shared" si="93"/>
        <v>4181.1776856578872</v>
      </c>
      <c r="AL22" s="50">
        <f t="shared" si="93"/>
        <v>5986.8904198534301</v>
      </c>
      <c r="AM22" s="50">
        <f t="shared" ref="AM22:AP22" si="94">AM12+AM13</f>
        <v>7935.9091854267945</v>
      </c>
      <c r="AN22" s="50">
        <f t="shared" si="94"/>
        <v>7426.2623383130986</v>
      </c>
      <c r="AO22" s="50">
        <f t="shared" si="94"/>
        <v>7350.8455243322906</v>
      </c>
      <c r="AP22" s="50">
        <f t="shared" si="94"/>
        <v>8273.5270384628966</v>
      </c>
      <c r="AQ22" s="50">
        <f t="shared" ref="AQ22:AT22" si="95">AQ12+AQ13</f>
        <v>12432.657523023465</v>
      </c>
      <c r="AR22" s="50">
        <f t="shared" si="95"/>
        <v>11803.718301138279</v>
      </c>
      <c r="AS22" s="50">
        <f t="shared" si="95"/>
        <v>11139.098348582424</v>
      </c>
      <c r="AT22" s="50">
        <f t="shared" si="95"/>
        <v>11788.015154906212</v>
      </c>
      <c r="AU22" s="50">
        <f t="shared" ref="AU22:AX22" si="96">AU12+AU13</f>
        <v>15109.041857370838</v>
      </c>
      <c r="AV22" s="50">
        <f t="shared" si="96"/>
        <v>15376.368318600125</v>
      </c>
      <c r="AW22" s="50">
        <f t="shared" si="96"/>
        <v>14665.862516774614</v>
      </c>
      <c r="AX22" s="50">
        <f t="shared" si="96"/>
        <v>15685.843194219742</v>
      </c>
      <c r="AZ22" s="54">
        <f>Annual!J204/10^6</f>
        <v>-380.70041323999999</v>
      </c>
      <c r="BA22" s="54">
        <f>Annual!K204/10^6</f>
        <v>-41.04650737</v>
      </c>
      <c r="BB22" s="142">
        <f t="shared" ref="BB22:BH22" si="97">SUM(BB12:BB13)</f>
        <v>-1179.1253314300002</v>
      </c>
      <c r="BC22" s="142">
        <f t="shared" si="97"/>
        <v>-434.50933116000004</v>
      </c>
      <c r="BD22" s="142">
        <f t="shared" si="97"/>
        <v>-823.82302591000018</v>
      </c>
      <c r="BE22" s="142">
        <f>SUM(BE12:BE13)</f>
        <v>-1322.73088912</v>
      </c>
      <c r="BF22" s="50">
        <f>SUM(BF12:BF13)</f>
        <v>-874.73879105000015</v>
      </c>
      <c r="BG22" s="50">
        <f>SUM(BG12:BG13)</f>
        <v>-455.7690554200002</v>
      </c>
      <c r="BH22" s="52">
        <f t="shared" si="97"/>
        <v>2059.3706143100007</v>
      </c>
      <c r="BI22" s="52">
        <f>SUM(BI12:BI13)</f>
        <v>6374.4596096809792</v>
      </c>
      <c r="BJ22" s="52">
        <f>SUM(BJ12:BJ13)</f>
        <v>15863.32684889793</v>
      </c>
      <c r="BK22" s="52">
        <f>SUM(BK12:BK13)</f>
        <v>30986.544086535065</v>
      </c>
      <c r="BL22" s="52">
        <f>SUM(BL12:BL13)</f>
        <v>47163.489327650379</v>
      </c>
      <c r="BM22" s="52">
        <f>SUM(BM12:BM13)</f>
        <v>60837.11588696533</v>
      </c>
    </row>
    <row r="23" spans="2:65">
      <c r="B23" s="127" t="s">
        <v>173</v>
      </c>
      <c r="C23" s="45">
        <f>Quarter!AH28/1000000</f>
        <v>1.0310999999999999E-4</v>
      </c>
      <c r="D23" s="45">
        <f>Quarter!AI28/1000000</f>
        <v>1.013E-4</v>
      </c>
      <c r="E23" s="45">
        <f>Quarter!AJ28/1000000</f>
        <v>0</v>
      </c>
      <c r="F23" s="45">
        <f>Quarter!AK28/1000000</f>
        <v>0</v>
      </c>
      <c r="G23" s="45">
        <f>Quarter!AL28/1000000</f>
        <v>0</v>
      </c>
      <c r="H23" s="45">
        <f>Quarter!AM28/1000000</f>
        <v>0</v>
      </c>
      <c r="I23" s="45">
        <f>Quarter!AN28/1000000</f>
        <v>0</v>
      </c>
      <c r="J23" s="45">
        <f>Quarter!AO28/1000000</f>
        <v>0</v>
      </c>
      <c r="K23" s="45">
        <f>Quarter!AP28/1000000</f>
        <v>0</v>
      </c>
      <c r="L23" s="45">
        <f>Quarter!AQ28/1000000</f>
        <v>0.12857791999999998</v>
      </c>
      <c r="M23" s="45">
        <f>Quarter!AR28/1000000</f>
        <v>0</v>
      </c>
      <c r="N23" s="45">
        <f>Quarter!AS28/1000000</f>
        <v>5.8628735999999995</v>
      </c>
      <c r="O23" s="45">
        <f>Quarter!AT28/1000000</f>
        <v>1.379855E-2</v>
      </c>
      <c r="P23" s="45">
        <f>Quarter!AU28/1000000</f>
        <v>7.0960709999999996E-2</v>
      </c>
      <c r="Q23" s="45">
        <f>Quarter!AV28/1000000</f>
        <v>6.6078000000000003E-4</v>
      </c>
      <c r="R23" s="45">
        <f>Quarter!AW28/1000000</f>
        <v>2.1905320099999996</v>
      </c>
      <c r="S23" s="45">
        <f>Quarter!AX28/1000000</f>
        <v>0</v>
      </c>
      <c r="T23" s="45">
        <f>Quarter!AY28/1000000</f>
        <v>0</v>
      </c>
      <c r="U23" s="45">
        <f>Quarter!AZ28/1000000</f>
        <v>0</v>
      </c>
      <c r="V23" s="45">
        <f>Quarter!BA28/1000000</f>
        <v>0</v>
      </c>
      <c r="W23" s="45">
        <f>Quarter!BB28/1000000</f>
        <v>0</v>
      </c>
      <c r="X23" s="45">
        <f>Quarter!BC28/1000000</f>
        <v>0</v>
      </c>
      <c r="Y23" s="45">
        <f>Quarter!BD28/1000000</f>
        <v>0</v>
      </c>
      <c r="Z23" s="45">
        <f>Quarter!BE28/1000000</f>
        <v>0.9380792</v>
      </c>
      <c r="AA23" s="45">
        <f>Quarter!BF28/1000000</f>
        <v>0.12806329999999999</v>
      </c>
      <c r="AB23" s="45">
        <f>Quarter!BG28/1000000</f>
        <v>-2.9040369999999999E-2</v>
      </c>
      <c r="AC23" s="45">
        <f>Quarter!BH28/1000000</f>
        <v>-0.27166786999999998</v>
      </c>
      <c r="AD23" s="45">
        <f>Quarter!BI28/1000000</f>
        <v>1.06682594</v>
      </c>
      <c r="AE23" s="45">
        <v>1.1179489</v>
      </c>
      <c r="AF23" s="45">
        <f>-9.53913121-AE23</f>
        <v>-10.657080110000001</v>
      </c>
      <c r="AG23" s="48">
        <f t="shared" ref="AG23:AL23" si="98">AG22*AG55</f>
        <v>93.077664833697654</v>
      </c>
      <c r="AH23" s="48">
        <f t="shared" si="98"/>
        <v>110.58470688435131</v>
      </c>
      <c r="AI23" s="48">
        <f t="shared" si="98"/>
        <v>245.41149394686377</v>
      </c>
      <c r="AJ23" s="48">
        <f t="shared" si="98"/>
        <v>314.64428553429605</v>
      </c>
      <c r="AK23" s="48">
        <f t="shared" si="98"/>
        <v>418.11776856578877</v>
      </c>
      <c r="AL23" s="48">
        <f t="shared" si="98"/>
        <v>598.68904198534301</v>
      </c>
      <c r="AM23" s="48">
        <f t="shared" ref="AM23:AP23" si="99">AM22*AM55</f>
        <v>952.30910225121534</v>
      </c>
      <c r="AN23" s="48">
        <f t="shared" si="99"/>
        <v>891.15148059757178</v>
      </c>
      <c r="AO23" s="48">
        <f t="shared" si="99"/>
        <v>882.10146291987485</v>
      </c>
      <c r="AP23" s="48">
        <f t="shared" si="99"/>
        <v>992.82324461554754</v>
      </c>
      <c r="AQ23" s="48">
        <f t="shared" ref="AQ23:AT23" si="100">AQ22*AQ55</f>
        <v>1740.5720532232851</v>
      </c>
      <c r="AR23" s="48">
        <f t="shared" si="100"/>
        <v>1652.5205621593591</v>
      </c>
      <c r="AS23" s="48">
        <f t="shared" si="100"/>
        <v>1559.4737688015393</v>
      </c>
      <c r="AT23" s="48">
        <f t="shared" si="100"/>
        <v>1650.3221216868699</v>
      </c>
      <c r="AU23" s="48">
        <f t="shared" ref="AU23:AX23" si="101">AU22*AU55</f>
        <v>2417.446697179334</v>
      </c>
      <c r="AV23" s="48">
        <f t="shared" si="101"/>
        <v>2460.2189309760201</v>
      </c>
      <c r="AW23" s="48">
        <f t="shared" si="101"/>
        <v>2346.5380026839384</v>
      </c>
      <c r="AX23" s="48">
        <f t="shared" si="101"/>
        <v>2509.7349110751588</v>
      </c>
      <c r="AZ23" s="45">
        <f>Annual!J205/10^6</f>
        <v>0</v>
      </c>
      <c r="BA23" s="45">
        <f>Annual!K205/10^6</f>
        <v>0</v>
      </c>
      <c r="BB23" s="53">
        <f>SUM(C23:F23)</f>
        <v>2.0440999999999998E-4</v>
      </c>
      <c r="BC23" s="53">
        <f>SUM(G23:J23)</f>
        <v>0</v>
      </c>
      <c r="BD23" s="53">
        <f>SUM(K23:N23)</f>
        <v>5.9914515199999991</v>
      </c>
      <c r="BE23" s="48">
        <f>SUM(O23:R23)</f>
        <v>2.2759520499999994</v>
      </c>
      <c r="BF23" s="48">
        <f>SUM(S23:V23)</f>
        <v>0</v>
      </c>
      <c r="BG23" s="132">
        <f>SUM(W23:Z23)</f>
        <v>0.9380792</v>
      </c>
      <c r="BH23" s="132">
        <f>SUM(AA23:AD23)</f>
        <v>0.894181</v>
      </c>
      <c r="BI23" s="132">
        <f>SUM(AE23:AH23)</f>
        <v>194.12324050804895</v>
      </c>
      <c r="BJ23" s="132">
        <f>SUM(AI23:AL23)</f>
        <v>1576.8625900322916</v>
      </c>
      <c r="BK23" s="132">
        <f>SUM(AM23:AP23)</f>
        <v>3718.3852903842094</v>
      </c>
      <c r="BL23" s="132">
        <f>SUM(AQ23:AT23)</f>
        <v>6602.888505871053</v>
      </c>
      <c r="BM23" s="132">
        <f>SUM(AU23:AX23)</f>
        <v>9733.938541914451</v>
      </c>
    </row>
    <row r="24" spans="2:65">
      <c r="B24" s="127" t="s">
        <v>174</v>
      </c>
      <c r="C24" s="45">
        <f>Quarter!AH32/1000000</f>
        <v>0</v>
      </c>
      <c r="D24" s="45">
        <f>Quarter!AI32/1000000</f>
        <v>0</v>
      </c>
      <c r="E24" s="45">
        <f>Quarter!AJ32/1000000</f>
        <v>-3.5125E-4</v>
      </c>
      <c r="F24" s="45">
        <f>Quarter!AK32/1000000</f>
        <v>-0.13933065</v>
      </c>
      <c r="G24" s="45">
        <f>Quarter!AL32/1000000</f>
        <v>0</v>
      </c>
      <c r="H24" s="45">
        <f>Quarter!AM32/1000000</f>
        <v>0</v>
      </c>
      <c r="I24" s="45">
        <f>Quarter!AN32/1000000</f>
        <v>0</v>
      </c>
      <c r="J24" s="45">
        <f>Quarter!AO32/1000000</f>
        <v>0</v>
      </c>
      <c r="K24" s="45">
        <f>Quarter!AP32/1000000</f>
        <v>0</v>
      </c>
      <c r="L24" s="45">
        <f>Quarter!AQ32/1000000</f>
        <v>0</v>
      </c>
      <c r="M24" s="45">
        <f>Quarter!AR32/1000000</f>
        <v>-1.7377699999999999E-2</v>
      </c>
      <c r="N24" s="45">
        <f>Quarter!AS32/1000000</f>
        <v>-4.8476906199999998</v>
      </c>
      <c r="O24" s="45">
        <f>Quarter!AT32/1000000</f>
        <v>-10.716426070000001</v>
      </c>
      <c r="P24" s="45">
        <f>Quarter!AU32/1000000</f>
        <v>-9.2598645899999994</v>
      </c>
      <c r="Q24" s="45">
        <f>Quarter!AV32/1000000</f>
        <v>-18.712903280000003</v>
      </c>
      <c r="R24" s="45">
        <f>Quarter!AW32/1000000</f>
        <v>-29.755125230000001</v>
      </c>
      <c r="S24" s="45">
        <f>Quarter!AX32/1000000</f>
        <v>-7.5654991900000006</v>
      </c>
      <c r="T24" s="45">
        <f>Quarter!AY32/1000000</f>
        <v>-7.3352442</v>
      </c>
      <c r="U24" s="45">
        <f>Quarter!AZ32/1000000</f>
        <v>-7.9814783999999976</v>
      </c>
      <c r="V24" s="45">
        <f>Quarter!BA32/1000000</f>
        <v>-6.7550814299999997</v>
      </c>
      <c r="W24" s="45">
        <f>Quarter!BB32/1000000</f>
        <v>-2.37462186</v>
      </c>
      <c r="X24" s="45">
        <f>Quarter!BC32/1000000</f>
        <v>-0.84985361999999998</v>
      </c>
      <c r="Y24" s="45">
        <f>Quarter!BD32/1000000</f>
        <v>-0.76538609000000002</v>
      </c>
      <c r="Z24" s="45">
        <f>Quarter!BE32/1000000</f>
        <v>-0.59800009999999992</v>
      </c>
      <c r="AA24" s="45">
        <f>Quarter!BF32/1000000</f>
        <v>-0.23717770000000002</v>
      </c>
      <c r="AB24" s="45">
        <f>Quarter!BG32/1000000</f>
        <v>-0.18984667999999999</v>
      </c>
      <c r="AC24" s="45">
        <f>Quarter!BH32/1000000</f>
        <v>-0.18066362</v>
      </c>
      <c r="AD24" s="45">
        <f>Quarter!BI32/1000000</f>
        <v>-0.13346132999999999</v>
      </c>
      <c r="AE24" s="45">
        <v>-0.8856908</v>
      </c>
      <c r="AF24" s="45">
        <f>-0.1607738-AE24</f>
        <v>0.72491700000000003</v>
      </c>
      <c r="AG24" s="73">
        <f t="shared" ref="AG24:AH24" si="102">AF24</f>
        <v>0.72491700000000003</v>
      </c>
      <c r="AH24" s="73">
        <f t="shared" si="102"/>
        <v>0.72491700000000003</v>
      </c>
      <c r="AI24" s="73">
        <f t="shared" ref="AI24:AX24" si="103">AH24</f>
        <v>0.72491700000000003</v>
      </c>
      <c r="AJ24" s="73">
        <f t="shared" si="103"/>
        <v>0.72491700000000003</v>
      </c>
      <c r="AK24" s="73">
        <f t="shared" si="103"/>
        <v>0.72491700000000003</v>
      </c>
      <c r="AL24" s="73">
        <f t="shared" si="103"/>
        <v>0.72491700000000003</v>
      </c>
      <c r="AM24" s="73">
        <f t="shared" si="103"/>
        <v>0.72491700000000003</v>
      </c>
      <c r="AN24" s="73">
        <f t="shared" si="103"/>
        <v>0.72491700000000003</v>
      </c>
      <c r="AO24" s="73">
        <f t="shared" si="103"/>
        <v>0.72491700000000003</v>
      </c>
      <c r="AP24" s="73">
        <f t="shared" si="103"/>
        <v>0.72491700000000003</v>
      </c>
      <c r="AQ24" s="73">
        <f t="shared" si="103"/>
        <v>0.72491700000000003</v>
      </c>
      <c r="AR24" s="73">
        <f t="shared" si="103"/>
        <v>0.72491700000000003</v>
      </c>
      <c r="AS24" s="73">
        <f t="shared" si="103"/>
        <v>0.72491700000000003</v>
      </c>
      <c r="AT24" s="73">
        <f t="shared" si="103"/>
        <v>0.72491700000000003</v>
      </c>
      <c r="AU24" s="73">
        <f t="shared" si="103"/>
        <v>0.72491700000000003</v>
      </c>
      <c r="AV24" s="73">
        <f t="shared" si="103"/>
        <v>0.72491700000000003</v>
      </c>
      <c r="AW24" s="73">
        <f t="shared" si="103"/>
        <v>0.72491700000000003</v>
      </c>
      <c r="AX24" s="73">
        <f t="shared" si="103"/>
        <v>0.72491700000000003</v>
      </c>
      <c r="AZ24" s="45">
        <f>Annual!J208/10^6</f>
        <v>0</v>
      </c>
      <c r="BA24" s="45">
        <f>Annual!K208/10^6</f>
        <v>0</v>
      </c>
      <c r="BB24" s="53">
        <f>SUM(C24:F24)</f>
        <v>-0.1396819</v>
      </c>
      <c r="BC24" s="53">
        <f>SUM(G24:J24)</f>
        <v>0</v>
      </c>
      <c r="BD24" s="53">
        <f>SUM(K24:N24)</f>
        <v>-4.8650683199999998</v>
      </c>
      <c r="BE24" s="48">
        <f>SUM(O24:R24)</f>
        <v>-68.44431917</v>
      </c>
      <c r="BF24" s="48">
        <f>SUM(S24:V24)</f>
        <v>-29.63730322</v>
      </c>
      <c r="BG24" s="132">
        <f>SUM(W24:Z24)</f>
        <v>-4.5878616699999997</v>
      </c>
      <c r="BH24" s="132">
        <f>SUM(AA24:AD24)</f>
        <v>-0.74114933000000005</v>
      </c>
      <c r="BI24" s="132">
        <f>SUM(AE24:AH24)</f>
        <v>1.2890602000000002</v>
      </c>
      <c r="BJ24" s="132">
        <f>SUM(AI24:AL24)</f>
        <v>2.8996680000000001</v>
      </c>
      <c r="BK24" s="132">
        <f>SUM(AM24:AP24)</f>
        <v>2.8996680000000001</v>
      </c>
      <c r="BL24" s="132">
        <f>SUM(AQ24:AT24)</f>
        <v>2.8996680000000001</v>
      </c>
      <c r="BM24" s="132">
        <f>SUM(AU24:AX24)</f>
        <v>2.8996680000000001</v>
      </c>
    </row>
    <row r="25" spans="2:65" s="139" customFormat="1">
      <c r="B25" s="139" t="s">
        <v>7</v>
      </c>
      <c r="C25" s="50">
        <f t="shared" ref="C25:T25" si="104">C22-C23-C24</f>
        <v>-22.706450060000002</v>
      </c>
      <c r="D25" s="50">
        <f t="shared" si="104"/>
        <v>-8.0939317700000011</v>
      </c>
      <c r="E25" s="50">
        <f t="shared" si="104"/>
        <v>-555.01967094000008</v>
      </c>
      <c r="F25" s="50">
        <f t="shared" si="104"/>
        <v>-593.16580117000001</v>
      </c>
      <c r="G25" s="50">
        <f t="shared" si="104"/>
        <v>-108.35758464</v>
      </c>
      <c r="H25" s="50">
        <f t="shared" si="104"/>
        <v>-93.501971980000008</v>
      </c>
      <c r="I25" s="50">
        <f t="shared" si="104"/>
        <v>-107.65265723</v>
      </c>
      <c r="J25" s="50">
        <f t="shared" si="104"/>
        <v>-124.99711731000001</v>
      </c>
      <c r="K25" s="50">
        <f t="shared" si="104"/>
        <v>-205.59243344999999</v>
      </c>
      <c r="L25" s="50">
        <f t="shared" si="104"/>
        <v>-186.01069020999998</v>
      </c>
      <c r="M25" s="50">
        <f t="shared" si="104"/>
        <v>-237.85535266000002</v>
      </c>
      <c r="N25" s="50">
        <f t="shared" si="104"/>
        <v>-195.49093278999999</v>
      </c>
      <c r="O25" s="50">
        <f t="shared" si="104"/>
        <v>-287.38352387999993</v>
      </c>
      <c r="P25" s="50">
        <f t="shared" si="104"/>
        <v>-335.02580681000006</v>
      </c>
      <c r="Q25" s="50">
        <f t="shared" si="104"/>
        <v>-322.36905443000001</v>
      </c>
      <c r="R25" s="50">
        <f t="shared" si="104"/>
        <v>-311.78413688000006</v>
      </c>
      <c r="S25" s="50">
        <f t="shared" si="104"/>
        <v>-255.03233091000001</v>
      </c>
      <c r="T25" s="50">
        <f t="shared" si="104"/>
        <v>-289.79626533999999</v>
      </c>
      <c r="U25" s="50">
        <f>U22-U23-U24</f>
        <v>-262.90549634000001</v>
      </c>
      <c r="V25" s="50">
        <f>V22-V23-V24</f>
        <v>-37.367395240000008</v>
      </c>
      <c r="W25" s="50">
        <f>W22-W23-W24</f>
        <v>-226.62876058999998</v>
      </c>
      <c r="X25" s="50">
        <f>X22-X23-X24</f>
        <v>-303.33364617000007</v>
      </c>
      <c r="Y25" s="50">
        <f>Y22-Y23-Y24</f>
        <v>-194.30981889</v>
      </c>
      <c r="Z25" s="50">
        <f t="shared" ref="Z25" si="105">Z22-Z23-Z24</f>
        <v>272.15295270000001</v>
      </c>
      <c r="AA25" s="50">
        <f>AA22-AA23-AA24</f>
        <v>355.46524100000005</v>
      </c>
      <c r="AB25" s="50">
        <f>AB22-AB23-AB24</f>
        <v>682.6173275299999</v>
      </c>
      <c r="AC25" s="50">
        <f>AC22-AC23-AC24</f>
        <v>566.56317553999997</v>
      </c>
      <c r="AD25" s="50">
        <f t="shared" ref="AD25" si="106">AD22-AD23-AD24</f>
        <v>454.58279456000002</v>
      </c>
      <c r="AE25" s="50">
        <f t="shared" ref="AE25:AL25" si="107">AE22-AE23-AE24</f>
        <v>1014.01070366</v>
      </c>
      <c r="AF25" s="50">
        <f t="shared" si="107"/>
        <v>1296.9013766699998</v>
      </c>
      <c r="AG25" s="50">
        <f t="shared" si="107"/>
        <v>1767.7507148402553</v>
      </c>
      <c r="AH25" s="50">
        <f t="shared" si="107"/>
        <v>2100.3845138026745</v>
      </c>
      <c r="AI25" s="50">
        <f t="shared" si="107"/>
        <v>2207.978528521774</v>
      </c>
      <c r="AJ25" s="50">
        <f t="shared" si="107"/>
        <v>2831.0736528086641</v>
      </c>
      <c r="AK25" s="50">
        <f t="shared" si="107"/>
        <v>3762.3350000920987</v>
      </c>
      <c r="AL25" s="50">
        <f t="shared" si="107"/>
        <v>5387.4764608680871</v>
      </c>
      <c r="AM25" s="50">
        <f t="shared" ref="AM25:AP25" si="108">AM22-AM23-AM24</f>
        <v>6982.8751661755796</v>
      </c>
      <c r="AN25" s="50">
        <f t="shared" si="108"/>
        <v>6534.3859407155269</v>
      </c>
      <c r="AO25" s="50">
        <f t="shared" si="108"/>
        <v>6468.0191444124157</v>
      </c>
      <c r="AP25" s="50">
        <f t="shared" si="108"/>
        <v>7279.97887684735</v>
      </c>
      <c r="AQ25" s="50">
        <f t="shared" ref="AQ25:AT25" si="109">AQ22-AQ23-AQ24</f>
        <v>10691.360552800181</v>
      </c>
      <c r="AR25" s="50">
        <f t="shared" si="109"/>
        <v>10150.472821978919</v>
      </c>
      <c r="AS25" s="50">
        <f t="shared" si="109"/>
        <v>9578.8996627808847</v>
      </c>
      <c r="AT25" s="50">
        <f t="shared" si="109"/>
        <v>10136.968116219343</v>
      </c>
      <c r="AU25" s="50">
        <f t="shared" ref="AU25:AX25" si="110">AU22-AU23-AU24</f>
        <v>12690.870243191504</v>
      </c>
      <c r="AV25" s="50">
        <f t="shared" si="110"/>
        <v>12915.424470624106</v>
      </c>
      <c r="AW25" s="50">
        <f t="shared" si="110"/>
        <v>12318.599597090677</v>
      </c>
      <c r="AX25" s="50">
        <f t="shared" si="110"/>
        <v>13175.383366144584</v>
      </c>
      <c r="AZ25" s="50">
        <f t="shared" ref="AZ25:BH25" si="111">AZ22-AZ23-AZ24</f>
        <v>-380.70041323999999</v>
      </c>
      <c r="BA25" s="50">
        <f>BA22-BA23-BA24</f>
        <v>-41.04650737</v>
      </c>
      <c r="BB25" s="142">
        <f t="shared" si="111"/>
        <v>-1178.9858539400002</v>
      </c>
      <c r="BC25" s="142">
        <f t="shared" si="111"/>
        <v>-434.50933116000004</v>
      </c>
      <c r="BD25" s="142">
        <f>BD22-BD23-BD24</f>
        <v>-824.94940911000026</v>
      </c>
      <c r="BE25" s="142">
        <f>BE22-BE23-BE24</f>
        <v>-1256.5625219999999</v>
      </c>
      <c r="BF25" s="50">
        <f>BF22-BF23-BF24</f>
        <v>-845.10148783000011</v>
      </c>
      <c r="BG25" s="50">
        <f>BG22-BG23-BG24</f>
        <v>-452.11927295000021</v>
      </c>
      <c r="BH25" s="52">
        <f t="shared" si="111"/>
        <v>2059.2175826400007</v>
      </c>
      <c r="BI25" s="52">
        <f>BI22-BI23-BI24</f>
        <v>6179.0473089729303</v>
      </c>
      <c r="BJ25" s="52">
        <f>BJ22-BJ23-BJ24</f>
        <v>14283.564590865639</v>
      </c>
      <c r="BK25" s="52">
        <f>BK22-BK23-BK24</f>
        <v>27265.259128150858</v>
      </c>
      <c r="BL25" s="52">
        <f>BL22-BL23-BL24</f>
        <v>40557.70115377933</v>
      </c>
      <c r="BM25" s="52">
        <f>BM22-BM23-BM24</f>
        <v>51100.277677050879</v>
      </c>
    </row>
    <row r="26" spans="2:65">
      <c r="B26" s="127" t="s">
        <v>201</v>
      </c>
      <c r="C26" s="55">
        <f t="shared" ref="C26:H26" si="112">C25/C33</f>
        <v>-6.3073472388888899E-2</v>
      </c>
      <c r="D26" s="55">
        <f t="shared" si="112"/>
        <v>-2.2483143805555557E-2</v>
      </c>
      <c r="E26" s="55">
        <f t="shared" si="112"/>
        <v>-1.541721308166667</v>
      </c>
      <c r="F26" s="55">
        <f t="shared" si="112"/>
        <v>-1.6476827810277779</v>
      </c>
      <c r="G26" s="55">
        <f t="shared" si="112"/>
        <v>-0.30099329066666669</v>
      </c>
      <c r="H26" s="55">
        <f t="shared" si="112"/>
        <v>-0.25972769994444445</v>
      </c>
      <c r="I26" s="55">
        <f>I25/I33</f>
        <v>-0.2690643769807548</v>
      </c>
      <c r="J26" s="55">
        <f>J25/J33</f>
        <v>-0.31241468960259933</v>
      </c>
      <c r="K26" s="55">
        <f>K25/K33</f>
        <v>-0.51385262046988245</v>
      </c>
      <c r="L26" s="55">
        <f>L25/L33</f>
        <v>-0.4649104979005248</v>
      </c>
      <c r="M26" s="55">
        <f>M25/M33</f>
        <v>-0.59448975921019742</v>
      </c>
      <c r="N26" s="55">
        <f t="shared" ref="N26:T26" si="113">N25/N33</f>
        <v>-0.48860518067983</v>
      </c>
      <c r="O26" s="55">
        <f t="shared" si="113"/>
        <v>-0.71699855252296774</v>
      </c>
      <c r="P26" s="55">
        <f t="shared" si="113"/>
        <v>-0.83586217921425798</v>
      </c>
      <c r="Q26" s="55">
        <f t="shared" si="113"/>
        <v>-0.80428460993129869</v>
      </c>
      <c r="R26" s="55">
        <f t="shared" si="113"/>
        <v>-0.77787610028725274</v>
      </c>
      <c r="S26" s="55">
        <f t="shared" si="113"/>
        <v>-0.6362849534317172</v>
      </c>
      <c r="T26" s="55">
        <f t="shared" si="113"/>
        <v>-0.69563160201574548</v>
      </c>
      <c r="U26" s="55">
        <f t="shared" ref="U26:Z26" si="114">U25/U33</f>
        <v>-0.63108256893224923</v>
      </c>
      <c r="V26" s="55">
        <f t="shared" si="114"/>
        <v>-8.9697294695843199E-2</v>
      </c>
      <c r="W26" s="55">
        <f t="shared" si="114"/>
        <v>-0.54400331076421371</v>
      </c>
      <c r="X26" s="55">
        <f t="shared" si="114"/>
        <v>-0.72812694802312683</v>
      </c>
      <c r="Y26" s="55">
        <f t="shared" si="114"/>
        <v>-0.4654609549219581</v>
      </c>
      <c r="Z26" s="55">
        <f t="shared" si="114"/>
        <v>0.65193089043166108</v>
      </c>
      <c r="AA26" s="55">
        <f t="shared" ref="AA26" si="115">AA25/AA33</f>
        <v>0.85150195426351161</v>
      </c>
      <c r="AB26" s="55">
        <f t="shared" ref="AB26" si="116">AB25/AB33</f>
        <v>1.631688686582369</v>
      </c>
      <c r="AC26" s="55">
        <f t="shared" ref="AC26:AD26" si="117">AC25/AC33</f>
        <v>1.3435691265595133</v>
      </c>
      <c r="AD26" s="55">
        <f t="shared" si="117"/>
        <v>1.0780146585662473</v>
      </c>
      <c r="AE26" s="55">
        <f t="shared" ref="AE26:AL26" si="118">AE25/AE33</f>
        <v>2.4046629471460901</v>
      </c>
      <c r="AF26" s="55">
        <f t="shared" si="118"/>
        <v>2.0641666239464156</v>
      </c>
      <c r="AG26" s="55">
        <f t="shared" si="118"/>
        <v>2.8135771082299912</v>
      </c>
      <c r="AH26" s="55">
        <f t="shared" si="118"/>
        <v>3.3430017801180814</v>
      </c>
      <c r="AI26" s="55">
        <f t="shared" si="118"/>
        <v>3.5142499398585092</v>
      </c>
      <c r="AJ26" s="55">
        <f t="shared" si="118"/>
        <v>4.505976976496556</v>
      </c>
      <c r="AK26" s="55">
        <f t="shared" si="118"/>
        <v>5.9881857441127897</v>
      </c>
      <c r="AL26" s="55">
        <f t="shared" si="118"/>
        <v>8.5747839410695157</v>
      </c>
      <c r="AM26" s="55">
        <f t="shared" ref="AM26:AP26" si="119">AM25/AM33</f>
        <v>11.114043146606626</v>
      </c>
      <c r="AN26" s="55">
        <f t="shared" si="119"/>
        <v>10.400221334826886</v>
      </c>
      <c r="AO26" s="55">
        <f t="shared" si="119"/>
        <v>10.294591000607578</v>
      </c>
      <c r="AP26" s="55">
        <f t="shared" si="119"/>
        <v>11.586917626078591</v>
      </c>
      <c r="AQ26" s="55">
        <f t="shared" ref="AQ26:AT26" si="120">AQ25/AQ33</f>
        <v>17.016521082221725</v>
      </c>
      <c r="AR26" s="55">
        <f t="shared" si="120"/>
        <v>16.155636498900435</v>
      </c>
      <c r="AS26" s="55">
        <f t="shared" si="120"/>
        <v>15.245912552589594</v>
      </c>
      <c r="AT26" s="55">
        <f t="shared" si="120"/>
        <v>16.134142217687849</v>
      </c>
      <c r="AU26" s="55">
        <f t="shared" ref="AU26:AX26" si="121">AU25/AU33</f>
        <v>20.198969062777312</v>
      </c>
      <c r="AV26" s="55">
        <f t="shared" si="121"/>
        <v>20.556372755818803</v>
      </c>
      <c r="AW26" s="55">
        <f t="shared" si="121"/>
        <v>19.60645782284837</v>
      </c>
      <c r="AX26" s="55">
        <f t="shared" si="121"/>
        <v>20.970127020702957</v>
      </c>
      <c r="AZ26" s="55"/>
      <c r="BA26" s="55"/>
      <c r="BB26" s="56">
        <f>SUM(C26:F26)</f>
        <v>-3.2749607053888896</v>
      </c>
      <c r="BC26" s="55">
        <f>SUM(G26:J26)</f>
        <v>-1.1422000571944653</v>
      </c>
      <c r="BD26" s="56">
        <f>SUM(K26:N26)</f>
        <v>-2.0618580582604347</v>
      </c>
      <c r="BE26" s="55">
        <f>SUM(O26:R26)</f>
        <v>-3.1350214419557774</v>
      </c>
      <c r="BF26" s="55">
        <f>SUM(S26:V26)</f>
        <v>-2.0526964190755552</v>
      </c>
      <c r="BG26" s="56">
        <f>SUM(W26:Z26)</f>
        <v>-1.0856603232776378</v>
      </c>
      <c r="BH26" s="56">
        <f>SUM(AA26:AD26)</f>
        <v>4.9047744259716417</v>
      </c>
      <c r="BI26" s="130">
        <f>SUM(AE26:AH26)</f>
        <v>10.625408459440578</v>
      </c>
      <c r="BJ26" s="130">
        <f>SUM(AI26:AL26)</f>
        <v>22.58319660153737</v>
      </c>
      <c r="BK26" s="297">
        <f>SUM(AM26:AP26)</f>
        <v>43.395773108119684</v>
      </c>
      <c r="BL26" s="297">
        <f>SUM(AQ26:AT26)</f>
        <v>64.552212351399604</v>
      </c>
      <c r="BM26" s="297">
        <f>SUM(AU26:AX26)</f>
        <v>81.331926662147438</v>
      </c>
    </row>
    <row r="27" spans="2:65">
      <c r="B27" s="127" t="s">
        <v>202</v>
      </c>
      <c r="C27" s="55">
        <f t="shared" ref="C27:T27" si="122">C25/C34</f>
        <v>-6.3073472388888899E-2</v>
      </c>
      <c r="D27" s="55">
        <f t="shared" si="122"/>
        <v>-2.2483143805555557E-2</v>
      </c>
      <c r="E27" s="55">
        <f t="shared" si="122"/>
        <v>-1.541721308166667</v>
      </c>
      <c r="F27" s="55">
        <f t="shared" si="122"/>
        <v>-1.6476827810277779</v>
      </c>
      <c r="G27" s="55">
        <f t="shared" si="122"/>
        <v>-0.30099329066666669</v>
      </c>
      <c r="H27" s="55">
        <f t="shared" si="122"/>
        <v>-0.25972769994444445</v>
      </c>
      <c r="I27" s="55">
        <f t="shared" si="122"/>
        <v>-0.2690643769807548</v>
      </c>
      <c r="J27" s="55">
        <f t="shared" si="122"/>
        <v>-0.31241468960259933</v>
      </c>
      <c r="K27" s="55">
        <f t="shared" si="122"/>
        <v>-0.51385262046988245</v>
      </c>
      <c r="L27" s="55">
        <f t="shared" si="122"/>
        <v>-0.4649104979005248</v>
      </c>
      <c r="M27" s="55">
        <f t="shared" si="122"/>
        <v>-0.59448975921019742</v>
      </c>
      <c r="N27" s="55">
        <f t="shared" si="122"/>
        <v>-0.48860518067983</v>
      </c>
      <c r="O27" s="55">
        <f t="shared" si="122"/>
        <v>-0.71699855252296774</v>
      </c>
      <c r="P27" s="55">
        <f t="shared" si="122"/>
        <v>-0.83586217921425798</v>
      </c>
      <c r="Q27" s="55">
        <f t="shared" si="122"/>
        <v>-0.80428460993129869</v>
      </c>
      <c r="R27" s="55">
        <f t="shared" si="122"/>
        <v>-0.77787610028725274</v>
      </c>
      <c r="S27" s="55">
        <f t="shared" si="122"/>
        <v>-0.6362849534317172</v>
      </c>
      <c r="T27" s="55">
        <f t="shared" si="122"/>
        <v>-0.69563160201574548</v>
      </c>
      <c r="U27" s="55">
        <f>U25/U34</f>
        <v>-0.63108256893224923</v>
      </c>
      <c r="V27" s="55">
        <f>V25/V34</f>
        <v>-8.9697294695843199E-2</v>
      </c>
      <c r="W27" s="55">
        <f>W25/W34</f>
        <v>-0.54400331076421371</v>
      </c>
      <c r="X27" s="55">
        <f>X25/X34</f>
        <v>-0.72812694802312683</v>
      </c>
      <c r="Y27" s="55">
        <f>Y25/Y34</f>
        <v>-0.4654609549219581</v>
      </c>
      <c r="Z27" s="55">
        <f t="shared" ref="Z27:AA27" si="123">Z25/Z34</f>
        <v>0.65193089043166108</v>
      </c>
      <c r="AA27" s="55">
        <f t="shared" si="123"/>
        <v>0.85150195426351161</v>
      </c>
      <c r="AB27" s="55">
        <f t="shared" ref="AB27" si="124">AB25/AB34</f>
        <v>1.631688686582369</v>
      </c>
      <c r="AC27" s="55">
        <f t="shared" ref="AC27:AD27" si="125">AC25/AC34</f>
        <v>1.3435691265595133</v>
      </c>
      <c r="AD27" s="55">
        <f t="shared" si="125"/>
        <v>1.0780146585662473</v>
      </c>
      <c r="AE27" s="55">
        <f t="shared" ref="AE27:AL27" si="126">AE25/AE34</f>
        <v>2.4046629471460901</v>
      </c>
      <c r="AF27" s="55">
        <f t="shared" si="126"/>
        <v>2.0641666239464156</v>
      </c>
      <c r="AG27" s="55">
        <f t="shared" si="126"/>
        <v>2.8135771082299912</v>
      </c>
      <c r="AH27" s="55">
        <f t="shared" si="126"/>
        <v>3.3430017801180814</v>
      </c>
      <c r="AI27" s="55">
        <f t="shared" si="126"/>
        <v>3.5142499398585092</v>
      </c>
      <c r="AJ27" s="55">
        <f t="shared" si="126"/>
        <v>4.505976976496556</v>
      </c>
      <c r="AK27" s="55">
        <f t="shared" si="126"/>
        <v>5.9881857441127897</v>
      </c>
      <c r="AL27" s="55">
        <f t="shared" si="126"/>
        <v>8.5747839410695157</v>
      </c>
      <c r="AM27" s="55">
        <f t="shared" ref="AM27:AP27" si="127">AM25/AM34</f>
        <v>11.114043146606626</v>
      </c>
      <c r="AN27" s="55">
        <f t="shared" si="127"/>
        <v>10.400221334826886</v>
      </c>
      <c r="AO27" s="55">
        <f t="shared" si="127"/>
        <v>10.294591000607578</v>
      </c>
      <c r="AP27" s="55">
        <f t="shared" si="127"/>
        <v>11.586917626078591</v>
      </c>
      <c r="AQ27" s="55">
        <f t="shared" ref="AQ27:AT27" si="128">AQ25/AQ34</f>
        <v>17.016521082221725</v>
      </c>
      <c r="AR27" s="55">
        <f t="shared" si="128"/>
        <v>16.155636498900435</v>
      </c>
      <c r="AS27" s="55">
        <f t="shared" si="128"/>
        <v>15.245912552589594</v>
      </c>
      <c r="AT27" s="55">
        <f t="shared" si="128"/>
        <v>16.134142217687849</v>
      </c>
      <c r="AU27" s="55">
        <f t="shared" ref="AU27:AX27" si="129">AU25/AU34</f>
        <v>20.198969062777312</v>
      </c>
      <c r="AV27" s="55">
        <f t="shared" si="129"/>
        <v>20.556372755818803</v>
      </c>
      <c r="AW27" s="55">
        <f t="shared" si="129"/>
        <v>19.60645782284837</v>
      </c>
      <c r="AX27" s="55">
        <f t="shared" si="129"/>
        <v>20.970127020702957</v>
      </c>
      <c r="AZ27" s="55"/>
      <c r="BA27" s="55"/>
      <c r="BB27" s="56">
        <f>SUM(C27:F27)</f>
        <v>-3.2749607053888896</v>
      </c>
      <c r="BC27" s="55">
        <f>SUM(G27:J27)</f>
        <v>-1.1422000571944653</v>
      </c>
      <c r="BD27" s="56">
        <f>SUM(K27:N27)</f>
        <v>-2.0618580582604347</v>
      </c>
      <c r="BE27" s="55">
        <f>SUM(O27:R27)</f>
        <v>-3.1350214419557774</v>
      </c>
      <c r="BF27" s="55">
        <f>SUM(S27:V27)</f>
        <v>-2.0526964190755552</v>
      </c>
      <c r="BG27" s="56">
        <f>SUM(W27:Z27)</f>
        <v>-1.0856603232776378</v>
      </c>
      <c r="BH27" s="56">
        <f>SUM(AA27:AD27)</f>
        <v>4.9047744259716417</v>
      </c>
      <c r="BI27" s="130">
        <f>SUM(AE27:AH27)</f>
        <v>10.625408459440578</v>
      </c>
      <c r="BJ27" s="130">
        <f>SUM(AI27:AL27)</f>
        <v>22.58319660153737</v>
      </c>
      <c r="BK27" s="297">
        <f>SUM(AM27:AP27)</f>
        <v>43.395773108119684</v>
      </c>
      <c r="BL27" s="297">
        <f>SUM(AQ27:AT27)</f>
        <v>64.552212351399604</v>
      </c>
      <c r="BM27" s="297">
        <f>SUM(AU27:AX27)</f>
        <v>81.331926662147438</v>
      </c>
    </row>
    <row r="28" spans="2:65"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AZ28"/>
      <c r="BA28"/>
      <c r="BB28" s="99"/>
      <c r="BD28" s="60"/>
    </row>
    <row r="29" spans="2:65">
      <c r="B29" s="127" t="s">
        <v>203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AA29" s="132"/>
      <c r="AB29" s="132"/>
      <c r="AZ29"/>
      <c r="BA29"/>
      <c r="BB29" s="143">
        <f>Annual!L172/1000000</f>
        <v>0</v>
      </c>
      <c r="BC29" s="143">
        <f>Annual!M172/1000000</f>
        <v>0</v>
      </c>
      <c r="BD29" s="143">
        <f>Annual!N172/1000000</f>
        <v>0</v>
      </c>
      <c r="BE29" s="143">
        <f>Annual!O172/1000000</f>
        <v>0</v>
      </c>
      <c r="BF29" s="143">
        <f>Annual!P172/1000000</f>
        <v>0</v>
      </c>
      <c r="BG29" s="144">
        <v>0</v>
      </c>
      <c r="BH29" s="329">
        <v>632.47285499999998</v>
      </c>
      <c r="BI29" s="144">
        <f t="shared" ref="BI29:BM29" si="130">BI25*BI31</f>
        <v>1897.8468937099203</v>
      </c>
      <c r="BJ29" s="144">
        <f t="shared" si="130"/>
        <v>4387.0870919719828</v>
      </c>
      <c r="BK29" s="144">
        <f t="shared" si="130"/>
        <v>8374.3148021241086</v>
      </c>
      <c r="BL29" s="144">
        <f t="shared" si="130"/>
        <v>12456.986215162922</v>
      </c>
      <c r="BM29" s="144">
        <f t="shared" si="130"/>
        <v>15695.057572431066</v>
      </c>
    </row>
    <row r="30" spans="2:65">
      <c r="B30" s="127" t="s">
        <v>204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R30" s="132"/>
      <c r="S30" s="132"/>
      <c r="AA30" s="132"/>
      <c r="AB30" s="132"/>
      <c r="AZ30" s="55"/>
      <c r="BA30" s="55"/>
      <c r="BB30" s="55">
        <f>BB29/BB34</f>
        <v>0</v>
      </c>
      <c r="BC30" s="56">
        <f t="shared" ref="BC30:BH30" si="131">BC29/BC34</f>
        <v>0</v>
      </c>
      <c r="BD30" s="56">
        <f>BD29/BD34</f>
        <v>0</v>
      </c>
      <c r="BE30" s="56">
        <f>BE29/BE34</f>
        <v>0</v>
      </c>
      <c r="BF30" s="56">
        <f>BF29/BF34</f>
        <v>0</v>
      </c>
      <c r="BG30" s="56">
        <f t="shared" si="131"/>
        <v>0</v>
      </c>
      <c r="BH30" s="328">
        <f t="shared" si="131"/>
        <v>1.5064637707435484</v>
      </c>
      <c r="BI30" s="56">
        <f>BI29/BI34</f>
        <v>3.2635125498821056</v>
      </c>
      <c r="BJ30" s="56">
        <f>BJ29/BJ34</f>
        <v>6.9362552796819648</v>
      </c>
      <c r="BK30" s="56">
        <f>BK29/BK34</f>
        <v>13.328678204775699</v>
      </c>
      <c r="BL30" s="56">
        <f>BL29/BL34</f>
        <v>19.826715926790712</v>
      </c>
      <c r="BM30" s="56">
        <f>BM29/BM34</f>
        <v>24.980476221803883</v>
      </c>
    </row>
    <row r="31" spans="2:65">
      <c r="B31" s="127" t="s">
        <v>205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AA31" s="132"/>
      <c r="AB31" s="132"/>
      <c r="AZ31"/>
      <c r="BA31"/>
      <c r="BB31" s="57">
        <f t="shared" ref="BB31:BH31" si="132">BB29/BB25</f>
        <v>0</v>
      </c>
      <c r="BC31" s="57">
        <f t="shared" si="132"/>
        <v>0</v>
      </c>
      <c r="BD31" s="57">
        <f t="shared" si="132"/>
        <v>0</v>
      </c>
      <c r="BE31" s="57">
        <f t="shared" si="132"/>
        <v>0</v>
      </c>
      <c r="BF31" s="57">
        <f t="shared" si="132"/>
        <v>0</v>
      </c>
      <c r="BG31" s="57">
        <f t="shared" si="132"/>
        <v>0</v>
      </c>
      <c r="BH31" s="57">
        <f t="shared" si="132"/>
        <v>0.30714231479567305</v>
      </c>
      <c r="BI31" s="58">
        <f t="shared" ref="BI31:BM31" si="133">BH31</f>
        <v>0.30714231479567305</v>
      </c>
      <c r="BJ31" s="58">
        <f t="shared" si="133"/>
        <v>0.30714231479567305</v>
      </c>
      <c r="BK31" s="58">
        <f t="shared" si="133"/>
        <v>0.30714231479567305</v>
      </c>
      <c r="BL31" s="58">
        <f t="shared" si="133"/>
        <v>0.30714231479567305</v>
      </c>
      <c r="BM31" s="58">
        <f t="shared" si="133"/>
        <v>0.30714231479567305</v>
      </c>
    </row>
    <row r="32" spans="2:65" customFormat="1"/>
    <row r="33" spans="2:65">
      <c r="B33" s="127" t="s">
        <v>206</v>
      </c>
      <c r="C33" s="45">
        <f>Quarter!AH75/10^6</f>
        <v>360</v>
      </c>
      <c r="D33" s="45">
        <f>Quarter!AI75/10^6</f>
        <v>360</v>
      </c>
      <c r="E33" s="45">
        <f>Quarter!AJ75/10^6</f>
        <v>360</v>
      </c>
      <c r="F33" s="45">
        <f>Quarter!AK75/10^6</f>
        <v>360</v>
      </c>
      <c r="G33" s="45">
        <f>Quarter!AL75/10^6</f>
        <v>360</v>
      </c>
      <c r="H33" s="45">
        <f>Quarter!AM75/10^6</f>
        <v>360</v>
      </c>
      <c r="I33" s="45">
        <f>Quarter!AN75/10^6</f>
        <v>400.1</v>
      </c>
      <c r="J33" s="45">
        <f>Quarter!AO75/10^6</f>
        <v>400.1</v>
      </c>
      <c r="K33" s="45">
        <f>Quarter!AP75/10^6</f>
        <v>400.1</v>
      </c>
      <c r="L33" s="45">
        <f>Quarter!AQ75/10^6</f>
        <v>400.1</v>
      </c>
      <c r="M33" s="45">
        <f>Quarter!AR75/10^6</f>
        <v>400.1</v>
      </c>
      <c r="N33" s="45">
        <f>Quarter!AS75/10^6</f>
        <v>400.1</v>
      </c>
      <c r="O33" s="45">
        <f>Quarter!AT75/10^6</f>
        <v>400.81464999999997</v>
      </c>
      <c r="P33" s="45">
        <f>Quarter!AU75/10^6</f>
        <v>400.81464999999997</v>
      </c>
      <c r="Q33" s="45">
        <f>Quarter!AV75/10^6</f>
        <v>400.81464999999997</v>
      </c>
      <c r="R33" s="45">
        <f>Quarter!AW75/10^6</f>
        <v>400.81464999999997</v>
      </c>
      <c r="S33" s="45">
        <f>Quarter!AX75/10^6</f>
        <v>400.81464999999997</v>
      </c>
      <c r="T33" s="45">
        <f>Quarter!AY75/10^6</f>
        <v>416.59445099999999</v>
      </c>
      <c r="U33" s="45">
        <f>Quarter!AZ75/10^6</f>
        <v>416.59445099999999</v>
      </c>
      <c r="V33" s="45">
        <f>Quarter!BA75/10^6</f>
        <v>416.59445099999999</v>
      </c>
      <c r="W33" s="45">
        <f>Quarter!BB75/10^6</f>
        <v>416.59445099999999</v>
      </c>
      <c r="X33" s="45">
        <f>Quarter!BC75/10^6</f>
        <v>416.59445099999999</v>
      </c>
      <c r="Y33" s="45">
        <f>Quarter!BD75/10^6</f>
        <v>417.45675299999999</v>
      </c>
      <c r="Z33" s="45">
        <f>Quarter!BE75/10^6</f>
        <v>417.45675299999999</v>
      </c>
      <c r="AA33" s="45">
        <f>Quarter!BF75/10^6</f>
        <v>417.45675299999999</v>
      </c>
      <c r="AB33" s="45">
        <v>418.35022400000003</v>
      </c>
      <c r="AC33" s="45">
        <v>421.68517000000003</v>
      </c>
      <c r="AD33" s="45">
        <v>421.68517000000003</v>
      </c>
      <c r="AE33" s="45">
        <v>421.68517000000003</v>
      </c>
      <c r="AF33" s="45">
        <f>AF34</f>
        <v>628.29296899999997</v>
      </c>
      <c r="AG33" s="73">
        <f t="shared" ref="AG33:AH33" si="134">AF33</f>
        <v>628.29296899999997</v>
      </c>
      <c r="AH33" s="73">
        <f t="shared" si="134"/>
        <v>628.29296899999997</v>
      </c>
      <c r="AI33" s="73">
        <f t="shared" ref="AI33:AL34" si="135">AH33</f>
        <v>628.29296899999997</v>
      </c>
      <c r="AJ33" s="73">
        <f t="shared" si="135"/>
        <v>628.29296899999997</v>
      </c>
      <c r="AK33" s="73">
        <f t="shared" si="135"/>
        <v>628.29296899999997</v>
      </c>
      <c r="AL33" s="73">
        <f t="shared" si="135"/>
        <v>628.29296899999997</v>
      </c>
      <c r="AM33" s="73">
        <f t="shared" ref="AM33:AM34" si="136">AL33</f>
        <v>628.29296899999997</v>
      </c>
      <c r="AN33" s="73">
        <f t="shared" ref="AN33:AN34" si="137">AM33</f>
        <v>628.29296899999997</v>
      </c>
      <c r="AO33" s="73">
        <f t="shared" ref="AO33:AO34" si="138">AN33</f>
        <v>628.29296899999997</v>
      </c>
      <c r="AP33" s="73">
        <f t="shared" ref="AP33:AP34" si="139">AO33</f>
        <v>628.29296899999997</v>
      </c>
      <c r="AQ33" s="73">
        <f t="shared" ref="AQ33:AQ34" si="140">AP33</f>
        <v>628.29296899999997</v>
      </c>
      <c r="AR33" s="73">
        <f t="shared" ref="AR33:AR34" si="141">AQ33</f>
        <v>628.29296899999997</v>
      </c>
      <c r="AS33" s="73">
        <f t="shared" ref="AS33:AS34" si="142">AR33</f>
        <v>628.29296899999997</v>
      </c>
      <c r="AT33" s="73">
        <f t="shared" ref="AT33:AT34" si="143">AS33</f>
        <v>628.29296899999997</v>
      </c>
      <c r="AU33" s="73">
        <f t="shared" ref="AU33:AU34" si="144">AT33</f>
        <v>628.29296899999997</v>
      </c>
      <c r="AV33" s="73">
        <f t="shared" ref="AV33:AV34" si="145">AU33</f>
        <v>628.29296899999997</v>
      </c>
      <c r="AW33" s="73">
        <f t="shared" ref="AW33:AW34" si="146">AV33</f>
        <v>628.29296899999997</v>
      </c>
      <c r="AX33" s="73">
        <f t="shared" ref="AX33:AX34" si="147">AW33</f>
        <v>628.29296899999997</v>
      </c>
      <c r="AZ33" s="45">
        <f>Annual!J136/10^6</f>
        <v>1.0046504999999999</v>
      </c>
      <c r="BA33" s="45">
        <f>Annual!K136/10^6</f>
        <v>1.1280288000000001</v>
      </c>
      <c r="BB33" s="53">
        <f t="shared" ref="BB33:BJ33" si="148">BB25/BB26</f>
        <v>360</v>
      </c>
      <c r="BC33" s="53">
        <f t="shared" si="148"/>
        <v>380.41438399790121</v>
      </c>
      <c r="BD33" s="53">
        <f>BD25/BD26</f>
        <v>400.10000000000019</v>
      </c>
      <c r="BE33" s="53">
        <f t="shared" si="148"/>
        <v>400.81464999999992</v>
      </c>
      <c r="BF33" s="53">
        <f t="shared" si="148"/>
        <v>411.70310425669123</v>
      </c>
      <c r="BG33" s="53">
        <f>BG25/BG26</f>
        <v>416.44634445610012</v>
      </c>
      <c r="BH33" s="53">
        <f t="shared" si="148"/>
        <v>419.83940621939354</v>
      </c>
      <c r="BI33" s="53">
        <f t="shared" si="148"/>
        <v>581.53503769381246</v>
      </c>
      <c r="BJ33" s="53">
        <f t="shared" si="148"/>
        <v>632.48639432618108</v>
      </c>
      <c r="BK33" s="53">
        <f t="shared" ref="BK33:BL33" si="149">BK25/BK26</f>
        <v>628.29296899999963</v>
      </c>
      <c r="BL33" s="53">
        <f t="shared" si="149"/>
        <v>628.29296899999997</v>
      </c>
      <c r="BM33" s="53">
        <f t="shared" ref="BM33" si="150">BM25/BM26</f>
        <v>628.29296900000008</v>
      </c>
    </row>
    <row r="34" spans="2:65">
      <c r="B34" s="127" t="s">
        <v>207</v>
      </c>
      <c r="C34" s="45">
        <f t="shared" ref="C34:M34" si="151">C33</f>
        <v>360</v>
      </c>
      <c r="D34" s="45">
        <f t="shared" si="151"/>
        <v>360</v>
      </c>
      <c r="E34" s="45">
        <f t="shared" si="151"/>
        <v>360</v>
      </c>
      <c r="F34" s="45">
        <f t="shared" si="151"/>
        <v>360</v>
      </c>
      <c r="G34" s="45">
        <f t="shared" si="151"/>
        <v>360</v>
      </c>
      <c r="H34" s="45">
        <f t="shared" si="151"/>
        <v>360</v>
      </c>
      <c r="I34" s="45">
        <f t="shared" si="151"/>
        <v>400.1</v>
      </c>
      <c r="J34" s="45">
        <f t="shared" si="151"/>
        <v>400.1</v>
      </c>
      <c r="K34" s="45">
        <f t="shared" si="151"/>
        <v>400.1</v>
      </c>
      <c r="L34" s="45">
        <f t="shared" si="151"/>
        <v>400.1</v>
      </c>
      <c r="M34" s="45">
        <f t="shared" si="151"/>
        <v>400.1</v>
      </c>
      <c r="N34" s="45">
        <f t="shared" ref="N34:T34" si="152">N33</f>
        <v>400.1</v>
      </c>
      <c r="O34" s="45">
        <f t="shared" si="152"/>
        <v>400.81464999999997</v>
      </c>
      <c r="P34" s="45">
        <f t="shared" si="152"/>
        <v>400.81464999999997</v>
      </c>
      <c r="Q34" s="45">
        <f t="shared" si="152"/>
        <v>400.81464999999997</v>
      </c>
      <c r="R34" s="45">
        <f t="shared" si="152"/>
        <v>400.81464999999997</v>
      </c>
      <c r="S34" s="45">
        <f t="shared" si="152"/>
        <v>400.81464999999997</v>
      </c>
      <c r="T34" s="45">
        <f t="shared" si="152"/>
        <v>416.59445099999999</v>
      </c>
      <c r="U34" s="45">
        <f t="shared" ref="U34:AA34" si="153">U33</f>
        <v>416.59445099999999</v>
      </c>
      <c r="V34" s="45">
        <f t="shared" si="153"/>
        <v>416.59445099999999</v>
      </c>
      <c r="W34" s="45">
        <f t="shared" si="153"/>
        <v>416.59445099999999</v>
      </c>
      <c r="X34" s="45">
        <f t="shared" si="153"/>
        <v>416.59445099999999</v>
      </c>
      <c r="Y34" s="45">
        <f t="shared" si="153"/>
        <v>417.45675299999999</v>
      </c>
      <c r="Z34" s="45">
        <f t="shared" si="153"/>
        <v>417.45675299999999</v>
      </c>
      <c r="AA34" s="45">
        <f t="shared" si="153"/>
        <v>417.45675299999999</v>
      </c>
      <c r="AB34" s="45">
        <f>AB33</f>
        <v>418.35022400000003</v>
      </c>
      <c r="AC34" s="45">
        <f>AC33</f>
        <v>421.68517000000003</v>
      </c>
      <c r="AD34" s="45">
        <f>AD33</f>
        <v>421.68517000000003</v>
      </c>
      <c r="AE34" s="45">
        <f>AE33</f>
        <v>421.68517000000003</v>
      </c>
      <c r="AF34" s="45">
        <v>628.29296899999997</v>
      </c>
      <c r="AG34" s="73">
        <f t="shared" ref="AG34:AH34" si="154">AF34</f>
        <v>628.29296899999997</v>
      </c>
      <c r="AH34" s="73">
        <f t="shared" si="154"/>
        <v>628.29296899999997</v>
      </c>
      <c r="AI34" s="73">
        <f t="shared" si="135"/>
        <v>628.29296899999997</v>
      </c>
      <c r="AJ34" s="73">
        <f t="shared" si="135"/>
        <v>628.29296899999997</v>
      </c>
      <c r="AK34" s="73">
        <f t="shared" si="135"/>
        <v>628.29296899999997</v>
      </c>
      <c r="AL34" s="73">
        <f t="shared" si="135"/>
        <v>628.29296899999997</v>
      </c>
      <c r="AM34" s="73">
        <f t="shared" si="136"/>
        <v>628.29296899999997</v>
      </c>
      <c r="AN34" s="73">
        <f t="shared" si="137"/>
        <v>628.29296899999997</v>
      </c>
      <c r="AO34" s="73">
        <f t="shared" si="138"/>
        <v>628.29296899999997</v>
      </c>
      <c r="AP34" s="73">
        <f t="shared" si="139"/>
        <v>628.29296899999997</v>
      </c>
      <c r="AQ34" s="73">
        <f t="shared" si="140"/>
        <v>628.29296899999997</v>
      </c>
      <c r="AR34" s="73">
        <f t="shared" si="141"/>
        <v>628.29296899999997</v>
      </c>
      <c r="AS34" s="73">
        <f t="shared" si="142"/>
        <v>628.29296899999997</v>
      </c>
      <c r="AT34" s="73">
        <f t="shared" si="143"/>
        <v>628.29296899999997</v>
      </c>
      <c r="AU34" s="73">
        <f t="shared" si="144"/>
        <v>628.29296899999997</v>
      </c>
      <c r="AV34" s="73">
        <f t="shared" si="145"/>
        <v>628.29296899999997</v>
      </c>
      <c r="AW34" s="73">
        <f t="shared" si="146"/>
        <v>628.29296899999997</v>
      </c>
      <c r="AX34" s="73">
        <f t="shared" si="147"/>
        <v>628.29296899999997</v>
      </c>
      <c r="AZ34" s="45">
        <f>AZ33</f>
        <v>1.0046504999999999</v>
      </c>
      <c r="BA34" s="45">
        <f>BA33</f>
        <v>1.1280288000000001</v>
      </c>
      <c r="BB34" s="53">
        <f t="shared" ref="BB34:BJ34" si="155">BB25/BB27</f>
        <v>360</v>
      </c>
      <c r="BC34" s="53">
        <f t="shared" si="155"/>
        <v>380.41438399790121</v>
      </c>
      <c r="BD34" s="53">
        <f t="shared" si="155"/>
        <v>400.10000000000019</v>
      </c>
      <c r="BE34" s="53">
        <f t="shared" si="155"/>
        <v>400.81464999999992</v>
      </c>
      <c r="BF34" s="53">
        <f t="shared" si="155"/>
        <v>411.70310425669123</v>
      </c>
      <c r="BG34" s="53">
        <f>BG25/BG27</f>
        <v>416.44634445610012</v>
      </c>
      <c r="BH34" s="53">
        <f t="shared" si="155"/>
        <v>419.83940621939354</v>
      </c>
      <c r="BI34" s="53">
        <f t="shared" si="155"/>
        <v>581.53503769381246</v>
      </c>
      <c r="BJ34" s="53">
        <f t="shared" si="155"/>
        <v>632.48639432618108</v>
      </c>
      <c r="BK34" s="53">
        <f t="shared" ref="BK34:BL34" si="156">BK25/BK27</f>
        <v>628.29296899999963</v>
      </c>
      <c r="BL34" s="53">
        <f t="shared" si="156"/>
        <v>628.29296899999997</v>
      </c>
      <c r="BM34" s="53">
        <f t="shared" ref="BM34" si="157">BM25/BM27</f>
        <v>628.29296900000008</v>
      </c>
    </row>
    <row r="36" spans="2:65">
      <c r="B36" s="127" t="s">
        <v>35</v>
      </c>
      <c r="C36" s="45">
        <f>Quarter!AH60/1000000</f>
        <v>4.3714620149999996</v>
      </c>
      <c r="D36" s="45">
        <f>Quarter!AI60/1000000</f>
        <v>4.3714620149999996</v>
      </c>
      <c r="E36" s="45">
        <f>Quarter!AJ60/1000000</f>
        <v>6.9326093950000001</v>
      </c>
      <c r="F36" s="45">
        <f>BB36-C36-D36-E36</f>
        <v>6.9326093950000036</v>
      </c>
      <c r="G36" s="45">
        <f>Quarter!AL60/1000000</f>
        <v>8.7865542349999988</v>
      </c>
      <c r="H36" s="45">
        <f>Quarter!AM60/1000000</f>
        <v>8.7865542349999988</v>
      </c>
      <c r="I36" s="45">
        <f>Quarter!AN60/1000000</f>
        <v>12.103558550000001</v>
      </c>
      <c r="J36" s="45">
        <f>BC36-G36-H36-I36</f>
        <v>12.103558550000004</v>
      </c>
      <c r="K36" s="45">
        <f>Quarter!AP60/1000000</f>
        <v>14.269082755000001</v>
      </c>
      <c r="L36" s="45">
        <f>Quarter!AQ60/1000000</f>
        <v>14.269082755000001</v>
      </c>
      <c r="M36" s="45">
        <f>Quarter!AR60/1000000</f>
        <v>18.11519539</v>
      </c>
      <c r="N36" s="45">
        <f>BD36-K36-L36-M36</f>
        <v>18.115195389999993</v>
      </c>
      <c r="O36" s="45">
        <f>Quarter!AT60/1000000</f>
        <v>25.074080149999997</v>
      </c>
      <c r="P36" s="45">
        <f>Quarter!AU60/1000000</f>
        <v>25.074080149999997</v>
      </c>
      <c r="Q36" s="45">
        <f>Quarter!AV60/1000000</f>
        <v>25.534311925000004</v>
      </c>
      <c r="R36" s="45">
        <f>Quarter!AW60/1000000</f>
        <v>25.534311925000004</v>
      </c>
      <c r="S36" s="45">
        <f>Quarter!AX60/1000000</f>
        <v>25.437835255</v>
      </c>
      <c r="T36" s="45">
        <f>Quarter!AY60/1000000</f>
        <v>25.437835255</v>
      </c>
      <c r="U36" s="45">
        <f>(97.85886286-T36-S36)/2</f>
        <v>23.491596175000005</v>
      </c>
      <c r="V36" s="45">
        <f>U36</f>
        <v>23.491596175000005</v>
      </c>
      <c r="W36" s="45">
        <f>87.57897179/4</f>
        <v>21.894742947499999</v>
      </c>
      <c r="X36" s="45">
        <f>87.57897179/4</f>
        <v>21.894742947499999</v>
      </c>
      <c r="Y36" s="45">
        <f>87.57897179/4</f>
        <v>21.894742947499999</v>
      </c>
      <c r="Z36" s="45">
        <f>87.57897179/4</f>
        <v>21.894742947499999</v>
      </c>
      <c r="AA36" s="93">
        <f>116.70984124/4</f>
        <v>29.177460310000001</v>
      </c>
      <c r="AB36" s="93">
        <f t="shared" ref="AB36:AD37" si="158">AA36</f>
        <v>29.177460310000001</v>
      </c>
      <c r="AC36" s="93">
        <f t="shared" si="158"/>
        <v>29.177460310000001</v>
      </c>
      <c r="AD36" s="93">
        <f t="shared" si="158"/>
        <v>29.177460310000001</v>
      </c>
      <c r="AE36" s="93">
        <f>80.45457238/2</f>
        <v>40.227286190000001</v>
      </c>
      <c r="AF36" s="93">
        <f>AE36</f>
        <v>40.227286190000001</v>
      </c>
      <c r="AG36" s="141">
        <f>AF36</f>
        <v>40.227286190000001</v>
      </c>
      <c r="AH36" s="132">
        <f>BI36-SUM(AE36:AG36)</f>
        <v>39.578952281599982</v>
      </c>
      <c r="AI36" s="162">
        <f>BJ36/4</f>
        <v>41.239322977536908</v>
      </c>
      <c r="AJ36" s="141">
        <f>AI36</f>
        <v>41.239322977536908</v>
      </c>
      <c r="AK36" s="141">
        <f>AJ36</f>
        <v>41.239322977536908</v>
      </c>
      <c r="AL36" s="132">
        <f>BJ36-SUM(AI36:AK36)</f>
        <v>41.239322977536915</v>
      </c>
      <c r="AM36" s="162">
        <f>BK36/4</f>
        <v>42.340967685290764</v>
      </c>
      <c r="AN36" s="141">
        <f>AM36</f>
        <v>42.340967685290764</v>
      </c>
      <c r="AO36" s="141">
        <f>AN36</f>
        <v>42.340967685290764</v>
      </c>
      <c r="AP36" s="132">
        <f>BK36-SUM(AM36:AO36)</f>
        <v>42.340967685290764</v>
      </c>
      <c r="AQ36" s="162">
        <f>BL36/4</f>
        <v>43.657726088673471</v>
      </c>
      <c r="AR36" s="141">
        <f>AQ36</f>
        <v>43.657726088673471</v>
      </c>
      <c r="AS36" s="141">
        <f>AR36</f>
        <v>43.657726088673471</v>
      </c>
      <c r="AT36" s="132">
        <f>BL36-SUM(AQ36:AS36)</f>
        <v>43.657726088673485</v>
      </c>
      <c r="AU36" s="162">
        <f>BM36/4</f>
        <v>45.404891554034634</v>
      </c>
      <c r="AV36" s="141">
        <f>AU36</f>
        <v>45.404891554034634</v>
      </c>
      <c r="AW36" s="141">
        <f>AV36</f>
        <v>45.404891554034634</v>
      </c>
      <c r="AX36" s="132">
        <f>BM36-SUM(AU36:AW36)</f>
        <v>45.404891554034634</v>
      </c>
      <c r="AZ36" s="45">
        <f>Annual!J50/10^6</f>
        <v>0.40523909999999996</v>
      </c>
      <c r="BA36" s="45">
        <f>Annual!K50/10^6</f>
        <v>6.6450089700000001</v>
      </c>
      <c r="BB36" s="45">
        <f>Annual!L50/10^6</f>
        <v>22.608142820000001</v>
      </c>
      <c r="BC36" s="45">
        <f>Annual!M50/10^6</f>
        <v>41.780225569999999</v>
      </c>
      <c r="BD36" s="45">
        <f>Annual!N50/10^6</f>
        <v>64.768556289999992</v>
      </c>
      <c r="BE36" s="45">
        <f>Annual!O50/10^6</f>
        <v>101.21678415000001</v>
      </c>
      <c r="BF36" s="45">
        <f>SUM(S36:V36)</f>
        <v>97.858862860000016</v>
      </c>
      <c r="BG36" s="45">
        <f>SUM(W36:Z36)</f>
        <v>87.578971789999997</v>
      </c>
      <c r="BH36" s="45">
        <f>SUM(AA36:AD36)</f>
        <v>116.70984124</v>
      </c>
      <c r="BI36" s="53">
        <f>BS!P48</f>
        <v>160.26081085159998</v>
      </c>
      <c r="BJ36" s="53">
        <f>BS!Q48</f>
        <v>164.95729191014763</v>
      </c>
      <c r="BK36" s="53">
        <f>BS!R48</f>
        <v>169.36387074116305</v>
      </c>
      <c r="BL36" s="53">
        <f>BS!S48</f>
        <v>174.63090435469388</v>
      </c>
      <c r="BM36" s="53">
        <f>BS!T48</f>
        <v>181.61956621613854</v>
      </c>
    </row>
    <row r="37" spans="2:65">
      <c r="B37" s="127" t="s">
        <v>36</v>
      </c>
      <c r="C37" s="45">
        <f>Quarter!AH61/1000000</f>
        <v>4.2679320350000003</v>
      </c>
      <c r="D37" s="45">
        <f>Quarter!AI61/1000000</f>
        <v>4.2679320350000003</v>
      </c>
      <c r="E37" s="45">
        <f>Quarter!AJ61/1000000</f>
        <v>9.5145596950000009</v>
      </c>
      <c r="F37" s="45">
        <f>BB37-C37-D37-E37</f>
        <v>9.5145596949999973</v>
      </c>
      <c r="G37" s="45">
        <f>Quarter!AL61/1000000</f>
        <v>14.414628225</v>
      </c>
      <c r="H37" s="45">
        <f>Quarter!AM61/1000000</f>
        <v>14.414628225</v>
      </c>
      <c r="I37" s="45">
        <f>Quarter!AN61/1000000</f>
        <v>25.230488304999998</v>
      </c>
      <c r="J37" s="45">
        <f>BC37-G37-H37-I37</f>
        <v>25.230488305000005</v>
      </c>
      <c r="K37" s="45">
        <f>Quarter!AP61/1000000</f>
        <v>29.123764850000001</v>
      </c>
      <c r="L37" s="45">
        <f>Quarter!AQ61/1000000</f>
        <v>29.123764850000001</v>
      </c>
      <c r="M37" s="45">
        <f>Quarter!AR61/1000000</f>
        <v>33.376979679999998</v>
      </c>
      <c r="N37" s="45">
        <f>BD37-K37-L37-M37</f>
        <v>33.376979679999998</v>
      </c>
      <c r="O37" s="45">
        <f>Quarter!AT61/1000000</f>
        <v>41.024939750000001</v>
      </c>
      <c r="P37" s="45">
        <f>Quarter!AU61/1000000</f>
        <v>41.024939750000001</v>
      </c>
      <c r="Q37" s="45">
        <f>Quarter!AV61/1000000</f>
        <v>50.894660375000001</v>
      </c>
      <c r="R37" s="45">
        <f>Quarter!AW61/1000000</f>
        <v>50.894660375000001</v>
      </c>
      <c r="S37" s="45">
        <f>Quarter!AX61/1000000</f>
        <v>39.148403954999999</v>
      </c>
      <c r="T37" s="45">
        <f>Quarter!AY61/1000000</f>
        <v>39.148403954999999</v>
      </c>
      <c r="U37" s="45">
        <f>(152.18484329-T37-S37)/2</f>
        <v>36.94401769000001</v>
      </c>
      <c r="V37" s="45">
        <f>U37</f>
        <v>36.94401769000001</v>
      </c>
      <c r="W37" s="45">
        <f>83.41574273/4</f>
        <v>20.853935682500001</v>
      </c>
      <c r="X37" s="45">
        <f t="shared" ref="X37:Y37" si="159">83.41574273/4</f>
        <v>20.853935682500001</v>
      </c>
      <c r="Y37" s="45">
        <f t="shared" si="159"/>
        <v>20.853935682500001</v>
      </c>
      <c r="Z37" s="45">
        <f>83.41574273/4</f>
        <v>20.853935682500001</v>
      </c>
      <c r="AA37" s="93">
        <f>128.04109594/4</f>
        <v>32.010273984999998</v>
      </c>
      <c r="AB37" s="93">
        <f t="shared" si="158"/>
        <v>32.010273984999998</v>
      </c>
      <c r="AC37" s="93">
        <f t="shared" si="158"/>
        <v>32.010273984999998</v>
      </c>
      <c r="AD37" s="93">
        <f t="shared" si="158"/>
        <v>32.010273984999998</v>
      </c>
      <c r="AE37" s="93">
        <f>79.32192882/2</f>
        <v>39.660964409999998</v>
      </c>
      <c r="AF37" s="93">
        <f>AE37</f>
        <v>39.660964409999998</v>
      </c>
      <c r="AG37" s="141">
        <f>AF37</f>
        <v>39.660964409999998</v>
      </c>
      <c r="AH37" s="132">
        <f>BI37-SUM(AE37:AG37)</f>
        <v>40.818962427599985</v>
      </c>
      <c r="AI37" s="75">
        <f>BJ37/4</f>
        <v>39.974282025320001</v>
      </c>
      <c r="AJ37" s="141">
        <f>AI37</f>
        <v>39.974282025320001</v>
      </c>
      <c r="AK37" s="141">
        <f>AJ37</f>
        <v>39.974282025320001</v>
      </c>
      <c r="AL37" s="132">
        <f>BJ37-SUM(AI37:AK37)</f>
        <v>39.974282025320008</v>
      </c>
      <c r="AM37" s="162">
        <f>BK37/4</f>
        <v>39.986491894603809</v>
      </c>
      <c r="AN37" s="141">
        <f>AM37</f>
        <v>39.986491894603809</v>
      </c>
      <c r="AO37" s="141">
        <f>AN37</f>
        <v>39.986491894603809</v>
      </c>
      <c r="AP37" s="132">
        <f>BK37-SUM(AM37:AO37)</f>
        <v>39.986491894603802</v>
      </c>
      <c r="AQ37" s="162">
        <f>BL37/4</f>
        <v>39.996033372380381</v>
      </c>
      <c r="AR37" s="141">
        <f>AQ37</f>
        <v>39.996033372380381</v>
      </c>
      <c r="AS37" s="141">
        <f>AR37</f>
        <v>39.996033372380381</v>
      </c>
      <c r="AT37" s="132">
        <f>BL37-SUM(AQ37:AS37)</f>
        <v>39.996033372380381</v>
      </c>
      <c r="AU37" s="162">
        <f>BM37/4</f>
        <v>40.084504156209647</v>
      </c>
      <c r="AV37" s="141">
        <f>AU37</f>
        <v>40.084504156209647</v>
      </c>
      <c r="AW37" s="141">
        <f>AV37</f>
        <v>40.084504156209647</v>
      </c>
      <c r="AX37" s="132">
        <f>BM37-SUM(AU37:AW37)</f>
        <v>40.084504156209647</v>
      </c>
      <c r="AZ37" s="45">
        <f>Annual!J51/10^6</f>
        <v>8.0367789999999995E-2</v>
      </c>
      <c r="BA37" s="45">
        <f>Annual!K51/10^6</f>
        <v>9.1583940300000002</v>
      </c>
      <c r="BB37" s="45">
        <f>Annual!L51/10^6</f>
        <v>27.564983460000001</v>
      </c>
      <c r="BC37" s="45">
        <f>Annual!M51/10^6</f>
        <v>79.290233060000006</v>
      </c>
      <c r="BD37" s="45">
        <f>Annual!N51/10^6</f>
        <v>125.00148906</v>
      </c>
      <c r="BE37" s="45">
        <f>Annual!O51/10^6</f>
        <v>183.83920025</v>
      </c>
      <c r="BF37" s="45">
        <f>SUM(S37:V37)</f>
        <v>152.18484329</v>
      </c>
      <c r="BG37" s="45">
        <f>SUM(W37:Z37)</f>
        <v>83.415742730000005</v>
      </c>
      <c r="BH37" s="45">
        <f>SUM(AA37:AD37)</f>
        <v>128.04109593999999</v>
      </c>
      <c r="BI37" s="53">
        <f>BS!P55</f>
        <v>159.80185565759999</v>
      </c>
      <c r="BJ37" s="53">
        <f>BS!Q55</f>
        <v>159.89712810128</v>
      </c>
      <c r="BK37" s="53">
        <f>BS!R55</f>
        <v>159.94596757841524</v>
      </c>
      <c r="BL37" s="53">
        <f>BS!S55</f>
        <v>159.98413348952153</v>
      </c>
      <c r="BM37" s="53">
        <f>BS!T55</f>
        <v>160.33801662483859</v>
      </c>
    </row>
    <row r="38" spans="2:65">
      <c r="BJ38" s="60"/>
      <c r="BK38" s="60"/>
      <c r="BL38" s="60"/>
      <c r="BM38" s="60"/>
    </row>
    <row r="39" spans="2:65">
      <c r="B39" s="127" t="s">
        <v>40</v>
      </c>
      <c r="C39" s="48">
        <f t="shared" ref="C39:V39" si="160">C12+C36+C37</f>
        <v>-42.669429210000011</v>
      </c>
      <c r="D39" s="48">
        <f>D12+D36+D37</f>
        <v>-32.333535469999994</v>
      </c>
      <c r="E39" s="48">
        <f t="shared" si="160"/>
        <v>-574.68726248999997</v>
      </c>
      <c r="F39" s="48">
        <f t="shared" si="160"/>
        <v>-618.11122324000007</v>
      </c>
      <c r="G39" s="48">
        <f t="shared" si="160"/>
        <v>-125.42814897</v>
      </c>
      <c r="H39" s="48">
        <f t="shared" si="160"/>
        <v>-115.70668154999998</v>
      </c>
      <c r="I39" s="48">
        <f t="shared" si="160"/>
        <v>-132.98731430499998</v>
      </c>
      <c r="J39" s="48">
        <f t="shared" si="160"/>
        <v>-185.47115627500006</v>
      </c>
      <c r="K39" s="48">
        <f t="shared" si="160"/>
        <v>-223.438015855</v>
      </c>
      <c r="L39" s="48">
        <f t="shared" si="160"/>
        <v>-216.43033865500001</v>
      </c>
      <c r="M39" s="48">
        <f t="shared" si="160"/>
        <v>-314.37053506000001</v>
      </c>
      <c r="N39" s="48">
        <f t="shared" si="160"/>
        <v>-210.9692067199999</v>
      </c>
      <c r="O39" s="48">
        <f>O12+O36+O37</f>
        <v>-288.32251746999998</v>
      </c>
      <c r="P39" s="48">
        <f>P12+P36+P37</f>
        <v>-334.1581833300001</v>
      </c>
      <c r="Q39" s="48">
        <f t="shared" si="160"/>
        <v>-297.02191293999994</v>
      </c>
      <c r="R39" s="48">
        <f t="shared" si="160"/>
        <v>-221.69517568000009</v>
      </c>
      <c r="S39" s="48">
        <f t="shared" si="160"/>
        <v>-189.74560614999999</v>
      </c>
      <c r="T39" s="48">
        <f t="shared" si="160"/>
        <v>-248.76363367000005</v>
      </c>
      <c r="U39" s="48">
        <f t="shared" si="160"/>
        <v>-249.92599614499994</v>
      </c>
      <c r="V39" s="48">
        <f t="shared" si="160"/>
        <v>71.586235775000119</v>
      </c>
      <c r="W39" s="48">
        <f t="shared" ref="W39:Z39" si="161">W12+W36+W37</f>
        <v>-220.93795043999998</v>
      </c>
      <c r="X39" s="48">
        <f t="shared" si="161"/>
        <v>-309.11380945000008</v>
      </c>
      <c r="Y39" s="48">
        <f t="shared" si="161"/>
        <v>-210.53552789000003</v>
      </c>
      <c r="Z39" s="48">
        <f t="shared" si="161"/>
        <v>108.20968152999993</v>
      </c>
      <c r="AA39" s="48">
        <f>AA12+AA36+AA37</f>
        <v>351.07231449500011</v>
      </c>
      <c r="AB39" s="48">
        <f>AB12+AB36+AB37</f>
        <v>710.21970639500012</v>
      </c>
      <c r="AC39" s="48">
        <f>AC12+AC36+AC37</f>
        <v>629.70777355500002</v>
      </c>
      <c r="AD39" s="48">
        <f>AD12+AD36+AD37</f>
        <v>494.3107059350001</v>
      </c>
      <c r="AE39" s="48">
        <f t="shared" ref="AE39:AL39" si="162">AE12+AE36+AE37</f>
        <v>1241.0396846400001</v>
      </c>
      <c r="AF39" s="48">
        <f t="shared" si="162"/>
        <v>1349.4378452399994</v>
      </c>
      <c r="AG39" s="48">
        <f t="shared" si="162"/>
        <v>1901.6659938439529</v>
      </c>
      <c r="AH39" s="48">
        <f t="shared" si="162"/>
        <v>2251.9742677733857</v>
      </c>
      <c r="AI39" s="48">
        <f t="shared" si="162"/>
        <v>2512.9502892048481</v>
      </c>
      <c r="AJ39" s="48">
        <f t="shared" si="162"/>
        <v>3205.2782050791707</v>
      </c>
      <c r="AK39" s="48">
        <f>AK12+AK36+AK37</f>
        <v>4240.0130353940976</v>
      </c>
      <c r="AL39" s="48">
        <f t="shared" si="162"/>
        <v>6045.7257695896405</v>
      </c>
      <c r="AM39" s="48">
        <f t="shared" ref="AM39:AN39" si="163">AM12+AM36+AM37</f>
        <v>7995.7194026609568</v>
      </c>
      <c r="AN39" s="48">
        <f t="shared" si="163"/>
        <v>7486.0725555472609</v>
      </c>
      <c r="AO39" s="48">
        <f>AO12+AO36+AO37</f>
        <v>7410.6557415664529</v>
      </c>
      <c r="AP39" s="48">
        <f t="shared" ref="AP39:AR39" si="164">AP12+AP36+AP37</f>
        <v>8333.3372556970589</v>
      </c>
      <c r="AQ39" s="48">
        <f t="shared" si="164"/>
        <v>12493.596682849928</v>
      </c>
      <c r="AR39" s="48">
        <f t="shared" si="164"/>
        <v>11864.657460964741</v>
      </c>
      <c r="AS39" s="48">
        <f>AS12+AS36+AS37</f>
        <v>11200.037508408886</v>
      </c>
      <c r="AT39" s="48">
        <f t="shared" ref="AT39:AV39" si="165">AT12+AT36+AT37</f>
        <v>11848.954314732675</v>
      </c>
      <c r="AU39" s="48">
        <f t="shared" si="165"/>
        <v>15182.090316389409</v>
      </c>
      <c r="AV39" s="48">
        <f t="shared" si="165"/>
        <v>15449.416777618697</v>
      </c>
      <c r="AW39" s="48">
        <f>AW12+AW36+AW37</f>
        <v>14738.910975793186</v>
      </c>
      <c r="AX39" s="48">
        <f t="shared" ref="AX39" si="166">AX12+AX36+AX37</f>
        <v>15758.891653238314</v>
      </c>
      <c r="AZ39" s="48">
        <f t="shared" ref="AZ39:BF39" si="167">AZ12+AZ36+AZ37</f>
        <v>-393.80505032999997</v>
      </c>
      <c r="BA39" s="48">
        <f>BA12+BA36+BA37</f>
        <v>-158.80866028000003</v>
      </c>
      <c r="BB39" s="53">
        <f t="shared" si="167"/>
        <v>-1267.8014504100001</v>
      </c>
      <c r="BC39" s="53">
        <f t="shared" si="167"/>
        <v>-559.59330110000008</v>
      </c>
      <c r="BD39" s="53">
        <f>BD12+BD36+BD37</f>
        <v>-965.20809628999996</v>
      </c>
      <c r="BE39" s="53">
        <f t="shared" si="167"/>
        <v>-1141.1977894200002</v>
      </c>
      <c r="BF39" s="53">
        <f t="shared" si="167"/>
        <v>-616.84900018999986</v>
      </c>
      <c r="BG39" s="53">
        <f t="shared" ref="BG39:BM39" si="168">BG12+BG36+BG37</f>
        <v>-632.37760625000044</v>
      </c>
      <c r="BH39" s="53">
        <f t="shared" si="168"/>
        <v>2185.310500380001</v>
      </c>
      <c r="BI39" s="53">
        <f t="shared" si="168"/>
        <v>6744.1177914973387</v>
      </c>
      <c r="BJ39" s="53">
        <f t="shared" si="168"/>
        <v>16003.967299267772</v>
      </c>
      <c r="BK39" s="53">
        <f t="shared" si="168"/>
        <v>31225.784955471714</v>
      </c>
      <c r="BL39" s="53">
        <f t="shared" si="168"/>
        <v>47407.24596695623</v>
      </c>
      <c r="BM39" s="53">
        <f t="shared" si="168"/>
        <v>61129.309723039616</v>
      </c>
    </row>
    <row r="40" spans="2:65">
      <c r="B40" s="127" t="s">
        <v>208</v>
      </c>
      <c r="C40" s="48">
        <f t="shared" ref="C40:V40" si="169">C39-C36-C37</f>
        <v>-51.308823260000011</v>
      </c>
      <c r="D40" s="48">
        <f>D39-D36-D37</f>
        <v>-40.972929519999994</v>
      </c>
      <c r="E40" s="48">
        <f t="shared" si="169"/>
        <v>-591.13443157999995</v>
      </c>
      <c r="F40" s="48">
        <f t="shared" si="169"/>
        <v>-634.55839233000006</v>
      </c>
      <c r="G40" s="48">
        <f t="shared" si="169"/>
        <v>-148.62933143000001</v>
      </c>
      <c r="H40" s="48">
        <f t="shared" si="169"/>
        <v>-138.90786400999997</v>
      </c>
      <c r="I40" s="48">
        <f t="shared" si="169"/>
        <v>-170.32136115999998</v>
      </c>
      <c r="J40" s="48">
        <f t="shared" si="169"/>
        <v>-222.80520313000005</v>
      </c>
      <c r="K40" s="48">
        <f t="shared" si="169"/>
        <v>-266.83086345999999</v>
      </c>
      <c r="L40" s="48">
        <f t="shared" si="169"/>
        <v>-259.82318626</v>
      </c>
      <c r="M40" s="48">
        <f t="shared" si="169"/>
        <v>-365.86271012999998</v>
      </c>
      <c r="N40" s="48">
        <f t="shared" si="169"/>
        <v>-262.4613817899999</v>
      </c>
      <c r="O40" s="48">
        <f>O39-O36-O37</f>
        <v>-354.42153736999995</v>
      </c>
      <c r="P40" s="48">
        <f>P39-P36-P37</f>
        <v>-400.25720323000007</v>
      </c>
      <c r="Q40" s="48">
        <f t="shared" si="169"/>
        <v>-373.45088523999993</v>
      </c>
      <c r="R40" s="48">
        <f t="shared" si="169"/>
        <v>-298.12414798000009</v>
      </c>
      <c r="S40" s="48">
        <f t="shared" si="169"/>
        <v>-254.33184535999999</v>
      </c>
      <c r="T40" s="48">
        <f t="shared" si="169"/>
        <v>-313.34987288000002</v>
      </c>
      <c r="U40" s="48">
        <f t="shared" si="169"/>
        <v>-310.36161000999994</v>
      </c>
      <c r="V40" s="48">
        <f t="shared" si="169"/>
        <v>11.150621910000105</v>
      </c>
      <c r="W40" s="48">
        <f t="shared" ref="W40:AD40" si="170">W39-W36-W37</f>
        <v>-263.68662906999998</v>
      </c>
      <c r="X40" s="48">
        <f t="shared" si="170"/>
        <v>-351.86248808000005</v>
      </c>
      <c r="Y40" s="48">
        <f t="shared" si="170"/>
        <v>-253.28420652000003</v>
      </c>
      <c r="Z40" s="48">
        <f t="shared" si="170"/>
        <v>65.461002899999926</v>
      </c>
      <c r="AA40" s="48">
        <f t="shared" si="170"/>
        <v>289.88458020000007</v>
      </c>
      <c r="AB40" s="48">
        <f t="shared" ref="AB40" si="171">AB39-AB36-AB37</f>
        <v>649.03197210000008</v>
      </c>
      <c r="AC40" s="48">
        <f t="shared" si="170"/>
        <v>568.52003925999998</v>
      </c>
      <c r="AD40" s="48">
        <f t="shared" si="170"/>
        <v>433.12297164000006</v>
      </c>
      <c r="AE40" s="48">
        <f t="shared" ref="AE40:AL40" si="172">AE39-AE36-AE37</f>
        <v>1161.1514340400001</v>
      </c>
      <c r="AF40" s="48">
        <f t="shared" si="172"/>
        <v>1269.5495946399994</v>
      </c>
      <c r="AG40" s="48">
        <f t="shared" si="172"/>
        <v>1821.777743243953</v>
      </c>
      <c r="AH40" s="48">
        <f t="shared" si="172"/>
        <v>2171.5763530641857</v>
      </c>
      <c r="AI40" s="48">
        <f t="shared" si="172"/>
        <v>2431.736684201991</v>
      </c>
      <c r="AJ40" s="48">
        <f t="shared" si="172"/>
        <v>3124.0646000763136</v>
      </c>
      <c r="AK40" s="48">
        <f t="shared" si="172"/>
        <v>4158.799430391241</v>
      </c>
      <c r="AL40" s="48">
        <f t="shared" si="172"/>
        <v>5964.5121645867839</v>
      </c>
      <c r="AM40" s="48">
        <f t="shared" ref="AM40:AP40" si="173">AM39-AM36-AM37</f>
        <v>7913.391943081062</v>
      </c>
      <c r="AN40" s="48">
        <f t="shared" si="173"/>
        <v>7403.7450959673661</v>
      </c>
      <c r="AO40" s="48">
        <f t="shared" si="173"/>
        <v>7328.3282819865581</v>
      </c>
      <c r="AP40" s="48">
        <f t="shared" si="173"/>
        <v>8251.0097961171632</v>
      </c>
      <c r="AQ40" s="48">
        <f t="shared" ref="AQ40:AT40" si="174">AQ39-AQ36-AQ37</f>
        <v>12409.942923388873</v>
      </c>
      <c r="AR40" s="48">
        <f t="shared" si="174"/>
        <v>11781.003701503687</v>
      </c>
      <c r="AS40" s="48">
        <f t="shared" si="174"/>
        <v>11116.383748947832</v>
      </c>
      <c r="AT40" s="48">
        <f t="shared" si="174"/>
        <v>11765.30055527162</v>
      </c>
      <c r="AU40" s="48">
        <f t="shared" ref="AU40:AX40" si="175">AU39-AU36-AU37</f>
        <v>15096.600920679164</v>
      </c>
      <c r="AV40" s="48">
        <f t="shared" si="175"/>
        <v>15363.927381908452</v>
      </c>
      <c r="AW40" s="48">
        <f t="shared" si="175"/>
        <v>14653.421580082941</v>
      </c>
      <c r="AX40" s="48">
        <f t="shared" si="175"/>
        <v>15673.402257528069</v>
      </c>
      <c r="AZ40" s="48">
        <f t="shared" ref="AZ40:BF40" si="176">AZ39-AZ36-AZ37</f>
        <v>-394.29065722000001</v>
      </c>
      <c r="BA40" s="48">
        <f t="shared" si="176"/>
        <v>-174.61206328000003</v>
      </c>
      <c r="BB40" s="53">
        <f t="shared" si="176"/>
        <v>-1317.97457669</v>
      </c>
      <c r="BC40" s="53">
        <f t="shared" si="176"/>
        <v>-680.66375973000004</v>
      </c>
      <c r="BD40" s="53">
        <f>BD39-BD36-BD37</f>
        <v>-1154.9781416400001</v>
      </c>
      <c r="BE40" s="53">
        <f t="shared" si="176"/>
        <v>-1426.2537738200001</v>
      </c>
      <c r="BF40" s="53">
        <f t="shared" si="176"/>
        <v>-866.8927063399999</v>
      </c>
      <c r="BG40" s="53">
        <f t="shared" ref="BG40:BM40" si="177">BG39-BG36-BG37</f>
        <v>-803.37232077000044</v>
      </c>
      <c r="BH40" s="53">
        <f t="shared" si="177"/>
        <v>1940.5595632000009</v>
      </c>
      <c r="BI40" s="53">
        <f t="shared" si="177"/>
        <v>6424.0551249881391</v>
      </c>
      <c r="BJ40" s="53">
        <f t="shared" si="177"/>
        <v>15679.112879256343</v>
      </c>
      <c r="BK40" s="53">
        <f t="shared" si="177"/>
        <v>30896.475117152135</v>
      </c>
      <c r="BL40" s="53">
        <f t="shared" si="177"/>
        <v>47072.630929112012</v>
      </c>
      <c r="BM40" s="53">
        <f t="shared" si="177"/>
        <v>60787.352140198636</v>
      </c>
    </row>
    <row r="42" spans="2:65">
      <c r="B42" s="137" t="s">
        <v>152</v>
      </c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  <c r="BK42" s="137"/>
      <c r="BL42" s="137"/>
      <c r="BM42" s="137"/>
    </row>
    <row r="43" spans="2:65" s="139" customFormat="1">
      <c r="B43" s="139" t="s">
        <v>166</v>
      </c>
      <c r="C43" s="61">
        <f t="shared" ref="C43:V43" si="178">C6/C4</f>
        <v>0.97846470654998519</v>
      </c>
      <c r="D43" s="61">
        <f>D6/D4</f>
        <v>0.84124248324257112</v>
      </c>
      <c r="E43" s="61">
        <f t="shared" si="178"/>
        <v>0.88056619532465885</v>
      </c>
      <c r="F43" s="61">
        <f t="shared" si="178"/>
        <v>0.62197436114647864</v>
      </c>
      <c r="G43" s="61">
        <f t="shared" si="178"/>
        <v>0.6931547560114486</v>
      </c>
      <c r="H43" s="61">
        <f t="shared" si="178"/>
        <v>0.78900343690961905</v>
      </c>
      <c r="I43" s="61">
        <f t="shared" si="178"/>
        <v>0.48686106010875024</v>
      </c>
      <c r="J43" s="61">
        <f t="shared" si="178"/>
        <v>0.6573435611674554</v>
      </c>
      <c r="K43" s="61">
        <f t="shared" si="178"/>
        <v>0.44115099977867933</v>
      </c>
      <c r="L43" s="61">
        <f t="shared" si="178"/>
        <v>0.56111227247595974</v>
      </c>
      <c r="M43" s="61">
        <f t="shared" si="178"/>
        <v>0.47137180841105303</v>
      </c>
      <c r="N43" s="61">
        <f t="shared" si="178"/>
        <v>0.67588520565560184</v>
      </c>
      <c r="O43" s="61">
        <f t="shared" si="178"/>
        <v>0.565807987483393</v>
      </c>
      <c r="P43" s="61">
        <f t="shared" si="178"/>
        <v>0.53973932064149943</v>
      </c>
      <c r="Q43" s="61">
        <f t="shared" si="178"/>
        <v>0.64158426617724862</v>
      </c>
      <c r="R43" s="61">
        <f>R6/R4</f>
        <v>0.7008270369693711</v>
      </c>
      <c r="S43" s="61">
        <f>S6/S4</f>
        <v>0.76792102982950228</v>
      </c>
      <c r="T43" s="61">
        <f t="shared" si="178"/>
        <v>0.59454977189045954</v>
      </c>
      <c r="U43" s="61">
        <f>U6/U4</f>
        <v>0.66117626885861236</v>
      </c>
      <c r="V43" s="61">
        <f t="shared" si="178"/>
        <v>0.68979919987689742</v>
      </c>
      <c r="W43" s="61">
        <f>W6/W4</f>
        <v>0.57609859675066422</v>
      </c>
      <c r="X43" s="61">
        <f t="shared" ref="X43:AD43" si="179">X6/X4</f>
        <v>0.66075163338288445</v>
      </c>
      <c r="Y43" s="61">
        <f t="shared" si="179"/>
        <v>0.5120433730565519</v>
      </c>
      <c r="Z43" s="61">
        <f t="shared" ref="Z43" si="180">Z6/Z4</f>
        <v>0.56989009750114883</v>
      </c>
      <c r="AA43" s="61">
        <f t="shared" si="179"/>
        <v>0.55989712694043248</v>
      </c>
      <c r="AB43" s="61">
        <f t="shared" ref="AB43" si="181">AB6/AB4</f>
        <v>0.55884925259825124</v>
      </c>
      <c r="AC43" s="61">
        <f t="shared" si="179"/>
        <v>0.54237787693265982</v>
      </c>
      <c r="AD43" s="61">
        <f t="shared" si="179"/>
        <v>0.54807420310031163</v>
      </c>
      <c r="AE43" s="61">
        <f t="shared" ref="AE43:AL43" si="182">AE6/AE4</f>
        <v>0.54330376246514434</v>
      </c>
      <c r="AF43" s="61">
        <f>AF6/AF4</f>
        <v>0.56103866026595373</v>
      </c>
      <c r="AG43" s="61">
        <f t="shared" si="182"/>
        <v>0.50005579449528348</v>
      </c>
      <c r="AH43" s="61">
        <f t="shared" si="182"/>
        <v>0.5000472246708132</v>
      </c>
      <c r="AI43" s="61">
        <f t="shared" si="182"/>
        <v>0.5100296832972514</v>
      </c>
      <c r="AJ43" s="61">
        <f t="shared" si="182"/>
        <v>0.51002204459353095</v>
      </c>
      <c r="AK43" s="61">
        <f t="shared" si="182"/>
        <v>0.51001592278590946</v>
      </c>
      <c r="AL43" s="61">
        <f t="shared" si="182"/>
        <v>0.51001345826445521</v>
      </c>
      <c r="AM43" s="61">
        <f t="shared" ref="AM43:AP43" si="183">AM6/AM4</f>
        <v>0.50501216708577334</v>
      </c>
      <c r="AN43" s="61">
        <f t="shared" si="183"/>
        <v>0.50501261089482175</v>
      </c>
      <c r="AO43" s="61">
        <f t="shared" si="183"/>
        <v>0.5050126395185357</v>
      </c>
      <c r="AP43" s="61">
        <f t="shared" si="183"/>
        <v>0.50501277464664618</v>
      </c>
      <c r="AQ43" s="61">
        <f t="shared" ref="AQ43:AT43" si="184">AQ6/AQ4</f>
        <v>0.50000933820008342</v>
      </c>
      <c r="AR43" s="61">
        <f t="shared" si="184"/>
        <v>0.50000959005037637</v>
      </c>
      <c r="AS43" s="61">
        <f t="shared" si="184"/>
        <v>0.50001029313553236</v>
      </c>
      <c r="AT43" s="61">
        <f t="shared" si="184"/>
        <v>0.50001073503984628</v>
      </c>
      <c r="AU43" s="61">
        <f t="shared" ref="AU43:AX43" si="185">AU6/AU4</f>
        <v>0.50000870432675149</v>
      </c>
      <c r="AV43" s="61">
        <f t="shared" si="185"/>
        <v>0.5000083561892571</v>
      </c>
      <c r="AW43" s="61">
        <f t="shared" si="185"/>
        <v>0.50000890674329002</v>
      </c>
      <c r="AX43" s="61">
        <f t="shared" si="185"/>
        <v>0.50000914429017074</v>
      </c>
      <c r="AZ43" s="61">
        <f>AZ6/AZ4</f>
        <v>0.99961750667559857</v>
      </c>
      <c r="BA43" s="61">
        <f>BA6/BA4</f>
        <v>0.9989990031958812</v>
      </c>
      <c r="BB43" s="61">
        <f t="shared" ref="BB43:BI43" si="186">BB6/BB4</f>
        <v>0.68188074854216063</v>
      </c>
      <c r="BC43" s="61">
        <f t="shared" si="186"/>
        <v>0.65382327348414482</v>
      </c>
      <c r="BD43" s="61">
        <f t="shared" si="186"/>
        <v>0.62394779953717505</v>
      </c>
      <c r="BE43" s="61">
        <f t="shared" si="186"/>
        <v>0.65759876726337596</v>
      </c>
      <c r="BF43" s="61">
        <f t="shared" si="186"/>
        <v>0.69156500233473983</v>
      </c>
      <c r="BG43" s="61">
        <f t="shared" ref="BG43" si="187">BG6/BG4</f>
        <v>0.56711355454291201</v>
      </c>
      <c r="BH43" s="61">
        <f t="shared" si="186"/>
        <v>0.55151682273778391</v>
      </c>
      <c r="BI43" s="61">
        <f t="shared" si="186"/>
        <v>0.51316578444627792</v>
      </c>
      <c r="BJ43" s="61">
        <f>BJ6/BJ4</f>
        <v>0.51001835001274787</v>
      </c>
      <c r="BK43" s="61">
        <f>BK6/BK4</f>
        <v>0.50501254822919028</v>
      </c>
      <c r="BL43" s="61">
        <f>BL6/BL4</f>
        <v>0.50000997687442672</v>
      </c>
      <c r="BM43" s="61">
        <f>BM6/BM4</f>
        <v>0.50000877886748762</v>
      </c>
    </row>
    <row r="44" spans="2:65">
      <c r="B44" s="127" t="s">
        <v>169</v>
      </c>
      <c r="C44" s="63">
        <f>C12/C4</f>
        <v>-3.6014634703808919</v>
      </c>
      <c r="D44" s="63">
        <f>D12/D4</f>
        <v>-0.48926494244715452</v>
      </c>
      <c r="E44" s="63">
        <f t="shared" ref="E44:V44" si="188">E12/E4</f>
        <v>-48.472443758016439</v>
      </c>
      <c r="F44" s="63">
        <f t="shared" si="188"/>
        <v>-1.9012832321038811</v>
      </c>
      <c r="G44" s="63">
        <f t="shared" si="188"/>
        <v>-12.865398339851849</v>
      </c>
      <c r="H44" s="63">
        <f t="shared" si="188"/>
        <v>-1.8361721475708772</v>
      </c>
      <c r="I44" s="63">
        <f t="shared" si="188"/>
        <v>-2.4218649296519041</v>
      </c>
      <c r="J44" s="63">
        <f t="shared" si="188"/>
        <v>-0.73924069442639184</v>
      </c>
      <c r="K44" s="63">
        <f t="shared" si="188"/>
        <v>-7.3850896693922081</v>
      </c>
      <c r="L44" s="63">
        <f t="shared" si="188"/>
        <v>-2.5537666067376454</v>
      </c>
      <c r="M44" s="63">
        <f t="shared" si="188"/>
        <v>-4.3273523417015953</v>
      </c>
      <c r="N44" s="63">
        <f t="shared" si="188"/>
        <v>-0.52636865615844719</v>
      </c>
      <c r="O44" s="63">
        <f t="shared" si="188"/>
        <v>-5.6265664161706033</v>
      </c>
      <c r="P44" s="63">
        <f t="shared" si="188"/>
        <v>-3.6790759700478519</v>
      </c>
      <c r="Q44" s="63">
        <f t="shared" si="188"/>
        <v>-4.0337687520765622</v>
      </c>
      <c r="R44" s="63">
        <f>R12/R4</f>
        <v>-0.64158266108860351</v>
      </c>
      <c r="S44" s="63">
        <f>S12/S4</f>
        <v>-3.3781210868066598</v>
      </c>
      <c r="T44" s="63">
        <f t="shared" si="188"/>
        <v>-7.997698591426885</v>
      </c>
      <c r="U44" s="63">
        <f>U12/U4</f>
        <v>-9.9021578243434512</v>
      </c>
      <c r="V44" s="63">
        <f t="shared" si="188"/>
        <v>1.978548768361885E-2</v>
      </c>
      <c r="W44" s="63">
        <f>W12/W4</f>
        <v>-10.273729505688246</v>
      </c>
      <c r="X44" s="63">
        <f t="shared" ref="X44:AD44" si="189">X12/X4</f>
        <v>-8.9992161581116079</v>
      </c>
      <c r="Y44" s="63">
        <f t="shared" si="189"/>
        <v>-2.1012246023462442</v>
      </c>
      <c r="Z44" s="63">
        <f t="shared" ref="Z44" si="190">Z12/Z4</f>
        <v>6.6178523676165946E-2</v>
      </c>
      <c r="AA44" s="63">
        <f t="shared" si="189"/>
        <v>0.26082855868383054</v>
      </c>
      <c r="AB44" s="63">
        <f t="shared" ref="AB44" si="191">AB12/AB4</f>
        <v>0.36684130195266895</v>
      </c>
      <c r="AC44" s="63">
        <f t="shared" si="189"/>
        <v>0.32923692965693008</v>
      </c>
      <c r="AD44" s="63">
        <f t="shared" si="189"/>
        <v>0.22919326217782063</v>
      </c>
      <c r="AE44" s="63">
        <f t="shared" ref="AE44:AL44" si="192">AE12/AE4</f>
        <v>0.40252114379229514</v>
      </c>
      <c r="AF44" s="63">
        <f t="shared" si="192"/>
        <v>0.40810023879785506</v>
      </c>
      <c r="AG44" s="63">
        <f t="shared" si="192"/>
        <v>0.22276581220993519</v>
      </c>
      <c r="AH44" s="63">
        <f t="shared" si="192"/>
        <v>0.22143401462259035</v>
      </c>
      <c r="AI44" s="63">
        <f t="shared" si="192"/>
        <v>0.17126551684325456</v>
      </c>
      <c r="AJ44" s="63">
        <f t="shared" si="192"/>
        <v>0.1713946481068345</v>
      </c>
      <c r="AK44" s="63">
        <f t="shared" si="192"/>
        <v>0.17211571866452782</v>
      </c>
      <c r="AL44" s="63">
        <f t="shared" si="192"/>
        <v>0.17202255510007358</v>
      </c>
      <c r="AM44" s="63">
        <f t="shared" ref="AM44:AP44" si="193">AM12/AM4</f>
        <v>0.17967729806635055</v>
      </c>
      <c r="AN44" s="63">
        <f t="shared" si="193"/>
        <v>0.17925176060077169</v>
      </c>
      <c r="AO44" s="63">
        <f t="shared" si="193"/>
        <v>0.1791284338556543</v>
      </c>
      <c r="AP44" s="63">
        <f t="shared" si="193"/>
        <v>0.17854432921907851</v>
      </c>
      <c r="AQ44" s="63">
        <f t="shared" ref="AQ44:AT44" si="194">AQ12/AQ4</f>
        <v>0.18608371123882642</v>
      </c>
      <c r="AR44" s="63">
        <f t="shared" si="194"/>
        <v>0.18580517747792361</v>
      </c>
      <c r="AS44" s="63">
        <f t="shared" si="194"/>
        <v>0.18565850290238317</v>
      </c>
      <c r="AT44" s="63">
        <f t="shared" si="194"/>
        <v>0.1851260517335506</v>
      </c>
      <c r="AU44" s="63">
        <f t="shared" ref="AU44:AX44" si="195">AU12/AU4</f>
        <v>0.19059041178290539</v>
      </c>
      <c r="AV44" s="63">
        <f t="shared" si="195"/>
        <v>0.19041458358116617</v>
      </c>
      <c r="AW44" s="63">
        <f t="shared" si="195"/>
        <v>0.1903051868487822</v>
      </c>
      <c r="AX44" s="63">
        <f t="shared" si="195"/>
        <v>0.1898854717938836</v>
      </c>
      <c r="AZ44" s="63">
        <f>AZ12/AZ4</f>
        <v>-50.271181420161355</v>
      </c>
      <c r="BA44" s="63">
        <f>BA12/BA4</f>
        <v>-1.4920889299623765</v>
      </c>
      <c r="BB44" s="63">
        <f t="shared" ref="BB44:BI44" si="196">BB12/BB4</f>
        <v>-2.9688226593646609</v>
      </c>
      <c r="BC44" s="63">
        <f t="shared" si="196"/>
        <v>-1.4831623968358589</v>
      </c>
      <c r="BD44" s="63">
        <f t="shared" si="196"/>
        <v>-1.6018108367478188</v>
      </c>
      <c r="BE44" s="63">
        <f t="shared" si="196"/>
        <v>-1.9563594495047489</v>
      </c>
      <c r="BF44" s="63">
        <f t="shared" si="196"/>
        <v>-1.2220314361376077</v>
      </c>
      <c r="BG44" s="63">
        <f t="shared" ref="BG44" si="197">BG12/BG4</f>
        <v>-0.68403293981735469</v>
      </c>
      <c r="BH44" s="63">
        <f t="shared" si="196"/>
        <v>0.29867646040829948</v>
      </c>
      <c r="BI44" s="63">
        <f t="shared" si="196"/>
        <v>0.2678872161636503</v>
      </c>
      <c r="BJ44" s="63">
        <f>BJ12/BJ4</f>
        <v>0.17180403083503895</v>
      </c>
      <c r="BK44" s="63">
        <f>BK12/BK4</f>
        <v>0.17914161890462713</v>
      </c>
      <c r="BL44" s="63">
        <f>BL12/BL4</f>
        <v>0.18567356377886227</v>
      </c>
      <c r="BM44" s="63">
        <f>BM12/BM4</f>
        <v>0.19029509280780035</v>
      </c>
    </row>
    <row r="45" spans="2:65">
      <c r="B45" s="127" t="s">
        <v>3</v>
      </c>
      <c r="C45" s="63">
        <f t="shared" ref="C45:V45" si="198">C39/C4</f>
        <v>-2.9950480412132219</v>
      </c>
      <c r="D45" s="63">
        <f>D39/D4</f>
        <v>-0.38610042181925436</v>
      </c>
      <c r="E45" s="63">
        <f t="shared" si="198"/>
        <v>-47.123792019759975</v>
      </c>
      <c r="F45" s="63">
        <f t="shared" si="198"/>
        <v>-1.8520037218423069</v>
      </c>
      <c r="G45" s="63">
        <f t="shared" si="198"/>
        <v>-10.85709720957283</v>
      </c>
      <c r="H45" s="63">
        <f t="shared" si="198"/>
        <v>-1.5294842193719731</v>
      </c>
      <c r="I45" s="63">
        <f t="shared" si="198"/>
        <v>-1.8909977609990731</v>
      </c>
      <c r="J45" s="63">
        <f t="shared" si="198"/>
        <v>-0.61537084607848513</v>
      </c>
      <c r="K45" s="63">
        <f t="shared" si="198"/>
        <v>-6.1841038972900417</v>
      </c>
      <c r="L45" s="63">
        <f t="shared" si="198"/>
        <v>-2.1272642349515727</v>
      </c>
      <c r="M45" s="63">
        <f t="shared" si="198"/>
        <v>-3.718312999350204</v>
      </c>
      <c r="N45" s="63">
        <f t="shared" si="198"/>
        <v>-0.42310063703341766</v>
      </c>
      <c r="O45" s="63">
        <f t="shared" si="198"/>
        <v>-4.577221254274094</v>
      </c>
      <c r="P45" s="63">
        <f t="shared" si="198"/>
        <v>-3.0715083515381503</v>
      </c>
      <c r="Q45" s="63">
        <f t="shared" si="198"/>
        <v>-3.2082336886934972</v>
      </c>
      <c r="R45" s="63">
        <f>R39/R4</f>
        <v>-0.47710251493220845</v>
      </c>
      <c r="S45" s="63">
        <f>S39/S4</f>
        <v>-2.5202649410927327</v>
      </c>
      <c r="T45" s="63">
        <f t="shared" si="198"/>
        <v>-6.3492496241180953</v>
      </c>
      <c r="U45" s="63">
        <f>U39/U4</f>
        <v>-7.9739458051989844</v>
      </c>
      <c r="V45" s="63">
        <f t="shared" si="198"/>
        <v>0.12702148792011975</v>
      </c>
      <c r="W45" s="63">
        <f t="shared" ref="W45:AD45" si="199">W39/W4</f>
        <v>-8.6081601800110388</v>
      </c>
      <c r="X45" s="63">
        <f t="shared" si="199"/>
        <v>-7.9058782420290354</v>
      </c>
      <c r="Y45" s="63">
        <f t="shared" si="199"/>
        <v>-1.74658513828611</v>
      </c>
      <c r="Z45" s="63">
        <f t="shared" ref="Z45" si="200">Z39/Z4</f>
        <v>0.10939577235110594</v>
      </c>
      <c r="AA45" s="63">
        <f t="shared" si="199"/>
        <v>0.31588325850361088</v>
      </c>
      <c r="AB45" s="63">
        <f t="shared" ref="AB45" si="201">AB39/AB4</f>
        <v>0.40142540424224515</v>
      </c>
      <c r="AC45" s="63">
        <f t="shared" si="199"/>
        <v>0.36467149727247344</v>
      </c>
      <c r="AD45" s="63">
        <f t="shared" si="199"/>
        <v>0.26157163355636986</v>
      </c>
      <c r="AE45" s="63">
        <f t="shared" ref="AE45:AL45" si="202">AE39/AE4</f>
        <v>0.43021495621363842</v>
      </c>
      <c r="AF45" s="63">
        <f t="shared" si="202"/>
        <v>0.43378053855506765</v>
      </c>
      <c r="AG45" s="63">
        <f t="shared" si="202"/>
        <v>0.23253449617642755</v>
      </c>
      <c r="AH45" s="63">
        <f t="shared" si="202"/>
        <v>0.22963212978267775</v>
      </c>
      <c r="AI45" s="63">
        <f t="shared" si="202"/>
        <v>0.17698533434071634</v>
      </c>
      <c r="AJ45" s="63">
        <f t="shared" si="202"/>
        <v>0.1758502465123899</v>
      </c>
      <c r="AK45" s="63">
        <f t="shared" si="202"/>
        <v>0.17547681799724771</v>
      </c>
      <c r="AL45" s="63">
        <f t="shared" si="202"/>
        <v>0.17436483749567791</v>
      </c>
      <c r="AM45" s="63">
        <f t="shared" ref="AM45:AP45" si="203">AM39/AM4</f>
        <v>0.18154658188299705</v>
      </c>
      <c r="AN45" s="63">
        <f t="shared" si="203"/>
        <v>0.18124498725622787</v>
      </c>
      <c r="AO45" s="63">
        <f t="shared" si="203"/>
        <v>0.18114078760543251</v>
      </c>
      <c r="AP45" s="63">
        <f t="shared" si="203"/>
        <v>0.18032582038321704</v>
      </c>
      <c r="AQ45" s="63">
        <f t="shared" ref="AQ45:AT45" si="204">AQ39/AQ4</f>
        <v>0.18733807655828771</v>
      </c>
      <c r="AR45" s="63">
        <f t="shared" si="204"/>
        <v>0.18712453039701088</v>
      </c>
      <c r="AS45" s="63">
        <f t="shared" si="204"/>
        <v>0.18705563276893403</v>
      </c>
      <c r="AT45" s="63">
        <f t="shared" si="204"/>
        <v>0.18644233686616918</v>
      </c>
      <c r="AU45" s="63">
        <f t="shared" ref="AU45:AX45" si="205">AU39/AU4</f>
        <v>0.19166969176235885</v>
      </c>
      <c r="AV45" s="63">
        <f t="shared" si="205"/>
        <v>0.19147410614204083</v>
      </c>
      <c r="AW45" s="63">
        <f t="shared" si="205"/>
        <v>0.19141544463637911</v>
      </c>
      <c r="AX45" s="63">
        <f t="shared" si="205"/>
        <v>0.19092118784143269</v>
      </c>
      <c r="AZ45" s="63">
        <f>AZ39/AZ4</f>
        <v>-50.209267622258579</v>
      </c>
      <c r="BA45" s="63">
        <f>BA39/BA4</f>
        <v>-1.3570462403045476</v>
      </c>
      <c r="BB45" s="63">
        <f t="shared" ref="BB45:BI45" si="206">BB39/BB4</f>
        <v>-2.8558044594496681</v>
      </c>
      <c r="BC45" s="63">
        <f t="shared" si="206"/>
        <v>-1.219350567513674</v>
      </c>
      <c r="BD45" s="63">
        <f t="shared" si="206"/>
        <v>-1.338623418585837</v>
      </c>
      <c r="BE45" s="63">
        <f t="shared" si="206"/>
        <v>-1.5653547216257966</v>
      </c>
      <c r="BF45" s="63">
        <f t="shared" si="206"/>
        <v>-0.86955267251560553</v>
      </c>
      <c r="BG45" s="63">
        <f t="shared" ref="BG45" si="207">BG39/BG4</f>
        <v>-0.5384391544175321</v>
      </c>
      <c r="BH45" s="63">
        <f t="shared" si="206"/>
        <v>0.33634669995404765</v>
      </c>
      <c r="BI45" s="63">
        <f t="shared" si="206"/>
        <v>0.28123403449893386</v>
      </c>
      <c r="BJ45" s="63">
        <f>BJ39/BJ4</f>
        <v>0.1753636262804153</v>
      </c>
      <c r="BK45" s="63">
        <f>BK39/BK4</f>
        <v>0.18105099844821917</v>
      </c>
      <c r="BL45" s="63">
        <f>BL39/BL4</f>
        <v>0.18699342131272514</v>
      </c>
      <c r="BM45" s="63">
        <f>BM39/BM4</f>
        <v>0.19136559263501723</v>
      </c>
    </row>
    <row r="46" spans="2:65">
      <c r="B46" s="127" t="s">
        <v>8</v>
      </c>
      <c r="C46" s="63">
        <f t="shared" ref="C46:V46" si="208">C40/C4</f>
        <v>-3.6014634703808919</v>
      </c>
      <c r="D46" s="63">
        <f>D40/D4</f>
        <v>-0.48926494244715452</v>
      </c>
      <c r="E46" s="63">
        <f t="shared" si="208"/>
        <v>-48.472443758016439</v>
      </c>
      <c r="F46" s="63">
        <f t="shared" si="208"/>
        <v>-1.9012832321038811</v>
      </c>
      <c r="G46" s="63">
        <f t="shared" si="208"/>
        <v>-12.865398339851849</v>
      </c>
      <c r="H46" s="63">
        <f t="shared" si="208"/>
        <v>-1.8361721475708768</v>
      </c>
      <c r="I46" s="63">
        <f t="shared" si="208"/>
        <v>-2.4218649296519041</v>
      </c>
      <c r="J46" s="63">
        <f t="shared" si="208"/>
        <v>-0.73924069442639184</v>
      </c>
      <c r="K46" s="63">
        <f t="shared" si="208"/>
        <v>-7.3850896693922081</v>
      </c>
      <c r="L46" s="63">
        <f t="shared" si="208"/>
        <v>-2.5537666067376454</v>
      </c>
      <c r="M46" s="63">
        <f t="shared" si="208"/>
        <v>-4.3273523417015953</v>
      </c>
      <c r="N46" s="63">
        <f t="shared" si="208"/>
        <v>-0.52636865615844719</v>
      </c>
      <c r="O46" s="63">
        <f t="shared" si="208"/>
        <v>-5.6265664161706033</v>
      </c>
      <c r="P46" s="63">
        <f t="shared" si="208"/>
        <v>-3.6790759700478519</v>
      </c>
      <c r="Q46" s="63">
        <f t="shared" si="208"/>
        <v>-4.0337687520765622</v>
      </c>
      <c r="R46" s="63">
        <f>R40/R4</f>
        <v>-0.64158266108860351</v>
      </c>
      <c r="S46" s="63">
        <f>S40/S4</f>
        <v>-3.3781210868066598</v>
      </c>
      <c r="T46" s="63">
        <f t="shared" si="208"/>
        <v>-7.997698591426885</v>
      </c>
      <c r="U46" s="63">
        <f>U40/U4</f>
        <v>-9.9021578243434512</v>
      </c>
      <c r="V46" s="63">
        <f t="shared" si="208"/>
        <v>1.978548768361886E-2</v>
      </c>
      <c r="W46" s="63">
        <f t="shared" ref="W46:AD46" si="209">W40/W4</f>
        <v>-10.273729505688246</v>
      </c>
      <c r="X46" s="63">
        <f t="shared" si="209"/>
        <v>-8.9992161581116079</v>
      </c>
      <c r="Y46" s="63">
        <f t="shared" si="209"/>
        <v>-2.1012246023462442</v>
      </c>
      <c r="Z46" s="63">
        <f t="shared" ref="Z46" si="210">Z40/Z4</f>
        <v>6.6178523676165946E-2</v>
      </c>
      <c r="AA46" s="63">
        <f t="shared" si="209"/>
        <v>0.26082855868383054</v>
      </c>
      <c r="AB46" s="63">
        <f t="shared" ref="AB46" si="211">AB40/AB4</f>
        <v>0.36684130195266895</v>
      </c>
      <c r="AC46" s="63">
        <f t="shared" si="209"/>
        <v>0.32923692965693008</v>
      </c>
      <c r="AD46" s="63">
        <f t="shared" si="209"/>
        <v>0.22919326217782063</v>
      </c>
      <c r="AE46" s="63">
        <f t="shared" ref="AE46:AL46" si="212">AE40/AE4</f>
        <v>0.40252114379229514</v>
      </c>
      <c r="AF46" s="63">
        <f t="shared" si="212"/>
        <v>0.40810023879785506</v>
      </c>
      <c r="AG46" s="63">
        <f t="shared" si="212"/>
        <v>0.22276581220993519</v>
      </c>
      <c r="AH46" s="63">
        <f t="shared" si="212"/>
        <v>0.22143401462259035</v>
      </c>
      <c r="AI46" s="63">
        <f t="shared" si="212"/>
        <v>0.17126551684325456</v>
      </c>
      <c r="AJ46" s="63">
        <f t="shared" si="212"/>
        <v>0.1713946481068345</v>
      </c>
      <c r="AK46" s="63">
        <f t="shared" si="212"/>
        <v>0.17211571866452782</v>
      </c>
      <c r="AL46" s="63">
        <f t="shared" si="212"/>
        <v>0.17202255510007358</v>
      </c>
      <c r="AM46" s="63">
        <f t="shared" ref="AM46:AP46" si="213">AM40/AM4</f>
        <v>0.17967729806635055</v>
      </c>
      <c r="AN46" s="63">
        <f t="shared" si="213"/>
        <v>0.17925176060077169</v>
      </c>
      <c r="AO46" s="63">
        <f t="shared" si="213"/>
        <v>0.1791284338556543</v>
      </c>
      <c r="AP46" s="63">
        <f t="shared" si="213"/>
        <v>0.17854432921907851</v>
      </c>
      <c r="AQ46" s="63">
        <f t="shared" ref="AQ46:AT46" si="214">AQ40/AQ4</f>
        <v>0.18608371123882642</v>
      </c>
      <c r="AR46" s="63">
        <f t="shared" si="214"/>
        <v>0.18580517747792361</v>
      </c>
      <c r="AS46" s="63">
        <f t="shared" si="214"/>
        <v>0.18565850290238317</v>
      </c>
      <c r="AT46" s="63">
        <f t="shared" si="214"/>
        <v>0.1851260517335506</v>
      </c>
      <c r="AU46" s="63">
        <f t="shared" ref="AU46:AX46" si="215">AU40/AU4</f>
        <v>0.19059041178290539</v>
      </c>
      <c r="AV46" s="63">
        <f t="shared" si="215"/>
        <v>0.19041458358116617</v>
      </c>
      <c r="AW46" s="63">
        <f t="shared" si="215"/>
        <v>0.1903051868487822</v>
      </c>
      <c r="AX46" s="63">
        <f t="shared" si="215"/>
        <v>0.1898854717938836</v>
      </c>
      <c r="AZ46" s="63">
        <f>AZ40/AZ4</f>
        <v>-50.271181420161355</v>
      </c>
      <c r="BA46" s="63">
        <f>BA40/BA4</f>
        <v>-1.4920889299623765</v>
      </c>
      <c r="BB46" s="63">
        <f t="shared" ref="BB46:BI46" si="216">BB40/BB4</f>
        <v>-2.9688226593646609</v>
      </c>
      <c r="BC46" s="63">
        <f t="shared" si="216"/>
        <v>-1.4831623968358589</v>
      </c>
      <c r="BD46" s="63">
        <f t="shared" si="216"/>
        <v>-1.6018108367478188</v>
      </c>
      <c r="BE46" s="63">
        <f t="shared" si="216"/>
        <v>-1.9563594495047489</v>
      </c>
      <c r="BF46" s="63">
        <f t="shared" si="216"/>
        <v>-1.2220314361376077</v>
      </c>
      <c r="BG46" s="63">
        <f t="shared" ref="BG46" si="217">BG40/BG4</f>
        <v>-0.68403293981735469</v>
      </c>
      <c r="BH46" s="309">
        <f t="shared" si="216"/>
        <v>0.29867646040829943</v>
      </c>
      <c r="BI46" s="309">
        <f t="shared" si="216"/>
        <v>0.2678872161636503</v>
      </c>
      <c r="BJ46" s="309">
        <f>BJ40/BJ4</f>
        <v>0.17180403083503895</v>
      </c>
      <c r="BK46" s="309">
        <f>BK40/BK4</f>
        <v>0.17914161890462713</v>
      </c>
      <c r="BL46" s="309">
        <f>BL40/BL4</f>
        <v>0.18567356377886227</v>
      </c>
      <c r="BM46" s="309">
        <f>BM40/BM4</f>
        <v>0.19029509280780035</v>
      </c>
    </row>
    <row r="47" spans="2:65">
      <c r="B47" s="127" t="s">
        <v>70</v>
      </c>
      <c r="C47" s="63">
        <f t="shared" ref="C47:V47" si="218">C25/C4</f>
        <v>-1.5938087299084551</v>
      </c>
      <c r="D47" s="63">
        <f>D25/D4</f>
        <v>-9.6651059809800155E-2</v>
      </c>
      <c r="E47" s="63">
        <f t="shared" si="218"/>
        <v>-45.511068797539771</v>
      </c>
      <c r="F47" s="63">
        <f t="shared" si="218"/>
        <v>-1.777261486497667</v>
      </c>
      <c r="G47" s="63">
        <f t="shared" si="218"/>
        <v>-9.3794641752417132</v>
      </c>
      <c r="H47" s="63">
        <f t="shared" si="218"/>
        <v>-1.2359683011198626</v>
      </c>
      <c r="I47" s="63">
        <f t="shared" si="218"/>
        <v>-1.5307545298692971</v>
      </c>
      <c r="J47" s="63">
        <f t="shared" si="218"/>
        <v>-0.41472530490065468</v>
      </c>
      <c r="K47" s="63">
        <f t="shared" si="218"/>
        <v>-5.6901909197786917</v>
      </c>
      <c r="L47" s="63">
        <f t="shared" si="218"/>
        <v>-1.8282736656118437</v>
      </c>
      <c r="M47" s="63">
        <f t="shared" si="218"/>
        <v>-2.8133064365968865</v>
      </c>
      <c r="N47" s="63">
        <f t="shared" si="218"/>
        <v>-0.39205881978540374</v>
      </c>
      <c r="O47" s="63">
        <f t="shared" si="218"/>
        <v>-4.5623144011587371</v>
      </c>
      <c r="P47" s="63">
        <f t="shared" si="218"/>
        <v>-3.0794833552871346</v>
      </c>
      <c r="Q47" s="63">
        <f t="shared" si="218"/>
        <v>-3.4820166982882337</v>
      </c>
      <c r="R47" s="63">
        <f>R25/R4</f>
        <v>-0.67097985044171393</v>
      </c>
      <c r="S47" s="63">
        <f>S25/S4</f>
        <v>-3.3874251714135597</v>
      </c>
      <c r="T47" s="63">
        <f t="shared" si="218"/>
        <v>-7.3965346205775351</v>
      </c>
      <c r="U47" s="63">
        <f>U25/U4</f>
        <v>-8.3880597138355792</v>
      </c>
      <c r="V47" s="63">
        <f t="shared" si="218"/>
        <v>-6.6304116869651014E-2</v>
      </c>
      <c r="W47" s="63">
        <f t="shared" ref="W47:AD47" si="219">W25/W4</f>
        <v>-8.8298849005838242</v>
      </c>
      <c r="X47" s="63">
        <f t="shared" si="219"/>
        <v>-7.7580450954218501</v>
      </c>
      <c r="Y47" s="63">
        <f t="shared" si="219"/>
        <v>-1.6119780129159824</v>
      </c>
      <c r="Z47" s="63">
        <f t="shared" ref="Z47" si="220">Z25/Z4</f>
        <v>0.27513603253694485</v>
      </c>
      <c r="AA47" s="63">
        <f t="shared" si="219"/>
        <v>0.31983586849725942</v>
      </c>
      <c r="AB47" s="63">
        <f t="shared" ref="AB47" si="221">AB25/AB4</f>
        <v>0.38582418113598593</v>
      </c>
      <c r="AC47" s="63">
        <f t="shared" si="219"/>
        <v>0.32810368586878069</v>
      </c>
      <c r="AD47" s="63">
        <f t="shared" si="219"/>
        <v>0.24054903673341552</v>
      </c>
      <c r="AE47" s="63">
        <f t="shared" ref="AE47:AL47" si="222">AE25/AE4</f>
        <v>0.35151379595229665</v>
      </c>
      <c r="AF47" s="63">
        <f t="shared" si="222"/>
        <v>0.41689254500244666</v>
      </c>
      <c r="AG47" s="63">
        <f t="shared" si="222"/>
        <v>0.21615942188143764</v>
      </c>
      <c r="AH47" s="63">
        <f t="shared" si="222"/>
        <v>0.21417463608229703</v>
      </c>
      <c r="AI47" s="63">
        <f t="shared" si="222"/>
        <v>0.15550638616540252</v>
      </c>
      <c r="AJ47" s="63">
        <f t="shared" si="222"/>
        <v>0.1553203709282511</v>
      </c>
      <c r="AK47" s="63">
        <f t="shared" si="222"/>
        <v>0.15570767555304746</v>
      </c>
      <c r="AL47" s="63">
        <f t="shared" si="222"/>
        <v>0.1553802625875331</v>
      </c>
      <c r="AM47" s="63">
        <f t="shared" ref="AM47:AP47" si="223">AM25/AM4</f>
        <v>0.15854947557476168</v>
      </c>
      <c r="AN47" s="63">
        <f t="shared" si="223"/>
        <v>0.15820374271882562</v>
      </c>
      <c r="AO47" s="63">
        <f t="shared" si="223"/>
        <v>0.15809965041207338</v>
      </c>
      <c r="AP47" s="63">
        <f t="shared" si="223"/>
        <v>0.1575321054530128</v>
      </c>
      <c r="AQ47" s="63">
        <f t="shared" ref="AQ47:AT47" si="224">AQ25/AQ4</f>
        <v>0.16031403707005643</v>
      </c>
      <c r="AR47" s="63">
        <f t="shared" si="224"/>
        <v>0.16008911056805025</v>
      </c>
      <c r="AS47" s="63">
        <f t="shared" si="224"/>
        <v>0.15998045866420979</v>
      </c>
      <c r="AT47" s="63">
        <f t="shared" si="224"/>
        <v>0.15950437263276954</v>
      </c>
      <c r="AU47" s="63">
        <f t="shared" ref="AU47:AX47" si="225">AU25/AU4</f>
        <v>0.16021872726463215</v>
      </c>
      <c r="AV47" s="63">
        <f t="shared" si="225"/>
        <v>0.16006878392589804</v>
      </c>
      <c r="AW47" s="63">
        <f t="shared" si="225"/>
        <v>0.15998266242650513</v>
      </c>
      <c r="AX47" s="63">
        <f t="shared" si="225"/>
        <v>0.15962162174099806</v>
      </c>
      <c r="AZ47" s="63">
        <f>AZ25/AZ4</f>
        <v>-48.538455553715991</v>
      </c>
      <c r="BA47" s="63">
        <f>BA25/BA4</f>
        <v>-0.35074918714056036</v>
      </c>
      <c r="BB47" s="63">
        <f t="shared" ref="BB47:BI47" si="226">BB25/BB4</f>
        <v>-2.6557416054549181</v>
      </c>
      <c r="BC47" s="63">
        <f t="shared" si="226"/>
        <v>-0.94679332025322727</v>
      </c>
      <c r="BD47" s="63">
        <f t="shared" si="226"/>
        <v>-1.1441020878583732</v>
      </c>
      <c r="BE47" s="63">
        <f t="shared" si="226"/>
        <v>-1.7235978680176074</v>
      </c>
      <c r="BF47" s="63">
        <f t="shared" si="226"/>
        <v>-1.1913130394361371</v>
      </c>
      <c r="BG47" s="63">
        <f t="shared" ref="BG47" si="227">BG25/BG4</f>
        <v>-0.38495784261979049</v>
      </c>
      <c r="BH47" s="63">
        <f t="shared" si="226"/>
        <v>0.31693941812290671</v>
      </c>
      <c r="BI47" s="63">
        <f t="shared" si="226"/>
        <v>0.2576702331998294</v>
      </c>
      <c r="BJ47" s="63">
        <f>BJ25/BJ4</f>
        <v>0.15651229698396957</v>
      </c>
      <c r="BK47" s="63">
        <f>BK25/BK4</f>
        <v>0.15808737538993797</v>
      </c>
      <c r="BL47" s="63">
        <f>BL25/BL4</f>
        <v>0.15997603625003798</v>
      </c>
      <c r="BM47" s="63">
        <f>BM25/BM4</f>
        <v>0.15996966047527841</v>
      </c>
    </row>
    <row r="48" spans="2:65">
      <c r="BB48" s="145"/>
    </row>
    <row r="49" spans="2:65">
      <c r="B49" s="137" t="s">
        <v>71</v>
      </c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</row>
    <row r="50" spans="2:65" s="139" customFormat="1">
      <c r="B50" s="139" t="s">
        <v>176</v>
      </c>
      <c r="C50" s="61">
        <f t="shared" ref="C50:AC50" si="228">C11/C4</f>
        <v>4.5799281769308768</v>
      </c>
      <c r="D50" s="61">
        <f>D11/D4</f>
        <v>1.3305074256897256</v>
      </c>
      <c r="E50" s="61">
        <f>E11/E4</f>
        <v>49.353009953341093</v>
      </c>
      <c r="F50" s="61">
        <f>F11/F4</f>
        <v>2.5232575932503596</v>
      </c>
      <c r="G50" s="61">
        <f>G11/G4</f>
        <v>13.558553095863298</v>
      </c>
      <c r="H50" s="61">
        <f>H11/H4</f>
        <v>2.625175584480496</v>
      </c>
      <c r="I50" s="61">
        <f t="shared" si="228"/>
        <v>2.9087259897606548</v>
      </c>
      <c r="J50" s="61">
        <f t="shared" si="228"/>
        <v>1.3965842555938472</v>
      </c>
      <c r="K50" s="61">
        <f t="shared" si="228"/>
        <v>7.8262406691708879</v>
      </c>
      <c r="L50" s="61">
        <f t="shared" si="228"/>
        <v>3.1148788792136055</v>
      </c>
      <c r="M50" s="61">
        <f t="shared" si="228"/>
        <v>4.7987241501126485</v>
      </c>
      <c r="N50" s="61">
        <f t="shared" si="228"/>
        <v>1.202253861814049</v>
      </c>
      <c r="O50" s="61">
        <f>O11/O4</f>
        <v>6.1923744036539965</v>
      </c>
      <c r="P50" s="61">
        <f t="shared" si="228"/>
        <v>4.218815290689351</v>
      </c>
      <c r="Q50" s="61">
        <f t="shared" si="228"/>
        <v>4.6753530182538112</v>
      </c>
      <c r="R50" s="61">
        <f t="shared" ref="R50:Y50" si="229">R11/R4</f>
        <v>1.3424096980579747</v>
      </c>
      <c r="S50" s="61">
        <f t="shared" si="229"/>
        <v>4.1460421166361616</v>
      </c>
      <c r="T50" s="61">
        <f t="shared" si="229"/>
        <v>8.5922483633173439</v>
      </c>
      <c r="U50" s="61">
        <f t="shared" si="229"/>
        <v>10.563334093202064</v>
      </c>
      <c r="V50" s="61">
        <f t="shared" si="229"/>
        <v>0.67001371219327865</v>
      </c>
      <c r="W50" s="61">
        <f t="shared" si="229"/>
        <v>10.849828102438909</v>
      </c>
      <c r="X50" s="61">
        <f>X11/X4</f>
        <v>9.6599677914944913</v>
      </c>
      <c r="Y50" s="61">
        <f t="shared" si="229"/>
        <v>2.6132679754027959</v>
      </c>
      <c r="Z50" s="61">
        <f t="shared" ref="Z50:AA50" si="230">Z11/Z4</f>
        <v>0.50371157382498288</v>
      </c>
      <c r="AA50" s="61">
        <f t="shared" si="230"/>
        <v>0.299068568256602</v>
      </c>
      <c r="AB50" s="61">
        <f t="shared" ref="AB50" si="231">AB11/AB4</f>
        <v>0.19200795064558226</v>
      </c>
      <c r="AC50" s="61">
        <f t="shared" si="228"/>
        <v>0.21314094727572983</v>
      </c>
      <c r="AD50" s="61">
        <f t="shared" ref="AD50" si="232">AD11/AD4</f>
        <v>0.31888094092249097</v>
      </c>
      <c r="AE50" s="61">
        <f t="shared" ref="AE50:AL50" si="233">AE11/AE4</f>
        <v>0.14078261867284919</v>
      </c>
      <c r="AF50" s="61">
        <f t="shared" si="233"/>
        <v>0.15293842146809861</v>
      </c>
      <c r="AG50" s="61">
        <f t="shared" si="233"/>
        <v>0.27728998228534824</v>
      </c>
      <c r="AH50" s="61">
        <f t="shared" si="233"/>
        <v>0.27861321004822287</v>
      </c>
      <c r="AI50" s="61">
        <f t="shared" si="233"/>
        <v>0.33876416645399687</v>
      </c>
      <c r="AJ50" s="61">
        <f t="shared" si="233"/>
        <v>0.33862739648669643</v>
      </c>
      <c r="AK50" s="61">
        <f t="shared" si="233"/>
        <v>0.33790020412138161</v>
      </c>
      <c r="AL50" s="61">
        <f t="shared" si="233"/>
        <v>0.33799090316438157</v>
      </c>
      <c r="AM50" s="61">
        <f t="shared" ref="AM50:AP50" si="234">AM11/AM4</f>
        <v>0.32533486901942282</v>
      </c>
      <c r="AN50" s="61">
        <f t="shared" si="234"/>
        <v>0.32576085029405005</v>
      </c>
      <c r="AO50" s="61">
        <f t="shared" si="234"/>
        <v>0.3258842056628814</v>
      </c>
      <c r="AP50" s="61">
        <f t="shared" si="234"/>
        <v>0.32646844542756764</v>
      </c>
      <c r="AQ50" s="61">
        <f t="shared" ref="AQ50:AT50" si="235">AQ11/AQ4</f>
        <v>0.31392562696125698</v>
      </c>
      <c r="AR50" s="61">
        <f t="shared" si="235"/>
        <v>0.3142044125724528</v>
      </c>
      <c r="AS50" s="61">
        <f t="shared" si="235"/>
        <v>0.31435179023314919</v>
      </c>
      <c r="AT50" s="61">
        <f t="shared" si="235"/>
        <v>0.31488468330629571</v>
      </c>
      <c r="AU50" s="61">
        <f t="shared" ref="AU50:AX50" si="236">AU11/AU4</f>
        <v>0.30941829254384612</v>
      </c>
      <c r="AV50" s="61">
        <f t="shared" si="236"/>
        <v>0.3095937726080909</v>
      </c>
      <c r="AW50" s="61">
        <f t="shared" si="236"/>
        <v>0.30970371989450785</v>
      </c>
      <c r="AX50" s="61">
        <f t="shared" si="236"/>
        <v>0.31012367249628714</v>
      </c>
      <c r="AZ50" s="116">
        <f>AZ11/AZ4</f>
        <v>51.27079892683696</v>
      </c>
      <c r="BA50" s="116">
        <f>BA11/BA4</f>
        <v>2.4910879331582576</v>
      </c>
      <c r="BB50" s="116">
        <f t="shared" ref="BB50:BI50" si="237">BB11/BB4</f>
        <v>3.6507034079068212</v>
      </c>
      <c r="BC50" s="116">
        <f t="shared" si="237"/>
        <v>2.1369856703200041</v>
      </c>
      <c r="BD50" s="116">
        <f t="shared" si="237"/>
        <v>2.2257586362849939</v>
      </c>
      <c r="BE50" s="116">
        <f t="shared" si="237"/>
        <v>2.613958216768125</v>
      </c>
      <c r="BF50" s="116">
        <f t="shared" si="237"/>
        <v>1.9135964384723476</v>
      </c>
      <c r="BG50" s="116">
        <f t="shared" ref="BG50" si="238">BG11/BG4</f>
        <v>1.2511464943602668</v>
      </c>
      <c r="BH50" s="116">
        <f t="shared" si="237"/>
        <v>0.25284036232948442</v>
      </c>
      <c r="BI50" s="116">
        <f t="shared" si="237"/>
        <v>0.24527856828262765</v>
      </c>
      <c r="BJ50" s="116">
        <f>BJ11/BJ4</f>
        <v>0.33821431917770883</v>
      </c>
      <c r="BK50" s="116">
        <f>BK11/BK4</f>
        <v>0.32587092932456319</v>
      </c>
      <c r="BL50" s="116">
        <f>BL11/BL4</f>
        <v>0.31433641309556448</v>
      </c>
      <c r="BM50" s="116">
        <f>BM11/BM4</f>
        <v>0.3097136860596873</v>
      </c>
    </row>
    <row r="51" spans="2:65">
      <c r="B51" s="127" t="s">
        <v>159</v>
      </c>
      <c r="C51" s="63">
        <f>C7/C$4</f>
        <v>4.4998879653145578E-2</v>
      </c>
      <c r="D51" s="63">
        <f t="shared" ref="D51:E54" si="239">D7/D$4</f>
        <v>6.6554858160548791E-4</v>
      </c>
      <c r="E51" s="63">
        <f t="shared" si="239"/>
        <v>3.2094455575784005E-2</v>
      </c>
      <c r="F51" s="63">
        <f t="shared" ref="F51:I54" si="240">F7/F$4</f>
        <v>4.3808775052197654E-3</v>
      </c>
      <c r="G51" s="63">
        <f t="shared" si="240"/>
        <v>8.6378726671165973E-2</v>
      </c>
      <c r="H51" s="63">
        <f t="shared" si="240"/>
        <v>3.3642071346543117E-3</v>
      </c>
      <c r="I51" s="63">
        <f t="shared" si="240"/>
        <v>6.5215559164470416E-3</v>
      </c>
      <c r="J51" s="63">
        <f t="shared" ref="J51:N54" si="241">J7/J$4</f>
        <v>2.3464737052854754E-3</v>
      </c>
      <c r="K51" s="63">
        <f t="shared" si="241"/>
        <v>5.056344990754448E-3</v>
      </c>
      <c r="L51" s="63">
        <f t="shared" si="241"/>
        <v>2.883453259972617E-3</v>
      </c>
      <c r="M51" s="63">
        <f t="shared" si="241"/>
        <v>1.2308640658087022E-3</v>
      </c>
      <c r="N51" s="63">
        <f t="shared" si="241"/>
        <v>2.8776212954312939E-3</v>
      </c>
      <c r="O51" s="63">
        <f t="shared" ref="O51:Q54" si="242">O7/O$4</f>
        <v>2.36986339401333E-3</v>
      </c>
      <c r="P51" s="63">
        <f t="shared" si="242"/>
        <v>1.4433398251676526E-3</v>
      </c>
      <c r="Q51" s="63">
        <f t="shared" si="242"/>
        <v>3.8532030739178037E-3</v>
      </c>
      <c r="R51" s="63">
        <f t="shared" ref="R51:S54" si="243">R7/R$4</f>
        <v>5.4940606129261268E-3</v>
      </c>
      <c r="S51" s="63">
        <f t="shared" si="243"/>
        <v>2.4625751571183858E-3</v>
      </c>
      <c r="T51" s="63">
        <f t="shared" ref="T51:U54" si="244">T7/T$4</f>
        <v>2.5723809716507412E-3</v>
      </c>
      <c r="U51" s="63">
        <f t="shared" si="244"/>
        <v>0.10893483876444185</v>
      </c>
      <c r="V51" s="63">
        <f t="shared" ref="V51:Y51" si="245">V7/V$4</f>
        <v>1.1492246972164637E-3</v>
      </c>
      <c r="W51" s="63">
        <f t="shared" si="245"/>
        <v>6.6993224814821985E-3</v>
      </c>
      <c r="X51" s="63">
        <f t="shared" si="245"/>
        <v>7.0365022184205109E-3</v>
      </c>
      <c r="Y51" s="63">
        <f t="shared" si="245"/>
        <v>4.588936843870549E-3</v>
      </c>
      <c r="Z51" s="63">
        <f t="shared" ref="Z51:AA51" si="246">Z7/Z$4</f>
        <v>1.9928117633015055E-3</v>
      </c>
      <c r="AA51" s="63">
        <f t="shared" si="246"/>
        <v>2.1118256850920685E-3</v>
      </c>
      <c r="AB51" s="63">
        <f t="shared" ref="AB51:AC51" si="247">AB7/AB$4</f>
        <v>9.8230348405422695E-4</v>
      </c>
      <c r="AC51" s="63">
        <f t="shared" si="247"/>
        <v>7.4226943297500108E-3</v>
      </c>
      <c r="AD51" s="63">
        <f t="shared" ref="AD51:AF51" si="248">AD7/AD$4</f>
        <v>4.7238021355660246E-3</v>
      </c>
      <c r="AE51" s="63">
        <f t="shared" si="248"/>
        <v>1.160895495738057E-2</v>
      </c>
      <c r="AF51" s="63">
        <f t="shared" si="248"/>
        <v>1.1970602564247696E-2</v>
      </c>
      <c r="AG51" s="76">
        <v>4.4999999999999997E-3</v>
      </c>
      <c r="AH51" s="76">
        <v>4.0000000000000001E-3</v>
      </c>
      <c r="AI51" s="76">
        <v>5.0000000000000001E-3</v>
      </c>
      <c r="AJ51" s="76">
        <f t="shared" ref="AJ51:AX51" si="249">AI51</f>
        <v>5.0000000000000001E-3</v>
      </c>
      <c r="AK51" s="76">
        <f t="shared" si="249"/>
        <v>5.0000000000000001E-3</v>
      </c>
      <c r="AL51" s="76">
        <f t="shared" si="249"/>
        <v>5.0000000000000001E-3</v>
      </c>
      <c r="AM51" s="76">
        <v>4.0000000000000001E-3</v>
      </c>
      <c r="AN51" s="76">
        <f t="shared" si="249"/>
        <v>4.0000000000000001E-3</v>
      </c>
      <c r="AO51" s="76">
        <f t="shared" si="249"/>
        <v>4.0000000000000001E-3</v>
      </c>
      <c r="AP51" s="76">
        <f t="shared" si="249"/>
        <v>4.0000000000000001E-3</v>
      </c>
      <c r="AQ51" s="76">
        <v>3.0000000000000001E-3</v>
      </c>
      <c r="AR51" s="76">
        <f t="shared" si="249"/>
        <v>3.0000000000000001E-3</v>
      </c>
      <c r="AS51" s="76">
        <f t="shared" si="249"/>
        <v>3.0000000000000001E-3</v>
      </c>
      <c r="AT51" s="76">
        <f t="shared" si="249"/>
        <v>3.0000000000000001E-3</v>
      </c>
      <c r="AU51" s="76">
        <v>2E-3</v>
      </c>
      <c r="AV51" s="76">
        <f t="shared" si="249"/>
        <v>2E-3</v>
      </c>
      <c r="AW51" s="76">
        <f t="shared" si="249"/>
        <v>2E-3</v>
      </c>
      <c r="AX51" s="76">
        <f t="shared" si="249"/>
        <v>2E-3</v>
      </c>
      <c r="AZ51" s="63">
        <f t="shared" ref="AZ51:BF51" si="250">AZ7/AZ4</f>
        <v>1.3730393465502408E-2</v>
      </c>
      <c r="BA51" s="63">
        <f t="shared" si="250"/>
        <v>9.5426583345002876E-3</v>
      </c>
      <c r="BB51" s="64">
        <f t="shared" si="250"/>
        <v>5.7448264486143182E-3</v>
      </c>
      <c r="BC51" s="64">
        <f t="shared" si="250"/>
        <v>5.2693893093477542E-3</v>
      </c>
      <c r="BD51" s="64">
        <f t="shared" si="250"/>
        <v>2.7945269718406074E-3</v>
      </c>
      <c r="BE51" s="64">
        <f t="shared" si="250"/>
        <v>4.4112623438179793E-3</v>
      </c>
      <c r="BF51" s="64">
        <f t="shared" si="250"/>
        <v>6.1295056552779789E-3</v>
      </c>
      <c r="BG51" s="64">
        <f t="shared" ref="BG51" si="251">BG7/BG4</f>
        <v>2.5300288857024989E-3</v>
      </c>
      <c r="BH51" s="64">
        <f t="shared" ref="BH51:BM51" si="252">BH7/BH4</f>
        <v>3.9754518811125931E-3</v>
      </c>
      <c r="BI51" s="64">
        <f t="shared" si="252"/>
        <v>6.119814067694138E-3</v>
      </c>
      <c r="BJ51" s="64">
        <f t="shared" si="252"/>
        <v>4.9999999999999992E-3</v>
      </c>
      <c r="BK51" s="64">
        <f t="shared" si="252"/>
        <v>4.000000000000001E-3</v>
      </c>
      <c r="BL51" s="64">
        <f t="shared" si="252"/>
        <v>3.0000000000000001E-3</v>
      </c>
      <c r="BM51" s="64">
        <f t="shared" si="252"/>
        <v>2E-3</v>
      </c>
    </row>
    <row r="52" spans="2:65">
      <c r="B52" s="127" t="s">
        <v>209</v>
      </c>
      <c r="C52" s="63">
        <f>C8/C$4</f>
        <v>0.11466346872773127</v>
      </c>
      <c r="D52" s="63">
        <f t="shared" si="239"/>
        <v>2.6397225028817733E-2</v>
      </c>
      <c r="E52" s="63">
        <f t="shared" si="239"/>
        <v>0.29521191866768504</v>
      </c>
      <c r="F52" s="63">
        <f t="shared" si="240"/>
        <v>3.4662482885910201E-2</v>
      </c>
      <c r="G52" s="63">
        <f t="shared" si="240"/>
        <v>0.44136786766521285</v>
      </c>
      <c r="H52" s="63">
        <f t="shared" si="240"/>
        <v>0.11007195088476174</v>
      </c>
      <c r="I52" s="63">
        <f t="shared" si="240"/>
        <v>0.16111111338384271</v>
      </c>
      <c r="J52" s="63">
        <f t="shared" si="241"/>
        <v>6.6921420501997397E-2</v>
      </c>
      <c r="K52" s="63">
        <f t="shared" si="241"/>
        <v>0.31590977696892691</v>
      </c>
      <c r="L52" s="63">
        <f t="shared" si="241"/>
        <v>0.13119740428681445</v>
      </c>
      <c r="M52" s="63">
        <f t="shared" si="241"/>
        <v>0.22198600015088471</v>
      </c>
      <c r="N52" s="63">
        <f>N8/N$4</f>
        <v>5.5942639774931704E-2</v>
      </c>
      <c r="O52" s="63">
        <f t="shared" si="242"/>
        <v>0.28150616413784202</v>
      </c>
      <c r="P52" s="63">
        <f t="shared" si="242"/>
        <v>0.13932690988867266</v>
      </c>
      <c r="Q52" s="63">
        <f t="shared" ref="Q52" si="253">Q8/Q$4</f>
        <v>0.18453901153917787</v>
      </c>
      <c r="R52" s="63">
        <f t="shared" si="243"/>
        <v>7.0446965616414711E-2</v>
      </c>
      <c r="S52" s="63">
        <f t="shared" si="243"/>
        <v>0.24616500636509539</v>
      </c>
      <c r="T52" s="63">
        <f t="shared" si="244"/>
        <v>0.50637438173738514</v>
      </c>
      <c r="U52" s="63">
        <f t="shared" si="244"/>
        <v>0.54833261504722097</v>
      </c>
      <c r="V52" s="63">
        <f t="shared" ref="V52:Y52" si="254">V8/V$4</f>
        <v>4.7034416385627241E-2</v>
      </c>
      <c r="W52" s="63">
        <f t="shared" si="254"/>
        <v>0.50733939737596023</v>
      </c>
      <c r="X52" s="63">
        <f t="shared" si="254"/>
        <v>0.33059282207532981</v>
      </c>
      <c r="Y52" s="63">
        <f t="shared" si="254"/>
        <v>0.12340471201358288</v>
      </c>
      <c r="Z52" s="63">
        <f t="shared" ref="Z52:AA52" si="255">Z8/Z$4</f>
        <v>2.9552814620770758E-2</v>
      </c>
      <c r="AA52" s="63">
        <f t="shared" si="255"/>
        <v>1.2949184629354817E-2</v>
      </c>
      <c r="AB52" s="63">
        <f t="shared" ref="AB52" si="256">AB8/AB$4</f>
        <v>7.7583046189402807E-3</v>
      </c>
      <c r="AC52" s="63">
        <f>AC8/AC$4</f>
        <v>8.4281623873771402E-3</v>
      </c>
      <c r="AD52" s="63">
        <f>AD8/AD$4</f>
        <v>1.3415922128891122E-2</v>
      </c>
      <c r="AE52" s="63">
        <f>AE8/AE$4</f>
        <v>4.3842444803830864E-3</v>
      </c>
      <c r="AF52" s="63">
        <f t="shared" ref="AF52:AX52" si="257">AF8/AF$4</f>
        <v>4.3693850692278257E-3</v>
      </c>
      <c r="AG52" s="63">
        <f t="shared" si="257"/>
        <v>1.957563969303102E-3</v>
      </c>
      <c r="AH52" s="63">
        <f t="shared" si="257"/>
        <v>2.8437526325867774E-3</v>
      </c>
      <c r="AI52" s="63">
        <f t="shared" si="257"/>
        <v>9.798080356610108E-4</v>
      </c>
      <c r="AJ52" s="63">
        <f t="shared" si="257"/>
        <v>8.203006934577586E-4</v>
      </c>
      <c r="AK52" s="63">
        <f t="shared" si="257"/>
        <v>7.2879948678691419E-4</v>
      </c>
      <c r="AL52" s="63">
        <f t="shared" si="257"/>
        <v>8.8476052274488878E-4</v>
      </c>
      <c r="AM52" s="63">
        <f t="shared" si="257"/>
        <v>3.4746481266700348E-4</v>
      </c>
      <c r="AN52" s="63">
        <f t="shared" si="257"/>
        <v>3.9819929323469864E-4</v>
      </c>
      <c r="AO52" s="63">
        <f t="shared" si="257"/>
        <v>4.7348671425747138E-4</v>
      </c>
      <c r="AP52" s="63">
        <f t="shared" si="257"/>
        <v>7.3020855134023951E-4</v>
      </c>
      <c r="AQ52" s="63">
        <f t="shared" si="257"/>
        <v>2.4093959333309285E-4</v>
      </c>
      <c r="AR52" s="63">
        <f t="shared" si="257"/>
        <v>2.7236627482430563E-4</v>
      </c>
      <c r="AS52" s="63">
        <f t="shared" si="257"/>
        <v>3.3969472041621044E-4</v>
      </c>
      <c r="AT52" s="63">
        <f t="shared" si="257"/>
        <v>5.5752169015194639E-4</v>
      </c>
      <c r="AU52" s="63">
        <f t="shared" si="257"/>
        <v>2.1300057257844887E-4</v>
      </c>
      <c r="AV52" s="63">
        <f t="shared" si="257"/>
        <v>2.2473208058343923E-4</v>
      </c>
      <c r="AW52" s="63">
        <f t="shared" si="257"/>
        <v>2.7735650975168436E-4</v>
      </c>
      <c r="AX52" s="63">
        <f t="shared" si="257"/>
        <v>4.5072849243710705E-4</v>
      </c>
      <c r="AZ52" s="63">
        <f t="shared" ref="AZ52:BA54" si="258">AZ8/AZ$4</f>
        <v>1.529973297605533E-2</v>
      </c>
      <c r="BA52" s="63">
        <f t="shared" si="258"/>
        <v>5.3116387079097799E-2</v>
      </c>
      <c r="BB52" s="64">
        <f t="shared" ref="BB52:BF54" si="259">BB8/BB$4</f>
        <v>4.2828147060608765E-2</v>
      </c>
      <c r="BC52" s="64">
        <f t="shared" si="259"/>
        <v>9.789419210316129E-2</v>
      </c>
      <c r="BD52" s="64">
        <f t="shared" si="259"/>
        <v>9.9057518581952636E-2</v>
      </c>
      <c r="BE52" s="64">
        <f t="shared" si="259"/>
        <v>0.11345067170332114</v>
      </c>
      <c r="BF52" s="64">
        <f t="shared" si="259"/>
        <v>0.1156869416350865</v>
      </c>
      <c r="BG52" s="64">
        <f t="shared" ref="BG52" si="260">BG8/BG$4</f>
        <v>5.9648558610418838E-2</v>
      </c>
      <c r="BH52" s="64">
        <f t="shared" ref="BH52:BI54" si="261">BH8/BH$4</f>
        <v>1.0469849992188968E-2</v>
      </c>
      <c r="BI52" s="64">
        <f t="shared" si="261"/>
        <v>2.9247627934520289E-3</v>
      </c>
      <c r="BJ52" s="64">
        <f t="shared" ref="BJ52:BM54" si="262">BJ8/BJ$4</f>
        <v>8.4538096829650717E-4</v>
      </c>
      <c r="BK52" s="64">
        <f t="shared" si="262"/>
        <v>4.9206315756759498E-4</v>
      </c>
      <c r="BL52" s="64">
        <f t="shared" si="262"/>
        <v>3.5148289087386591E-4</v>
      </c>
      <c r="BM52" s="64">
        <f t="shared" si="262"/>
        <v>2.9290463935441942E-4</v>
      </c>
    </row>
    <row r="53" spans="2:65">
      <c r="B53" s="127" t="s">
        <v>210</v>
      </c>
      <c r="C53" s="63">
        <f>C9/C$4</f>
        <v>1.1274418966665041</v>
      </c>
      <c r="D53" s="63">
        <f t="shared" si="239"/>
        <v>0.2791987766945862</v>
      </c>
      <c r="E53" s="63">
        <f t="shared" si="239"/>
        <v>33.155265805077711</v>
      </c>
      <c r="F53" s="63">
        <f t="shared" si="240"/>
        <v>1.8345861712671674</v>
      </c>
      <c r="G53" s="63">
        <f t="shared" si="240"/>
        <v>2.6124761119994755</v>
      </c>
      <c r="H53" s="63">
        <f t="shared" si="240"/>
        <v>0.43597836285288893</v>
      </c>
      <c r="I53" s="63">
        <f t="shared" si="240"/>
        <v>0.52583613234843851</v>
      </c>
      <c r="J53" s="63">
        <f t="shared" si="241"/>
        <v>0.21550600142051174</v>
      </c>
      <c r="K53" s="63">
        <f t="shared" si="241"/>
        <v>2.1003743078364892</v>
      </c>
      <c r="L53" s="63">
        <f t="shared" si="241"/>
        <v>0.81612590913196226</v>
      </c>
      <c r="M53" s="63">
        <f t="shared" si="241"/>
        <v>1.1582269377803376</v>
      </c>
      <c r="N53" s="63">
        <f>N9/N$4</f>
        <v>0.27845666112601114</v>
      </c>
      <c r="O53" s="63">
        <f t="shared" si="242"/>
        <v>1.4851937428738591</v>
      </c>
      <c r="P53" s="63">
        <f t="shared" si="242"/>
        <v>0.85460438395154337</v>
      </c>
      <c r="Q53" s="63">
        <f t="shared" ref="Q53" si="263">Q9/Q$4</f>
        <v>1.0328872828559932</v>
      </c>
      <c r="R53" s="63">
        <f t="shared" si="243"/>
        <v>3.1162037384420842E-2</v>
      </c>
      <c r="S53" s="63">
        <f t="shared" si="243"/>
        <v>0.77711685024652666</v>
      </c>
      <c r="T53" s="63">
        <f t="shared" si="244"/>
        <v>1.762964412373843</v>
      </c>
      <c r="U53" s="63">
        <f t="shared" si="244"/>
        <v>2.4131930958492451</v>
      </c>
      <c r="V53" s="63">
        <f t="shared" ref="V53:Y53" si="264">V9/V$4</f>
        <v>-8.8116388890548014E-2</v>
      </c>
      <c r="W53" s="63">
        <f t="shared" si="264"/>
        <v>3.7275186131411053</v>
      </c>
      <c r="X53" s="63">
        <f t="shared" si="264"/>
        <v>2.2156170775228907</v>
      </c>
      <c r="Y53" s="63">
        <f t="shared" si="264"/>
        <v>0.73010366258070614</v>
      </c>
      <c r="Z53" s="63">
        <f t="shared" ref="Z53:AA53" si="265">Z9/Z$4</f>
        <v>-9.0764614687208714E-2</v>
      </c>
      <c r="AA53" s="63">
        <f t="shared" si="265"/>
        <v>3.8756729524673496E-2</v>
      </c>
      <c r="AB53" s="63">
        <f t="shared" ref="AB53" si="266">AB9/AB$4</f>
        <v>3.1041935354414091E-2</v>
      </c>
      <c r="AC53" s="63">
        <f t="shared" ref="AC53:AX53" si="267">AC9/AC$4</f>
        <v>2.3018500882785686E-2</v>
      </c>
      <c r="AD53" s="63">
        <f t="shared" ref="AD53:AE53" si="268">AD9/AD$4</f>
        <v>3.1936151021830249E-2</v>
      </c>
      <c r="AE53" s="63">
        <f t="shared" si="268"/>
        <v>1.2458877231764785E-2</v>
      </c>
      <c r="AF53" s="63">
        <f t="shared" si="267"/>
        <v>1.4952178566579368E-2</v>
      </c>
      <c r="AG53" s="63">
        <f t="shared" si="267"/>
        <v>5.8324183160451603E-3</v>
      </c>
      <c r="AH53" s="63">
        <f t="shared" si="267"/>
        <v>6.7694574156361154E-3</v>
      </c>
      <c r="AI53" s="63">
        <f t="shared" si="267"/>
        <v>2.7843584183358532E-3</v>
      </c>
      <c r="AJ53" s="63">
        <f t="shared" si="267"/>
        <v>2.8070957932386717E-3</v>
      </c>
      <c r="AK53" s="63">
        <f t="shared" si="267"/>
        <v>2.1714046345946789E-3</v>
      </c>
      <c r="AL53" s="63">
        <f t="shared" si="267"/>
        <v>2.1061426416366432E-3</v>
      </c>
      <c r="AM53" s="63">
        <f t="shared" si="267"/>
        <v>9.8740420675584323E-4</v>
      </c>
      <c r="AN53" s="63">
        <f t="shared" si="267"/>
        <v>1.3626510008153431E-3</v>
      </c>
      <c r="AO53" s="63">
        <f t="shared" si="267"/>
        <v>1.4107189486239086E-3</v>
      </c>
      <c r="AP53" s="63">
        <f t="shared" si="267"/>
        <v>1.7382368762274014E-3</v>
      </c>
      <c r="AQ53" s="63">
        <f t="shared" si="267"/>
        <v>6.8468736792388972E-4</v>
      </c>
      <c r="AR53" s="63">
        <f t="shared" si="267"/>
        <v>9.3204629762850145E-4</v>
      </c>
      <c r="AS53" s="63">
        <f t="shared" si="267"/>
        <v>1.0120955127329368E-3</v>
      </c>
      <c r="AT53" s="63">
        <f t="shared" si="267"/>
        <v>1.3271616161438071E-3</v>
      </c>
      <c r="AU53" s="63">
        <f t="shared" si="267"/>
        <v>6.0529197126767446E-4</v>
      </c>
      <c r="AV53" s="63">
        <f t="shared" si="267"/>
        <v>7.6904052750752889E-4</v>
      </c>
      <c r="AW53" s="63">
        <f t="shared" si="267"/>
        <v>8.2636338475619412E-4</v>
      </c>
      <c r="AX53" s="63">
        <f t="shared" si="267"/>
        <v>1.0729440038500793E-3</v>
      </c>
      <c r="AZ53" s="63">
        <f t="shared" si="258"/>
        <v>47.434448969802304</v>
      </c>
      <c r="BA53" s="63">
        <f t="shared" si="258"/>
        <v>0.37663351476164936</v>
      </c>
      <c r="BB53" s="64">
        <f t="shared" si="259"/>
        <v>2.3788857147787672</v>
      </c>
      <c r="BC53" s="64">
        <f t="shared" si="259"/>
        <v>0.35974383678342198</v>
      </c>
      <c r="BD53" s="64">
        <f t="shared" si="259"/>
        <v>0.54877587011628326</v>
      </c>
      <c r="BE53" s="64">
        <f t="shared" si="259"/>
        <v>0.40688634642480576</v>
      </c>
      <c r="BF53" s="64">
        <f t="shared" si="259"/>
        <v>0.2164638130423388</v>
      </c>
      <c r="BG53" s="64">
        <f t="shared" ref="BG53" si="269">BG9/BG$4</f>
        <v>0.15370997922705854</v>
      </c>
      <c r="BH53" s="64">
        <f t="shared" si="261"/>
        <v>3.0489291462407406E-2</v>
      </c>
      <c r="BI53" s="64">
        <f t="shared" si="261"/>
        <v>8.1958106400688464E-3</v>
      </c>
      <c r="BJ53" s="64">
        <f t="shared" si="262"/>
        <v>2.3689382094123856E-3</v>
      </c>
      <c r="BK53" s="64">
        <f t="shared" si="262"/>
        <v>1.3788661669955403E-3</v>
      </c>
      <c r="BL53" s="64">
        <f t="shared" si="262"/>
        <v>9.8493020469060991E-4</v>
      </c>
      <c r="BM53" s="64">
        <f t="shared" si="262"/>
        <v>8.2078142033293472E-4</v>
      </c>
    </row>
    <row r="54" spans="2:65">
      <c r="B54" s="127" t="s">
        <v>211</v>
      </c>
      <c r="C54" s="63">
        <f>C10/C$4</f>
        <v>3.2928239318834951</v>
      </c>
      <c r="D54" s="63">
        <f t="shared" si="239"/>
        <v>1.0242458753847161</v>
      </c>
      <c r="E54" s="63">
        <f t="shared" si="239"/>
        <v>15.870437774019914</v>
      </c>
      <c r="F54" s="63">
        <f t="shared" si="240"/>
        <v>0.64962806159206188</v>
      </c>
      <c r="G54" s="63">
        <f t="shared" si="240"/>
        <v>10.418330389527444</v>
      </c>
      <c r="H54" s="63">
        <f t="shared" si="240"/>
        <v>2.0757610636081911</v>
      </c>
      <c r="I54" s="63">
        <f t="shared" si="240"/>
        <v>2.2152571881119263</v>
      </c>
      <c r="J54" s="63">
        <f t="shared" si="241"/>
        <v>1.1118103599660525</v>
      </c>
      <c r="K54" s="63">
        <f t="shared" si="241"/>
        <v>5.404900239374717</v>
      </c>
      <c r="L54" s="63">
        <f t="shared" si="241"/>
        <v>2.164672112534856</v>
      </c>
      <c r="M54" s="63">
        <f t="shared" si="241"/>
        <v>3.4172803481156175</v>
      </c>
      <c r="N54" s="63">
        <f>N10/N$4</f>
        <v>0.86497693961767497</v>
      </c>
      <c r="O54" s="63">
        <f t="shared" si="242"/>
        <v>4.4233046332482813</v>
      </c>
      <c r="P54" s="63">
        <f t="shared" si="242"/>
        <v>3.2234406570239673</v>
      </c>
      <c r="Q54" s="63">
        <f t="shared" ref="Q54" si="270">Q10/Q$4</f>
        <v>3.4540735207847231</v>
      </c>
      <c r="R54" s="63">
        <f t="shared" si="243"/>
        <v>1.235306634444213</v>
      </c>
      <c r="S54" s="63">
        <f t="shared" si="243"/>
        <v>3.1202976848674218</v>
      </c>
      <c r="T54" s="63">
        <f t="shared" si="244"/>
        <v>6.3203371882344657</v>
      </c>
      <c r="U54" s="63">
        <f t="shared" si="244"/>
        <v>7.4928735435411564</v>
      </c>
      <c r="V54" s="63">
        <f t="shared" ref="V54:X54" si="271">V10/V$4</f>
        <v>0.70994646000098294</v>
      </c>
      <c r="W54" s="63">
        <f t="shared" si="271"/>
        <v>6.6082707694403631</v>
      </c>
      <c r="X54" s="63">
        <f t="shared" si="271"/>
        <v>7.1067213896778503</v>
      </c>
      <c r="Y54" s="63">
        <f t="shared" ref="Y54:AD54" si="272">Y10/Y$4</f>
        <v>1.7551706639646363</v>
      </c>
      <c r="Z54" s="63">
        <f t="shared" si="272"/>
        <v>0.56293056212811943</v>
      </c>
      <c r="AA54" s="63">
        <f t="shared" si="272"/>
        <v>0.24525082841748161</v>
      </c>
      <c r="AB54" s="63">
        <f t="shared" si="272"/>
        <v>0.15222540718817365</v>
      </c>
      <c r="AC54" s="63">
        <f t="shared" si="272"/>
        <v>0.17427158967581699</v>
      </c>
      <c r="AD54" s="63">
        <f t="shared" si="272"/>
        <v>0.2688050656362036</v>
      </c>
      <c r="AE54" s="63">
        <f t="shared" ref="AE54:AF54" si="273">AE10/AE$4</f>
        <v>0.11233054200332075</v>
      </c>
      <c r="AF54" s="63">
        <f t="shared" si="273"/>
        <v>0.12164625526804373</v>
      </c>
      <c r="AG54" s="76">
        <v>0.26500000000000001</v>
      </c>
      <c r="AH54" s="76">
        <f>AG54</f>
        <v>0.26500000000000001</v>
      </c>
      <c r="AI54" s="76">
        <v>0.33</v>
      </c>
      <c r="AJ54" s="76">
        <f>AI54</f>
        <v>0.33</v>
      </c>
      <c r="AK54" s="76">
        <f t="shared" ref="AK54:AX54" si="274">AJ54</f>
        <v>0.33</v>
      </c>
      <c r="AL54" s="76">
        <f t="shared" si="274"/>
        <v>0.33</v>
      </c>
      <c r="AM54" s="76">
        <v>0.32</v>
      </c>
      <c r="AN54" s="76">
        <f t="shared" si="274"/>
        <v>0.32</v>
      </c>
      <c r="AO54" s="76">
        <f t="shared" si="274"/>
        <v>0.32</v>
      </c>
      <c r="AP54" s="76">
        <f t="shared" si="274"/>
        <v>0.32</v>
      </c>
      <c r="AQ54" s="76">
        <v>0.31</v>
      </c>
      <c r="AR54" s="76">
        <f t="shared" si="274"/>
        <v>0.31</v>
      </c>
      <c r="AS54" s="76">
        <f t="shared" si="274"/>
        <v>0.31</v>
      </c>
      <c r="AT54" s="76">
        <f t="shared" si="274"/>
        <v>0.31</v>
      </c>
      <c r="AU54" s="76">
        <v>0.30659999999999998</v>
      </c>
      <c r="AV54" s="76">
        <f t="shared" si="274"/>
        <v>0.30659999999999998</v>
      </c>
      <c r="AW54" s="76">
        <f t="shared" si="274"/>
        <v>0.30659999999999998</v>
      </c>
      <c r="AX54" s="76">
        <f t="shared" si="274"/>
        <v>0.30659999999999998</v>
      </c>
      <c r="AZ54" s="63">
        <f t="shared" si="258"/>
        <v>3.8073198305930953</v>
      </c>
      <c r="BA54" s="63">
        <f t="shared" si="258"/>
        <v>2.0517953729830101</v>
      </c>
      <c r="BB54" s="64">
        <f t="shared" si="259"/>
        <v>1.2232447196188312</v>
      </c>
      <c r="BC54" s="64">
        <f t="shared" si="259"/>
        <v>1.6740782521240731</v>
      </c>
      <c r="BD54" s="64">
        <f t="shared" si="259"/>
        <v>1.575130720614917</v>
      </c>
      <c r="BE54" s="64">
        <f t="shared" si="259"/>
        <v>2.08920993629618</v>
      </c>
      <c r="BF54" s="64">
        <f t="shared" si="259"/>
        <v>1.5753161781396443</v>
      </c>
      <c r="BG54" s="64">
        <f t="shared" ref="BG54" si="275">BG10/BG$4</f>
        <v>1.0352579276370868</v>
      </c>
      <c r="BH54" s="64">
        <f t="shared" si="261"/>
        <v>0.20790576899377544</v>
      </c>
      <c r="BI54" s="64">
        <f t="shared" si="261"/>
        <v>0.22803818078141266</v>
      </c>
      <c r="BJ54" s="64">
        <f t="shared" si="262"/>
        <v>0.32999999999999996</v>
      </c>
      <c r="BK54" s="64">
        <f t="shared" si="262"/>
        <v>0.32</v>
      </c>
      <c r="BL54" s="64">
        <f t="shared" si="262"/>
        <v>0.31</v>
      </c>
      <c r="BM54" s="64">
        <f t="shared" si="262"/>
        <v>0.30659999999999998</v>
      </c>
    </row>
    <row r="55" spans="2:65" s="139" customFormat="1">
      <c r="B55" s="139" t="s">
        <v>175</v>
      </c>
      <c r="C55" s="61">
        <f>C23/C22</f>
        <v>-4.5410210734052044E-6</v>
      </c>
      <c r="D55" s="61">
        <f t="shared" ref="D55:I55" si="276">D23/D22</f>
        <v>-1.2515705681688191E-5</v>
      </c>
      <c r="E55" s="61">
        <v>0.15</v>
      </c>
      <c r="F55" s="61">
        <f t="shared" si="276"/>
        <v>0</v>
      </c>
      <c r="G55" s="61">
        <f t="shared" si="276"/>
        <v>0</v>
      </c>
      <c r="H55" s="61">
        <f t="shared" si="276"/>
        <v>0</v>
      </c>
      <c r="I55" s="61">
        <f t="shared" si="276"/>
        <v>0</v>
      </c>
      <c r="J55" s="61">
        <f t="shared" ref="J55:O55" si="277">J23/J22</f>
        <v>0</v>
      </c>
      <c r="K55" s="61">
        <f t="shared" si="277"/>
        <v>0</v>
      </c>
      <c r="L55" s="61">
        <f t="shared" si="277"/>
        <v>-6.9171755375472546E-4</v>
      </c>
      <c r="M55" s="61">
        <f t="shared" si="277"/>
        <v>0</v>
      </c>
      <c r="N55" s="61">
        <f t="shared" si="277"/>
        <v>-3.0147067722983163E-2</v>
      </c>
      <c r="O55" s="61">
        <f t="shared" si="277"/>
        <v>-4.6290476545768178E-5</v>
      </c>
      <c r="P55" s="61">
        <f t="shared" ref="P55:U55" si="278">P23/P22</f>
        <v>-2.0615246181011492E-4</v>
      </c>
      <c r="Q55" s="61">
        <f t="shared" si="278"/>
        <v>-1.9373093920644137E-6</v>
      </c>
      <c r="R55" s="61">
        <f t="shared" si="278"/>
        <v>-6.4551059594491157E-3</v>
      </c>
      <c r="S55" s="61">
        <f t="shared" si="278"/>
        <v>0</v>
      </c>
      <c r="T55" s="61">
        <f t="shared" si="278"/>
        <v>0</v>
      </c>
      <c r="U55" s="61">
        <f t="shared" si="278"/>
        <v>0</v>
      </c>
      <c r="V55" s="61">
        <f t="shared" ref="V55:Y55" si="279">V23/V22</f>
        <v>0</v>
      </c>
      <c r="W55" s="61">
        <f t="shared" si="279"/>
        <v>0</v>
      </c>
      <c r="X55" s="61">
        <f t="shared" si="279"/>
        <v>0</v>
      </c>
      <c r="Y55" s="61">
        <f t="shared" si="279"/>
        <v>0</v>
      </c>
      <c r="Z55" s="61">
        <f t="shared" ref="Z55:AA55" si="280">Z23/Z22</f>
        <v>3.4425805085853203E-3</v>
      </c>
      <c r="AA55" s="61">
        <f t="shared" si="280"/>
        <v>3.6038016630047311E-4</v>
      </c>
      <c r="AB55" s="61">
        <f>AB23/AB22</f>
        <v>-4.2556325274678181E-5</v>
      </c>
      <c r="AC55" s="61">
        <f>AC23/AC22</f>
        <v>-4.7988458948510404E-4</v>
      </c>
      <c r="AD55" s="61">
        <f>AD23/AD22</f>
        <v>2.342015576228674E-3</v>
      </c>
      <c r="AE55" s="61">
        <f>AE23/AE22</f>
        <v>1.1022496010818165E-3</v>
      </c>
      <c r="AF55" s="61">
        <f>AF23/AF22</f>
        <v>-8.2807576107593941E-3</v>
      </c>
      <c r="AG55" s="77">
        <v>0.05</v>
      </c>
      <c r="AH55" s="77">
        <f t="shared" ref="AH55" si="281">AG55</f>
        <v>0.05</v>
      </c>
      <c r="AI55" s="77">
        <v>0.1</v>
      </c>
      <c r="AJ55" s="77">
        <f t="shared" ref="AJ55:AL55" si="282">AI55</f>
        <v>0.1</v>
      </c>
      <c r="AK55" s="77">
        <f t="shared" si="282"/>
        <v>0.1</v>
      </c>
      <c r="AL55" s="77">
        <f t="shared" si="282"/>
        <v>0.1</v>
      </c>
      <c r="AM55" s="77">
        <v>0.12</v>
      </c>
      <c r="AN55" s="77">
        <f t="shared" ref="AN55" si="283">AM55</f>
        <v>0.12</v>
      </c>
      <c r="AO55" s="77">
        <f t="shared" ref="AO55" si="284">AN55</f>
        <v>0.12</v>
      </c>
      <c r="AP55" s="77">
        <f t="shared" ref="AP55" si="285">AO55</f>
        <v>0.12</v>
      </c>
      <c r="AQ55" s="77">
        <v>0.14000000000000001</v>
      </c>
      <c r="AR55" s="77">
        <f>AQ55</f>
        <v>0.14000000000000001</v>
      </c>
      <c r="AS55" s="77">
        <v>0.14000000000000001</v>
      </c>
      <c r="AT55" s="77">
        <f t="shared" ref="AT55" si="286">AS55</f>
        <v>0.14000000000000001</v>
      </c>
      <c r="AU55" s="77">
        <v>0.16</v>
      </c>
      <c r="AV55" s="77">
        <f t="shared" ref="AV55" si="287">AU55</f>
        <v>0.16</v>
      </c>
      <c r="AW55" s="77">
        <f t="shared" ref="AW55" si="288">AV55</f>
        <v>0.16</v>
      </c>
      <c r="AX55" s="77">
        <f t="shared" ref="AX55" si="289">AW55</f>
        <v>0.16</v>
      </c>
      <c r="AZ55" s="61">
        <f>AZ23/AZ22</f>
        <v>0</v>
      </c>
      <c r="BA55" s="61">
        <f>BA23/BA22</f>
        <v>0</v>
      </c>
      <c r="BB55" s="62">
        <f t="shared" ref="BB55:BI55" si="290">BB23/BB22</f>
        <v>-1.7335731372346906E-7</v>
      </c>
      <c r="BC55" s="62">
        <f t="shared" si="290"/>
        <v>0</v>
      </c>
      <c r="BD55" s="62">
        <f t="shared" si="290"/>
        <v>-7.2727410275790771E-3</v>
      </c>
      <c r="BE55" s="62">
        <f t="shared" si="290"/>
        <v>-1.7206463300438748E-3</v>
      </c>
      <c r="BF55" s="62">
        <f t="shared" si="290"/>
        <v>0</v>
      </c>
      <c r="BG55" s="62">
        <f t="shared" ref="BG55" si="291">BG23/BG22</f>
        <v>-2.058233635751206E-3</v>
      </c>
      <c r="BH55" s="62">
        <f t="shared" si="290"/>
        <v>4.3420110677824662E-4</v>
      </c>
      <c r="BI55" s="62">
        <f t="shared" si="290"/>
        <v>3.0453285830414758E-2</v>
      </c>
      <c r="BJ55" s="62">
        <f>BJ23/BJ22</f>
        <v>9.9403019622068781E-2</v>
      </c>
      <c r="BK55" s="62">
        <f>BK23/BK22</f>
        <v>0.12000000000000005</v>
      </c>
      <c r="BL55" s="62">
        <f>BL23/BL22</f>
        <v>0.13999999999999999</v>
      </c>
      <c r="BM55" s="62">
        <f>BM23/BM22</f>
        <v>0.15999999999999998</v>
      </c>
    </row>
    <row r="57" spans="2:65">
      <c r="B57" s="137" t="s">
        <v>212</v>
      </c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</row>
    <row r="58" spans="2:65">
      <c r="B58" s="127" t="s">
        <v>213</v>
      </c>
      <c r="C58" s="65"/>
      <c r="D58" s="65"/>
      <c r="E58" s="65"/>
      <c r="AZ58" s="65">
        <f>BS!F4</f>
        <v>0</v>
      </c>
      <c r="BA58" s="65">
        <f>BS!G4</f>
        <v>232.19620608000002</v>
      </c>
      <c r="BB58" s="53">
        <f>BS!H4</f>
        <v>1354.3748877</v>
      </c>
      <c r="BC58" s="53">
        <f>BS!I4</f>
        <v>383.30868042999998</v>
      </c>
      <c r="BD58" s="53">
        <f>BS!J4</f>
        <v>4875.2883558800004</v>
      </c>
      <c r="BE58" s="53">
        <f>BS!K4</f>
        <v>2920.8458454499996</v>
      </c>
      <c r="BF58" s="53">
        <f>BS!L4</f>
        <v>2467.3097058499998</v>
      </c>
      <c r="BG58" s="53">
        <f>BS!M4</f>
        <v>3953.7104085400001</v>
      </c>
      <c r="BH58" s="53">
        <f>BS!N4</f>
        <v>1986.4922663</v>
      </c>
      <c r="BI58" s="53">
        <f>BS!O4</f>
        <v>1317.35897684</v>
      </c>
      <c r="BJ58" s="53">
        <f>BS!P4</f>
        <v>2845.7552666465954</v>
      </c>
      <c r="BK58" s="53">
        <f>BS!Q4</f>
        <v>11938.969382930754</v>
      </c>
      <c r="BL58" s="53">
        <f>BS!R4</f>
        <v>25456.797076739098</v>
      </c>
      <c r="BM58" s="53">
        <f>BS!S4</f>
        <v>58168.733833465827</v>
      </c>
    </row>
    <row r="59" spans="2:65">
      <c r="B59" s="127" t="s">
        <v>37</v>
      </c>
      <c r="C59" s="53"/>
      <c r="D59" s="53"/>
      <c r="E59" s="53"/>
      <c r="AZ59" s="53">
        <f t="shared" ref="AZ59:BE59" si="292">AZ14</f>
        <v>1.45372652</v>
      </c>
      <c r="BA59" s="53">
        <f t="shared" si="292"/>
        <v>3.7166684900000004</v>
      </c>
      <c r="BB59" s="53">
        <f t="shared" si="292"/>
        <v>5.1253459599999998</v>
      </c>
      <c r="BC59" s="53">
        <f t="shared" si="292"/>
        <v>22.13674928</v>
      </c>
      <c r="BD59" s="53">
        <f t="shared" si="292"/>
        <v>59.527839389999997</v>
      </c>
      <c r="BE59" s="53">
        <f t="shared" si="292"/>
        <v>50.460995519999997</v>
      </c>
      <c r="BF59" s="53">
        <f t="shared" ref="BF59:BH59" si="293">BF14</f>
        <v>48.500509210000004</v>
      </c>
      <c r="BG59" s="53">
        <f t="shared" si="293"/>
        <v>30.744471620000002</v>
      </c>
      <c r="BH59" s="53">
        <f t="shared" si="293"/>
        <v>13.15662017</v>
      </c>
      <c r="BI59" s="78">
        <f t="shared" ref="BI59:BM59" si="294">BI58*BI60</f>
        <v>7.9041538610400002</v>
      </c>
      <c r="BJ59" s="78">
        <f t="shared" si="294"/>
        <v>11.383021066586382</v>
      </c>
      <c r="BK59" s="78">
        <f t="shared" si="294"/>
        <v>11.938969382930754</v>
      </c>
      <c r="BL59" s="78">
        <f t="shared" si="294"/>
        <v>12.728398538369548</v>
      </c>
      <c r="BM59" s="78">
        <f t="shared" si="294"/>
        <v>11.633746766693166</v>
      </c>
    </row>
    <row r="60" spans="2:65">
      <c r="B60" s="127" t="s">
        <v>214</v>
      </c>
      <c r="C60" s="66"/>
      <c r="D60" s="66"/>
      <c r="E60" s="66"/>
      <c r="K60"/>
      <c r="AZ60" s="66" t="e">
        <f t="shared" ref="AZ60:BE60" si="295">AZ59/AZ58</f>
        <v>#DIV/0!</v>
      </c>
      <c r="BA60" s="66">
        <f t="shared" si="295"/>
        <v>1.6006585778233919E-2</v>
      </c>
      <c r="BB60" s="66">
        <f t="shared" si="295"/>
        <v>3.7842889782930518E-3</v>
      </c>
      <c r="BC60" s="66">
        <f t="shared" si="295"/>
        <v>5.7751755726394578E-2</v>
      </c>
      <c r="BD60" s="66">
        <f t="shared" si="295"/>
        <v>1.2210116621759307E-2</v>
      </c>
      <c r="BE60" s="66">
        <f t="shared" si="295"/>
        <v>1.7276158410963909E-2</v>
      </c>
      <c r="BF60" s="66">
        <f t="shared" ref="BF60:BH60" si="296">BF59/BF58</f>
        <v>1.9657244120997511E-2</v>
      </c>
      <c r="BG60" s="66">
        <f t="shared" si="296"/>
        <v>7.77610609861361E-3</v>
      </c>
      <c r="BH60" s="66">
        <f t="shared" si="296"/>
        <v>6.6230412235660265E-3</v>
      </c>
      <c r="BI60" s="58">
        <v>6.0000000000000001E-3</v>
      </c>
      <c r="BJ60" s="58">
        <v>4.0000000000000001E-3</v>
      </c>
      <c r="BK60" s="58">
        <v>1E-3</v>
      </c>
      <c r="BL60" s="58">
        <v>5.0000000000000001E-4</v>
      </c>
      <c r="BM60" s="58">
        <v>2.0000000000000001E-4</v>
      </c>
    </row>
    <row r="61" spans="2:65">
      <c r="K61"/>
    </row>
    <row r="62" spans="2:65">
      <c r="B62" s="127" t="s">
        <v>215</v>
      </c>
      <c r="K62"/>
      <c r="AZ62" s="127">
        <f>BS!F21+BS!F24</f>
        <v>0</v>
      </c>
      <c r="BA62" s="127">
        <f>BS!G21+BS!G24</f>
        <v>0</v>
      </c>
      <c r="BB62" s="53">
        <f>BS!H21+BS!H24</f>
        <v>0</v>
      </c>
      <c r="BC62" s="53">
        <f>BS!I21+BS!I24</f>
        <v>0</v>
      </c>
      <c r="BD62" s="53">
        <f>BS!J21+BS!J24</f>
        <v>3.5954144800000001</v>
      </c>
      <c r="BE62" s="53">
        <f>BS!K21+BS!K24</f>
        <v>55.892880409999997</v>
      </c>
      <c r="BF62" s="53">
        <f>BS!L21+BS!L24</f>
        <v>67.182932309999998</v>
      </c>
      <c r="BG62" s="53">
        <f>BS!M21+BS!M24</f>
        <v>36.582378679999998</v>
      </c>
      <c r="BH62" s="53">
        <f>BS!N21+BS!N24</f>
        <v>119.55269060000001</v>
      </c>
      <c r="BI62" s="53">
        <f>BS!O21+BS!O24</f>
        <v>366.80954884000005</v>
      </c>
      <c r="BJ62" s="53">
        <f>BS!P21+BS!P24</f>
        <v>17</v>
      </c>
      <c r="BK62" s="53">
        <f>BS!Q21+BS!Q24</f>
        <v>17</v>
      </c>
      <c r="BL62" s="53">
        <f>BS!R21+BS!R24</f>
        <v>17</v>
      </c>
      <c r="BM62" s="53">
        <f>BS!S21+BS!S24</f>
        <v>17</v>
      </c>
    </row>
    <row r="63" spans="2:65">
      <c r="B63" s="127" t="s">
        <v>28</v>
      </c>
      <c r="K63"/>
      <c r="AZ63" s="127">
        <f t="shared" ref="AZ63:BE63" si="297">AZ15</f>
        <v>0</v>
      </c>
      <c r="BA63" s="127">
        <f t="shared" si="297"/>
        <v>0</v>
      </c>
      <c r="BB63" s="53">
        <f t="shared" si="297"/>
        <v>0</v>
      </c>
      <c r="BC63" s="53">
        <f t="shared" si="297"/>
        <v>0</v>
      </c>
      <c r="BD63" s="53">
        <f t="shared" si="297"/>
        <v>-3.4026464399999998</v>
      </c>
      <c r="BE63" s="53">
        <f t="shared" si="297"/>
        <v>-4.0224283399999994</v>
      </c>
      <c r="BF63" s="53">
        <f t="shared" ref="BF63:BH63" si="298">BF15</f>
        <v>-3.4125854800000002</v>
      </c>
      <c r="BG63" s="53">
        <f t="shared" si="298"/>
        <v>-2.5548643799999997</v>
      </c>
      <c r="BH63" s="53">
        <f t="shared" si="298"/>
        <v>-2.0879052699999998</v>
      </c>
      <c r="BI63" s="53">
        <f t="shared" ref="BI63:BM63" si="299">-BI62*BI64</f>
        <v>-38.515002628200001</v>
      </c>
      <c r="BJ63" s="53">
        <f t="shared" si="299"/>
        <v>-1.87</v>
      </c>
      <c r="BK63" s="53">
        <f t="shared" si="299"/>
        <v>-1.87</v>
      </c>
      <c r="BL63" s="53">
        <f t="shared" si="299"/>
        <v>-1.87</v>
      </c>
      <c r="BM63" s="53">
        <f t="shared" si="299"/>
        <v>-1.87</v>
      </c>
    </row>
    <row r="64" spans="2:65">
      <c r="B64" s="127" t="s">
        <v>214</v>
      </c>
      <c r="K64"/>
      <c r="AZ64" s="127">
        <f t="shared" ref="AZ64:BE64" si="300">IF(AZ62=0, 0, -AZ63/AZ62)</f>
        <v>0</v>
      </c>
      <c r="BA64" s="127">
        <f t="shared" si="300"/>
        <v>0</v>
      </c>
      <c r="BB64" s="66">
        <f t="shared" si="300"/>
        <v>0</v>
      </c>
      <c r="BC64" s="66">
        <f t="shared" si="300"/>
        <v>0</v>
      </c>
      <c r="BD64" s="66">
        <f t="shared" si="300"/>
        <v>0.94638502985614048</v>
      </c>
      <c r="BE64" s="66">
        <f t="shared" si="300"/>
        <v>7.1966739063967305E-2</v>
      </c>
      <c r="BF64" s="66">
        <f t="shared" ref="BF64:BH64" si="301">IF(BF62=0, 0, -BF63/BF62)</f>
        <v>5.079542322227644E-2</v>
      </c>
      <c r="BG64" s="66">
        <f t="shared" si="301"/>
        <v>6.9838662005780747E-2</v>
      </c>
      <c r="BH64" s="66">
        <f t="shared" si="301"/>
        <v>1.7464310167520394E-2</v>
      </c>
      <c r="BI64" s="58">
        <v>0.105</v>
      </c>
      <c r="BJ64" s="58">
        <v>0.11</v>
      </c>
      <c r="BK64" s="58">
        <f>BJ64</f>
        <v>0.11</v>
      </c>
      <c r="BL64" s="58">
        <f>BK64</f>
        <v>0.11</v>
      </c>
      <c r="BM64" s="58">
        <f>BL64</f>
        <v>0.11</v>
      </c>
    </row>
    <row r="66" spans="2:65">
      <c r="B66" s="137" t="s">
        <v>164</v>
      </c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</row>
    <row r="67" spans="2:65">
      <c r="B67" s="127" t="str">
        <f>B4</f>
        <v>Revenue</v>
      </c>
      <c r="C67" s="68"/>
      <c r="D67" s="68"/>
      <c r="E67" s="68"/>
      <c r="F67" s="68"/>
      <c r="G67" s="68">
        <f t="shared" ref="G67:AX67" si="302">IF(AND(G4&gt;0,C4&gt;0),(G4/C4-1),"na")</f>
        <v>-0.18909823362267852</v>
      </c>
      <c r="H67" s="68">
        <f t="shared" si="302"/>
        <v>-9.6640701317694644E-2</v>
      </c>
      <c r="I67" s="68">
        <f t="shared" si="302"/>
        <v>4.7667066552924853</v>
      </c>
      <c r="J67" s="68">
        <f t="shared" si="302"/>
        <v>-9.694398823468775E-2</v>
      </c>
      <c r="K67" s="68">
        <f t="shared" si="302"/>
        <v>2.1275121237989727</v>
      </c>
      <c r="L67" s="68">
        <f t="shared" si="302"/>
        <v>0.34487915631710941</v>
      </c>
      <c r="M67" s="68">
        <f t="shared" si="302"/>
        <v>0.20219990268091093</v>
      </c>
      <c r="N67" s="68">
        <f t="shared" si="302"/>
        <v>0.65438250327283254</v>
      </c>
      <c r="O67" s="68">
        <f t="shared" si="302"/>
        <v>0.74339729051598935</v>
      </c>
      <c r="P67" s="68">
        <f t="shared" si="302"/>
        <v>6.9310176992456674E-2</v>
      </c>
      <c r="Q67" s="68">
        <f t="shared" si="302"/>
        <v>9.5031485280679506E-2</v>
      </c>
      <c r="R67" s="68">
        <f t="shared" si="302"/>
        <v>-6.8100355567353055E-2</v>
      </c>
      <c r="S67" s="68">
        <f t="shared" si="302"/>
        <v>0.19522281459030055</v>
      </c>
      <c r="T67" s="68">
        <f t="shared" si="302"/>
        <v>-0.63986602940513815</v>
      </c>
      <c r="U67" s="68">
        <f t="shared" si="302"/>
        <v>-0.66145558294677698</v>
      </c>
      <c r="V67" s="68">
        <f t="shared" si="302"/>
        <v>0.21285195919057842</v>
      </c>
      <c r="W67" s="68">
        <f t="shared" si="302"/>
        <v>-0.65909415197632104</v>
      </c>
      <c r="X67" s="68">
        <f t="shared" si="302"/>
        <v>-2.061458630850832E-3</v>
      </c>
      <c r="Y67" s="68">
        <f t="shared" si="302"/>
        <v>2.84589551384496</v>
      </c>
      <c r="Z67" s="68">
        <f t="shared" si="302"/>
        <v>0.75514600270510313</v>
      </c>
      <c r="AA67" s="68">
        <f t="shared" si="302"/>
        <v>42.302203024576791</v>
      </c>
      <c r="AB67" s="68">
        <f t="shared" si="302"/>
        <v>44.250103747931675</v>
      </c>
      <c r="AC67" s="68">
        <f t="shared" si="302"/>
        <v>13.32522992326008</v>
      </c>
      <c r="AD67" s="68">
        <f t="shared" si="302"/>
        <v>0.91048570272397678</v>
      </c>
      <c r="AE67" s="68">
        <f t="shared" si="302"/>
        <v>1.5955547349373238</v>
      </c>
      <c r="AF67" s="68">
        <f t="shared" si="302"/>
        <v>0.75830802066901293</v>
      </c>
      <c r="AG67" s="68">
        <f t="shared" si="302"/>
        <v>3.7359773532281295</v>
      </c>
      <c r="AH67" s="68">
        <f t="shared" si="302"/>
        <v>4.1894507886068428</v>
      </c>
      <c r="AI67" s="68">
        <f t="shared" si="302"/>
        <v>3.9220548851366219</v>
      </c>
      <c r="AJ67" s="68">
        <f t="shared" si="302"/>
        <v>4.8592216421161787</v>
      </c>
      <c r="AK67" s="68">
        <f t="shared" si="302"/>
        <v>1.9546129014536451</v>
      </c>
      <c r="AL67" s="68">
        <f t="shared" si="302"/>
        <v>2.5355645007088738</v>
      </c>
      <c r="AM67" s="68">
        <f t="shared" si="302"/>
        <v>2.1018647066862051</v>
      </c>
      <c r="AN67" s="68">
        <f t="shared" si="302"/>
        <v>1.266028037050535</v>
      </c>
      <c r="AO67" s="68">
        <f t="shared" si="302"/>
        <v>0.69314029586407888</v>
      </c>
      <c r="AP67" s="68">
        <f t="shared" si="302"/>
        <v>0.33282001865505384</v>
      </c>
      <c r="AQ67" s="68">
        <f t="shared" si="302"/>
        <v>0.51423038552229294</v>
      </c>
      <c r="AR67" s="68">
        <f t="shared" si="302"/>
        <v>0.5350992268266026</v>
      </c>
      <c r="AS67" s="68">
        <f t="shared" si="302"/>
        <v>0.46355247841708902</v>
      </c>
      <c r="AT67" s="68">
        <f t="shared" si="302"/>
        <v>0.37522717492532132</v>
      </c>
      <c r="AU67" s="68">
        <f t="shared" si="302"/>
        <v>0.18772719686737749</v>
      </c>
      <c r="AV67" s="68">
        <f t="shared" si="302"/>
        <v>0.27255791795751061</v>
      </c>
      <c r="AW67" s="68">
        <f t="shared" si="302"/>
        <v>0.2859963400763661</v>
      </c>
      <c r="AX67" s="68">
        <f t="shared" si="302"/>
        <v>0.29878138276609612</v>
      </c>
      <c r="AZ67" s="68"/>
      <c r="BA67" s="68">
        <f t="shared" ref="BA67:BM67" si="303">IF(AND(BA4&gt;0,AZ4&gt;0),(BA4/AZ4-1),"na")</f>
        <v>13.920457537392672</v>
      </c>
      <c r="BB67" s="68">
        <f t="shared" si="303"/>
        <v>2.7935275375121993</v>
      </c>
      <c r="BC67" s="68">
        <f t="shared" si="303"/>
        <v>3.3763383901221466E-2</v>
      </c>
      <c r="BD67" s="68">
        <f t="shared" si="303"/>
        <v>0.57115349377280977</v>
      </c>
      <c r="BE67" s="68">
        <f t="shared" si="303"/>
        <v>1.1080225213335515E-2</v>
      </c>
      <c r="BF67" s="68">
        <f t="shared" si="303"/>
        <v>-2.6950762239247417E-2</v>
      </c>
      <c r="BG67" s="68">
        <f t="shared" si="303"/>
        <v>0.65560556604710518</v>
      </c>
      <c r="BH67" s="68">
        <f t="shared" si="303"/>
        <v>4.532050459609489</v>
      </c>
      <c r="BI67" s="68">
        <f t="shared" si="303"/>
        <v>2.6908915826202215</v>
      </c>
      <c r="BJ67" s="68">
        <f t="shared" si="303"/>
        <v>2.805667732596536</v>
      </c>
      <c r="BK67" s="68">
        <f t="shared" si="303"/>
        <v>0.88983680412694666</v>
      </c>
      <c r="BL67" s="68">
        <f t="shared" si="303"/>
        <v>0.46996149417522282</v>
      </c>
      <c r="BM67" s="68">
        <f t="shared" si="303"/>
        <v>0.25999040585695266</v>
      </c>
    </row>
    <row r="68" spans="2:65">
      <c r="B68" s="127" t="str">
        <f>B6</f>
        <v>Gross profits</v>
      </c>
      <c r="C68" s="68"/>
      <c r="D68" s="68"/>
      <c r="E68" s="68"/>
      <c r="F68" s="68"/>
      <c r="G68" s="68">
        <f t="shared" ref="G68:AX68" si="304">IF(AND(C6&gt;0,G6&gt;0),G6/C6-1,"na")</f>
        <v>-0.42554860460487032</v>
      </c>
      <c r="H68" s="68">
        <f t="shared" si="304"/>
        <v>-0.15273704594982929</v>
      </c>
      <c r="I68" s="68">
        <f t="shared" si="304"/>
        <v>2.1883859844253353</v>
      </c>
      <c r="J68" s="68">
        <f t="shared" si="304"/>
        <v>-4.5590796358100483E-2</v>
      </c>
      <c r="K68" s="68">
        <f t="shared" si="304"/>
        <v>0.99047195199663229</v>
      </c>
      <c r="L68" s="68">
        <f t="shared" si="304"/>
        <v>-4.3567918332036437E-2</v>
      </c>
      <c r="M68" s="68">
        <f t="shared" si="304"/>
        <v>0.16395248794740924</v>
      </c>
      <c r="N68" s="68">
        <f t="shared" si="304"/>
        <v>0.70104755642801253</v>
      </c>
      <c r="O68" s="68">
        <f t="shared" si="304"/>
        <v>1.2360328160329059</v>
      </c>
      <c r="P68" s="68">
        <f t="shared" si="304"/>
        <v>2.8579799080544088E-2</v>
      </c>
      <c r="Q68" s="68">
        <f t="shared" si="304"/>
        <v>0.49044758169358849</v>
      </c>
      <c r="R68" s="68">
        <f t="shared" si="304"/>
        <v>-3.3710959944682428E-2</v>
      </c>
      <c r="S68" s="68">
        <f t="shared" si="304"/>
        <v>0.62216998515391109</v>
      </c>
      <c r="T68" s="68">
        <f t="shared" si="304"/>
        <v>-0.60329447590978891</v>
      </c>
      <c r="U68" s="68">
        <f t="shared" si="304"/>
        <v>-0.65111748166167627</v>
      </c>
      <c r="V68" s="68">
        <f t="shared" si="304"/>
        <v>0.19376717347643124</v>
      </c>
      <c r="W68" s="68">
        <f t="shared" si="304"/>
        <v>-0.74425055045810984</v>
      </c>
      <c r="X68" s="68">
        <f t="shared" si="304"/>
        <v>0.10905689044126832</v>
      </c>
      <c r="Y68" s="68">
        <f t="shared" si="304"/>
        <v>1.9784270913591233</v>
      </c>
      <c r="Z68" s="68">
        <f t="shared" si="304"/>
        <v>0.45004564631108201</v>
      </c>
      <c r="AA68" s="68">
        <f t="shared" si="304"/>
        <v>41.084426520734965</v>
      </c>
      <c r="AB68" s="68">
        <f t="shared" si="304"/>
        <v>37.271546193623053</v>
      </c>
      <c r="AC68" s="68">
        <f t="shared" si="304"/>
        <v>14.173886044008814</v>
      </c>
      <c r="AD68" s="68">
        <f t="shared" si="304"/>
        <v>0.83735062891292222</v>
      </c>
      <c r="AE68" s="68">
        <f t="shared" si="304"/>
        <v>1.5186317009369059</v>
      </c>
      <c r="AF68" s="68">
        <f t="shared" si="304"/>
        <v>0.76519655643198892</v>
      </c>
      <c r="AG68" s="68">
        <f t="shared" si="304"/>
        <v>3.366426100329674</v>
      </c>
      <c r="AH68" s="68">
        <f t="shared" si="304"/>
        <v>3.7347064498375397</v>
      </c>
      <c r="AI68" s="68">
        <f t="shared" si="304"/>
        <v>3.6206087048752496</v>
      </c>
      <c r="AJ68" s="68">
        <f t="shared" si="304"/>
        <v>4.32642830749342</v>
      </c>
      <c r="AK68" s="68">
        <f t="shared" si="304"/>
        <v>2.0134629815278489</v>
      </c>
      <c r="AL68" s="68">
        <f t="shared" si="304"/>
        <v>2.6060303686529447</v>
      </c>
      <c r="AM68" s="68">
        <f t="shared" si="304"/>
        <v>2.0713495093137828</v>
      </c>
      <c r="AN68" s="68">
        <f t="shared" si="304"/>
        <v>1.243771122214496</v>
      </c>
      <c r="AO68" s="68">
        <f t="shared" si="304"/>
        <v>0.67653049971234402</v>
      </c>
      <c r="AP68" s="68">
        <f t="shared" si="304"/>
        <v>0.31975171403529545</v>
      </c>
      <c r="AQ68" s="68">
        <f t="shared" si="304"/>
        <v>0.49922988453239525</v>
      </c>
      <c r="AR68" s="68">
        <f t="shared" si="304"/>
        <v>0.51989142158685397</v>
      </c>
      <c r="AS68" s="68">
        <f t="shared" si="304"/>
        <v>0.44905542255384368</v>
      </c>
      <c r="AT68" s="68">
        <f t="shared" si="304"/>
        <v>0.36160585454954064</v>
      </c>
      <c r="AU68" s="68">
        <f t="shared" si="304"/>
        <v>0.1877256911583074</v>
      </c>
      <c r="AV68" s="68">
        <f t="shared" si="304"/>
        <v>0.27255477769826686</v>
      </c>
      <c r="AW68" s="68">
        <f t="shared" si="304"/>
        <v>0.28599277435907178</v>
      </c>
      <c r="AX68" s="68">
        <f t="shared" si="304"/>
        <v>0.29877725078268358</v>
      </c>
      <c r="AZ68" s="68"/>
      <c r="BA68" s="68">
        <f t="shared" ref="BA68:BM68" si="305">IF(AND(AZ6&gt;0,BA6&gt;0),BA6/AZ6-1,"na")</f>
        <v>13.911225651352035</v>
      </c>
      <c r="BB68" s="68">
        <f t="shared" si="305"/>
        <v>1.5893253032474925</v>
      </c>
      <c r="BC68" s="68">
        <f t="shared" si="305"/>
        <v>-8.7730719551871728E-3</v>
      </c>
      <c r="BD68" s="68">
        <f t="shared" si="305"/>
        <v>0.49936199112444379</v>
      </c>
      <c r="BE68" s="68">
        <f t="shared" si="305"/>
        <v>6.5610152320205062E-2</v>
      </c>
      <c r="BF68" s="68">
        <f t="shared" si="305"/>
        <v>2.3309093452598795E-2</v>
      </c>
      <c r="BG68" s="68">
        <f t="shared" si="305"/>
        <v>0.3576689889051643</v>
      </c>
      <c r="BH68" s="68">
        <f t="shared" si="305"/>
        <v>4.3799082534149862</v>
      </c>
      <c r="BI68" s="68">
        <f t="shared" si="305"/>
        <v>2.4342366292641309</v>
      </c>
      <c r="BJ68" s="68">
        <f t="shared" si="305"/>
        <v>2.7823261731488933</v>
      </c>
      <c r="BK68" s="68">
        <f t="shared" si="305"/>
        <v>0.87128816083892602</v>
      </c>
      <c r="BL68" s="68">
        <f t="shared" si="305"/>
        <v>0.45540029705417817</v>
      </c>
      <c r="BM68" s="68">
        <f t="shared" si="305"/>
        <v>0.25998738696269208</v>
      </c>
    </row>
    <row r="69" spans="2:65">
      <c r="B69" s="127" t="str">
        <f>B12</f>
        <v>OP income</v>
      </c>
      <c r="C69" s="68"/>
      <c r="D69" s="68"/>
      <c r="E69" s="68"/>
      <c r="F69" s="68"/>
      <c r="G69" s="68" t="str">
        <f t="shared" ref="G69:AX69" si="306">IF(AND(C12&gt;0,G12&gt;0),G12/C12-1,"na")</f>
        <v>na</v>
      </c>
      <c r="H69" s="68" t="str">
        <f t="shared" si="306"/>
        <v>na</v>
      </c>
      <c r="I69" s="68" t="str">
        <f t="shared" si="306"/>
        <v>na</v>
      </c>
      <c r="J69" s="68" t="str">
        <f t="shared" si="306"/>
        <v>na</v>
      </c>
      <c r="K69" s="68" t="str">
        <f t="shared" si="306"/>
        <v>na</v>
      </c>
      <c r="L69" s="68" t="str">
        <f t="shared" si="306"/>
        <v>na</v>
      </c>
      <c r="M69" s="68" t="str">
        <f t="shared" si="306"/>
        <v>na</v>
      </c>
      <c r="N69" s="68" t="str">
        <f t="shared" si="306"/>
        <v>na</v>
      </c>
      <c r="O69" s="68" t="str">
        <f t="shared" si="306"/>
        <v>na</v>
      </c>
      <c r="P69" s="68" t="str">
        <f t="shared" si="306"/>
        <v>na</v>
      </c>
      <c r="Q69" s="68" t="str">
        <f t="shared" si="306"/>
        <v>na</v>
      </c>
      <c r="R69" s="68" t="str">
        <f t="shared" si="306"/>
        <v>na</v>
      </c>
      <c r="S69" s="68" t="str">
        <f t="shared" si="306"/>
        <v>na</v>
      </c>
      <c r="T69" s="68" t="str">
        <f t="shared" si="306"/>
        <v>na</v>
      </c>
      <c r="U69" s="68" t="str">
        <f t="shared" si="306"/>
        <v>na</v>
      </c>
      <c r="V69" s="68" t="str">
        <f t="shared" si="306"/>
        <v>na</v>
      </c>
      <c r="W69" s="68" t="str">
        <f t="shared" si="306"/>
        <v>na</v>
      </c>
      <c r="X69" s="68" t="str">
        <f t="shared" si="306"/>
        <v>na</v>
      </c>
      <c r="Y69" s="68" t="str">
        <f t="shared" si="306"/>
        <v>na</v>
      </c>
      <c r="Z69" s="68">
        <f t="shared" si="306"/>
        <v>4.8706145207284992</v>
      </c>
      <c r="AA69" s="68" t="str">
        <f t="shared" si="306"/>
        <v>na</v>
      </c>
      <c r="AB69" s="68" t="str">
        <f t="shared" si="306"/>
        <v>na</v>
      </c>
      <c r="AC69" s="68" t="str">
        <f t="shared" si="306"/>
        <v>na</v>
      </c>
      <c r="AD69" s="68">
        <f t="shared" si="306"/>
        <v>5.6165037572316292</v>
      </c>
      <c r="AE69" s="68">
        <f t="shared" si="306"/>
        <v>3.0055646741847628</v>
      </c>
      <c r="AF69" s="68">
        <f t="shared" si="306"/>
        <v>0.95606634066463636</v>
      </c>
      <c r="AG69" s="68">
        <f t="shared" si="306"/>
        <v>2.2044213351128743</v>
      </c>
      <c r="AH69" s="68">
        <f t="shared" si="306"/>
        <v>4.0137639775641833</v>
      </c>
      <c r="AI69" s="68">
        <f t="shared" si="306"/>
        <v>1.0942459466645422</v>
      </c>
      <c r="AJ69" s="68">
        <f t="shared" si="306"/>
        <v>1.4607660963116533</v>
      </c>
      <c r="AK69" s="68">
        <f t="shared" si="306"/>
        <v>1.2828248098946826</v>
      </c>
      <c r="AL69" s="68">
        <f t="shared" si="306"/>
        <v>1.7466278844723124</v>
      </c>
      <c r="AM69" s="68">
        <f t="shared" si="306"/>
        <v>2.254214156693513</v>
      </c>
      <c r="AN69" s="68">
        <f t="shared" si="306"/>
        <v>1.3699078104167595</v>
      </c>
      <c r="AO69" s="68">
        <f t="shared" si="306"/>
        <v>0.76212592231146425</v>
      </c>
      <c r="AP69" s="68">
        <f t="shared" si="306"/>
        <v>0.38335031741674475</v>
      </c>
      <c r="AQ69" s="68">
        <f t="shared" si="306"/>
        <v>0.56822043096693742</v>
      </c>
      <c r="AR69" s="68">
        <f t="shared" si="306"/>
        <v>0.59122221913346307</v>
      </c>
      <c r="AS69" s="68">
        <f t="shared" si="306"/>
        <v>0.51690581005664371</v>
      </c>
      <c r="AT69" s="68">
        <f t="shared" si="306"/>
        <v>0.42592250475914417</v>
      </c>
      <c r="AU69" s="68">
        <f t="shared" si="306"/>
        <v>0.21649237340381133</v>
      </c>
      <c r="AV69" s="68">
        <f t="shared" si="306"/>
        <v>0.30412720097417956</v>
      </c>
      <c r="AW69" s="68">
        <f t="shared" si="306"/>
        <v>0.31818241534436864</v>
      </c>
      <c r="AX69" s="68">
        <f t="shared" si="306"/>
        <v>0.33217185433527785</v>
      </c>
      <c r="AZ69" s="68"/>
      <c r="BA69" s="68" t="str">
        <f t="shared" ref="BA69:BM69" si="307">IF(AND(AZ12&gt;0,BA12&gt;0),BA12/AZ12-1,"na")</f>
        <v>na</v>
      </c>
      <c r="BB69" s="68" t="str">
        <f t="shared" si="307"/>
        <v>na</v>
      </c>
      <c r="BC69" s="68" t="str">
        <f t="shared" si="307"/>
        <v>na</v>
      </c>
      <c r="BD69" s="68" t="str">
        <f t="shared" si="307"/>
        <v>na</v>
      </c>
      <c r="BE69" s="68" t="str">
        <f t="shared" si="307"/>
        <v>na</v>
      </c>
      <c r="BF69" s="68" t="str">
        <f t="shared" si="307"/>
        <v>na</v>
      </c>
      <c r="BG69" s="68" t="str">
        <f t="shared" si="307"/>
        <v>na</v>
      </c>
      <c r="BH69" s="68" t="str">
        <f t="shared" si="307"/>
        <v>na</v>
      </c>
      <c r="BI69" s="68">
        <f t="shared" si="307"/>
        <v>2.3104137831228493</v>
      </c>
      <c r="BJ69" s="68">
        <f t="shared" si="307"/>
        <v>1.4406877858610052</v>
      </c>
      <c r="BK69" s="68">
        <f t="shared" si="307"/>
        <v>0.97054995107717779</v>
      </c>
      <c r="BL69" s="68">
        <f t="shared" si="307"/>
        <v>0.5235599125992112</v>
      </c>
      <c r="BM69" s="68">
        <f t="shared" si="307"/>
        <v>0.29135234084833717</v>
      </c>
    </row>
    <row r="70" spans="2:65">
      <c r="B70" s="127" t="str">
        <f>B39</f>
        <v>EBITDA</v>
      </c>
      <c r="C70" s="68"/>
      <c r="D70" s="68"/>
      <c r="E70" s="68"/>
      <c r="F70" s="68"/>
      <c r="G70" s="68" t="str">
        <f t="shared" ref="G70:P71" si="308">IF(AND(C39&gt;0,G39&gt;0),G39/C39-1,"na")</f>
        <v>na</v>
      </c>
      <c r="H70" s="68" t="str">
        <f t="shared" si="308"/>
        <v>na</v>
      </c>
      <c r="I70" s="68" t="str">
        <f t="shared" si="308"/>
        <v>na</v>
      </c>
      <c r="J70" s="68" t="str">
        <f t="shared" si="308"/>
        <v>na</v>
      </c>
      <c r="K70" s="68" t="str">
        <f t="shared" si="308"/>
        <v>na</v>
      </c>
      <c r="L70" s="68" t="str">
        <f t="shared" si="308"/>
        <v>na</v>
      </c>
      <c r="M70" s="68" t="str">
        <f t="shared" si="308"/>
        <v>na</v>
      </c>
      <c r="N70" s="68" t="str">
        <f t="shared" si="308"/>
        <v>na</v>
      </c>
      <c r="O70" s="68" t="str">
        <f t="shared" si="308"/>
        <v>na</v>
      </c>
      <c r="P70" s="68" t="str">
        <f t="shared" si="308"/>
        <v>na</v>
      </c>
      <c r="Q70" s="68" t="str">
        <f t="shared" ref="Q70:Z71" si="309">IF(AND(M39&gt;0,Q39&gt;0),Q39/M39-1,"na")</f>
        <v>na</v>
      </c>
      <c r="R70" s="68" t="str">
        <f t="shared" si="309"/>
        <v>na</v>
      </c>
      <c r="S70" s="68" t="str">
        <f t="shared" si="309"/>
        <v>na</v>
      </c>
      <c r="T70" s="68" t="str">
        <f t="shared" si="309"/>
        <v>na</v>
      </c>
      <c r="U70" s="68" t="str">
        <f t="shared" si="309"/>
        <v>na</v>
      </c>
      <c r="V70" s="68" t="str">
        <f t="shared" si="309"/>
        <v>na</v>
      </c>
      <c r="W70" s="68" t="str">
        <f t="shared" si="309"/>
        <v>na</v>
      </c>
      <c r="X70" s="68" t="str">
        <f t="shared" si="309"/>
        <v>na</v>
      </c>
      <c r="Y70" s="68" t="str">
        <f t="shared" si="309"/>
        <v>na</v>
      </c>
      <c r="Z70" s="68">
        <f t="shared" si="309"/>
        <v>0.5115989876896101</v>
      </c>
      <c r="AA70" s="68" t="str">
        <f t="shared" ref="AA70:AJ71" si="310">IF(AND(W39&gt;0,AA39&gt;0),AA39/W39-1,"na")</f>
        <v>na</v>
      </c>
      <c r="AB70" s="68" t="str">
        <f t="shared" si="310"/>
        <v>na</v>
      </c>
      <c r="AC70" s="68" t="str">
        <f t="shared" si="310"/>
        <v>na</v>
      </c>
      <c r="AD70" s="68">
        <f t="shared" si="310"/>
        <v>3.5680820694214681</v>
      </c>
      <c r="AE70" s="68">
        <f t="shared" si="310"/>
        <v>2.534997302265698</v>
      </c>
      <c r="AF70" s="68">
        <f t="shared" si="310"/>
        <v>0.90002872785606414</v>
      </c>
      <c r="AG70" s="68">
        <f t="shared" si="310"/>
        <v>2.0199182441533847</v>
      </c>
      <c r="AH70" s="68">
        <f t="shared" si="310"/>
        <v>3.5557869589608107</v>
      </c>
      <c r="AI70" s="68">
        <f t="shared" si="310"/>
        <v>1.0248750465492189</v>
      </c>
      <c r="AJ70" s="68">
        <f t="shared" si="310"/>
        <v>1.3752692399916406</v>
      </c>
      <c r="AK70" s="68">
        <f t="shared" ref="AK70:AT71" si="311">IF(AND(AG39&gt;0,AK39&gt;0),AK39/AG39-1,"na")</f>
        <v>1.2296307811780878</v>
      </c>
      <c r="AL70" s="68">
        <f t="shared" si="311"/>
        <v>1.6846335928905991</v>
      </c>
      <c r="AM70" s="68">
        <f t="shared" si="311"/>
        <v>2.1818056397729122</v>
      </c>
      <c r="AN70" s="68">
        <f t="shared" si="311"/>
        <v>1.3355453338448524</v>
      </c>
      <c r="AO70" s="68">
        <f t="shared" si="311"/>
        <v>0.74779079208129184</v>
      </c>
      <c r="AP70" s="68">
        <f t="shared" si="311"/>
        <v>0.3783849240424102</v>
      </c>
      <c r="AQ70" s="68">
        <f t="shared" si="311"/>
        <v>0.56253565860403842</v>
      </c>
      <c r="AR70" s="68">
        <f t="shared" si="311"/>
        <v>0.58489747099403977</v>
      </c>
      <c r="AS70" s="68">
        <f t="shared" si="311"/>
        <v>0.51134230208370735</v>
      </c>
      <c r="AT70" s="68">
        <f t="shared" si="311"/>
        <v>0.42187384851515231</v>
      </c>
      <c r="AU70" s="68">
        <f t="shared" ref="AU70:AX71" si="312">IF(AND(AQ39&gt;0,AU39&gt;0),AU39/AQ39-1,"na")</f>
        <v>0.21518972492765043</v>
      </c>
      <c r="AV70" s="68">
        <f t="shared" si="312"/>
        <v>0.30213761572535702</v>
      </c>
      <c r="AW70" s="68">
        <f t="shared" si="312"/>
        <v>0.31596978713038637</v>
      </c>
      <c r="AX70" s="68">
        <f t="shared" si="312"/>
        <v>0.32998163674613257</v>
      </c>
      <c r="AZ70" s="68"/>
      <c r="BA70" s="68" t="str">
        <f t="shared" ref="BA70:BM70" si="313">IF(AND(AZ39&gt;0,BA39&gt;0),BA39/AZ39-1,"na")</f>
        <v>na</v>
      </c>
      <c r="BB70" s="68" t="str">
        <f t="shared" si="313"/>
        <v>na</v>
      </c>
      <c r="BC70" s="68" t="str">
        <f t="shared" si="313"/>
        <v>na</v>
      </c>
      <c r="BD70" s="68" t="str">
        <f t="shared" si="313"/>
        <v>na</v>
      </c>
      <c r="BE70" s="68" t="str">
        <f t="shared" si="313"/>
        <v>na</v>
      </c>
      <c r="BF70" s="68" t="str">
        <f t="shared" si="313"/>
        <v>na</v>
      </c>
      <c r="BG70" s="68" t="str">
        <f t="shared" si="313"/>
        <v>na</v>
      </c>
      <c r="BH70" s="68" t="str">
        <f t="shared" si="313"/>
        <v>na</v>
      </c>
      <c r="BI70" s="68">
        <f t="shared" si="313"/>
        <v>2.0861142113784803</v>
      </c>
      <c r="BJ70" s="68">
        <f t="shared" si="313"/>
        <v>1.3730260642014303</v>
      </c>
      <c r="BK70" s="68">
        <f t="shared" si="313"/>
        <v>0.95112776548227429</v>
      </c>
      <c r="BL70" s="68">
        <f t="shared" si="313"/>
        <v>0.5182083023552313</v>
      </c>
      <c r="BM70" s="68">
        <f t="shared" si="313"/>
        <v>0.28945076804604786</v>
      </c>
    </row>
    <row r="71" spans="2:65">
      <c r="B71" s="127" t="str">
        <f>B40</f>
        <v>EBIT / OP income</v>
      </c>
      <c r="C71" s="68"/>
      <c r="D71" s="68"/>
      <c r="E71" s="68"/>
      <c r="F71" s="68"/>
      <c r="G71" s="68" t="str">
        <f t="shared" si="308"/>
        <v>na</v>
      </c>
      <c r="H71" s="68" t="str">
        <f t="shared" si="308"/>
        <v>na</v>
      </c>
      <c r="I71" s="68" t="str">
        <f t="shared" si="308"/>
        <v>na</v>
      </c>
      <c r="J71" s="68" t="str">
        <f t="shared" si="308"/>
        <v>na</v>
      </c>
      <c r="K71" s="68" t="str">
        <f t="shared" si="308"/>
        <v>na</v>
      </c>
      <c r="L71" s="68" t="str">
        <f t="shared" si="308"/>
        <v>na</v>
      </c>
      <c r="M71" s="68" t="str">
        <f t="shared" si="308"/>
        <v>na</v>
      </c>
      <c r="N71" s="68" t="str">
        <f t="shared" si="308"/>
        <v>na</v>
      </c>
      <c r="O71" s="68" t="str">
        <f t="shared" si="308"/>
        <v>na</v>
      </c>
      <c r="P71" s="68" t="str">
        <f t="shared" si="308"/>
        <v>na</v>
      </c>
      <c r="Q71" s="68" t="str">
        <f t="shared" si="309"/>
        <v>na</v>
      </c>
      <c r="R71" s="68" t="str">
        <f t="shared" si="309"/>
        <v>na</v>
      </c>
      <c r="S71" s="68" t="str">
        <f t="shared" si="309"/>
        <v>na</v>
      </c>
      <c r="T71" s="68" t="str">
        <f t="shared" si="309"/>
        <v>na</v>
      </c>
      <c r="U71" s="68" t="str">
        <f t="shared" si="309"/>
        <v>na</v>
      </c>
      <c r="V71" s="68" t="str">
        <f t="shared" si="309"/>
        <v>na</v>
      </c>
      <c r="W71" s="68" t="str">
        <f t="shared" si="309"/>
        <v>na</v>
      </c>
      <c r="X71" s="68" t="str">
        <f t="shared" si="309"/>
        <v>na</v>
      </c>
      <c r="Y71" s="68" t="str">
        <f t="shared" si="309"/>
        <v>na</v>
      </c>
      <c r="Z71" s="68">
        <f t="shared" si="309"/>
        <v>4.8706145207284957</v>
      </c>
      <c r="AA71" s="68" t="str">
        <f t="shared" si="310"/>
        <v>na</v>
      </c>
      <c r="AB71" s="68" t="str">
        <f t="shared" si="310"/>
        <v>na</v>
      </c>
      <c r="AC71" s="68" t="str">
        <f t="shared" si="310"/>
        <v>na</v>
      </c>
      <c r="AD71" s="68">
        <f t="shared" si="310"/>
        <v>5.6165037572316292</v>
      </c>
      <c r="AE71" s="68">
        <f t="shared" si="310"/>
        <v>3.0055646741847628</v>
      </c>
      <c r="AF71" s="68">
        <f t="shared" si="310"/>
        <v>0.95606634066463636</v>
      </c>
      <c r="AG71" s="68">
        <f t="shared" si="310"/>
        <v>2.2044213351128743</v>
      </c>
      <c r="AH71" s="68">
        <f t="shared" si="310"/>
        <v>4.0137639775641833</v>
      </c>
      <c r="AI71" s="68">
        <f t="shared" si="310"/>
        <v>1.0942459466645422</v>
      </c>
      <c r="AJ71" s="68">
        <f t="shared" si="310"/>
        <v>1.4607660963116533</v>
      </c>
      <c r="AK71" s="68">
        <f t="shared" si="311"/>
        <v>1.2828248098946826</v>
      </c>
      <c r="AL71" s="68">
        <f t="shared" si="311"/>
        <v>1.7466278844723124</v>
      </c>
      <c r="AM71" s="68">
        <f t="shared" si="311"/>
        <v>2.254214156693513</v>
      </c>
      <c r="AN71" s="68">
        <f t="shared" si="311"/>
        <v>1.3699078104167595</v>
      </c>
      <c r="AO71" s="68">
        <f t="shared" si="311"/>
        <v>0.76212592231146425</v>
      </c>
      <c r="AP71" s="68">
        <f t="shared" si="311"/>
        <v>0.38335031741674475</v>
      </c>
      <c r="AQ71" s="68">
        <f t="shared" si="311"/>
        <v>0.56822043096693742</v>
      </c>
      <c r="AR71" s="68">
        <f t="shared" si="311"/>
        <v>0.59122221913346307</v>
      </c>
      <c r="AS71" s="68">
        <f t="shared" si="311"/>
        <v>0.51690581005664371</v>
      </c>
      <c r="AT71" s="68">
        <f t="shared" si="311"/>
        <v>0.42592250475914417</v>
      </c>
      <c r="AU71" s="68">
        <f t="shared" si="312"/>
        <v>0.21649237340381133</v>
      </c>
      <c r="AV71" s="68">
        <f t="shared" si="312"/>
        <v>0.30412720097417956</v>
      </c>
      <c r="AW71" s="68">
        <f t="shared" si="312"/>
        <v>0.31818241534436864</v>
      </c>
      <c r="AX71" s="68">
        <f t="shared" si="312"/>
        <v>0.33217185433527785</v>
      </c>
      <c r="AZ71" s="68"/>
      <c r="BA71" s="68" t="str">
        <f t="shared" ref="BA71:BM71" si="314">IF(AND(AZ40&gt;0,BA40&gt;0),BA40/AZ40-1,"na")</f>
        <v>na</v>
      </c>
      <c r="BB71" s="68" t="str">
        <f t="shared" si="314"/>
        <v>na</v>
      </c>
      <c r="BC71" s="68" t="str">
        <f t="shared" si="314"/>
        <v>na</v>
      </c>
      <c r="BD71" s="68" t="str">
        <f t="shared" si="314"/>
        <v>na</v>
      </c>
      <c r="BE71" s="68" t="str">
        <f t="shared" si="314"/>
        <v>na</v>
      </c>
      <c r="BF71" s="68" t="str">
        <f t="shared" si="314"/>
        <v>na</v>
      </c>
      <c r="BG71" s="68" t="str">
        <f t="shared" si="314"/>
        <v>na</v>
      </c>
      <c r="BH71" s="68" t="str">
        <f t="shared" si="314"/>
        <v>na</v>
      </c>
      <c r="BI71" s="68">
        <f t="shared" si="314"/>
        <v>2.3104137831228493</v>
      </c>
      <c r="BJ71" s="68">
        <f t="shared" si="314"/>
        <v>1.4406877858610052</v>
      </c>
      <c r="BK71" s="68">
        <f t="shared" si="314"/>
        <v>0.97054995107717779</v>
      </c>
      <c r="BL71" s="68">
        <f t="shared" si="314"/>
        <v>0.5235599125992112</v>
      </c>
      <c r="BM71" s="68">
        <f t="shared" si="314"/>
        <v>0.29135234084833717</v>
      </c>
    </row>
    <row r="72" spans="2:65">
      <c r="B72" s="127" t="str">
        <f>B22</f>
        <v>Pretax income</v>
      </c>
      <c r="C72" s="68"/>
      <c r="D72" s="68"/>
      <c r="E72" s="68"/>
      <c r="F72" s="68"/>
      <c r="G72" s="68" t="str">
        <f t="shared" ref="G72:AX72" si="315">IF(AND(C22&gt;0,G22&gt;0),G22/C22-1,"na")</f>
        <v>na</v>
      </c>
      <c r="H72" s="68" t="str">
        <f t="shared" si="315"/>
        <v>na</v>
      </c>
      <c r="I72" s="68" t="str">
        <f t="shared" si="315"/>
        <v>na</v>
      </c>
      <c r="J72" s="68" t="str">
        <f t="shared" si="315"/>
        <v>na</v>
      </c>
      <c r="K72" s="68" t="str">
        <f t="shared" si="315"/>
        <v>na</v>
      </c>
      <c r="L72" s="68" t="str">
        <f t="shared" si="315"/>
        <v>na</v>
      </c>
      <c r="M72" s="68" t="str">
        <f t="shared" si="315"/>
        <v>na</v>
      </c>
      <c r="N72" s="68" t="str">
        <f t="shared" si="315"/>
        <v>na</v>
      </c>
      <c r="O72" s="68" t="str">
        <f t="shared" si="315"/>
        <v>na</v>
      </c>
      <c r="P72" s="68" t="str">
        <f t="shared" si="315"/>
        <v>na</v>
      </c>
      <c r="Q72" s="68" t="str">
        <f t="shared" si="315"/>
        <v>na</v>
      </c>
      <c r="R72" s="68" t="str">
        <f t="shared" si="315"/>
        <v>na</v>
      </c>
      <c r="S72" s="68" t="str">
        <f t="shared" si="315"/>
        <v>na</v>
      </c>
      <c r="T72" s="68" t="str">
        <f t="shared" si="315"/>
        <v>na</v>
      </c>
      <c r="U72" s="68" t="str">
        <f t="shared" si="315"/>
        <v>na</v>
      </c>
      <c r="V72" s="68" t="str">
        <f t="shared" si="315"/>
        <v>na</v>
      </c>
      <c r="W72" s="68" t="str">
        <f t="shared" si="315"/>
        <v>na</v>
      </c>
      <c r="X72" s="68" t="str">
        <f t="shared" si="315"/>
        <v>na</v>
      </c>
      <c r="Y72" s="68" t="str">
        <f t="shared" si="315"/>
        <v>na</v>
      </c>
      <c r="Z72" s="68" t="str">
        <f t="shared" si="315"/>
        <v>na</v>
      </c>
      <c r="AA72" s="68" t="str">
        <f t="shared" si="315"/>
        <v>na</v>
      </c>
      <c r="AB72" s="68" t="str">
        <f t="shared" si="315"/>
        <v>na</v>
      </c>
      <c r="AC72" s="68" t="str">
        <f t="shared" si="315"/>
        <v>na</v>
      </c>
      <c r="AD72" s="68">
        <f t="shared" si="315"/>
        <v>0.67166167942353949</v>
      </c>
      <c r="AE72" s="68">
        <f t="shared" si="315"/>
        <v>1.8541592105478557</v>
      </c>
      <c r="AF72" s="68">
        <f t="shared" si="315"/>
        <v>0.8859498164367785</v>
      </c>
      <c r="AG72" s="68">
        <f t="shared" si="315"/>
        <v>2.2883194452808202</v>
      </c>
      <c r="AH72" s="68">
        <f t="shared" si="315"/>
        <v>3.8553582417734047</v>
      </c>
      <c r="AI72" s="68">
        <f t="shared" si="315"/>
        <v>1.4196519295633565</v>
      </c>
      <c r="AJ72" s="68">
        <f t="shared" si="315"/>
        <v>1.4448470267904119</v>
      </c>
      <c r="AK72" s="68">
        <f t="shared" si="315"/>
        <v>1.246069286938182</v>
      </c>
      <c r="AL72" s="68">
        <f t="shared" si="315"/>
        <v>1.7069251203579525</v>
      </c>
      <c r="AM72" s="68">
        <f t="shared" si="315"/>
        <v>2.2337153642628773</v>
      </c>
      <c r="AN72" s="68">
        <f t="shared" si="315"/>
        <v>1.3602088706942816</v>
      </c>
      <c r="AO72" s="68">
        <f t="shared" si="315"/>
        <v>0.75808015754672997</v>
      </c>
      <c r="AP72" s="68">
        <f t="shared" si="315"/>
        <v>0.38194061662238465</v>
      </c>
      <c r="AQ72" s="68">
        <f t="shared" si="315"/>
        <v>0.56663303882740124</v>
      </c>
      <c r="AR72" s="68">
        <f t="shared" si="315"/>
        <v>0.58945614407415814</v>
      </c>
      <c r="AS72" s="68">
        <f t="shared" si="315"/>
        <v>0.51534926311680818</v>
      </c>
      <c r="AT72" s="68">
        <f t="shared" si="315"/>
        <v>0.42478716756526813</v>
      </c>
      <c r="AU72" s="68">
        <f t="shared" si="315"/>
        <v>0.21527049461397141</v>
      </c>
      <c r="AV72" s="68">
        <f t="shared" si="315"/>
        <v>0.30267157571164005</v>
      </c>
      <c r="AW72" s="68">
        <f t="shared" si="315"/>
        <v>0.3166112783842161</v>
      </c>
      <c r="AX72" s="68">
        <f t="shared" si="315"/>
        <v>0.33066025010081868</v>
      </c>
      <c r="AZ72" s="68"/>
      <c r="BA72" s="68" t="str">
        <f t="shared" ref="BA72:BM72" si="316">IF(AND(AZ22&gt;0,BA22&gt;0),BA22/AZ22-1,"na")</f>
        <v>na</v>
      </c>
      <c r="BB72" s="68" t="str">
        <f t="shared" si="316"/>
        <v>na</v>
      </c>
      <c r="BC72" s="68" t="str">
        <f t="shared" si="316"/>
        <v>na</v>
      </c>
      <c r="BD72" s="68" t="str">
        <f t="shared" si="316"/>
        <v>na</v>
      </c>
      <c r="BE72" s="68" t="str">
        <f t="shared" si="316"/>
        <v>na</v>
      </c>
      <c r="BF72" s="68" t="str">
        <f t="shared" si="316"/>
        <v>na</v>
      </c>
      <c r="BG72" s="68" t="str">
        <f t="shared" si="316"/>
        <v>na</v>
      </c>
      <c r="BH72" s="68" t="str">
        <f t="shared" si="316"/>
        <v>na</v>
      </c>
      <c r="BI72" s="68">
        <f t="shared" si="316"/>
        <v>2.0953435799202973</v>
      </c>
      <c r="BJ72" s="68">
        <f t="shared" si="316"/>
        <v>1.4885759452936336</v>
      </c>
      <c r="BK72" s="68">
        <f t="shared" si="316"/>
        <v>0.9533446156464831</v>
      </c>
      <c r="BL72" s="68">
        <f t="shared" si="316"/>
        <v>0.52206355106715074</v>
      </c>
      <c r="BM72" s="68">
        <f t="shared" si="316"/>
        <v>0.28991973991412379</v>
      </c>
    </row>
    <row r="73" spans="2:65">
      <c r="B73" s="127" t="str">
        <f>B25</f>
        <v>Net income</v>
      </c>
      <c r="C73" s="70"/>
      <c r="D73" s="70"/>
      <c r="E73" s="70"/>
      <c r="F73" s="70"/>
      <c r="G73" s="70" t="str">
        <f t="shared" ref="G73:AX73" si="317">IF(AND(C25&gt;0,G25&gt;0),G25/C25-1,"na")</f>
        <v>na</v>
      </c>
      <c r="H73" s="70" t="str">
        <f t="shared" si="317"/>
        <v>na</v>
      </c>
      <c r="I73" s="70" t="str">
        <f t="shared" si="317"/>
        <v>na</v>
      </c>
      <c r="J73" s="70" t="str">
        <f t="shared" si="317"/>
        <v>na</v>
      </c>
      <c r="K73" s="70" t="str">
        <f t="shared" si="317"/>
        <v>na</v>
      </c>
      <c r="L73" s="70" t="str">
        <f t="shared" si="317"/>
        <v>na</v>
      </c>
      <c r="M73" s="70" t="str">
        <f t="shared" si="317"/>
        <v>na</v>
      </c>
      <c r="N73" s="70" t="str">
        <f t="shared" si="317"/>
        <v>na</v>
      </c>
      <c r="O73" s="70" t="str">
        <f t="shared" si="317"/>
        <v>na</v>
      </c>
      <c r="P73" s="70" t="str">
        <f t="shared" si="317"/>
        <v>na</v>
      </c>
      <c r="Q73" s="70" t="str">
        <f t="shared" si="317"/>
        <v>na</v>
      </c>
      <c r="R73" s="70" t="str">
        <f t="shared" si="317"/>
        <v>na</v>
      </c>
      <c r="S73" s="70" t="str">
        <f t="shared" si="317"/>
        <v>na</v>
      </c>
      <c r="T73" s="70" t="str">
        <f t="shared" si="317"/>
        <v>na</v>
      </c>
      <c r="U73" s="70" t="str">
        <f t="shared" si="317"/>
        <v>na</v>
      </c>
      <c r="V73" s="70" t="str">
        <f t="shared" si="317"/>
        <v>na</v>
      </c>
      <c r="W73" s="70" t="str">
        <f t="shared" si="317"/>
        <v>na</v>
      </c>
      <c r="X73" s="70" t="str">
        <f t="shared" si="317"/>
        <v>na</v>
      </c>
      <c r="Y73" s="70" t="str">
        <f t="shared" si="317"/>
        <v>na</v>
      </c>
      <c r="Z73" s="70" t="str">
        <f t="shared" si="317"/>
        <v>na</v>
      </c>
      <c r="AA73" s="70" t="str">
        <f t="shared" si="317"/>
        <v>na</v>
      </c>
      <c r="AB73" s="70" t="str">
        <f t="shared" si="317"/>
        <v>na</v>
      </c>
      <c r="AC73" s="70" t="str">
        <f t="shared" si="317"/>
        <v>na</v>
      </c>
      <c r="AD73" s="70">
        <f t="shared" si="317"/>
        <v>0.6703210090139875</v>
      </c>
      <c r="AE73" s="70">
        <f t="shared" si="317"/>
        <v>1.8526296996223039</v>
      </c>
      <c r="AF73" s="70">
        <f t="shared" si="317"/>
        <v>0.899895189245695</v>
      </c>
      <c r="AG73" s="70">
        <f t="shared" si="317"/>
        <v>2.1201299187074509</v>
      </c>
      <c r="AH73" s="70">
        <f t="shared" si="317"/>
        <v>3.6204663681468183</v>
      </c>
      <c r="AI73" s="70">
        <f t="shared" si="317"/>
        <v>1.177470632757851</v>
      </c>
      <c r="AJ73" s="70">
        <f t="shared" si="317"/>
        <v>1.1829521532916369</v>
      </c>
      <c r="AK73" s="70">
        <f t="shared" si="317"/>
        <v>1.1283176233545382</v>
      </c>
      <c r="AL73" s="70">
        <f t="shared" si="317"/>
        <v>1.5649953260768643</v>
      </c>
      <c r="AM73" s="70">
        <f t="shared" si="317"/>
        <v>2.1625647967014268</v>
      </c>
      <c r="AN73" s="70">
        <f t="shared" si="317"/>
        <v>1.3080946460834264</v>
      </c>
      <c r="AO73" s="70">
        <f t="shared" si="317"/>
        <v>0.71915024692221308</v>
      </c>
      <c r="AP73" s="70">
        <f t="shared" si="317"/>
        <v>0.35127808533836702</v>
      </c>
      <c r="AQ73" s="70">
        <f t="shared" si="317"/>
        <v>0.53108287036093271</v>
      </c>
      <c r="AR73" s="70">
        <f t="shared" si="317"/>
        <v>0.55339352680895137</v>
      </c>
      <c r="AS73" s="70">
        <f t="shared" si="317"/>
        <v>0.48096340609255805</v>
      </c>
      <c r="AT73" s="70">
        <f t="shared" si="317"/>
        <v>0.39244471552769578</v>
      </c>
      <c r="AU73" s="70">
        <f t="shared" si="317"/>
        <v>0.18702107000475543</v>
      </c>
      <c r="AV73" s="70">
        <f t="shared" si="317"/>
        <v>0.27239634026290971</v>
      </c>
      <c r="AW73" s="70">
        <f t="shared" si="317"/>
        <v>0.28601405492897913</v>
      </c>
      <c r="AX73" s="70">
        <f t="shared" si="317"/>
        <v>0.29973609614730057</v>
      </c>
      <c r="AY73" s="134"/>
      <c r="AZ73" s="70"/>
      <c r="BA73" s="70" t="str">
        <f t="shared" ref="BA73:BM73" si="318">IF(AND(AZ25&gt;0,BA25&gt;0),BA25/AZ25-1,"na")</f>
        <v>na</v>
      </c>
      <c r="BB73" s="70" t="str">
        <f t="shared" si="318"/>
        <v>na</v>
      </c>
      <c r="BC73" s="70" t="str">
        <f t="shared" si="318"/>
        <v>na</v>
      </c>
      <c r="BD73" s="70" t="str">
        <f t="shared" si="318"/>
        <v>na</v>
      </c>
      <c r="BE73" s="70" t="str">
        <f t="shared" si="318"/>
        <v>na</v>
      </c>
      <c r="BF73" s="70" t="str">
        <f t="shared" si="318"/>
        <v>na</v>
      </c>
      <c r="BG73" s="70" t="str">
        <f t="shared" si="318"/>
        <v>na</v>
      </c>
      <c r="BH73" s="70" t="str">
        <f t="shared" si="318"/>
        <v>na</v>
      </c>
      <c r="BI73" s="70">
        <f t="shared" si="318"/>
        <v>2.0006772286059933</v>
      </c>
      <c r="BJ73" s="70">
        <f t="shared" si="318"/>
        <v>1.3116127578637728</v>
      </c>
      <c r="BK73" s="70">
        <f t="shared" si="318"/>
        <v>0.90885538093110396</v>
      </c>
      <c r="BL73" s="70">
        <f t="shared" si="318"/>
        <v>0.48752304033319382</v>
      </c>
      <c r="BM73" s="70">
        <f t="shared" si="318"/>
        <v>0.25994018949195663</v>
      </c>
    </row>
    <row r="74" spans="2:65">
      <c r="B74" s="127" t="str">
        <f>B27</f>
        <v>EPS (diluted)</v>
      </c>
      <c r="C74" s="70"/>
      <c r="D74" s="70"/>
      <c r="E74" s="70"/>
      <c r="F74" s="70"/>
      <c r="G74" s="70" t="str">
        <f t="shared" ref="G74:AX74" si="319">IF(AND(C27&gt;0,G27&gt;0),G27/C27-1,"na")</f>
        <v>na</v>
      </c>
      <c r="H74" s="70" t="str">
        <f t="shared" si="319"/>
        <v>na</v>
      </c>
      <c r="I74" s="70" t="str">
        <f t="shared" si="319"/>
        <v>na</v>
      </c>
      <c r="J74" s="70" t="str">
        <f t="shared" si="319"/>
        <v>na</v>
      </c>
      <c r="K74" s="70" t="str">
        <f t="shared" si="319"/>
        <v>na</v>
      </c>
      <c r="L74" s="70" t="str">
        <f t="shared" si="319"/>
        <v>na</v>
      </c>
      <c r="M74" s="70" t="str">
        <f t="shared" si="319"/>
        <v>na</v>
      </c>
      <c r="N74" s="70" t="str">
        <f t="shared" si="319"/>
        <v>na</v>
      </c>
      <c r="O74" s="70" t="str">
        <f t="shared" si="319"/>
        <v>na</v>
      </c>
      <c r="P74" s="70" t="str">
        <f t="shared" si="319"/>
        <v>na</v>
      </c>
      <c r="Q74" s="70" t="str">
        <f t="shared" si="319"/>
        <v>na</v>
      </c>
      <c r="R74" s="70" t="str">
        <f t="shared" si="319"/>
        <v>na</v>
      </c>
      <c r="S74" s="70" t="str">
        <f t="shared" si="319"/>
        <v>na</v>
      </c>
      <c r="T74" s="70" t="str">
        <f t="shared" si="319"/>
        <v>na</v>
      </c>
      <c r="U74" s="70" t="str">
        <f t="shared" si="319"/>
        <v>na</v>
      </c>
      <c r="V74" s="70" t="str">
        <f t="shared" si="319"/>
        <v>na</v>
      </c>
      <c r="W74" s="70" t="str">
        <f t="shared" si="319"/>
        <v>na</v>
      </c>
      <c r="X74" s="70" t="str">
        <f t="shared" si="319"/>
        <v>na</v>
      </c>
      <c r="Y74" s="70" t="str">
        <f t="shared" si="319"/>
        <v>na</v>
      </c>
      <c r="Z74" s="70" t="str">
        <f t="shared" si="319"/>
        <v>na</v>
      </c>
      <c r="AA74" s="70" t="str">
        <f t="shared" si="319"/>
        <v>na</v>
      </c>
      <c r="AB74" s="70" t="str">
        <f t="shared" si="319"/>
        <v>na</v>
      </c>
      <c r="AC74" s="70" t="str">
        <f t="shared" si="319"/>
        <v>na</v>
      </c>
      <c r="AD74" s="70">
        <f t="shared" si="319"/>
        <v>0.65357198805607242</v>
      </c>
      <c r="AE74" s="70">
        <f t="shared" si="319"/>
        <v>1.8240251653044672</v>
      </c>
      <c r="AF74" s="70">
        <f t="shared" si="319"/>
        <v>0.26504929581260206</v>
      </c>
      <c r="AG74" s="70">
        <f t="shared" si="319"/>
        <v>1.094106698800632</v>
      </c>
      <c r="AH74" s="70">
        <f t="shared" si="319"/>
        <v>2.1010726556949164</v>
      </c>
      <c r="AI74" s="70">
        <f t="shared" si="319"/>
        <v>0.46143140103244096</v>
      </c>
      <c r="AJ74" s="70">
        <f t="shared" si="319"/>
        <v>1.1829521532916365</v>
      </c>
      <c r="AK74" s="70">
        <f t="shared" si="319"/>
        <v>1.1283176233545382</v>
      </c>
      <c r="AL74" s="70">
        <f t="shared" si="319"/>
        <v>1.5649953260768643</v>
      </c>
      <c r="AM74" s="70">
        <f t="shared" si="319"/>
        <v>2.1625647967014263</v>
      </c>
      <c r="AN74" s="70">
        <f t="shared" si="319"/>
        <v>1.3080946460834264</v>
      </c>
      <c r="AO74" s="70">
        <f t="shared" si="319"/>
        <v>0.71915024692221308</v>
      </c>
      <c r="AP74" s="70">
        <f t="shared" si="319"/>
        <v>0.35127808533836702</v>
      </c>
      <c r="AQ74" s="70">
        <f t="shared" si="319"/>
        <v>0.53108287036093271</v>
      </c>
      <c r="AR74" s="70">
        <f t="shared" si="319"/>
        <v>0.55339352680895115</v>
      </c>
      <c r="AS74" s="70">
        <f t="shared" si="319"/>
        <v>0.48096340609255805</v>
      </c>
      <c r="AT74" s="70">
        <f t="shared" si="319"/>
        <v>0.39244471552769578</v>
      </c>
      <c r="AU74" s="70">
        <f t="shared" si="319"/>
        <v>0.18702107000475543</v>
      </c>
      <c r="AV74" s="70">
        <f t="shared" si="319"/>
        <v>0.27239634026290971</v>
      </c>
      <c r="AW74" s="70">
        <f t="shared" si="319"/>
        <v>0.28601405492897936</v>
      </c>
      <c r="AX74" s="70">
        <f t="shared" si="319"/>
        <v>0.29973609614730079</v>
      </c>
      <c r="AY74" s="134"/>
      <c r="AZ74" s="70"/>
      <c r="BA74" s="70" t="str">
        <f t="shared" ref="BA74:BM74" si="320">IF(AND(AZ27&gt;0,BA27&gt;0),BA27/AZ27-1,"na")</f>
        <v>na</v>
      </c>
      <c r="BB74" s="70" t="str">
        <f t="shared" si="320"/>
        <v>na</v>
      </c>
      <c r="BC74" s="70" t="str">
        <f t="shared" si="320"/>
        <v>na</v>
      </c>
      <c r="BD74" s="70" t="str">
        <f t="shared" si="320"/>
        <v>na</v>
      </c>
      <c r="BE74" s="70" t="str">
        <f t="shared" si="320"/>
        <v>na</v>
      </c>
      <c r="BF74" s="70" t="str">
        <f t="shared" si="320"/>
        <v>na</v>
      </c>
      <c r="BG74" s="70" t="str">
        <f t="shared" si="320"/>
        <v>na</v>
      </c>
      <c r="BH74" s="70" t="str">
        <f t="shared" si="320"/>
        <v>na</v>
      </c>
      <c r="BI74" s="70">
        <f t="shared" si="320"/>
        <v>1.1663398836809242</v>
      </c>
      <c r="BJ74" s="70">
        <f t="shared" si="320"/>
        <v>1.1253956201064823</v>
      </c>
      <c r="BK74" s="70">
        <f t="shared" si="320"/>
        <v>0.92159568345455045</v>
      </c>
      <c r="BL74" s="70">
        <f t="shared" si="320"/>
        <v>0.48752304033319294</v>
      </c>
      <c r="BM74" s="70">
        <f t="shared" si="320"/>
        <v>0.25994018949195663</v>
      </c>
    </row>
    <row r="75" spans="2:65">
      <c r="B75" s="146" t="s">
        <v>333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>
        <v>0.2</v>
      </c>
      <c r="BB75" s="147">
        <v>0.2</v>
      </c>
      <c r="BC75" s="147">
        <v>0.2</v>
      </c>
      <c r="BD75" s="147">
        <v>0.2</v>
      </c>
      <c r="BE75" s="147">
        <v>0.2</v>
      </c>
      <c r="BF75" s="147">
        <v>0.2</v>
      </c>
      <c r="BG75" s="147">
        <v>1.2</v>
      </c>
      <c r="BH75" s="147">
        <v>0.2</v>
      </c>
      <c r="BI75" s="147">
        <v>0.2</v>
      </c>
      <c r="BJ75" s="147">
        <v>0.2</v>
      </c>
      <c r="BK75" s="147">
        <v>0.2</v>
      </c>
      <c r="BL75" s="147">
        <v>0.2</v>
      </c>
      <c r="BM75" s="147">
        <v>0.2</v>
      </c>
    </row>
    <row r="76" spans="2:65">
      <c r="B76" s="137" t="s">
        <v>165</v>
      </c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</row>
    <row r="77" spans="2:65">
      <c r="B77" s="127" t="str">
        <f>B67</f>
        <v>Revenue</v>
      </c>
      <c r="C77" s="69"/>
      <c r="D77" s="69">
        <f t="shared" ref="D77:AX77" si="321">IF(AND(D4&gt;0,C4&gt;0),(D4/C4-1),"na")</f>
        <v>4.8781393591206079</v>
      </c>
      <c r="E77" s="69">
        <f t="shared" si="321"/>
        <v>-0.85437416708032021</v>
      </c>
      <c r="F77" s="69">
        <f t="shared" si="321"/>
        <v>26.367393285725786</v>
      </c>
      <c r="G77" s="69">
        <f t="shared" si="321"/>
        <v>-0.96538562354289836</v>
      </c>
      <c r="H77" s="69">
        <f t="shared" si="321"/>
        <v>5.5483540290393369</v>
      </c>
      <c r="I77" s="69">
        <f t="shared" si="321"/>
        <v>-7.0379348388414864E-2</v>
      </c>
      <c r="J77" s="69">
        <f t="shared" si="321"/>
        <v>3.2856851423747013</v>
      </c>
      <c r="K77" s="69">
        <f t="shared" si="321"/>
        <v>-0.88012163075499139</v>
      </c>
      <c r="L77" s="69">
        <f t="shared" si="321"/>
        <v>1.8158947090323863</v>
      </c>
      <c r="M77" s="69">
        <f t="shared" si="321"/>
        <v>-0.16900351109754586</v>
      </c>
      <c r="N77" s="69">
        <f t="shared" si="321"/>
        <v>4.8976568691030096</v>
      </c>
      <c r="O77" s="69">
        <f t="shared" si="321"/>
        <v>-0.87367152171896678</v>
      </c>
      <c r="P77" s="69">
        <f t="shared" si="321"/>
        <v>0.72712489923416435</v>
      </c>
      <c r="Q77" s="69">
        <f t="shared" si="321"/>
        <v>-0.14901462729433712</v>
      </c>
      <c r="R77" s="69">
        <f t="shared" si="321"/>
        <v>4.0190559935307304</v>
      </c>
      <c r="S77" s="69">
        <f t="shared" si="321"/>
        <v>-0.83797538686057627</v>
      </c>
      <c r="T77" s="69">
        <f t="shared" si="321"/>
        <v>-0.47959799622160115</v>
      </c>
      <c r="U77" s="69">
        <f t="shared" si="321"/>
        <v>-0.20003007089948566</v>
      </c>
      <c r="V77" s="69">
        <f t="shared" si="321"/>
        <v>16.981013977507001</v>
      </c>
      <c r="W77" s="69">
        <f t="shared" si="321"/>
        <v>-0.95445846648929344</v>
      </c>
      <c r="X77" s="69">
        <f t="shared" si="321"/>
        <v>0.52338019305590144</v>
      </c>
      <c r="Y77" s="69">
        <f t="shared" si="321"/>
        <v>2.0829561480985714</v>
      </c>
      <c r="Z77" s="69">
        <f t="shared" si="321"/>
        <v>7.205970415367414</v>
      </c>
      <c r="AA77" s="69">
        <f t="shared" si="321"/>
        <v>0.12358101667426968</v>
      </c>
      <c r="AB77" s="69">
        <f t="shared" si="321"/>
        <v>0.59190773144266462</v>
      </c>
      <c r="AC77" s="69">
        <f t="shared" si="321"/>
        <v>-2.4001007580916944E-2</v>
      </c>
      <c r="AD77" s="69">
        <f t="shared" si="321"/>
        <v>9.4390054436737314E-2</v>
      </c>
      <c r="AE77" s="69">
        <f t="shared" si="321"/>
        <v>0.52647885496159397</v>
      </c>
      <c r="AF77" s="69">
        <f t="shared" si="321"/>
        <v>7.8406898796622881E-2</v>
      </c>
      <c r="AG77" s="69">
        <f t="shared" si="321"/>
        <v>1.6288392423481768</v>
      </c>
      <c r="AH77" s="69">
        <f t="shared" si="321"/>
        <v>0.19917873491711435</v>
      </c>
      <c r="AI77" s="69">
        <f t="shared" si="321"/>
        <v>0.44782425177183693</v>
      </c>
      <c r="AJ77" s="69">
        <f t="shared" si="321"/>
        <v>0.28373721705485977</v>
      </c>
      <c r="AK77" s="69">
        <f t="shared" si="321"/>
        <v>0.32563722892112068</v>
      </c>
      <c r="AL77" s="69">
        <f t="shared" si="321"/>
        <v>0.43496759358628445</v>
      </c>
      <c r="AM77" s="69">
        <f t="shared" si="321"/>
        <v>0.27022288722352417</v>
      </c>
      <c r="AN77" s="69">
        <f t="shared" si="321"/>
        <v>-6.2182009492194434E-2</v>
      </c>
      <c r="AO77" s="69">
        <f t="shared" si="321"/>
        <v>-9.5048369721961734E-3</v>
      </c>
      <c r="AP77" s="69">
        <f t="shared" si="321"/>
        <v>0.12958952044609773</v>
      </c>
      <c r="AQ77" s="69">
        <f t="shared" si="321"/>
        <v>0.44311314753557385</v>
      </c>
      <c r="AR77" s="69">
        <f t="shared" si="321"/>
        <v>-4.9257176518720747E-2</v>
      </c>
      <c r="AS77" s="69">
        <f t="shared" si="321"/>
        <v>-5.5669089413706407E-2</v>
      </c>
      <c r="AT77" s="69">
        <f t="shared" si="321"/>
        <v>6.1418861254956214E-2</v>
      </c>
      <c r="AU77" s="69">
        <f t="shared" si="321"/>
        <v>0.24635752167852676</v>
      </c>
      <c r="AV77" s="69">
        <f t="shared" si="321"/>
        <v>1.8647473218950994E-2</v>
      </c>
      <c r="AW77" s="69">
        <f t="shared" si="321"/>
        <v>-4.5696798787665416E-2</v>
      </c>
      <c r="AX77" s="69">
        <f t="shared" si="321"/>
        <v>7.1971212789660788E-2</v>
      </c>
      <c r="AY77" s="134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</row>
    <row r="78" spans="2:65">
      <c r="B78" s="127" t="str">
        <f t="shared" ref="B78:B84" si="322">B68</f>
        <v>Gross profits</v>
      </c>
      <c r="C78" s="69"/>
      <c r="D78" s="69">
        <f t="shared" ref="D78:AX78" si="323">IF(AND(D6&gt;0,C6&gt;0),(D6/C6-1),"na")</f>
        <v>4.0537750807058899</v>
      </c>
      <c r="E78" s="69">
        <f t="shared" si="323"/>
        <v>-0.84756691656751348</v>
      </c>
      <c r="F78" s="69">
        <f t="shared" si="323"/>
        <v>18.330536472454401</v>
      </c>
      <c r="G78" s="69">
        <f t="shared" si="323"/>
        <v>-0.96142426253168312</v>
      </c>
      <c r="H78" s="69">
        <f t="shared" si="323"/>
        <v>6.453853256007454</v>
      </c>
      <c r="I78" s="69">
        <f t="shared" si="323"/>
        <v>-0.42636993101660114</v>
      </c>
      <c r="J78" s="69">
        <f t="shared" si="323"/>
        <v>4.7863891043201692</v>
      </c>
      <c r="K78" s="69">
        <f t="shared" si="323"/>
        <v>-0.91954821562357836</v>
      </c>
      <c r="L78" s="69">
        <f t="shared" si="323"/>
        <v>2.5816150933147131</v>
      </c>
      <c r="M78" s="69">
        <f t="shared" si="323"/>
        <v>-0.30190741323704029</v>
      </c>
      <c r="N78" s="69">
        <f t="shared" si="323"/>
        <v>7.4564646309602907</v>
      </c>
      <c r="O78" s="69">
        <f t="shared" si="323"/>
        <v>-0.89424585497666231</v>
      </c>
      <c r="P78" s="69">
        <f t="shared" si="323"/>
        <v>0.64755047718909586</v>
      </c>
      <c r="Q78" s="69">
        <f t="shared" si="323"/>
        <v>1.1560219896560087E-2</v>
      </c>
      <c r="R78" s="69">
        <f t="shared" si="323"/>
        <v>4.4825068596020365</v>
      </c>
      <c r="S78" s="69">
        <f t="shared" si="323"/>
        <v>-0.82246388735543219</v>
      </c>
      <c r="T78" s="69">
        <f t="shared" si="323"/>
        <v>-0.59708761627939688</v>
      </c>
      <c r="U78" s="69">
        <f t="shared" si="323"/>
        <v>-0.11038375939497336</v>
      </c>
      <c r="V78" s="69">
        <f t="shared" si="323"/>
        <v>17.759428671073479</v>
      </c>
      <c r="W78" s="69">
        <f t="shared" si="323"/>
        <v>-0.96196514354601526</v>
      </c>
      <c r="X78" s="69">
        <f t="shared" si="323"/>
        <v>0.74722861069642099</v>
      </c>
      <c r="Y78" s="69">
        <f t="shared" si="323"/>
        <v>1.3891083809747844</v>
      </c>
      <c r="Z78" s="69">
        <f t="shared" si="323"/>
        <v>8.1330178773523318</v>
      </c>
      <c r="AA78" s="69">
        <f t="shared" si="323"/>
        <v>0.10387912665821597</v>
      </c>
      <c r="AB78" s="69">
        <f t="shared" si="323"/>
        <v>0.58892839972861522</v>
      </c>
      <c r="AC78" s="69">
        <f t="shared" si="323"/>
        <v>-5.2767344797315041E-2</v>
      </c>
      <c r="AD78" s="69">
        <f t="shared" si="323"/>
        <v>0.10588389105846918</v>
      </c>
      <c r="AE78" s="69">
        <f t="shared" si="323"/>
        <v>0.51319237528924289</v>
      </c>
      <c r="AF78" s="69">
        <f t="shared" si="323"/>
        <v>0.11360900387881046</v>
      </c>
      <c r="AG78" s="69">
        <f t="shared" si="323"/>
        <v>1.3430939595314912</v>
      </c>
      <c r="AH78" s="69">
        <f t="shared" si="323"/>
        <v>0.19915818370786975</v>
      </c>
      <c r="AI78" s="69">
        <f t="shared" si="323"/>
        <v>0.47672721328948287</v>
      </c>
      <c r="AJ78" s="69">
        <f t="shared" si="323"/>
        <v>0.28371799054985991</v>
      </c>
      <c r="AK78" s="69">
        <f t="shared" si="323"/>
        <v>0.32562131726361998</v>
      </c>
      <c r="AL78" s="69">
        <f t="shared" si="323"/>
        <v>0.43496065947253904</v>
      </c>
      <c r="AM78" s="69">
        <f t="shared" si="323"/>
        <v>0.25776683450983939</v>
      </c>
      <c r="AN78" s="69">
        <f t="shared" si="323"/>
        <v>-6.2181185329655331E-2</v>
      </c>
      <c r="AO78" s="69">
        <f t="shared" si="323"/>
        <v>-9.504780831716575E-3</v>
      </c>
      <c r="AP78" s="69">
        <f t="shared" si="323"/>
        <v>0.12958982269456754</v>
      </c>
      <c r="AQ78" s="69">
        <f t="shared" si="323"/>
        <v>0.42881544006877648</v>
      </c>
      <c r="AR78" s="69">
        <f t="shared" si="323"/>
        <v>-4.9256697637947155E-2</v>
      </c>
      <c r="AS78" s="69">
        <f t="shared" si="323"/>
        <v>-5.5667761549083927E-2</v>
      </c>
      <c r="AT78" s="69">
        <f t="shared" si="323"/>
        <v>6.1419799326792202E-2</v>
      </c>
      <c r="AU78" s="69">
        <f t="shared" si="323"/>
        <v>0.24635245979812548</v>
      </c>
      <c r="AV78" s="69">
        <f t="shared" si="323"/>
        <v>1.8646763972539837E-2</v>
      </c>
      <c r="AW78" s="69">
        <f t="shared" si="323"/>
        <v>-4.5695748014274118E-2</v>
      </c>
      <c r="AX78" s="69">
        <f t="shared" si="323"/>
        <v>7.1971722067424304E-2</v>
      </c>
      <c r="AY78" s="134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</row>
    <row r="79" spans="2:65">
      <c r="B79" s="127" t="str">
        <f t="shared" si="322"/>
        <v>OP income</v>
      </c>
      <c r="C79" s="69"/>
      <c r="D79" s="69" t="str">
        <f t="shared" ref="D79:AX79" si="324">IF(AND(D12&gt;0,C12&gt;0),(D12/C12-1),"na")</f>
        <v>na</v>
      </c>
      <c r="E79" s="69" t="str">
        <f t="shared" si="324"/>
        <v>na</v>
      </c>
      <c r="F79" s="69" t="str">
        <f t="shared" si="324"/>
        <v>na</v>
      </c>
      <c r="G79" s="69" t="str">
        <f t="shared" si="324"/>
        <v>na</v>
      </c>
      <c r="H79" s="69" t="str">
        <f t="shared" si="324"/>
        <v>na</v>
      </c>
      <c r="I79" s="69" t="str">
        <f t="shared" si="324"/>
        <v>na</v>
      </c>
      <c r="J79" s="69" t="str">
        <f t="shared" si="324"/>
        <v>na</v>
      </c>
      <c r="K79" s="69" t="str">
        <f t="shared" si="324"/>
        <v>na</v>
      </c>
      <c r="L79" s="69" t="str">
        <f t="shared" si="324"/>
        <v>na</v>
      </c>
      <c r="M79" s="69" t="str">
        <f t="shared" si="324"/>
        <v>na</v>
      </c>
      <c r="N79" s="69" t="str">
        <f t="shared" si="324"/>
        <v>na</v>
      </c>
      <c r="O79" s="69" t="str">
        <f t="shared" si="324"/>
        <v>na</v>
      </c>
      <c r="P79" s="69" t="str">
        <f t="shared" si="324"/>
        <v>na</v>
      </c>
      <c r="Q79" s="69" t="str">
        <f t="shared" si="324"/>
        <v>na</v>
      </c>
      <c r="R79" s="69" t="str">
        <f t="shared" si="324"/>
        <v>na</v>
      </c>
      <c r="S79" s="69" t="str">
        <f t="shared" si="324"/>
        <v>na</v>
      </c>
      <c r="T79" s="69" t="str">
        <f t="shared" si="324"/>
        <v>na</v>
      </c>
      <c r="U79" s="69" t="str">
        <f t="shared" si="324"/>
        <v>na</v>
      </c>
      <c r="V79" s="69" t="str">
        <f t="shared" si="324"/>
        <v>na</v>
      </c>
      <c r="W79" s="69" t="str">
        <f t="shared" si="324"/>
        <v>na</v>
      </c>
      <c r="X79" s="69" t="str">
        <f t="shared" si="324"/>
        <v>na</v>
      </c>
      <c r="Y79" s="69" t="str">
        <f t="shared" si="324"/>
        <v>na</v>
      </c>
      <c r="Z79" s="69" t="str">
        <f t="shared" si="324"/>
        <v>na</v>
      </c>
      <c r="AA79" s="69">
        <f t="shared" si="324"/>
        <v>3.4283553162611327</v>
      </c>
      <c r="AB79" s="69">
        <f t="shared" si="324"/>
        <v>1.2389323766452613</v>
      </c>
      <c r="AC79" s="69">
        <f t="shared" si="324"/>
        <v>-0.12404925535408784</v>
      </c>
      <c r="AD79" s="69">
        <f t="shared" si="324"/>
        <v>-0.23815707146618115</v>
      </c>
      <c r="AE79" s="69">
        <f t="shared" si="324"/>
        <v>1.6808816665700137</v>
      </c>
      <c r="AF79" s="69">
        <f t="shared" si="324"/>
        <v>9.3354025514871042E-2</v>
      </c>
      <c r="AG79" s="69">
        <f t="shared" si="324"/>
        <v>0.43497957932123676</v>
      </c>
      <c r="AH79" s="69">
        <f t="shared" si="324"/>
        <v>0.19200948695166464</v>
      </c>
      <c r="AI79" s="69">
        <f t="shared" si="324"/>
        <v>0.11980252537319647</v>
      </c>
      <c r="AJ79" s="69">
        <f t="shared" si="324"/>
        <v>0.28470513290854926</v>
      </c>
      <c r="AK79" s="69">
        <f t="shared" si="324"/>
        <v>0.33121428740290804</v>
      </c>
      <c r="AL79" s="69">
        <f t="shared" si="324"/>
        <v>0.43419086792210848</v>
      </c>
      <c r="AM79" s="69">
        <f t="shared" si="324"/>
        <v>0.32674588042009556</v>
      </c>
      <c r="AN79" s="69">
        <f t="shared" si="324"/>
        <v>-6.4403084136290922E-2</v>
      </c>
      <c r="AO79" s="69">
        <f t="shared" si="324"/>
        <v>-1.0186306119842725E-2</v>
      </c>
      <c r="AP79" s="69">
        <f t="shared" si="324"/>
        <v>0.12590613829331421</v>
      </c>
      <c r="AQ79" s="69">
        <f t="shared" si="324"/>
        <v>0.50405141068052783</v>
      </c>
      <c r="AR79" s="69">
        <f t="shared" si="324"/>
        <v>-5.0680267086469222E-2</v>
      </c>
      <c r="AS79" s="69">
        <f t="shared" si="324"/>
        <v>-5.6414544074120387E-2</v>
      </c>
      <c r="AT79" s="69">
        <f t="shared" si="324"/>
        <v>5.8374811537538873E-2</v>
      </c>
      <c r="AU79" s="69">
        <f t="shared" si="324"/>
        <v>0.28314621881163116</v>
      </c>
      <c r="AV79" s="69">
        <f t="shared" si="324"/>
        <v>1.770772524450237E-2</v>
      </c>
      <c r="AW79" s="69">
        <f t="shared" si="324"/>
        <v>-4.6245063788973417E-2</v>
      </c>
      <c r="AX79" s="69">
        <f t="shared" si="324"/>
        <v>6.9606997374012325E-2</v>
      </c>
      <c r="AY79" s="134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</row>
    <row r="80" spans="2:65">
      <c r="B80" s="127" t="str">
        <f t="shared" si="322"/>
        <v>EBITDA</v>
      </c>
      <c r="C80" s="69"/>
      <c r="D80" s="69" t="str">
        <f t="shared" ref="D80:AX80" si="325">IF(AND(D39&gt;0,C39&gt;0),(D39/C39-1),"na")</f>
        <v>na</v>
      </c>
      <c r="E80" s="69" t="str">
        <f t="shared" si="325"/>
        <v>na</v>
      </c>
      <c r="F80" s="69" t="str">
        <f t="shared" si="325"/>
        <v>na</v>
      </c>
      <c r="G80" s="69" t="str">
        <f t="shared" si="325"/>
        <v>na</v>
      </c>
      <c r="H80" s="69" t="str">
        <f t="shared" si="325"/>
        <v>na</v>
      </c>
      <c r="I80" s="69" t="str">
        <f t="shared" si="325"/>
        <v>na</v>
      </c>
      <c r="J80" s="69" t="str">
        <f t="shared" si="325"/>
        <v>na</v>
      </c>
      <c r="K80" s="69" t="str">
        <f t="shared" si="325"/>
        <v>na</v>
      </c>
      <c r="L80" s="69" t="str">
        <f t="shared" si="325"/>
        <v>na</v>
      </c>
      <c r="M80" s="69" t="str">
        <f t="shared" si="325"/>
        <v>na</v>
      </c>
      <c r="N80" s="69" t="str">
        <f t="shared" si="325"/>
        <v>na</v>
      </c>
      <c r="O80" s="69" t="str">
        <f t="shared" si="325"/>
        <v>na</v>
      </c>
      <c r="P80" s="69" t="str">
        <f t="shared" si="325"/>
        <v>na</v>
      </c>
      <c r="Q80" s="69" t="str">
        <f t="shared" si="325"/>
        <v>na</v>
      </c>
      <c r="R80" s="69" t="str">
        <f t="shared" si="325"/>
        <v>na</v>
      </c>
      <c r="S80" s="69" t="str">
        <f t="shared" si="325"/>
        <v>na</v>
      </c>
      <c r="T80" s="69" t="str">
        <f t="shared" si="325"/>
        <v>na</v>
      </c>
      <c r="U80" s="69" t="str">
        <f t="shared" si="325"/>
        <v>na</v>
      </c>
      <c r="V80" s="69" t="str">
        <f t="shared" si="325"/>
        <v>na</v>
      </c>
      <c r="W80" s="69" t="str">
        <f t="shared" si="325"/>
        <v>na</v>
      </c>
      <c r="X80" s="69" t="str">
        <f t="shared" si="325"/>
        <v>na</v>
      </c>
      <c r="Y80" s="69" t="str">
        <f t="shared" si="325"/>
        <v>na</v>
      </c>
      <c r="Z80" s="69" t="str">
        <f t="shared" si="325"/>
        <v>na</v>
      </c>
      <c r="AA80" s="69">
        <f t="shared" si="325"/>
        <v>2.2443706471649603</v>
      </c>
      <c r="AB80" s="69">
        <f t="shared" si="325"/>
        <v>1.0230011797330572</v>
      </c>
      <c r="AC80" s="69">
        <f t="shared" si="325"/>
        <v>-0.11336200912907657</v>
      </c>
      <c r="AD80" s="69">
        <f t="shared" si="325"/>
        <v>-0.2150157157114625</v>
      </c>
      <c r="AE80" s="69">
        <f t="shared" si="325"/>
        <v>1.5106469872881774</v>
      </c>
      <c r="AF80" s="69">
        <f t="shared" si="325"/>
        <v>8.7344636873109671E-2</v>
      </c>
      <c r="AG80" s="69">
        <f t="shared" si="325"/>
        <v>0.40922829499104418</v>
      </c>
      <c r="AH80" s="69">
        <f t="shared" si="325"/>
        <v>0.18421125216701872</v>
      </c>
      <c r="AI80" s="69">
        <f t="shared" si="325"/>
        <v>0.11588765696221714</v>
      </c>
      <c r="AJ80" s="69">
        <f t="shared" si="325"/>
        <v>0.27550402363645254</v>
      </c>
      <c r="AK80" s="69">
        <f t="shared" si="325"/>
        <v>0.32282215898615552</v>
      </c>
      <c r="AL80" s="69">
        <f t="shared" si="325"/>
        <v>0.42587433555559984</v>
      </c>
      <c r="AM80" s="69">
        <f t="shared" si="325"/>
        <v>0.3225408672817911</v>
      </c>
      <c r="AN80" s="69">
        <f t="shared" si="325"/>
        <v>-6.3739961527925382E-2</v>
      </c>
      <c r="AO80" s="69">
        <f t="shared" si="325"/>
        <v>-1.0074283066482392E-2</v>
      </c>
      <c r="AP80" s="69">
        <f t="shared" si="325"/>
        <v>0.12450740478406996</v>
      </c>
      <c r="AQ80" s="69">
        <f t="shared" si="325"/>
        <v>0.49923089627852524</v>
      </c>
      <c r="AR80" s="69">
        <f t="shared" si="325"/>
        <v>-5.0340925663827196E-2</v>
      </c>
      <c r="AS80" s="69">
        <f t="shared" si="325"/>
        <v>-5.601678385933051E-2</v>
      </c>
      <c r="AT80" s="69">
        <f t="shared" si="325"/>
        <v>5.7938806529584275E-2</v>
      </c>
      <c r="AU80" s="69">
        <f t="shared" si="325"/>
        <v>0.28130212279681088</v>
      </c>
      <c r="AV80" s="69">
        <f t="shared" si="325"/>
        <v>1.7608014157358909E-2</v>
      </c>
      <c r="AW80" s="69">
        <f t="shared" si="325"/>
        <v>-4.5989166584903596E-2</v>
      </c>
      <c r="AX80" s="69">
        <f t="shared" si="325"/>
        <v>6.9203259258456606E-2</v>
      </c>
      <c r="AY80" s="134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</row>
    <row r="81" spans="2:65">
      <c r="B81" s="127" t="str">
        <f t="shared" si="322"/>
        <v>EBIT / OP income</v>
      </c>
      <c r="C81" s="69"/>
      <c r="D81" s="69" t="str">
        <f t="shared" ref="D81:AX81" si="326">IF(AND(D40&gt;0,C40&gt;0),(D40/C40-1),"na")</f>
        <v>na</v>
      </c>
      <c r="E81" s="69" t="str">
        <f t="shared" si="326"/>
        <v>na</v>
      </c>
      <c r="F81" s="69" t="str">
        <f t="shared" si="326"/>
        <v>na</v>
      </c>
      <c r="G81" s="69" t="str">
        <f t="shared" si="326"/>
        <v>na</v>
      </c>
      <c r="H81" s="69" t="str">
        <f t="shared" si="326"/>
        <v>na</v>
      </c>
      <c r="I81" s="69" t="str">
        <f t="shared" si="326"/>
        <v>na</v>
      </c>
      <c r="J81" s="69" t="str">
        <f t="shared" si="326"/>
        <v>na</v>
      </c>
      <c r="K81" s="69" t="str">
        <f t="shared" si="326"/>
        <v>na</v>
      </c>
      <c r="L81" s="69" t="str">
        <f t="shared" si="326"/>
        <v>na</v>
      </c>
      <c r="M81" s="69" t="str">
        <f t="shared" si="326"/>
        <v>na</v>
      </c>
      <c r="N81" s="69" t="str">
        <f t="shared" si="326"/>
        <v>na</v>
      </c>
      <c r="O81" s="69" t="str">
        <f t="shared" si="326"/>
        <v>na</v>
      </c>
      <c r="P81" s="69" t="str">
        <f t="shared" si="326"/>
        <v>na</v>
      </c>
      <c r="Q81" s="69" t="str">
        <f t="shared" si="326"/>
        <v>na</v>
      </c>
      <c r="R81" s="69" t="str">
        <f t="shared" si="326"/>
        <v>na</v>
      </c>
      <c r="S81" s="69" t="str">
        <f t="shared" si="326"/>
        <v>na</v>
      </c>
      <c r="T81" s="69" t="str">
        <f t="shared" si="326"/>
        <v>na</v>
      </c>
      <c r="U81" s="69" t="str">
        <f t="shared" si="326"/>
        <v>na</v>
      </c>
      <c r="V81" s="69" t="str">
        <f t="shared" si="326"/>
        <v>na</v>
      </c>
      <c r="W81" s="69" t="str">
        <f t="shared" si="326"/>
        <v>na</v>
      </c>
      <c r="X81" s="69" t="str">
        <f t="shared" si="326"/>
        <v>na</v>
      </c>
      <c r="Y81" s="69" t="str">
        <f t="shared" si="326"/>
        <v>na</v>
      </c>
      <c r="Z81" s="69" t="str">
        <f t="shared" si="326"/>
        <v>na</v>
      </c>
      <c r="AA81" s="69">
        <f t="shared" si="326"/>
        <v>3.4283553162611327</v>
      </c>
      <c r="AB81" s="69">
        <f t="shared" si="326"/>
        <v>1.2389323766452613</v>
      </c>
      <c r="AC81" s="69">
        <f t="shared" si="326"/>
        <v>-0.12404925535408784</v>
      </c>
      <c r="AD81" s="69">
        <f t="shared" si="326"/>
        <v>-0.23815707146618115</v>
      </c>
      <c r="AE81" s="69">
        <f t="shared" si="326"/>
        <v>1.6808816665700137</v>
      </c>
      <c r="AF81" s="69">
        <f t="shared" si="326"/>
        <v>9.3354025514871042E-2</v>
      </c>
      <c r="AG81" s="69">
        <f t="shared" si="326"/>
        <v>0.43497957932123676</v>
      </c>
      <c r="AH81" s="69">
        <f t="shared" si="326"/>
        <v>0.19200948695166464</v>
      </c>
      <c r="AI81" s="69">
        <f t="shared" si="326"/>
        <v>0.11980252537319647</v>
      </c>
      <c r="AJ81" s="69">
        <f t="shared" si="326"/>
        <v>0.28470513290854926</v>
      </c>
      <c r="AK81" s="69">
        <f t="shared" si="326"/>
        <v>0.33121428740290804</v>
      </c>
      <c r="AL81" s="69">
        <f t="shared" si="326"/>
        <v>0.43419086792210848</v>
      </c>
      <c r="AM81" s="69">
        <f t="shared" si="326"/>
        <v>0.32674588042009556</v>
      </c>
      <c r="AN81" s="69">
        <f t="shared" si="326"/>
        <v>-6.4403084136290922E-2</v>
      </c>
      <c r="AO81" s="69">
        <f t="shared" si="326"/>
        <v>-1.0186306119842725E-2</v>
      </c>
      <c r="AP81" s="69">
        <f t="shared" si="326"/>
        <v>0.12590613829331421</v>
      </c>
      <c r="AQ81" s="69">
        <f t="shared" si="326"/>
        <v>0.50405141068052783</v>
      </c>
      <c r="AR81" s="69">
        <f t="shared" si="326"/>
        <v>-5.0680267086469222E-2</v>
      </c>
      <c r="AS81" s="69">
        <f t="shared" si="326"/>
        <v>-5.6414544074120387E-2</v>
      </c>
      <c r="AT81" s="69">
        <f t="shared" si="326"/>
        <v>5.8374811537538873E-2</v>
      </c>
      <c r="AU81" s="69">
        <f t="shared" si="326"/>
        <v>0.28314621881163116</v>
      </c>
      <c r="AV81" s="69">
        <f t="shared" si="326"/>
        <v>1.770772524450237E-2</v>
      </c>
      <c r="AW81" s="69">
        <f t="shared" si="326"/>
        <v>-4.6245063788973417E-2</v>
      </c>
      <c r="AX81" s="69">
        <f t="shared" si="326"/>
        <v>6.9606997374012325E-2</v>
      </c>
      <c r="AY81" s="134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</row>
    <row r="82" spans="2:65">
      <c r="B82" s="127" t="str">
        <f t="shared" si="322"/>
        <v>Pretax income</v>
      </c>
      <c r="C82" s="69"/>
      <c r="D82" s="69" t="str">
        <f t="shared" ref="D82:AX82" si="327">IF(AND(D22&gt;0,C22&gt;0),(D22/C22-1),"na")</f>
        <v>na</v>
      </c>
      <c r="E82" s="69" t="str">
        <f t="shared" si="327"/>
        <v>na</v>
      </c>
      <c r="F82" s="69" t="str">
        <f t="shared" si="327"/>
        <v>na</v>
      </c>
      <c r="G82" s="69" t="str">
        <f t="shared" si="327"/>
        <v>na</v>
      </c>
      <c r="H82" s="69" t="str">
        <f t="shared" si="327"/>
        <v>na</v>
      </c>
      <c r="I82" s="69" t="str">
        <f t="shared" si="327"/>
        <v>na</v>
      </c>
      <c r="J82" s="69" t="str">
        <f t="shared" si="327"/>
        <v>na</v>
      </c>
      <c r="K82" s="69" t="str">
        <f t="shared" si="327"/>
        <v>na</v>
      </c>
      <c r="L82" s="69" t="str">
        <f t="shared" si="327"/>
        <v>na</v>
      </c>
      <c r="M82" s="69" t="str">
        <f t="shared" si="327"/>
        <v>na</v>
      </c>
      <c r="N82" s="69" t="str">
        <f t="shared" si="327"/>
        <v>na</v>
      </c>
      <c r="O82" s="69" t="str">
        <f t="shared" si="327"/>
        <v>na</v>
      </c>
      <c r="P82" s="69" t="str">
        <f t="shared" si="327"/>
        <v>na</v>
      </c>
      <c r="Q82" s="69" t="str">
        <f t="shared" si="327"/>
        <v>na</v>
      </c>
      <c r="R82" s="69" t="str">
        <f t="shared" si="327"/>
        <v>na</v>
      </c>
      <c r="S82" s="69" t="str">
        <f t="shared" si="327"/>
        <v>na</v>
      </c>
      <c r="T82" s="69" t="str">
        <f t="shared" si="327"/>
        <v>na</v>
      </c>
      <c r="U82" s="69" t="str">
        <f t="shared" si="327"/>
        <v>na</v>
      </c>
      <c r="V82" s="69" t="str">
        <f t="shared" si="327"/>
        <v>na</v>
      </c>
      <c r="W82" s="69" t="str">
        <f t="shared" si="327"/>
        <v>na</v>
      </c>
      <c r="X82" s="69" t="str">
        <f t="shared" si="327"/>
        <v>na</v>
      </c>
      <c r="Y82" s="69" t="str">
        <f t="shared" si="327"/>
        <v>na</v>
      </c>
      <c r="Z82" s="69" t="str">
        <f t="shared" si="327"/>
        <v>na</v>
      </c>
      <c r="AA82" s="69">
        <f t="shared" si="327"/>
        <v>0.30409252762404027</v>
      </c>
      <c r="AB82" s="69">
        <f t="shared" si="327"/>
        <v>0.92032271121676468</v>
      </c>
      <c r="AC82" s="69">
        <f t="shared" si="327"/>
        <v>-0.17041011457793365</v>
      </c>
      <c r="AD82" s="69">
        <f t="shared" si="327"/>
        <v>-0.19535871118241999</v>
      </c>
      <c r="AE82" s="69">
        <f t="shared" si="327"/>
        <v>1.2265795435403675</v>
      </c>
      <c r="AF82" s="69">
        <f t="shared" si="327"/>
        <v>0.26889637106945496</v>
      </c>
      <c r="AG82" s="69">
        <f t="shared" si="327"/>
        <v>0.44646295891146059</v>
      </c>
      <c r="AH82" s="69">
        <f t="shared" si="327"/>
        <v>0.18809068837227039</v>
      </c>
      <c r="AI82" s="69">
        <f t="shared" si="327"/>
        <v>0.10960864689686867</v>
      </c>
      <c r="AJ82" s="69">
        <f t="shared" si="327"/>
        <v>0.28210900179933085</v>
      </c>
      <c r="AK82" s="69">
        <f t="shared" si="327"/>
        <v>0.32885861205387812</v>
      </c>
      <c r="AL82" s="69">
        <f t="shared" si="327"/>
        <v>0.43186701689082208</v>
      </c>
      <c r="AM82" s="69">
        <f t="shared" si="327"/>
        <v>0.32554776000411234</v>
      </c>
      <c r="AN82" s="69">
        <f t="shared" si="327"/>
        <v>-6.4220347688654478E-2</v>
      </c>
      <c r="AO82" s="69">
        <f t="shared" si="327"/>
        <v>-1.0155420121872427E-2</v>
      </c>
      <c r="AP82" s="69">
        <f t="shared" si="327"/>
        <v>0.12552046034383468</v>
      </c>
      <c r="AQ82" s="69">
        <f t="shared" si="327"/>
        <v>0.50270343775092985</v>
      </c>
      <c r="AR82" s="69">
        <f t="shared" si="327"/>
        <v>-5.0587673690880908E-2</v>
      </c>
      <c r="AS82" s="69">
        <f t="shared" si="327"/>
        <v>-5.6305982199843174E-2</v>
      </c>
      <c r="AT82" s="69">
        <f t="shared" si="327"/>
        <v>5.8255774930505932E-2</v>
      </c>
      <c r="AU82" s="69">
        <f t="shared" si="327"/>
        <v>0.28172908321062029</v>
      </c>
      <c r="AV82" s="69">
        <f t="shared" si="327"/>
        <v>1.7693144525830595E-2</v>
      </c>
      <c r="AW82" s="69">
        <f t="shared" si="327"/>
        <v>-4.620764715723169E-2</v>
      </c>
      <c r="AX82" s="69">
        <f t="shared" si="327"/>
        <v>6.9547950301490191E-2</v>
      </c>
      <c r="AY82" s="134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</row>
    <row r="83" spans="2:65">
      <c r="B83" s="127" t="str">
        <f t="shared" si="322"/>
        <v>Net income</v>
      </c>
      <c r="C83" s="69"/>
      <c r="D83" s="69" t="str">
        <f t="shared" ref="D83:AX83" si="328">IF(AND(D25&gt;0,C25&gt;0),(D25/C25-1),"na")</f>
        <v>na</v>
      </c>
      <c r="E83" s="69" t="str">
        <f t="shared" si="328"/>
        <v>na</v>
      </c>
      <c r="F83" s="69" t="str">
        <f t="shared" si="328"/>
        <v>na</v>
      </c>
      <c r="G83" s="69" t="str">
        <f t="shared" si="328"/>
        <v>na</v>
      </c>
      <c r="H83" s="69" t="str">
        <f t="shared" si="328"/>
        <v>na</v>
      </c>
      <c r="I83" s="69" t="str">
        <f t="shared" si="328"/>
        <v>na</v>
      </c>
      <c r="J83" s="69" t="str">
        <f t="shared" si="328"/>
        <v>na</v>
      </c>
      <c r="K83" s="69" t="str">
        <f t="shared" si="328"/>
        <v>na</v>
      </c>
      <c r="L83" s="69" t="str">
        <f t="shared" si="328"/>
        <v>na</v>
      </c>
      <c r="M83" s="69" t="str">
        <f t="shared" si="328"/>
        <v>na</v>
      </c>
      <c r="N83" s="69" t="str">
        <f t="shared" si="328"/>
        <v>na</v>
      </c>
      <c r="O83" s="69" t="str">
        <f t="shared" si="328"/>
        <v>na</v>
      </c>
      <c r="P83" s="69" t="str">
        <f t="shared" si="328"/>
        <v>na</v>
      </c>
      <c r="Q83" s="69" t="str">
        <f t="shared" si="328"/>
        <v>na</v>
      </c>
      <c r="R83" s="69" t="str">
        <f t="shared" si="328"/>
        <v>na</v>
      </c>
      <c r="S83" s="69" t="str">
        <f t="shared" si="328"/>
        <v>na</v>
      </c>
      <c r="T83" s="69" t="str">
        <f t="shared" si="328"/>
        <v>na</v>
      </c>
      <c r="U83" s="69" t="str">
        <f t="shared" si="328"/>
        <v>na</v>
      </c>
      <c r="V83" s="69" t="str">
        <f t="shared" si="328"/>
        <v>na</v>
      </c>
      <c r="W83" s="69" t="str">
        <f t="shared" si="328"/>
        <v>na</v>
      </c>
      <c r="X83" s="69" t="str">
        <f t="shared" si="328"/>
        <v>na</v>
      </c>
      <c r="Y83" s="69" t="str">
        <f t="shared" si="328"/>
        <v>na</v>
      </c>
      <c r="Z83" s="69" t="str">
        <f t="shared" si="328"/>
        <v>na</v>
      </c>
      <c r="AA83" s="69">
        <f t="shared" si="328"/>
        <v>0.30612303659933815</v>
      </c>
      <c r="AB83" s="69">
        <f t="shared" si="328"/>
        <v>0.92034902093282245</v>
      </c>
      <c r="AC83" s="69">
        <f t="shared" si="328"/>
        <v>-0.17001348678026273</v>
      </c>
      <c r="AD83" s="69">
        <f t="shared" si="328"/>
        <v>-0.19764853385197467</v>
      </c>
      <c r="AE83" s="69">
        <f t="shared" si="328"/>
        <v>1.2306403053408164</v>
      </c>
      <c r="AF83" s="69">
        <f t="shared" si="328"/>
        <v>0.27898193972600671</v>
      </c>
      <c r="AG83" s="69">
        <f t="shared" si="328"/>
        <v>0.36305716582646874</v>
      </c>
      <c r="AH83" s="69">
        <f t="shared" si="328"/>
        <v>0.18816782036627711</v>
      </c>
      <c r="AI83" s="69">
        <f t="shared" si="328"/>
        <v>5.1225865555590167E-2</v>
      </c>
      <c r="AJ83" s="69">
        <f t="shared" si="328"/>
        <v>0.28220162299496998</v>
      </c>
      <c r="AK83" s="69">
        <f t="shared" si="328"/>
        <v>0.32894281869337627</v>
      </c>
      <c r="AL83" s="69">
        <f t="shared" si="328"/>
        <v>0.43195022791330562</v>
      </c>
      <c r="AM83" s="69">
        <f t="shared" si="328"/>
        <v>0.29613098393944992</v>
      </c>
      <c r="AN83" s="69">
        <f t="shared" si="328"/>
        <v>-6.4227014630376611E-2</v>
      </c>
      <c r="AO83" s="69">
        <f t="shared" si="328"/>
        <v>-1.0156546752095208E-2</v>
      </c>
      <c r="AP83" s="69">
        <f t="shared" si="328"/>
        <v>0.12553452831635004</v>
      </c>
      <c r="AQ83" s="69">
        <f t="shared" si="328"/>
        <v>0.46859774371078333</v>
      </c>
      <c r="AR83" s="69">
        <f t="shared" si="328"/>
        <v>-5.0591103737456233E-2</v>
      </c>
      <c r="AS83" s="69">
        <f t="shared" si="328"/>
        <v>-5.6310003407959663E-2</v>
      </c>
      <c r="AT83" s="69">
        <f t="shared" si="328"/>
        <v>5.8260183641640095E-2</v>
      </c>
      <c r="AU83" s="69">
        <f t="shared" si="328"/>
        <v>0.25193944557109438</v>
      </c>
      <c r="AV83" s="69">
        <f t="shared" si="328"/>
        <v>1.7694155178449744E-2</v>
      </c>
      <c r="AW83" s="69">
        <f t="shared" si="328"/>
        <v>-4.6210240700249261E-2</v>
      </c>
      <c r="AX83" s="69">
        <f t="shared" si="328"/>
        <v>6.9552043014390774E-2</v>
      </c>
      <c r="AY83" s="134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</row>
    <row r="84" spans="2:65">
      <c r="B84" s="127" t="str">
        <f t="shared" si="322"/>
        <v>EPS (diluted)</v>
      </c>
      <c r="C84" s="69"/>
      <c r="D84" s="69" t="str">
        <f t="shared" ref="D84:AX84" si="329">IF(AND(D27&gt;0,C27&gt;0),(D27/C27-1),"na")</f>
        <v>na</v>
      </c>
      <c r="E84" s="69" t="str">
        <f t="shared" si="329"/>
        <v>na</v>
      </c>
      <c r="F84" s="69" t="str">
        <f t="shared" si="329"/>
        <v>na</v>
      </c>
      <c r="G84" s="69" t="str">
        <f t="shared" si="329"/>
        <v>na</v>
      </c>
      <c r="H84" s="69" t="str">
        <f t="shared" si="329"/>
        <v>na</v>
      </c>
      <c r="I84" s="69" t="str">
        <f t="shared" si="329"/>
        <v>na</v>
      </c>
      <c r="J84" s="69" t="str">
        <f t="shared" si="329"/>
        <v>na</v>
      </c>
      <c r="K84" s="69" t="str">
        <f t="shared" si="329"/>
        <v>na</v>
      </c>
      <c r="L84" s="69" t="str">
        <f t="shared" si="329"/>
        <v>na</v>
      </c>
      <c r="M84" s="69" t="str">
        <f t="shared" si="329"/>
        <v>na</v>
      </c>
      <c r="N84" s="69" t="str">
        <f t="shared" si="329"/>
        <v>na</v>
      </c>
      <c r="O84" s="69" t="str">
        <f t="shared" si="329"/>
        <v>na</v>
      </c>
      <c r="P84" s="69" t="str">
        <f t="shared" si="329"/>
        <v>na</v>
      </c>
      <c r="Q84" s="69" t="str">
        <f t="shared" si="329"/>
        <v>na</v>
      </c>
      <c r="R84" s="69" t="str">
        <f t="shared" si="329"/>
        <v>na</v>
      </c>
      <c r="S84" s="69" t="str">
        <f t="shared" si="329"/>
        <v>na</v>
      </c>
      <c r="T84" s="69" t="str">
        <f t="shared" si="329"/>
        <v>na</v>
      </c>
      <c r="U84" s="69" t="str">
        <f t="shared" si="329"/>
        <v>na</v>
      </c>
      <c r="V84" s="69" t="str">
        <f t="shared" si="329"/>
        <v>na</v>
      </c>
      <c r="W84" s="69" t="str">
        <f t="shared" si="329"/>
        <v>na</v>
      </c>
      <c r="X84" s="69" t="str">
        <f t="shared" si="329"/>
        <v>na</v>
      </c>
      <c r="Y84" s="69" t="str">
        <f t="shared" si="329"/>
        <v>na</v>
      </c>
      <c r="Z84" s="69" t="str">
        <f t="shared" si="329"/>
        <v>na</v>
      </c>
      <c r="AA84" s="69">
        <f t="shared" si="329"/>
        <v>0.30612303659933815</v>
      </c>
      <c r="AB84" s="69">
        <f t="shared" si="329"/>
        <v>0.91624772957058354</v>
      </c>
      <c r="AC84" s="69">
        <f t="shared" si="329"/>
        <v>-0.1765775312362633</v>
      </c>
      <c r="AD84" s="69">
        <f t="shared" si="329"/>
        <v>-0.19764853385197467</v>
      </c>
      <c r="AE84" s="69">
        <f t="shared" si="329"/>
        <v>1.2306403053408164</v>
      </c>
      <c r="AF84" s="69">
        <f t="shared" si="329"/>
        <v>-0.14159835730981896</v>
      </c>
      <c r="AG84" s="69">
        <f t="shared" si="329"/>
        <v>0.36305716582646852</v>
      </c>
      <c r="AH84" s="69">
        <f t="shared" si="329"/>
        <v>0.18816782036627711</v>
      </c>
      <c r="AI84" s="69">
        <f t="shared" si="329"/>
        <v>5.1225865555590389E-2</v>
      </c>
      <c r="AJ84" s="69">
        <f t="shared" si="329"/>
        <v>0.28220162299496998</v>
      </c>
      <c r="AK84" s="69">
        <f t="shared" si="329"/>
        <v>0.32894281869337605</v>
      </c>
      <c r="AL84" s="69">
        <f t="shared" si="329"/>
        <v>0.4319502279133054</v>
      </c>
      <c r="AM84" s="69">
        <f t="shared" si="329"/>
        <v>0.29613098393944992</v>
      </c>
      <c r="AN84" s="69">
        <f t="shared" si="329"/>
        <v>-6.42270146303765E-2</v>
      </c>
      <c r="AO84" s="69">
        <f t="shared" si="329"/>
        <v>-1.0156546752095319E-2</v>
      </c>
      <c r="AP84" s="69">
        <f t="shared" si="329"/>
        <v>0.12553452831634981</v>
      </c>
      <c r="AQ84" s="69">
        <f t="shared" si="329"/>
        <v>0.46859774371078333</v>
      </c>
      <c r="AR84" s="69">
        <f t="shared" si="329"/>
        <v>-5.0591103737456233E-2</v>
      </c>
      <c r="AS84" s="69">
        <f t="shared" si="329"/>
        <v>-5.6310003407959663E-2</v>
      </c>
      <c r="AT84" s="69">
        <f t="shared" si="329"/>
        <v>5.8260183641640095E-2</v>
      </c>
      <c r="AU84" s="69">
        <f t="shared" si="329"/>
        <v>0.25193944557109438</v>
      </c>
      <c r="AV84" s="69">
        <f t="shared" si="329"/>
        <v>1.7694155178449966E-2</v>
      </c>
      <c r="AW84" s="69">
        <f t="shared" si="329"/>
        <v>-4.6210240700249261E-2</v>
      </c>
      <c r="AX84" s="69">
        <f t="shared" si="329"/>
        <v>6.9552043014390774E-2</v>
      </c>
      <c r="AY84" s="134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</row>
    <row r="86" spans="2:65">
      <c r="B86" s="149" t="s">
        <v>216</v>
      </c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49"/>
    </row>
    <row r="87" spans="2:65">
      <c r="B87" s="127" t="str">
        <f>B77</f>
        <v>Revenue</v>
      </c>
      <c r="C87" s="67">
        <f>C4/SUM(C4:F4)</f>
        <v>3.2091518210040561E-2</v>
      </c>
      <c r="D87" s="67">
        <f>D4/SUM(C4:F4)</f>
        <v>0.18863841628437514</v>
      </c>
      <c r="E87" s="67">
        <f>E4/SUM(C4:F4)</f>
        <v>2.7470626492061428E-2</v>
      </c>
      <c r="F87" s="67">
        <f>F4/SUM(C4:F4)</f>
        <v>0.75179943901352286</v>
      </c>
      <c r="G87" s="67">
        <f>G4/SUM(G4:J4)</f>
        <v>2.5173138464283651E-2</v>
      </c>
      <c r="H87" s="67">
        <f>H4/SUM(G4:J4)</f>
        <v>0.16484262268615696</v>
      </c>
      <c r="I87" s="67">
        <f>I4/SUM(G4:J4)</f>
        <v>0.1532411063148679</v>
      </c>
      <c r="J87" s="67">
        <f>J4/SUM(G4:J4)</f>
        <v>0.65674313253469152</v>
      </c>
      <c r="K87" s="67">
        <f>K4/SUM(K4:N4)</f>
        <v>5.0109232518119398E-2</v>
      </c>
      <c r="L87" s="67">
        <f>L4/SUM(K4:N4)</f>
        <v>0.14110232272144599</v>
      </c>
      <c r="M87" s="67">
        <f>M4/SUM(K4:N4)</f>
        <v>0.1172555347575026</v>
      </c>
      <c r="N87" s="67">
        <f>N4/SUM(K4:N4)</f>
        <v>0.69153291000293193</v>
      </c>
      <c r="O87" s="67">
        <f>O4/SUM(O4:R4)</f>
        <v>8.6402936209628911E-2</v>
      </c>
      <c r="P87" s="67">
        <f>P4/SUM(O4:R4)</f>
        <v>0.14922866249459127</v>
      </c>
      <c r="Q87" s="67">
        <f>Q4/SUM(O4:R4)</f>
        <v>0.12699140897132732</v>
      </c>
      <c r="R87" s="67">
        <f>R4/SUM(O4:R4)</f>
        <v>0.63737699232445255</v>
      </c>
      <c r="S87" s="67">
        <f>S4/SUM(S4:V4)</f>
        <v>0.10613107394543836</v>
      </c>
      <c r="T87" s="67">
        <f>T4/SUM(S4:V4)</f>
        <v>5.5230823544359549E-2</v>
      </c>
      <c r="U87" s="67">
        <f>U4/SUM(S4:V4)</f>
        <v>4.4182997994944323E-2</v>
      </c>
      <c r="V87" s="67">
        <f>V4/SUM(S4:V4)</f>
        <v>0.79445510451525769</v>
      </c>
      <c r="W87" s="67">
        <f>W4/SUM(W4:Z4)</f>
        <v>2.1853456225940249E-2</v>
      </c>
      <c r="X87" s="67">
        <f>X4/SUM(W4:Z4)</f>
        <v>3.3291122364411549E-2</v>
      </c>
      <c r="Y87" s="67">
        <f>Y4/SUM(W4:Z4)</f>
        <v>0.10263507037046445</v>
      </c>
      <c r="Z87" s="67">
        <f>Z4/SUM(W4:Z4)</f>
        <v>0.84222035103918391</v>
      </c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Z87" s="67"/>
      <c r="BA87" s="67"/>
      <c r="BB87" s="95">
        <f>F87</f>
        <v>0.75179943901352286</v>
      </c>
      <c r="BC87" s="95">
        <f>J87</f>
        <v>0.65674313253469152</v>
      </c>
      <c r="BD87" s="95">
        <f>N87</f>
        <v>0.69153291000293193</v>
      </c>
      <c r="BE87" s="95">
        <f>R87</f>
        <v>0.63737699232445255</v>
      </c>
      <c r="BF87" s="95">
        <f>V87</f>
        <v>0.79445510451525769</v>
      </c>
      <c r="BG87" s="95">
        <f>Z87</f>
        <v>0.84222035103918391</v>
      </c>
      <c r="BH87" s="95">
        <f t="shared" ref="BH87:BM88" si="330">AD87</f>
        <v>0</v>
      </c>
      <c r="BI87" s="95">
        <f t="shared" si="330"/>
        <v>0</v>
      </c>
      <c r="BJ87" s="95">
        <f t="shared" si="330"/>
        <v>0</v>
      </c>
      <c r="BK87" s="95">
        <f t="shared" si="330"/>
        <v>0</v>
      </c>
      <c r="BL87" s="95">
        <f t="shared" si="330"/>
        <v>0</v>
      </c>
      <c r="BM87" s="95">
        <f t="shared" si="330"/>
        <v>0</v>
      </c>
    </row>
    <row r="88" spans="2:65">
      <c r="B88" s="127" t="str">
        <f>B83</f>
        <v>Net income</v>
      </c>
      <c r="C88" s="67">
        <f>C25/SUM(C25:F25)</f>
        <v>1.9259306618580985E-2</v>
      </c>
      <c r="D88" s="67">
        <f>D25/SUM(D25:G25)</f>
        <v>6.4002016732661749E-3</v>
      </c>
      <c r="E88" s="67">
        <f>E25/SUM(C25:F25)</f>
        <v>0.47076024626182295</v>
      </c>
      <c r="F88" s="67">
        <f>F25/SUM(C25:F25)</f>
        <v>0.50311528267088679</v>
      </c>
      <c r="G88" s="67">
        <f>G25/SUM(G25:J25)</f>
        <v>0.24937918905152193</v>
      </c>
      <c r="H88" s="67">
        <f>H25/SUM(G25:J25)</f>
        <v>0.21518979058603838</v>
      </c>
      <c r="I88" s="67">
        <f>I25/SUM(G25:J25)</f>
        <v>0.2477568362976281</v>
      </c>
      <c r="J88" s="67">
        <f>J25/SUM(G25:J25)</f>
        <v>0.28767418406481154</v>
      </c>
      <c r="K88" s="67">
        <f>K25/SUM(K25:N25)</f>
        <v>0.2492182322693027</v>
      </c>
      <c r="L88" s="67">
        <f>L25/SUM(K25:N25)</f>
        <v>0.22548133031658071</v>
      </c>
      <c r="M88" s="67">
        <f>M25/SUM(K25:N25)</f>
        <v>0.28832719926014766</v>
      </c>
      <c r="N88" s="67">
        <f>N25/SUM(K25:N25)</f>
        <v>0.23697323815396898</v>
      </c>
      <c r="O88" s="67">
        <f>O25/SUM(O25:R25)</f>
        <v>0.22870610801171096</v>
      </c>
      <c r="P88" s="67">
        <f>P25/SUM(O25:R25)</f>
        <v>0.26662088112954246</v>
      </c>
      <c r="Q88" s="67">
        <f>Q25/SUM(O25:R25)</f>
        <v>0.25654836013802423</v>
      </c>
      <c r="R88" s="67">
        <f>R25/SUM(O25:R25)</f>
        <v>0.24812465072072243</v>
      </c>
      <c r="S88" s="67">
        <f>S25/SUM(S25:V25)</f>
        <v>0.30177716473421018</v>
      </c>
      <c r="T88" s="67">
        <f>T25/SUM(S25:V25)</f>
        <v>0.34291297496602585</v>
      </c>
      <c r="U88" s="67">
        <f>U25/SUM(S25:V25)</f>
        <v>0.31109340135593971</v>
      </c>
      <c r="V88" s="67">
        <f>V25/SUM(S25:V25)</f>
        <v>4.4216458943824276E-2</v>
      </c>
      <c r="W88" s="67">
        <f>W25/SUM(W25:Z25)</f>
        <v>0.50125879198045808</v>
      </c>
      <c r="X88" s="67">
        <f>X25/SUM(W25:Z25)</f>
        <v>0.67091509767057822</v>
      </c>
      <c r="Y88" s="67">
        <f>Y25/SUM(W25:Z25)</f>
        <v>0.42977557143751488</v>
      </c>
      <c r="Z88" s="67">
        <f>Z25/SUM(W25:Z25)</f>
        <v>-0.60194946108855107</v>
      </c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Z88" s="67"/>
      <c r="BA88" s="67"/>
      <c r="BB88" s="95">
        <f>F88</f>
        <v>0.50311528267088679</v>
      </c>
      <c r="BC88" s="95">
        <f>J88</f>
        <v>0.28767418406481154</v>
      </c>
      <c r="BD88" s="95">
        <f>N88</f>
        <v>0.23697323815396898</v>
      </c>
      <c r="BE88" s="95">
        <f>R88</f>
        <v>0.24812465072072243</v>
      </c>
      <c r="BF88" s="95">
        <f>V88</f>
        <v>4.4216458943824276E-2</v>
      </c>
      <c r="BG88" s="95">
        <f>Z88</f>
        <v>-0.60194946108855107</v>
      </c>
      <c r="BH88" s="95">
        <f t="shared" si="330"/>
        <v>0</v>
      </c>
      <c r="BI88" s="95">
        <f t="shared" si="330"/>
        <v>0</v>
      </c>
      <c r="BJ88" s="95">
        <f t="shared" si="330"/>
        <v>0</v>
      </c>
      <c r="BK88" s="95">
        <f t="shared" si="330"/>
        <v>0</v>
      </c>
      <c r="BL88" s="95">
        <f t="shared" si="330"/>
        <v>0</v>
      </c>
      <c r="BM88" s="95">
        <f t="shared" si="330"/>
        <v>0</v>
      </c>
    </row>
    <row r="90" spans="2:65">
      <c r="B90" s="149" t="s">
        <v>193</v>
      </c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9"/>
      <c r="BJ90" s="149"/>
      <c r="BK90" s="149"/>
      <c r="BL90" s="149"/>
      <c r="BM90" s="149"/>
    </row>
    <row r="91" spans="2:65" s="139" customFormat="1">
      <c r="B91" s="139" t="s">
        <v>426</v>
      </c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301"/>
      <c r="AS91" s="301"/>
      <c r="AT91" s="301"/>
      <c r="AU91" s="301"/>
      <c r="AV91" s="301"/>
      <c r="AW91" s="301"/>
      <c r="AX91" s="301"/>
      <c r="AZ91" s="104">
        <f>SUM(AZ92:AZ95)</f>
        <v>0.12</v>
      </c>
      <c r="BA91" s="104">
        <f t="shared" ref="BA91:BD91" si="331">SUM(BA92:BA95)</f>
        <v>6.2159000000000004</v>
      </c>
      <c r="BB91" s="104">
        <f t="shared" si="331"/>
        <v>19.013100000000001</v>
      </c>
      <c r="BC91" s="104">
        <f t="shared" si="331"/>
        <v>44.926320270000005</v>
      </c>
      <c r="BD91" s="104">
        <f t="shared" si="331"/>
        <v>71.424956100000003</v>
      </c>
      <c r="BE91" s="104">
        <f>BE8</f>
        <v>82.709467680000017</v>
      </c>
      <c r="BF91" s="104">
        <f>BF8</f>
        <v>82.066764370000001</v>
      </c>
      <c r="BG91" s="104">
        <f>BG8</f>
        <v>70.055107249999992</v>
      </c>
      <c r="BH91" s="104">
        <f t="shared" ref="BH91:BM91" si="332">BH8</f>
        <v>68.02466957</v>
      </c>
      <c r="BI91" s="104">
        <f t="shared" si="332"/>
        <v>70.137118455000007</v>
      </c>
      <c r="BJ91" s="104">
        <f t="shared" si="332"/>
        <v>77.150830300500019</v>
      </c>
      <c r="BK91" s="104">
        <f t="shared" si="332"/>
        <v>84.865913330550029</v>
      </c>
      <c r="BL91" s="104">
        <f t="shared" si="332"/>
        <v>89.109208997077531</v>
      </c>
      <c r="BM91" s="104">
        <f t="shared" si="332"/>
        <v>93.564669446931418</v>
      </c>
    </row>
    <row r="92" spans="2:65">
      <c r="B92" s="38" t="s">
        <v>427</v>
      </c>
      <c r="C92" s="303"/>
      <c r="D92" s="298"/>
      <c r="E92" s="298"/>
      <c r="F92" s="298"/>
      <c r="G92" s="303"/>
      <c r="H92" s="298"/>
      <c r="I92" s="298"/>
      <c r="J92" s="298"/>
      <c r="K92" s="303"/>
      <c r="L92" s="131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298"/>
      <c r="AH92" s="298"/>
      <c r="AI92" s="298"/>
      <c r="AJ92" s="298"/>
      <c r="AK92" s="298"/>
      <c r="AL92" s="298"/>
      <c r="AM92" s="298"/>
      <c r="AN92" s="298"/>
      <c r="AO92" s="298"/>
      <c r="AP92" s="298"/>
      <c r="AQ92" s="298"/>
      <c r="AR92" s="298"/>
      <c r="AS92" s="298"/>
      <c r="AT92" s="298"/>
      <c r="AU92" s="298"/>
      <c r="AV92" s="298"/>
      <c r="AW92" s="298"/>
      <c r="AX92" s="298"/>
      <c r="AZ92" s="79">
        <v>0</v>
      </c>
      <c r="BA92" s="79">
        <f>1.1153</f>
        <v>1.1153</v>
      </c>
      <c r="BB92" s="79">
        <f>4.3536</f>
        <v>4.3536000000000001</v>
      </c>
      <c r="BC92" s="79">
        <v>6.59633746</v>
      </c>
      <c r="BD92" s="79">
        <v>7.4401343899999999</v>
      </c>
      <c r="BE92" s="79">
        <v>6.0549830099999999</v>
      </c>
      <c r="BF92" s="39">
        <v>4.48345489</v>
      </c>
      <c r="BG92" s="39">
        <v>6.4729934699999996</v>
      </c>
      <c r="BH92" s="131"/>
      <c r="BI92" s="131"/>
      <c r="BJ92" s="131"/>
      <c r="BK92" s="131"/>
      <c r="BL92" s="131"/>
      <c r="BM92" s="131"/>
    </row>
    <row r="93" spans="2:65">
      <c r="B93" s="38" t="s">
        <v>428</v>
      </c>
      <c r="C93" s="303"/>
      <c r="D93" s="298"/>
      <c r="E93" s="298"/>
      <c r="F93" s="298"/>
      <c r="G93" s="303"/>
      <c r="H93" s="298"/>
      <c r="I93" s="298"/>
      <c r="J93" s="298"/>
      <c r="K93" s="303"/>
      <c r="L93" s="131"/>
      <c r="M93" s="298"/>
      <c r="N93" s="298"/>
      <c r="O93" s="131"/>
      <c r="P93" s="131"/>
      <c r="Q93" s="131"/>
      <c r="R93" s="298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Z93" s="79">
        <v>0.12</v>
      </c>
      <c r="BA93" s="79">
        <v>4.2079000000000004</v>
      </c>
      <c r="BB93" s="79">
        <v>10.447699999999999</v>
      </c>
      <c r="BC93" s="79">
        <v>31.289035040000002</v>
      </c>
      <c r="BD93" s="79">
        <v>48.471558479999999</v>
      </c>
      <c r="BE93" s="79">
        <v>57.689065579999998</v>
      </c>
      <c r="BF93" s="39">
        <v>56.63718385</v>
      </c>
      <c r="BG93" s="39">
        <v>39.07987327</v>
      </c>
      <c r="BH93" s="131"/>
      <c r="BI93" s="131"/>
      <c r="BJ93" s="131"/>
      <c r="BK93" s="131"/>
      <c r="BL93" s="131"/>
      <c r="BM93" s="131"/>
    </row>
    <row r="94" spans="2:65">
      <c r="B94" s="127" t="s">
        <v>429</v>
      </c>
      <c r="C94" s="303"/>
      <c r="D94" s="298"/>
      <c r="E94" s="298"/>
      <c r="F94" s="298"/>
      <c r="G94" s="303"/>
      <c r="H94" s="298"/>
      <c r="I94" s="298"/>
      <c r="J94" s="298"/>
      <c r="K94" s="303"/>
      <c r="L94" s="131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  <c r="AE94" s="298"/>
      <c r="AF94" s="298"/>
      <c r="AG94" s="298"/>
      <c r="AH94" s="298"/>
      <c r="AI94" s="298"/>
      <c r="AJ94" s="298"/>
      <c r="AK94" s="298"/>
      <c r="AL94" s="298"/>
      <c r="AM94" s="298"/>
      <c r="AN94" s="298"/>
      <c r="AO94" s="298"/>
      <c r="AP94" s="298"/>
      <c r="AQ94" s="298"/>
      <c r="AR94" s="298"/>
      <c r="AS94" s="298"/>
      <c r="AT94" s="298"/>
      <c r="AU94" s="298"/>
      <c r="AV94" s="298"/>
      <c r="AW94" s="298"/>
      <c r="AX94" s="298"/>
      <c r="AZ94" s="79">
        <v>0</v>
      </c>
      <c r="BA94" s="79">
        <f>0.6245+0.0433+0.2055</f>
        <v>0.87330000000000008</v>
      </c>
      <c r="BB94" s="79">
        <f>2.1587+0.2342+1.1855</f>
        <v>3.5784000000000002</v>
      </c>
      <c r="BC94" s="79">
        <f>3.16232595+2.42074173+0.61541873</f>
        <v>6.1984864100000001</v>
      </c>
      <c r="BD94" s="79">
        <f>7.99144591+4.52557712+0.8574622</f>
        <v>13.374485230000001</v>
      </c>
      <c r="BE94" s="79">
        <f>10.76110632+3.4534199+0.75176712</f>
        <v>14.96629334</v>
      </c>
      <c r="BF94" s="39">
        <f>10.52108562+5.19567726+0.55859701</f>
        <v>16.275359890000001</v>
      </c>
      <c r="BG94" s="39">
        <f>6.93233545+2.199535+0.30838506</f>
        <v>9.4402555100000001</v>
      </c>
      <c r="BH94" s="131"/>
      <c r="BI94" s="131"/>
      <c r="BJ94" s="131"/>
      <c r="BK94" s="131"/>
      <c r="BL94" s="131"/>
      <c r="BM94" s="131"/>
    </row>
    <row r="95" spans="2:65">
      <c r="B95" s="127" t="s">
        <v>430</v>
      </c>
      <c r="C95" s="298"/>
      <c r="D95" s="298"/>
      <c r="E95" s="298"/>
      <c r="F95" s="298"/>
      <c r="G95" s="298"/>
      <c r="H95" s="298"/>
      <c r="I95" s="298"/>
      <c r="J95" s="298"/>
      <c r="K95" s="298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298"/>
      <c r="AG95" s="298"/>
      <c r="AH95" s="298"/>
      <c r="AI95" s="298"/>
      <c r="AJ95" s="298"/>
      <c r="AK95" s="298"/>
      <c r="AL95" s="298"/>
      <c r="AM95" s="298"/>
      <c r="AN95" s="298"/>
      <c r="AO95" s="298"/>
      <c r="AP95" s="298"/>
      <c r="AQ95" s="298"/>
      <c r="AR95" s="298"/>
      <c r="AS95" s="298"/>
      <c r="AT95" s="298"/>
      <c r="AU95" s="298"/>
      <c r="AV95" s="298"/>
      <c r="AW95" s="298"/>
      <c r="AX95" s="298"/>
      <c r="AZ95" s="79">
        <v>0</v>
      </c>
      <c r="BA95" s="79">
        <v>1.9400000000000001E-2</v>
      </c>
      <c r="BB95" s="79">
        <v>0.63339999999999996</v>
      </c>
      <c r="BC95" s="79">
        <v>0.84246136000000005</v>
      </c>
      <c r="BD95" s="79">
        <v>2.1387779999999998</v>
      </c>
      <c r="BE95" s="156">
        <f>BE91-SUM(BE92:BE94)</f>
        <v>3.9991257500000188</v>
      </c>
      <c r="BF95" s="156">
        <f>BF91-SUM(BF92:BF94)</f>
        <v>4.6707657400000073</v>
      </c>
      <c r="BG95" s="156">
        <f>BG91-SUM(BG92:BG94)</f>
        <v>15.061984999999993</v>
      </c>
      <c r="BH95" s="131"/>
      <c r="BI95" s="131"/>
      <c r="BJ95" s="131"/>
      <c r="BK95" s="131"/>
      <c r="BL95" s="131"/>
      <c r="BM95" s="131"/>
    </row>
    <row r="96" spans="2:65">
      <c r="B96" s="139" t="s">
        <v>164</v>
      </c>
      <c r="C96" s="92"/>
      <c r="D96" s="92"/>
      <c r="E96" s="92"/>
      <c r="F96" s="92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Z96" s="139"/>
      <c r="BA96" s="117">
        <f t="shared" ref="BA96:BG100" si="333">BA91/AZ91-1</f>
        <v>50.799166666666672</v>
      </c>
      <c r="BB96" s="117">
        <f t="shared" si="333"/>
        <v>2.0587847294840649</v>
      </c>
      <c r="BC96" s="117">
        <f t="shared" si="333"/>
        <v>1.3629140050807078</v>
      </c>
      <c r="BD96" s="117">
        <f t="shared" si="333"/>
        <v>0.58982430946374942</v>
      </c>
      <c r="BE96" s="117">
        <f>BE91/BD91-1</f>
        <v>0.15799115877930525</v>
      </c>
      <c r="BF96" s="117">
        <f t="shared" si="333"/>
        <v>-7.7706135467660031E-3</v>
      </c>
      <c r="BG96" s="117">
        <f t="shared" si="333"/>
        <v>-0.14636445353011796</v>
      </c>
      <c r="BH96" s="117">
        <f t="shared" ref="BH96" si="334">BH91/BG91-1</f>
        <v>-2.8983435465370633E-2</v>
      </c>
      <c r="BI96" s="117">
        <f t="shared" ref="BI96" si="335">BI91/BH91-1</f>
        <v>3.1054158709675317E-2</v>
      </c>
      <c r="BJ96" s="117">
        <f t="shared" ref="BJ96" si="336">BJ91/BI91-1</f>
        <v>0.10000000000000009</v>
      </c>
      <c r="BK96" s="117">
        <f t="shared" ref="BK96" si="337">BK91/BJ91-1</f>
        <v>0.10000000000000009</v>
      </c>
      <c r="BL96" s="117">
        <f t="shared" ref="BL96" si="338">BL91/BK91-1</f>
        <v>5.0000000000000044E-2</v>
      </c>
      <c r="BM96" s="117">
        <f t="shared" ref="BM96" si="339">BM91/BL91-1</f>
        <v>5.0000000000000044E-2</v>
      </c>
    </row>
    <row r="97" spans="2:65">
      <c r="B97" s="38" t="str">
        <f>B92</f>
        <v>Business operation expenses</v>
      </c>
      <c r="G97" s="47"/>
      <c r="H97" s="47"/>
      <c r="I97" s="47"/>
      <c r="J97" s="47"/>
      <c r="K97" s="47"/>
      <c r="L97" s="47"/>
      <c r="M97" s="47"/>
      <c r="N97" s="47"/>
      <c r="O97" s="275"/>
      <c r="P97" s="275"/>
      <c r="Q97" s="275"/>
      <c r="R97" s="47"/>
      <c r="S97" s="275"/>
      <c r="T97" s="275"/>
      <c r="U97" s="275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Z97" s="47"/>
      <c r="BA97" s="47" t="e">
        <f t="shared" si="333"/>
        <v>#DIV/0!</v>
      </c>
      <c r="BB97" s="47">
        <f t="shared" si="333"/>
        <v>2.9035237155922178</v>
      </c>
      <c r="BC97" s="47">
        <f t="shared" si="333"/>
        <v>0.51514550257258351</v>
      </c>
      <c r="BD97" s="47">
        <f t="shared" si="333"/>
        <v>0.127919005829638</v>
      </c>
      <c r="BE97" s="47">
        <f t="shared" si="333"/>
        <v>-0.186172897879604</v>
      </c>
      <c r="BF97" s="47">
        <f t="shared" si="333"/>
        <v>-0.25954294461348126</v>
      </c>
      <c r="BG97" s="47">
        <f t="shared" si="333"/>
        <v>0.44375122061281624</v>
      </c>
      <c r="BH97" s="47"/>
      <c r="BI97" s="47"/>
      <c r="BJ97" s="47"/>
      <c r="BK97" s="47"/>
      <c r="BL97" s="47"/>
      <c r="BM97" s="47"/>
    </row>
    <row r="98" spans="2:65">
      <c r="B98" s="38" t="str">
        <f>B93</f>
        <v>Labor costs</v>
      </c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Z98" s="47"/>
      <c r="BA98" s="47">
        <f t="shared" si="333"/>
        <v>34.065833333333337</v>
      </c>
      <c r="BB98" s="47">
        <f t="shared" si="333"/>
        <v>1.4828774448061974</v>
      </c>
      <c r="BC98" s="47">
        <f t="shared" si="333"/>
        <v>1.9948251806617727</v>
      </c>
      <c r="BD98" s="47">
        <f t="shared" si="333"/>
        <v>0.54915478914686267</v>
      </c>
      <c r="BE98" s="47">
        <f t="shared" si="333"/>
        <v>0.19016320888059046</v>
      </c>
      <c r="BF98" s="47">
        <f t="shared" si="333"/>
        <v>-1.8233641322224381E-2</v>
      </c>
      <c r="BG98" s="47">
        <f t="shared" si="333"/>
        <v>-0.30999617895020037</v>
      </c>
      <c r="BH98" s="47"/>
      <c r="BI98" s="47"/>
      <c r="BJ98" s="47"/>
      <c r="BK98" s="47"/>
      <c r="BL98" s="47"/>
      <c r="BM98" s="47"/>
    </row>
    <row r="99" spans="2:65">
      <c r="B99" s="38" t="str">
        <f>B94</f>
        <v>Travelling</v>
      </c>
      <c r="G99" s="47"/>
      <c r="H99" s="47"/>
      <c r="I99" s="47"/>
      <c r="J99" s="47"/>
      <c r="K99" s="47"/>
      <c r="L99" s="47"/>
      <c r="M99" s="47"/>
      <c r="N99" s="47"/>
      <c r="O99" s="275"/>
      <c r="P99" s="275"/>
      <c r="Q99" s="275"/>
      <c r="R99" s="47"/>
      <c r="S99" s="275"/>
      <c r="T99" s="275"/>
      <c r="U99" s="275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Z99" s="47"/>
      <c r="BA99" s="47" t="e">
        <f t="shared" si="333"/>
        <v>#DIV/0!</v>
      </c>
      <c r="BB99" s="47">
        <f t="shared" si="333"/>
        <v>3.0975609756097562</v>
      </c>
      <c r="BC99" s="47">
        <f t="shared" si="333"/>
        <v>0.73219495025709813</v>
      </c>
      <c r="BD99" s="47">
        <f t="shared" si="333"/>
        <v>1.1577017912668137</v>
      </c>
      <c r="BE99" s="47">
        <f t="shared" si="333"/>
        <v>0.11901827118022079</v>
      </c>
      <c r="BF99" s="47">
        <f t="shared" si="333"/>
        <v>8.7467652828993714E-2</v>
      </c>
      <c r="BG99" s="47">
        <f t="shared" si="333"/>
        <v>-0.41996640481048064</v>
      </c>
      <c r="BH99" s="47"/>
      <c r="BI99" s="47"/>
      <c r="BJ99" s="47"/>
      <c r="BK99" s="47"/>
      <c r="BL99" s="47"/>
      <c r="BM99" s="47"/>
    </row>
    <row r="100" spans="2:65">
      <c r="B100" s="38" t="str">
        <f>B95</f>
        <v>D &amp; office &amp; others</v>
      </c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Z100" s="47"/>
      <c r="BA100" s="47" t="e">
        <f t="shared" si="333"/>
        <v>#DIV/0!</v>
      </c>
      <c r="BB100" s="47">
        <f t="shared" si="333"/>
        <v>31.649484536082468</v>
      </c>
      <c r="BC100" s="47">
        <f t="shared" si="333"/>
        <v>0.33006214082728147</v>
      </c>
      <c r="BD100" s="47">
        <f t="shared" si="333"/>
        <v>1.538725336910407</v>
      </c>
      <c r="BE100" s="47">
        <f t="shared" si="333"/>
        <v>0.86981806900950875</v>
      </c>
      <c r="BF100" s="47">
        <f t="shared" si="333"/>
        <v>0.16794670435156611</v>
      </c>
      <c r="BG100" s="47">
        <f t="shared" si="333"/>
        <v>2.2247356939806555</v>
      </c>
      <c r="BH100" s="47"/>
      <c r="BI100" s="47"/>
      <c r="BJ100" s="47"/>
      <c r="BK100" s="47"/>
      <c r="BL100" s="47"/>
      <c r="BM100" s="47"/>
    </row>
    <row r="102" spans="2:65">
      <c r="B102" s="149" t="s">
        <v>194</v>
      </c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49"/>
      <c r="BM102" s="149"/>
    </row>
    <row r="103" spans="2:65" s="154" customFormat="1">
      <c r="B103" s="139" t="s">
        <v>431</v>
      </c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302"/>
      <c r="AS103" s="302"/>
      <c r="AT103" s="302"/>
      <c r="AU103" s="302"/>
      <c r="AV103" s="302"/>
      <c r="AW103" s="302"/>
      <c r="AX103" s="302"/>
      <c r="AZ103" s="104">
        <f t="shared" ref="AZ103:BD103" si="340">SUM(AZ104:AZ107)</f>
        <v>372.04140000000001</v>
      </c>
      <c r="BA103" s="104">
        <f t="shared" si="340"/>
        <v>44.075600000000001</v>
      </c>
      <c r="BB103" s="104">
        <f t="shared" si="340"/>
        <v>1056.0789</v>
      </c>
      <c r="BC103" s="104">
        <f t="shared" si="340"/>
        <v>165.09627909</v>
      </c>
      <c r="BD103" s="104">
        <f t="shared" si="340"/>
        <v>395.69225034999999</v>
      </c>
      <c r="BE103" s="104">
        <f>BE9</f>
        <v>296.63423418999997</v>
      </c>
      <c r="BF103" s="104">
        <f>BF9</f>
        <v>153.55652494999998</v>
      </c>
      <c r="BG103" s="104">
        <f>BG9</f>
        <v>180.52689505000001</v>
      </c>
      <c r="BH103" s="104">
        <f t="shared" ref="BH103:BM103" si="341">BH9</f>
        <v>198.09490858999999</v>
      </c>
      <c r="BI103" s="104">
        <f t="shared" si="341"/>
        <v>196.539200712</v>
      </c>
      <c r="BJ103" s="104">
        <f t="shared" si="341"/>
        <v>216.19312078320002</v>
      </c>
      <c r="BK103" s="104">
        <f t="shared" si="341"/>
        <v>237.81243286152005</v>
      </c>
      <c r="BL103" s="104">
        <f t="shared" si="341"/>
        <v>249.70305450459603</v>
      </c>
      <c r="BM103" s="104">
        <f t="shared" si="341"/>
        <v>262.18820722982582</v>
      </c>
    </row>
    <row r="104" spans="2:65">
      <c r="B104" s="38" t="s">
        <v>428</v>
      </c>
      <c r="C104" s="303"/>
      <c r="D104" s="298"/>
      <c r="E104" s="298"/>
      <c r="F104" s="298"/>
      <c r="G104" s="303"/>
      <c r="H104" s="298"/>
      <c r="I104" s="298"/>
      <c r="J104" s="298"/>
      <c r="K104" s="303"/>
      <c r="L104" s="131"/>
      <c r="M104" s="298"/>
      <c r="N104" s="298"/>
      <c r="O104" s="131"/>
      <c r="P104" s="131"/>
      <c r="Q104" s="131"/>
      <c r="R104" s="298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Z104" s="79">
        <v>2.0529000000000002</v>
      </c>
      <c r="BA104" s="79">
        <v>18.9559</v>
      </c>
      <c r="BB104" s="79">
        <v>63.268799999999999</v>
      </c>
      <c r="BC104" s="79">
        <v>79.921866170000001</v>
      </c>
      <c r="BD104" s="79">
        <v>100.77217026</v>
      </c>
      <c r="BE104" s="79">
        <v>104.56441251</v>
      </c>
      <c r="BF104" s="39">
        <v>140.27712245999999</v>
      </c>
      <c r="BG104" s="39">
        <v>95.687656399999995</v>
      </c>
      <c r="BH104" s="131"/>
      <c r="BI104" s="131"/>
      <c r="BJ104" s="131"/>
      <c r="BK104" s="131"/>
      <c r="BL104" s="131"/>
      <c r="BM104" s="131"/>
    </row>
    <row r="105" spans="2:65">
      <c r="B105" s="38" t="s">
        <v>432</v>
      </c>
      <c r="C105" s="303"/>
      <c r="D105" s="298"/>
      <c r="E105" s="298"/>
      <c r="F105" s="298"/>
      <c r="G105" s="303"/>
      <c r="H105" s="298"/>
      <c r="I105" s="298"/>
      <c r="J105" s="298"/>
      <c r="K105" s="303"/>
      <c r="L105" s="131"/>
      <c r="M105" s="298"/>
      <c r="N105" s="298"/>
      <c r="O105" s="298"/>
      <c r="P105" s="298"/>
      <c r="Q105" s="304"/>
      <c r="R105" s="298"/>
      <c r="S105" s="304"/>
      <c r="T105" s="304"/>
      <c r="U105" s="304"/>
      <c r="V105" s="304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298"/>
      <c r="AG105" s="298"/>
      <c r="AH105" s="298"/>
      <c r="AI105" s="298"/>
      <c r="AJ105" s="298"/>
      <c r="AK105" s="298"/>
      <c r="AL105" s="298"/>
      <c r="AM105" s="298"/>
      <c r="AN105" s="298"/>
      <c r="AO105" s="298"/>
      <c r="AP105" s="298"/>
      <c r="AQ105" s="298"/>
      <c r="AR105" s="298"/>
      <c r="AS105" s="298"/>
      <c r="AT105" s="298"/>
      <c r="AU105" s="298"/>
      <c r="AV105" s="298"/>
      <c r="AW105" s="298"/>
      <c r="AX105" s="298"/>
      <c r="AZ105" s="79">
        <v>363.98570000000001</v>
      </c>
      <c r="BA105" s="79">
        <v>0.17480000000000001</v>
      </c>
      <c r="BB105" s="79">
        <v>943.7944</v>
      </c>
      <c r="BC105" s="79">
        <v>11.85813877</v>
      </c>
      <c r="BD105" s="79">
        <v>209.88605329000001</v>
      </c>
      <c r="BE105" s="79">
        <v>111.07551657</v>
      </c>
      <c r="BF105" s="39">
        <v>-58.731290379999997</v>
      </c>
      <c r="BG105" s="39">
        <v>27.964034139999999</v>
      </c>
      <c r="BH105" s="131"/>
      <c r="BI105" s="131"/>
      <c r="BJ105" s="131"/>
      <c r="BK105" s="131"/>
      <c r="BL105" s="131"/>
      <c r="BM105" s="131"/>
    </row>
    <row r="106" spans="2:65">
      <c r="B106" s="127" t="s">
        <v>429</v>
      </c>
      <c r="C106" s="303"/>
      <c r="D106" s="298"/>
      <c r="E106" s="298"/>
      <c r="F106" s="298"/>
      <c r="G106" s="303"/>
      <c r="H106" s="298"/>
      <c r="I106" s="298"/>
      <c r="J106" s="298"/>
      <c r="K106" s="303"/>
      <c r="L106" s="131"/>
      <c r="M106" s="298"/>
      <c r="N106" s="298"/>
      <c r="O106" s="298"/>
      <c r="P106" s="298"/>
      <c r="Q106" s="304"/>
      <c r="R106" s="298"/>
      <c r="S106" s="304"/>
      <c r="T106" s="304"/>
      <c r="U106" s="304"/>
      <c r="V106" s="304"/>
      <c r="W106" s="298"/>
      <c r="X106" s="298"/>
      <c r="Y106" s="298"/>
      <c r="Z106" s="298"/>
      <c r="AA106" s="298"/>
      <c r="AB106" s="298"/>
      <c r="AC106" s="298"/>
      <c r="AD106" s="298"/>
      <c r="AE106" s="298"/>
      <c r="AF106" s="298"/>
      <c r="AG106" s="298"/>
      <c r="AH106" s="298"/>
      <c r="AI106" s="298"/>
      <c r="AJ106" s="298"/>
      <c r="AK106" s="298"/>
      <c r="AL106" s="298"/>
      <c r="AM106" s="298"/>
      <c r="AN106" s="298"/>
      <c r="AO106" s="298"/>
      <c r="AP106" s="298"/>
      <c r="AQ106" s="298"/>
      <c r="AR106" s="298"/>
      <c r="AS106" s="298"/>
      <c r="AT106" s="298"/>
      <c r="AU106" s="298"/>
      <c r="AV106" s="298"/>
      <c r="AW106" s="298"/>
      <c r="AX106" s="298"/>
      <c r="AZ106" s="79">
        <f>0.3968+0.4321+0.1374+0.2358+0.0901</f>
        <v>1.2922</v>
      </c>
      <c r="BA106" s="79">
        <f>4.9799+0.728+1.2068+0.4238+0.6338</f>
        <v>7.9722999999999997</v>
      </c>
      <c r="BB106" s="79">
        <f>4.2355+2.6144+2.0696+1.9308+1.6837</f>
        <v>12.533999999999999</v>
      </c>
      <c r="BC106" s="79">
        <f>4.368991+4.021337+2.4590584+1.87850927</f>
        <v>12.727895670000001</v>
      </c>
      <c r="BD106" s="79">
        <f>3.68926346+5.958123+2.20509788+2.95101108</f>
        <v>14.803495420000001</v>
      </c>
      <c r="BE106" s="79">
        <f>2.39093998+3.13629384+3.8149254+0.93357993</f>
        <v>10.27573915</v>
      </c>
      <c r="BF106" s="39">
        <f>3.85865845+3.34359382+2.32468635+1.24723314</f>
        <v>10.774171760000002</v>
      </c>
      <c r="BG106" s="39">
        <f>3.86295862+2.92124704+2.58320714+1.26060142</f>
        <v>10.628014220000001</v>
      </c>
      <c r="BH106" s="131"/>
      <c r="BI106" s="131"/>
      <c r="BJ106" s="131"/>
      <c r="BK106" s="131"/>
      <c r="BL106" s="131"/>
      <c r="BM106" s="131"/>
    </row>
    <row r="107" spans="2:65">
      <c r="B107" s="127" t="s">
        <v>430</v>
      </c>
      <c r="C107" s="298"/>
      <c r="D107" s="298"/>
      <c r="E107" s="298"/>
      <c r="F107" s="298"/>
      <c r="G107" s="298"/>
      <c r="H107" s="298"/>
      <c r="I107" s="298"/>
      <c r="J107" s="298"/>
      <c r="K107" s="298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304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298"/>
      <c r="AG107" s="298"/>
      <c r="AH107" s="298"/>
      <c r="AI107" s="298"/>
      <c r="AJ107" s="298"/>
      <c r="AK107" s="298"/>
      <c r="AL107" s="298"/>
      <c r="AM107" s="298"/>
      <c r="AN107" s="298"/>
      <c r="AO107" s="298"/>
      <c r="AP107" s="298"/>
      <c r="AQ107" s="298"/>
      <c r="AR107" s="298"/>
      <c r="AS107" s="298"/>
      <c r="AT107" s="298"/>
      <c r="AU107" s="298"/>
      <c r="AV107" s="298"/>
      <c r="AW107" s="298"/>
      <c r="AX107" s="298"/>
      <c r="AZ107" s="79">
        <f>2.6346+0.6303+0.0371+1.4086</f>
        <v>4.7106000000000003</v>
      </c>
      <c r="BA107" s="79">
        <f>9.6467+2.9692+1.1977+3.159</f>
        <v>16.9726</v>
      </c>
      <c r="BB107" s="79">
        <f>21.2282+4.7501+3.0745+7.4289</f>
        <v>36.481700000000004</v>
      </c>
      <c r="BC107" s="79">
        <f>30.99797742+8.71588959+5.34134047+15.533171</f>
        <v>60.588378480000003</v>
      </c>
      <c r="BD107" s="79">
        <f>33.43671611+8.4391765+6.66845346+21.68618531</f>
        <v>70.230531380000002</v>
      </c>
      <c r="BE107" s="156">
        <f>BE103-SUM(BE104:BE106)</f>
        <v>70.718565959999978</v>
      </c>
      <c r="BF107" s="156">
        <f>BF103-SUM(BF104:BF106)</f>
        <v>61.236521109999984</v>
      </c>
      <c r="BG107" s="156">
        <f>BG103-SUM(BG104:BG106)</f>
        <v>46.24719029000002</v>
      </c>
      <c r="BH107" s="131"/>
      <c r="BI107" s="131"/>
      <c r="BJ107" s="131"/>
      <c r="BK107" s="131"/>
      <c r="BL107" s="131"/>
      <c r="BM107" s="131"/>
    </row>
    <row r="108" spans="2:65">
      <c r="B108" s="101" t="s">
        <v>164</v>
      </c>
      <c r="C108" s="92"/>
      <c r="D108" s="92"/>
      <c r="E108" s="92"/>
      <c r="F108" s="92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Z108" s="139"/>
      <c r="BA108" s="117">
        <f t="shared" ref="BA108:BG112" si="342">BA103/AZ103-1</f>
        <v>-0.88153038882231927</v>
      </c>
      <c r="BB108" s="117">
        <f t="shared" si="342"/>
        <v>22.960624472497255</v>
      </c>
      <c r="BC108" s="117">
        <f t="shared" si="342"/>
        <v>-0.8436705069195114</v>
      </c>
      <c r="BD108" s="117">
        <f t="shared" si="342"/>
        <v>1.396736331860597</v>
      </c>
      <c r="BE108" s="117">
        <f t="shared" si="342"/>
        <v>-0.2503410569006107</v>
      </c>
      <c r="BF108" s="117">
        <f t="shared" si="342"/>
        <v>-0.48233714369042091</v>
      </c>
      <c r="BG108" s="117">
        <f t="shared" si="342"/>
        <v>0.17563805972284108</v>
      </c>
      <c r="BH108" s="117">
        <f t="shared" ref="BH108" si="343">BH103/BG103-1</f>
        <v>9.7315214639537295E-2</v>
      </c>
      <c r="BI108" s="117">
        <f t="shared" ref="BI108" si="344">BI103/BH103-1</f>
        <v>-7.8533461009836492E-3</v>
      </c>
      <c r="BJ108" s="117">
        <f t="shared" ref="BJ108" si="345">BJ103/BI103-1</f>
        <v>0.10000000000000009</v>
      </c>
      <c r="BK108" s="117">
        <f t="shared" ref="BK108" si="346">BK103/BJ103-1</f>
        <v>0.10000000000000009</v>
      </c>
      <c r="BL108" s="117">
        <f t="shared" ref="BL108" si="347">BL103/BK103-1</f>
        <v>4.9999999999999822E-2</v>
      </c>
      <c r="BM108" s="117">
        <f t="shared" ref="BM108" si="348">BM103/BL103-1</f>
        <v>5.0000000000000044E-2</v>
      </c>
    </row>
    <row r="109" spans="2:65">
      <c r="B109" s="38" t="str">
        <f>B104</f>
        <v>Labor costs</v>
      </c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Z109" s="47"/>
      <c r="BA109" s="47">
        <f t="shared" si="342"/>
        <v>8.2337181548053966</v>
      </c>
      <c r="BB109" s="47">
        <f t="shared" si="342"/>
        <v>2.3376837818304592</v>
      </c>
      <c r="BC109" s="47">
        <f t="shared" si="342"/>
        <v>0.26321134856358896</v>
      </c>
      <c r="BD109" s="47">
        <f t="shared" si="342"/>
        <v>0.26088359905973402</v>
      </c>
      <c r="BE109" s="47">
        <f t="shared" si="342"/>
        <v>3.7631840618453705E-2</v>
      </c>
      <c r="BF109" s="47">
        <f t="shared" si="342"/>
        <v>0.34153790082820579</v>
      </c>
      <c r="BG109" s="47">
        <f t="shared" si="342"/>
        <v>-0.31786698556434012</v>
      </c>
      <c r="BH109" s="47"/>
      <c r="BI109" s="47"/>
      <c r="BJ109" s="47"/>
      <c r="BK109" s="47"/>
      <c r="BL109" s="47"/>
      <c r="BM109" s="47"/>
    </row>
    <row r="110" spans="2:65">
      <c r="B110" s="38" t="str">
        <f>B105</f>
        <v>Stock compensation</v>
      </c>
      <c r="G110" s="47"/>
      <c r="H110" s="47"/>
      <c r="I110" s="47"/>
      <c r="J110" s="47"/>
      <c r="K110" s="47"/>
      <c r="L110" s="47"/>
      <c r="M110" s="47"/>
      <c r="N110" s="47"/>
      <c r="O110" s="275"/>
      <c r="P110" s="275"/>
      <c r="Q110" s="275"/>
      <c r="R110" s="47"/>
      <c r="S110" s="275"/>
      <c r="T110" s="275"/>
      <c r="U110" s="275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Z110" s="47"/>
      <c r="BA110" s="47">
        <f t="shared" si="342"/>
        <v>-0.99951976135326193</v>
      </c>
      <c r="BB110" s="47">
        <f t="shared" si="342"/>
        <v>5398.2814645308918</v>
      </c>
      <c r="BC110" s="47">
        <f t="shared" si="342"/>
        <v>-0.98743567585270686</v>
      </c>
      <c r="BD110" s="47">
        <f t="shared" si="342"/>
        <v>16.699746761354522</v>
      </c>
      <c r="BE110" s="47">
        <f t="shared" si="342"/>
        <v>-0.47078181313683232</v>
      </c>
      <c r="BF110" s="47">
        <f t="shared" si="342"/>
        <v>-1.5287509992626271</v>
      </c>
      <c r="BG110" s="47">
        <f t="shared" si="342"/>
        <v>-1.4761351906125104</v>
      </c>
      <c r="BH110" s="47"/>
      <c r="BI110" s="47"/>
      <c r="BJ110" s="47"/>
      <c r="BK110" s="47"/>
      <c r="BL110" s="47"/>
      <c r="BM110" s="47"/>
    </row>
    <row r="111" spans="2:65">
      <c r="B111" s="38" t="str">
        <f>B106</f>
        <v>Travelling</v>
      </c>
      <c r="G111" s="47"/>
      <c r="H111" s="47"/>
      <c r="I111" s="47"/>
      <c r="J111" s="47"/>
      <c r="K111" s="47"/>
      <c r="L111" s="47"/>
      <c r="M111" s="47"/>
      <c r="N111" s="47"/>
      <c r="O111" s="275"/>
      <c r="P111" s="275"/>
      <c r="Q111" s="275"/>
      <c r="R111" s="47"/>
      <c r="S111" s="275"/>
      <c r="T111" s="275"/>
      <c r="U111" s="275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Z111" s="47"/>
      <c r="BA111" s="47">
        <f t="shared" si="342"/>
        <v>5.1695557963163594</v>
      </c>
      <c r="BB111" s="47">
        <f t="shared" si="342"/>
        <v>0.57219372075812491</v>
      </c>
      <c r="BC111" s="47">
        <f t="shared" si="342"/>
        <v>1.5469576352321823E-2</v>
      </c>
      <c r="BD111" s="47">
        <f t="shared" si="342"/>
        <v>0.1630748557196493</v>
      </c>
      <c r="BE111" s="47">
        <f t="shared" si="342"/>
        <v>-0.3058572412487699</v>
      </c>
      <c r="BF111" s="47">
        <f t="shared" si="342"/>
        <v>4.8505767100948782E-2</v>
      </c>
      <c r="BG111" s="47">
        <f t="shared" si="342"/>
        <v>-1.356554761291473E-2</v>
      </c>
      <c r="BH111" s="47"/>
      <c r="BI111" s="47"/>
      <c r="BJ111" s="47"/>
      <c r="BK111" s="47"/>
      <c r="BL111" s="47"/>
      <c r="BM111" s="47"/>
    </row>
    <row r="112" spans="2:65">
      <c r="B112" s="38" t="str">
        <f>B107</f>
        <v>D &amp; office &amp; others</v>
      </c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Z112" s="47"/>
      <c r="BA112" s="47">
        <f t="shared" si="342"/>
        <v>2.6030654269095228</v>
      </c>
      <c r="BB112" s="47">
        <f t="shared" si="342"/>
        <v>1.1494467553586372</v>
      </c>
      <c r="BC112" s="47">
        <f t="shared" si="342"/>
        <v>0.66078824396889391</v>
      </c>
      <c r="BD112" s="47">
        <f>BD107/BC107-1</f>
        <v>0.15914195332332315</v>
      </c>
      <c r="BE112" s="47">
        <f>BE107/BD107-1</f>
        <v>6.9490372692659896E-3</v>
      </c>
      <c r="BF112" s="47">
        <f t="shared" si="342"/>
        <v>-0.13408140735437502</v>
      </c>
      <c r="BG112" s="47">
        <f t="shared" si="342"/>
        <v>-0.2447776351153983</v>
      </c>
      <c r="BH112" s="47"/>
      <c r="BI112" s="47"/>
      <c r="BJ112" s="47"/>
      <c r="BK112" s="47"/>
      <c r="BL112" s="47"/>
      <c r="BM112" s="47"/>
    </row>
    <row r="113" spans="2:65">
      <c r="B113" s="38"/>
    </row>
    <row r="114" spans="2:65">
      <c r="B114" s="149" t="s">
        <v>69</v>
      </c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52"/>
      <c r="S114" s="152"/>
      <c r="T114" s="149"/>
      <c r="U114" s="149"/>
      <c r="V114" s="152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49"/>
    </row>
    <row r="115" spans="2:65" s="154" customFormat="1">
      <c r="B115" s="139" t="s">
        <v>437</v>
      </c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302"/>
      <c r="AS115" s="302"/>
      <c r="AT115" s="302"/>
      <c r="AU115" s="302"/>
      <c r="AV115" s="302"/>
      <c r="AW115" s="302"/>
      <c r="AX115" s="302"/>
      <c r="AY115" s="153"/>
      <c r="AZ115" s="104">
        <f t="shared" ref="AZ115:BD115" si="349">SUM(AZ116:AZ119)</f>
        <v>29.861900000000002</v>
      </c>
      <c r="BA115" s="104">
        <f t="shared" si="349"/>
        <v>240.11180000000002</v>
      </c>
      <c r="BB115" s="104">
        <f t="shared" si="349"/>
        <v>543.04539999999997</v>
      </c>
      <c r="BC115" s="104">
        <f t="shared" si="349"/>
        <v>768.28029157000003</v>
      </c>
      <c r="BD115" s="104">
        <f t="shared" si="349"/>
        <v>1135.7405698599998</v>
      </c>
      <c r="BE115" s="104">
        <f>BE10</f>
        <v>1523.10637838</v>
      </c>
      <c r="BF115" s="104">
        <f>BF10</f>
        <v>1117.50816274</v>
      </c>
      <c r="BG115" s="104">
        <f>BG10</f>
        <v>1215.8735574100001</v>
      </c>
      <c r="BH115" s="104">
        <f t="shared" ref="BH115:BM115" si="350">BH10</f>
        <v>1350.8045719900001</v>
      </c>
      <c r="BI115" s="104">
        <f t="shared" si="350"/>
        <v>5468.4574535534803</v>
      </c>
      <c r="BJ115" s="104">
        <f t="shared" si="350"/>
        <v>30116.332108194914</v>
      </c>
      <c r="BK115" s="104">
        <f t="shared" si="350"/>
        <v>55190.257283274506</v>
      </c>
      <c r="BL115" s="104">
        <f t="shared" si="350"/>
        <v>78592.317026911012</v>
      </c>
      <c r="BM115" s="104">
        <f t="shared" si="350"/>
        <v>97939.47858134647</v>
      </c>
    </row>
    <row r="116" spans="2:65">
      <c r="B116" s="38" t="s">
        <v>428</v>
      </c>
      <c r="C116" s="303"/>
      <c r="D116" s="298"/>
      <c r="E116" s="298"/>
      <c r="F116" s="298"/>
      <c r="G116" s="303"/>
      <c r="H116" s="298"/>
      <c r="I116" s="298"/>
      <c r="J116" s="298"/>
      <c r="K116" s="303"/>
      <c r="L116" s="131"/>
      <c r="M116" s="298"/>
      <c r="N116" s="298"/>
      <c r="O116" s="131"/>
      <c r="P116" s="131"/>
      <c r="Q116" s="131"/>
      <c r="R116" s="298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Z116" s="79">
        <v>22.145900000000001</v>
      </c>
      <c r="BA116" s="79">
        <v>98.9542</v>
      </c>
      <c r="BB116" s="79">
        <v>283.22379999999998</v>
      </c>
      <c r="BC116" s="79">
        <v>442.71551204999997</v>
      </c>
      <c r="BD116" s="79">
        <v>738.42172783000001</v>
      </c>
      <c r="BE116" s="79">
        <v>872.20046273000003</v>
      </c>
      <c r="BF116" s="39">
        <v>689.94791458999998</v>
      </c>
      <c r="BG116" s="39">
        <v>564.60646615999997</v>
      </c>
      <c r="BH116" s="131"/>
      <c r="BI116" s="131"/>
      <c r="BJ116" s="131"/>
      <c r="BK116" s="131"/>
      <c r="BL116" s="131"/>
      <c r="BM116" s="131"/>
    </row>
    <row r="117" spans="2:65">
      <c r="B117" s="127" t="s">
        <v>438</v>
      </c>
      <c r="C117" s="303"/>
      <c r="D117" s="298"/>
      <c r="E117" s="298"/>
      <c r="F117" s="298"/>
      <c r="G117" s="303"/>
      <c r="H117" s="298"/>
      <c r="I117" s="298"/>
      <c r="J117" s="298"/>
      <c r="K117" s="303"/>
      <c r="L117" s="131"/>
      <c r="M117" s="298"/>
      <c r="N117" s="298"/>
      <c r="O117" s="298"/>
      <c r="P117" s="298"/>
      <c r="Q117" s="304"/>
      <c r="R117" s="298"/>
      <c r="S117" s="304"/>
      <c r="T117" s="304"/>
      <c r="U117" s="304"/>
      <c r="V117" s="304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  <c r="AP117" s="298"/>
      <c r="AQ117" s="298"/>
      <c r="AR117" s="298"/>
      <c r="AS117" s="298"/>
      <c r="AT117" s="298"/>
      <c r="AU117" s="298"/>
      <c r="AV117" s="298"/>
      <c r="AW117" s="298"/>
      <c r="AX117" s="298"/>
      <c r="AZ117" s="79">
        <f>0.7217+2.0947+0+0+1.0349</f>
        <v>3.8512999999999997</v>
      </c>
      <c r="BA117" s="79">
        <f>86.7976+16.2537+1+7.9351+2.4073</f>
        <v>114.39370000000001</v>
      </c>
      <c r="BB117" s="79">
        <f>124.4834+27.7651+18.8388+8.7542+2.6971</f>
        <v>182.5386</v>
      </c>
      <c r="BC117" s="79">
        <f>68.611+38.484592+30.521043+15.090428+11.123993</f>
        <v>163.83105600000002</v>
      </c>
      <c r="BD117" s="79">
        <f>41.01069017+38.47539492+22.61985202+28.75339708+25.22574922</f>
        <v>156.08508340999998</v>
      </c>
      <c r="BE117" s="79">
        <f>158.70647351+72.9882372+25.74500995+20.90387418+20.32458111</f>
        <v>298.66817594999998</v>
      </c>
      <c r="BF117" s="39">
        <f>48.29391395+26.74871033+17.9261336+11.6162395+9.00124168</f>
        <v>113.58623906</v>
      </c>
      <c r="BG117" s="39">
        <f>135.03976605+91.64910103+59.80253803+7.53314448+7.05337478</f>
        <v>301.07792437000001</v>
      </c>
      <c r="BH117" s="131"/>
      <c r="BI117" s="131"/>
      <c r="BJ117" s="131"/>
      <c r="BK117" s="131"/>
      <c r="BL117" s="131"/>
      <c r="BM117" s="131"/>
    </row>
    <row r="118" spans="2:65">
      <c r="B118" s="127" t="s">
        <v>440</v>
      </c>
      <c r="C118" s="303"/>
      <c r="D118" s="298"/>
      <c r="E118" s="298"/>
      <c r="F118" s="298"/>
      <c r="G118" s="303"/>
      <c r="H118" s="298"/>
      <c r="I118" s="298"/>
      <c r="J118" s="298"/>
      <c r="K118" s="303"/>
      <c r="L118" s="131"/>
      <c r="M118" s="298"/>
      <c r="N118" s="298"/>
      <c r="O118" s="298"/>
      <c r="P118" s="298"/>
      <c r="Q118" s="304"/>
      <c r="R118" s="298"/>
      <c r="S118" s="304"/>
      <c r="T118" s="304"/>
      <c r="U118" s="304"/>
      <c r="V118" s="304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  <c r="AP118" s="298"/>
      <c r="AQ118" s="298"/>
      <c r="AR118" s="298"/>
      <c r="AS118" s="298"/>
      <c r="AT118" s="298"/>
      <c r="AU118" s="298"/>
      <c r="AV118" s="298"/>
      <c r="AW118" s="298"/>
      <c r="AX118" s="298"/>
      <c r="AZ118" s="79">
        <f>0.0782+0.3735+2.6481</f>
        <v>3.0998000000000001</v>
      </c>
      <c r="BA118" s="79">
        <f>9.1551+6.3673+8.618</f>
        <v>24.1404</v>
      </c>
      <c r="BB118" s="79">
        <f>27.4146+21.2652+18.1383</f>
        <v>66.818100000000001</v>
      </c>
      <c r="BC118" s="79">
        <f>78.83923617+37.25721935+26.492103</f>
        <v>142.58855851999999</v>
      </c>
      <c r="BD118" s="79">
        <f>122.00044657+57.82383882+33.75580123</f>
        <v>213.58008662</v>
      </c>
      <c r="BE118" s="79">
        <f>181.49944271+92.59725926+38.02590183</f>
        <v>312.12260380000004</v>
      </c>
      <c r="BF118" s="39">
        <f>148.83804626+91.4857151+35.1982884</f>
        <v>275.52204976000002</v>
      </c>
      <c r="BG118" s="39">
        <f>81.94233474+81.18216541+17.32161239</f>
        <v>180.44611254</v>
      </c>
      <c r="BH118" s="131"/>
      <c r="BI118" s="131"/>
      <c r="BJ118" s="131"/>
      <c r="BK118" s="131"/>
      <c r="BL118" s="131"/>
      <c r="BM118" s="131"/>
    </row>
    <row r="119" spans="2:65">
      <c r="B119" s="127" t="s">
        <v>439</v>
      </c>
      <c r="C119" s="298"/>
      <c r="D119" s="298"/>
      <c r="E119" s="298"/>
      <c r="F119" s="298"/>
      <c r="G119" s="298"/>
      <c r="H119" s="298"/>
      <c r="I119" s="298"/>
      <c r="J119" s="298"/>
      <c r="K119" s="298"/>
      <c r="L119" s="131"/>
      <c r="M119" s="131"/>
      <c r="N119" s="131"/>
      <c r="O119" s="131"/>
      <c r="P119" s="131"/>
      <c r="Q119" s="131"/>
      <c r="R119" s="298"/>
      <c r="S119" s="131"/>
      <c r="T119" s="131"/>
      <c r="U119" s="131"/>
      <c r="V119" s="304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  <c r="AP119" s="298"/>
      <c r="AQ119" s="298"/>
      <c r="AR119" s="298"/>
      <c r="AS119" s="298"/>
      <c r="AT119" s="298"/>
      <c r="AU119" s="298"/>
      <c r="AV119" s="298"/>
      <c r="AW119" s="298"/>
      <c r="AX119" s="298"/>
      <c r="AZ119" s="79">
        <f>0.087+0.6779</f>
        <v>0.76489999999999991</v>
      </c>
      <c r="BA119" s="79">
        <f>1.1318+1.4917</f>
        <v>2.6234999999999999</v>
      </c>
      <c r="BB119" s="79">
        <f>4.1682+6.2967</f>
        <v>10.4649</v>
      </c>
      <c r="BC119" s="79">
        <f>4.192128+14.953037</f>
        <v>19.145164999999999</v>
      </c>
      <c r="BD119" s="79">
        <f>6.30796725+21.34570475</f>
        <v>27.653672</v>
      </c>
      <c r="BE119" s="156">
        <f>BE115-SUM(BE116:BE118)</f>
        <v>40.115135900000041</v>
      </c>
      <c r="BF119" s="156">
        <f>BF115-SUM(BF116:BF118)</f>
        <v>38.451959329999909</v>
      </c>
      <c r="BG119" s="156">
        <f>BG115-SUM(BG116:BG118)</f>
        <v>169.74305434000007</v>
      </c>
      <c r="BH119" s="131"/>
      <c r="BI119" s="131"/>
      <c r="BJ119" s="131"/>
      <c r="BK119" s="131"/>
      <c r="BL119" s="131"/>
      <c r="BM119" s="131"/>
    </row>
    <row r="120" spans="2:65">
      <c r="B120" s="101" t="s">
        <v>164</v>
      </c>
      <c r="C120" s="92"/>
      <c r="D120" s="92"/>
      <c r="E120" s="92"/>
      <c r="F120" s="92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Z120" s="139"/>
      <c r="BA120" s="117">
        <f t="shared" ref="BA120:BG124" si="351">BA115/AZ115-1</f>
        <v>7.0407408771712454</v>
      </c>
      <c r="BB120" s="117">
        <f t="shared" si="351"/>
        <v>1.2616356214063611</v>
      </c>
      <c r="BC120" s="117">
        <f t="shared" si="351"/>
        <v>0.41476254392358358</v>
      </c>
      <c r="BD120" s="117">
        <f t="shared" si="351"/>
        <v>0.47828934611752882</v>
      </c>
      <c r="BE120" s="117">
        <f t="shared" si="351"/>
        <v>0.34106891908224246</v>
      </c>
      <c r="BF120" s="117">
        <f t="shared" si="351"/>
        <v>-0.26629670875083633</v>
      </c>
      <c r="BG120" s="117">
        <f t="shared" si="351"/>
        <v>8.802208158267022E-2</v>
      </c>
      <c r="BH120" s="117">
        <f t="shared" ref="BH120" si="352">BH115/BG115-1</f>
        <v>0.11097454480992575</v>
      </c>
      <c r="BI120" s="117">
        <f t="shared" ref="BI120" si="353">BI115/BH115-1</f>
        <v>3.0482965241207092</v>
      </c>
      <c r="BJ120" s="117">
        <f t="shared" ref="BJ120" si="354">BJ115/BI115-1</f>
        <v>4.5072810502758687</v>
      </c>
      <c r="BK120" s="117">
        <f t="shared" ref="BK120" si="355">BK115/BJ115-1</f>
        <v>0.8325690221837061</v>
      </c>
      <c r="BL120" s="117">
        <f t="shared" ref="BL120" si="356">BL115/BK115-1</f>
        <v>0.42402519748224732</v>
      </c>
      <c r="BM120" s="117">
        <f t="shared" ref="BM120" si="357">BM115/BL115-1</f>
        <v>0.24617115624432784</v>
      </c>
    </row>
    <row r="121" spans="2:65">
      <c r="B121" s="38" t="str">
        <f>B116</f>
        <v>Labor costs</v>
      </c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Z121" s="47"/>
      <c r="BA121" s="47">
        <f t="shared" si="351"/>
        <v>3.4682853259519817</v>
      </c>
      <c r="BB121" s="47">
        <f t="shared" si="351"/>
        <v>1.8621705799248538</v>
      </c>
      <c r="BC121" s="47">
        <f t="shared" si="351"/>
        <v>0.56312962417000256</v>
      </c>
      <c r="BD121" s="47">
        <f t="shared" si="351"/>
        <v>0.66793732709009568</v>
      </c>
      <c r="BE121" s="47">
        <f t="shared" si="351"/>
        <v>0.18116847034435946</v>
      </c>
      <c r="BF121" s="47">
        <f t="shared" si="351"/>
        <v>-0.20895717891452037</v>
      </c>
      <c r="BG121" s="47">
        <f t="shared" si="351"/>
        <v>-0.18166798649501514</v>
      </c>
      <c r="BH121" s="47"/>
      <c r="BI121" s="72"/>
      <c r="BJ121" s="72"/>
      <c r="BK121" s="72"/>
      <c r="BL121" s="72"/>
      <c r="BM121" s="72"/>
    </row>
    <row r="122" spans="2:65">
      <c r="B122" s="38" t="str">
        <f>B117</f>
        <v>Tech, testing, material, IP</v>
      </c>
      <c r="G122" s="47"/>
      <c r="H122" s="47"/>
      <c r="I122" s="47"/>
      <c r="J122" s="47"/>
      <c r="K122" s="47"/>
      <c r="L122" s="47"/>
      <c r="M122" s="47"/>
      <c r="N122" s="47"/>
      <c r="O122" s="275"/>
      <c r="P122" s="275"/>
      <c r="Q122" s="275"/>
      <c r="R122" s="47"/>
      <c r="S122" s="275"/>
      <c r="T122" s="275"/>
      <c r="U122" s="275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Z122" s="47"/>
      <c r="BA122" s="47">
        <f t="shared" si="351"/>
        <v>28.702619894581055</v>
      </c>
      <c r="BB122" s="47">
        <f t="shared" si="351"/>
        <v>0.59570500823034833</v>
      </c>
      <c r="BC122" s="47">
        <f t="shared" si="351"/>
        <v>-0.10248541404393363</v>
      </c>
      <c r="BD122" s="47">
        <f t="shared" si="351"/>
        <v>-4.7280245755115136E-2</v>
      </c>
      <c r="BE122" s="47">
        <f t="shared" si="351"/>
        <v>0.9134959563398295</v>
      </c>
      <c r="BF122" s="47">
        <f t="shared" si="351"/>
        <v>-0.61969085357451847</v>
      </c>
      <c r="BG122" s="47">
        <f t="shared" si="351"/>
        <v>1.6506549284633039</v>
      </c>
      <c r="BH122" s="47"/>
      <c r="BI122" s="72"/>
      <c r="BJ122" s="72"/>
      <c r="BK122" s="72"/>
      <c r="BL122" s="72"/>
      <c r="BM122" s="72"/>
    </row>
    <row r="123" spans="2:65">
      <c r="B123" s="38" t="str">
        <f>B118</f>
        <v>D&amp;A, rent, others</v>
      </c>
      <c r="G123" s="47"/>
      <c r="H123" s="47"/>
      <c r="I123" s="47"/>
      <c r="J123" s="47"/>
      <c r="K123" s="47"/>
      <c r="L123" s="47"/>
      <c r="M123" s="47"/>
      <c r="N123" s="47"/>
      <c r="O123" s="275"/>
      <c r="P123" s="275"/>
      <c r="Q123" s="275"/>
      <c r="R123" s="47"/>
      <c r="S123" s="275"/>
      <c r="T123" s="275"/>
      <c r="U123" s="275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Z123" s="47"/>
      <c r="BA123" s="47">
        <f t="shared" si="351"/>
        <v>6.7877282405316466</v>
      </c>
      <c r="BB123" s="47">
        <f t="shared" si="351"/>
        <v>1.7678953124223296</v>
      </c>
      <c r="BC123" s="47">
        <f t="shared" si="351"/>
        <v>1.13398103986794</v>
      </c>
      <c r="BD123" s="47">
        <f t="shared" si="351"/>
        <v>0.49787674997810205</v>
      </c>
      <c r="BE123" s="47">
        <f t="shared" si="351"/>
        <v>0.46138438624817169</v>
      </c>
      <c r="BF123" s="47">
        <f t="shared" si="351"/>
        <v>-0.11726338815067905</v>
      </c>
      <c r="BG123" s="47">
        <f t="shared" si="351"/>
        <v>-0.34507560212628408</v>
      </c>
      <c r="BH123" s="47"/>
      <c r="BI123" s="72"/>
      <c r="BJ123" s="72"/>
      <c r="BK123" s="72"/>
      <c r="BL123" s="72"/>
      <c r="BM123" s="72"/>
    </row>
    <row r="124" spans="2:65">
      <c r="B124" s="38" t="str">
        <f>B119</f>
        <v>Travelling &amp; Others</v>
      </c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Z124" s="47"/>
      <c r="BA124" s="47">
        <f t="shared" si="351"/>
        <v>2.4298601124329982</v>
      </c>
      <c r="BB124" s="47">
        <f t="shared" si="351"/>
        <v>2.9889079473985136</v>
      </c>
      <c r="BC124" s="47">
        <f t="shared" si="351"/>
        <v>0.82946468671463647</v>
      </c>
      <c r="BD124" s="47">
        <f t="shared" si="351"/>
        <v>0.44442066704570071</v>
      </c>
      <c r="BE124" s="47">
        <f t="shared" si="351"/>
        <v>0.45062601089649301</v>
      </c>
      <c r="BF124" s="47">
        <f t="shared" si="351"/>
        <v>-4.1460075671839625E-2</v>
      </c>
      <c r="BG124" s="47">
        <f t="shared" si="351"/>
        <v>3.4144188566112392</v>
      </c>
      <c r="BH124" s="47"/>
      <c r="BI124" s="72"/>
      <c r="BJ124" s="72"/>
      <c r="BK124" s="72"/>
      <c r="BL124" s="72"/>
      <c r="BM124" s="72"/>
    </row>
    <row r="126" spans="2:65">
      <c r="B126" s="149" t="s">
        <v>325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</row>
    <row r="127" spans="2:65">
      <c r="B127" s="139" t="s">
        <v>433</v>
      </c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102"/>
      <c r="AZ127" s="104">
        <f>SUM(AZ128:AZ130)</f>
        <v>388.30450000000002</v>
      </c>
      <c r="BA127" s="104">
        <f t="shared" ref="BA127:BD127" si="358">SUM(BA128:BA130)</f>
        <v>122.2928</v>
      </c>
      <c r="BB127" s="104">
        <f t="shared" si="358"/>
        <v>1300.7347</v>
      </c>
      <c r="BC127" s="104">
        <f t="shared" si="358"/>
        <v>565.78455202999999</v>
      </c>
      <c r="BD127" s="104">
        <f t="shared" si="358"/>
        <v>1097.5515098599999</v>
      </c>
      <c r="BE127" s="104">
        <f>SUM(BE128:BE130)</f>
        <v>1145.5294573900001</v>
      </c>
      <c r="BF127" s="104">
        <f>SUM(BF128:BF130)</f>
        <v>828.13093051999999</v>
      </c>
      <c r="BG127" s="104">
        <f>SUM(BG128:BG130)</f>
        <v>878.59436984999991</v>
      </c>
      <c r="BH127" s="102"/>
      <c r="BI127" s="102"/>
      <c r="BJ127" s="102"/>
      <c r="BK127" s="102"/>
      <c r="BL127" s="102"/>
      <c r="BM127" s="102"/>
    </row>
    <row r="128" spans="2:65">
      <c r="B128" s="127" t="s">
        <v>193</v>
      </c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298"/>
      <c r="P128" s="298"/>
      <c r="Q128" s="298"/>
      <c r="R128" s="131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  <c r="AP128" s="298"/>
      <c r="AQ128" s="298"/>
      <c r="AR128" s="298"/>
      <c r="AS128" s="298"/>
      <c r="AT128" s="298"/>
      <c r="AU128" s="298"/>
      <c r="AV128" s="298"/>
      <c r="AW128" s="298"/>
      <c r="AX128" s="298"/>
      <c r="AZ128" s="305">
        <f t="shared" ref="AZ128:BE128" si="359">AZ93</f>
        <v>0.12</v>
      </c>
      <c r="BA128" s="305">
        <f t="shared" si="359"/>
        <v>4.2079000000000004</v>
      </c>
      <c r="BB128" s="305">
        <f t="shared" si="359"/>
        <v>10.447699999999999</v>
      </c>
      <c r="BC128" s="305">
        <f t="shared" si="359"/>
        <v>31.289035040000002</v>
      </c>
      <c r="BD128" s="305">
        <f t="shared" si="359"/>
        <v>48.471558479999999</v>
      </c>
      <c r="BE128" s="305">
        <f t="shared" si="359"/>
        <v>57.689065579999998</v>
      </c>
      <c r="BF128" s="305">
        <f t="shared" ref="BF128" si="360">BF93</f>
        <v>56.63718385</v>
      </c>
      <c r="BG128" s="39">
        <f>BG93+7.69718583</f>
        <v>46.777059100000002</v>
      </c>
      <c r="BH128" s="131"/>
      <c r="BI128" s="131"/>
      <c r="BJ128" s="131"/>
      <c r="BK128" s="131"/>
      <c r="BL128" s="131"/>
      <c r="BM128" s="131"/>
    </row>
    <row r="129" spans="2:65">
      <c r="B129" s="127" t="s">
        <v>194</v>
      </c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298"/>
      <c r="P129" s="298"/>
      <c r="Q129" s="298"/>
      <c r="R129" s="131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  <c r="AP129" s="298"/>
      <c r="AQ129" s="298"/>
      <c r="AR129" s="298"/>
      <c r="AS129" s="298"/>
      <c r="AT129" s="298"/>
      <c r="AU129" s="298"/>
      <c r="AV129" s="298"/>
      <c r="AW129" s="298"/>
      <c r="AX129" s="298"/>
      <c r="AZ129" s="305">
        <f>SUM(AZ104:AZ105)</f>
        <v>366.03860000000003</v>
      </c>
      <c r="BA129" s="305">
        <f t="shared" ref="BA129:BG129" si="361">SUM(BA104:BA105)</f>
        <v>19.130700000000001</v>
      </c>
      <c r="BB129" s="305">
        <f t="shared" si="361"/>
        <v>1007.0632000000001</v>
      </c>
      <c r="BC129" s="305">
        <f t="shared" si="361"/>
        <v>91.780004939999998</v>
      </c>
      <c r="BD129" s="305">
        <f t="shared" si="361"/>
        <v>310.65822355</v>
      </c>
      <c r="BE129" s="305">
        <f t="shared" si="361"/>
        <v>215.63992908</v>
      </c>
      <c r="BF129" s="305">
        <f t="shared" si="361"/>
        <v>81.545832079999997</v>
      </c>
      <c r="BG129" s="305">
        <f t="shared" si="361"/>
        <v>123.65169053999999</v>
      </c>
      <c r="BH129" s="131"/>
      <c r="BI129" s="131"/>
      <c r="BJ129" s="131"/>
      <c r="BK129" s="131"/>
      <c r="BL129" s="131"/>
      <c r="BM129" s="131"/>
    </row>
    <row r="130" spans="2:65">
      <c r="B130" s="127" t="s">
        <v>69</v>
      </c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298"/>
      <c r="P130" s="298"/>
      <c r="Q130" s="298"/>
      <c r="R130" s="131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  <c r="AP130" s="298"/>
      <c r="AQ130" s="298"/>
      <c r="AR130" s="298"/>
      <c r="AS130" s="298"/>
      <c r="AT130" s="298"/>
      <c r="AU130" s="298"/>
      <c r="AV130" s="298"/>
      <c r="AW130" s="298"/>
      <c r="AX130" s="298"/>
      <c r="AZ130" s="305">
        <f t="shared" ref="AZ130:BE130" si="362">AZ116</f>
        <v>22.145900000000001</v>
      </c>
      <c r="BA130" s="305">
        <f t="shared" si="362"/>
        <v>98.9542</v>
      </c>
      <c r="BB130" s="305">
        <f t="shared" si="362"/>
        <v>283.22379999999998</v>
      </c>
      <c r="BC130" s="305">
        <f t="shared" si="362"/>
        <v>442.71551204999997</v>
      </c>
      <c r="BD130" s="305">
        <f t="shared" si="362"/>
        <v>738.42172783000001</v>
      </c>
      <c r="BE130" s="305">
        <f t="shared" si="362"/>
        <v>872.20046273000003</v>
      </c>
      <c r="BF130" s="305">
        <f t="shared" ref="BF130" si="363">BF116</f>
        <v>689.94791458999998</v>
      </c>
      <c r="BG130" s="39">
        <f>BG116+143.55915405</f>
        <v>708.16562020999993</v>
      </c>
      <c r="BH130" s="131"/>
      <c r="BI130" s="131"/>
      <c r="BJ130" s="131"/>
      <c r="BK130" s="131"/>
      <c r="BL130" s="131"/>
      <c r="BM130" s="131"/>
    </row>
    <row r="131" spans="2:65">
      <c r="B131" s="139" t="s">
        <v>434</v>
      </c>
      <c r="C131" s="299"/>
      <c r="D131" s="299"/>
      <c r="E131" s="299"/>
      <c r="F131" s="299"/>
      <c r="G131" s="299"/>
      <c r="H131" s="299"/>
      <c r="I131" s="299"/>
      <c r="J131" s="299"/>
      <c r="K131" s="299"/>
      <c r="L131" s="299"/>
      <c r="M131" s="299"/>
      <c r="N131" s="299"/>
      <c r="O131" s="299"/>
      <c r="P131" s="299"/>
      <c r="Q131" s="299"/>
      <c r="R131" s="299"/>
      <c r="S131" s="299"/>
      <c r="T131" s="299"/>
      <c r="U131" s="299"/>
      <c r="V131" s="299"/>
      <c r="W131" s="299"/>
      <c r="X131" s="299"/>
      <c r="Y131" s="299"/>
      <c r="Z131" s="299"/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9"/>
      <c r="AU131" s="299"/>
      <c r="AV131" s="299"/>
      <c r="AW131" s="299"/>
      <c r="AX131" s="299"/>
      <c r="AZ131" s="104">
        <v>80</v>
      </c>
      <c r="BA131" s="104">
        <v>352</v>
      </c>
      <c r="BB131" s="104">
        <f>SUM(BB132:BB134)</f>
        <v>858</v>
      </c>
      <c r="BC131" s="104">
        <f>SUM(BC132:BC134)</f>
        <v>1268</v>
      </c>
      <c r="BD131" s="104">
        <f t="shared" ref="BD131:BG131" si="364">SUM(BD132:BD134)</f>
        <v>1497</v>
      </c>
      <c r="BE131" s="104">
        <f t="shared" si="364"/>
        <v>1516</v>
      </c>
      <c r="BF131" s="104">
        <f t="shared" si="364"/>
        <v>999</v>
      </c>
      <c r="BG131" s="104">
        <f t="shared" si="364"/>
        <v>980</v>
      </c>
      <c r="BH131" s="104"/>
      <c r="BI131" s="104"/>
      <c r="BJ131" s="104"/>
      <c r="BK131" s="104"/>
      <c r="BL131" s="104"/>
      <c r="BM131" s="104"/>
    </row>
    <row r="132" spans="2:65">
      <c r="B132" s="127" t="str">
        <f>B128</f>
        <v>Selling</v>
      </c>
      <c r="C132" s="280"/>
      <c r="D132" s="280"/>
      <c r="E132" s="280"/>
      <c r="F132" s="132"/>
      <c r="G132" s="280"/>
      <c r="H132" s="280"/>
      <c r="I132" s="280"/>
      <c r="J132" s="132"/>
      <c r="K132" s="280"/>
      <c r="L132" s="280"/>
      <c r="M132" s="280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BB132" s="79">
        <v>26</v>
      </c>
      <c r="BC132" s="79">
        <v>65</v>
      </c>
      <c r="BD132" s="79">
        <v>80</v>
      </c>
      <c r="BE132" s="79">
        <v>92</v>
      </c>
      <c r="BF132" s="79">
        <v>69</v>
      </c>
      <c r="BG132" s="79">
        <v>58</v>
      </c>
      <c r="BH132" s="78"/>
      <c r="BI132" s="78"/>
      <c r="BJ132" s="132"/>
      <c r="BK132" s="132"/>
      <c r="BL132" s="132"/>
      <c r="BM132" s="132"/>
    </row>
    <row r="133" spans="2:65">
      <c r="B133" s="127" t="str">
        <f>B129</f>
        <v>G&amp;A</v>
      </c>
      <c r="C133" s="280"/>
      <c r="D133" s="280"/>
      <c r="E133" s="280"/>
      <c r="F133" s="132"/>
      <c r="G133" s="280"/>
      <c r="H133" s="280"/>
      <c r="I133" s="280"/>
      <c r="J133" s="132"/>
      <c r="K133" s="280"/>
      <c r="L133" s="280"/>
      <c r="M133" s="280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BB133" s="79">
        <v>152</v>
      </c>
      <c r="BC133" s="79">
        <v>225</v>
      </c>
      <c r="BD133" s="79">
        <v>204</v>
      </c>
      <c r="BE133" s="79">
        <v>219</v>
      </c>
      <c r="BF133" s="79">
        <v>178</v>
      </c>
      <c r="BG133" s="79">
        <v>181</v>
      </c>
      <c r="BH133" s="78"/>
      <c r="BI133" s="78"/>
      <c r="BJ133" s="132"/>
      <c r="BK133" s="132"/>
      <c r="BL133" s="132"/>
      <c r="BM133" s="132"/>
    </row>
    <row r="134" spans="2:65">
      <c r="B134" s="127" t="str">
        <f>B130</f>
        <v>R&amp;D</v>
      </c>
      <c r="C134" s="280"/>
      <c r="D134" s="280"/>
      <c r="E134" s="280"/>
      <c r="F134" s="132"/>
      <c r="G134" s="280"/>
      <c r="H134" s="93"/>
      <c r="I134" s="280"/>
      <c r="J134" s="132"/>
      <c r="K134" s="280"/>
      <c r="L134" s="93"/>
      <c r="M134" s="280"/>
      <c r="N134" s="91"/>
      <c r="O134" s="91"/>
      <c r="P134" s="93"/>
      <c r="Q134" s="91"/>
      <c r="R134" s="91"/>
      <c r="S134" s="91"/>
      <c r="T134" s="93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BB134" s="79">
        <v>680</v>
      </c>
      <c r="BC134" s="79">
        <v>978</v>
      </c>
      <c r="BD134" s="79">
        <v>1213</v>
      </c>
      <c r="BE134" s="79">
        <v>1205</v>
      </c>
      <c r="BF134" s="79">
        <v>752</v>
      </c>
      <c r="BG134" s="79">
        <v>741</v>
      </c>
      <c r="BH134" s="78"/>
      <c r="BI134" s="78"/>
      <c r="BJ134" s="132"/>
      <c r="BK134" s="132"/>
      <c r="BL134" s="132"/>
      <c r="BM134" s="132"/>
    </row>
    <row r="135" spans="2:65">
      <c r="B135" s="101" t="s">
        <v>164</v>
      </c>
      <c r="H135" s="91"/>
      <c r="N135" s="132"/>
      <c r="BB135" s="105">
        <f>BB131/BA131-1</f>
        <v>1.4375</v>
      </c>
      <c r="BC135" s="105">
        <f t="shared" ref="BC135:BG135" si="365">BC131/BB131-1</f>
        <v>0.47785547785547777</v>
      </c>
      <c r="BD135" s="105">
        <f t="shared" si="365"/>
        <v>0.18059936908517349</v>
      </c>
      <c r="BE135" s="105">
        <f t="shared" si="365"/>
        <v>1.2692050768203123E-2</v>
      </c>
      <c r="BF135" s="105">
        <f t="shared" si="365"/>
        <v>-0.34102902374670185</v>
      </c>
      <c r="BG135" s="105">
        <f t="shared" si="365"/>
        <v>-1.9019019019019034E-2</v>
      </c>
      <c r="BH135" s="105"/>
      <c r="BI135" s="105"/>
      <c r="BJ135" s="105"/>
      <c r="BK135" s="105"/>
      <c r="BL135" s="105"/>
      <c r="BM135" s="105"/>
    </row>
    <row r="136" spans="2:65">
      <c r="B136" s="127" t="str">
        <f>B132</f>
        <v>Selling</v>
      </c>
      <c r="G136" s="47"/>
      <c r="H136" s="47"/>
      <c r="I136" s="47"/>
      <c r="J136" s="47"/>
      <c r="K136" s="47"/>
      <c r="L136" s="47"/>
      <c r="M136" s="47"/>
      <c r="N136" s="47"/>
      <c r="O136" s="275"/>
      <c r="P136" s="275"/>
      <c r="Q136" s="275"/>
      <c r="R136" s="47"/>
      <c r="S136" s="275"/>
      <c r="T136" s="275"/>
      <c r="U136" s="275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BB136" s="106" t="e">
        <f>BB132/BA132-1</f>
        <v>#DIV/0!</v>
      </c>
      <c r="BC136" s="106">
        <f>BC132/BB132-1</f>
        <v>1.5</v>
      </c>
      <c r="BD136" s="106">
        <f>BD132/BC132-1</f>
        <v>0.23076923076923084</v>
      </c>
      <c r="BE136" s="106">
        <f>BE132/BD132-1</f>
        <v>0.14999999999999991</v>
      </c>
      <c r="BF136" s="106">
        <f t="shared" ref="BD136:BG138" si="366">BF132/BE132-1</f>
        <v>-0.25</v>
      </c>
      <c r="BG136" s="106">
        <f>BG132/BF132-1</f>
        <v>-0.15942028985507251</v>
      </c>
      <c r="BH136" s="106"/>
      <c r="BI136" s="106"/>
      <c r="BJ136" s="106"/>
      <c r="BK136" s="106"/>
      <c r="BL136" s="106"/>
      <c r="BM136" s="106"/>
    </row>
    <row r="137" spans="2:65">
      <c r="B137" s="127" t="str">
        <f>B133</f>
        <v>G&amp;A</v>
      </c>
      <c r="G137" s="47"/>
      <c r="H137" s="47"/>
      <c r="I137" s="47"/>
      <c r="J137" s="47"/>
      <c r="K137" s="47"/>
      <c r="L137" s="47"/>
      <c r="M137" s="47"/>
      <c r="N137" s="47"/>
      <c r="O137" s="275"/>
      <c r="P137" s="275"/>
      <c r="Q137" s="275"/>
      <c r="R137" s="47"/>
      <c r="S137" s="275"/>
      <c r="T137" s="275"/>
      <c r="U137" s="275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BB137" s="106" t="e">
        <f>BB133/BA133-1</f>
        <v>#DIV/0!</v>
      </c>
      <c r="BC137" s="106">
        <f>BC133/BB133-1</f>
        <v>0.48026315789473695</v>
      </c>
      <c r="BD137" s="106">
        <f t="shared" si="366"/>
        <v>-9.3333333333333379E-2</v>
      </c>
      <c r="BE137" s="106">
        <f t="shared" si="366"/>
        <v>7.3529411764705843E-2</v>
      </c>
      <c r="BF137" s="106">
        <f t="shared" si="366"/>
        <v>-0.18721461187214616</v>
      </c>
      <c r="BG137" s="106">
        <f t="shared" si="366"/>
        <v>1.6853932584269593E-2</v>
      </c>
      <c r="BH137" s="106"/>
      <c r="BI137" s="106"/>
      <c r="BJ137" s="106"/>
      <c r="BK137" s="106"/>
      <c r="BL137" s="106"/>
      <c r="BM137" s="106"/>
    </row>
    <row r="138" spans="2:65">
      <c r="B138" s="127" t="str">
        <f>B134</f>
        <v>R&amp;D</v>
      </c>
      <c r="G138" s="47"/>
      <c r="H138" s="47"/>
      <c r="I138" s="47"/>
      <c r="J138" s="47"/>
      <c r="K138" s="47"/>
      <c r="L138" s="47"/>
      <c r="M138" s="47"/>
      <c r="N138" s="47"/>
      <c r="O138" s="275"/>
      <c r="P138" s="47"/>
      <c r="Q138" s="275"/>
      <c r="R138" s="47"/>
      <c r="S138" s="275"/>
      <c r="T138" s="47"/>
      <c r="U138" s="275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BB138" s="106" t="e">
        <f>BB134/BA134-1</f>
        <v>#DIV/0!</v>
      </c>
      <c r="BC138" s="106">
        <f>BC134/BB134-1</f>
        <v>0.43823529411764706</v>
      </c>
      <c r="BD138" s="106">
        <f t="shared" si="366"/>
        <v>0.24028629856850725</v>
      </c>
      <c r="BE138" s="106">
        <f t="shared" si="366"/>
        <v>-6.5952184666117075E-3</v>
      </c>
      <c r="BF138" s="106">
        <f t="shared" si="366"/>
        <v>-0.37593360995850622</v>
      </c>
      <c r="BG138" s="106">
        <f t="shared" si="366"/>
        <v>-1.4627659574468099E-2</v>
      </c>
      <c r="BH138" s="106"/>
      <c r="BI138" s="106"/>
      <c r="BJ138" s="106"/>
      <c r="BK138" s="106"/>
      <c r="BL138" s="106"/>
      <c r="BM138" s="106"/>
    </row>
    <row r="139" spans="2:65">
      <c r="B139" s="140" t="s">
        <v>285</v>
      </c>
      <c r="BB139" s="155">
        <f>SUM(BB140:BB142)</f>
        <v>1</v>
      </c>
      <c r="BC139" s="155">
        <f t="shared" ref="BC139:BG139" si="367">SUM(BC140:BC142)</f>
        <v>1</v>
      </c>
      <c r="BD139" s="155">
        <f t="shared" si="367"/>
        <v>1</v>
      </c>
      <c r="BE139" s="155">
        <f>SUM(BE140:BE142)</f>
        <v>1</v>
      </c>
      <c r="BF139" s="155">
        <f t="shared" si="367"/>
        <v>1</v>
      </c>
      <c r="BG139" s="155">
        <f t="shared" si="367"/>
        <v>1</v>
      </c>
      <c r="BH139" s="155"/>
      <c r="BI139" s="155"/>
      <c r="BJ139" s="155"/>
      <c r="BK139" s="155"/>
      <c r="BL139" s="155"/>
      <c r="BM139" s="155"/>
    </row>
    <row r="140" spans="2:65">
      <c r="B140" s="127" t="str">
        <f>B136</f>
        <v>Selling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BB140" s="60">
        <f>BB132/BB131</f>
        <v>3.0303030303030304E-2</v>
      </c>
      <c r="BC140" s="60">
        <f t="shared" ref="BC140:BG140" si="368">BC132/BC131</f>
        <v>5.1261829652996846E-2</v>
      </c>
      <c r="BD140" s="60">
        <f t="shared" si="368"/>
        <v>5.3440213760855046E-2</v>
      </c>
      <c r="BE140" s="60">
        <f>BE132/BE131</f>
        <v>6.0686015831134567E-2</v>
      </c>
      <c r="BF140" s="60">
        <f t="shared" si="368"/>
        <v>6.9069069069069067E-2</v>
      </c>
      <c r="BG140" s="60">
        <f t="shared" si="368"/>
        <v>5.9183673469387757E-2</v>
      </c>
      <c r="BH140" s="60"/>
      <c r="BI140" s="60"/>
      <c r="BJ140" s="60"/>
      <c r="BK140" s="60"/>
      <c r="BL140" s="60"/>
      <c r="BM140" s="60"/>
    </row>
    <row r="141" spans="2:65">
      <c r="B141" s="127" t="str">
        <f>B137</f>
        <v>G&amp;A</v>
      </c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BB141" s="60">
        <f>BB133/BB131</f>
        <v>0.17715617715617715</v>
      </c>
      <c r="BC141" s="60">
        <f t="shared" ref="BC141:BG141" si="369">BC133/BC131</f>
        <v>0.1774447949526814</v>
      </c>
      <c r="BD141" s="60">
        <f t="shared" si="369"/>
        <v>0.13627254509018036</v>
      </c>
      <c r="BE141" s="60">
        <f>BE133/BE131</f>
        <v>0.14445910290237468</v>
      </c>
      <c r="BF141" s="60">
        <f t="shared" si="369"/>
        <v>0.17817817817817819</v>
      </c>
      <c r="BG141" s="60">
        <f t="shared" si="369"/>
        <v>0.1846938775510204</v>
      </c>
      <c r="BH141" s="60"/>
      <c r="BI141" s="60"/>
      <c r="BJ141" s="60"/>
      <c r="BK141" s="60"/>
      <c r="BL141" s="60"/>
      <c r="BM141" s="60"/>
    </row>
    <row r="142" spans="2:65">
      <c r="B142" s="127" t="str">
        <f>B138</f>
        <v>R&amp;D</v>
      </c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300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BB142" s="60">
        <f>BB134/BB131</f>
        <v>0.79254079254079257</v>
      </c>
      <c r="BC142" s="60">
        <f t="shared" ref="BC142:BG142" si="370">BC134/BC131</f>
        <v>0.77129337539432175</v>
      </c>
      <c r="BD142" s="60">
        <f t="shared" si="370"/>
        <v>0.81028724114896455</v>
      </c>
      <c r="BE142" s="60">
        <f>BE134/BE131</f>
        <v>0.79485488126649073</v>
      </c>
      <c r="BF142" s="60">
        <f t="shared" si="370"/>
        <v>0.75275275275275277</v>
      </c>
      <c r="BG142" s="60">
        <f t="shared" si="370"/>
        <v>0.7561224489795918</v>
      </c>
      <c r="BH142" s="60"/>
      <c r="BI142" s="60"/>
      <c r="BJ142" s="60"/>
      <c r="BK142" s="60"/>
      <c r="BL142" s="60"/>
      <c r="BM142" s="60"/>
    </row>
    <row r="144" spans="2:65">
      <c r="B144" s="139" t="s">
        <v>435</v>
      </c>
    </row>
    <row r="145" spans="2:65">
      <c r="B145" s="127" t="str">
        <f>B132</f>
        <v>Selling</v>
      </c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132"/>
      <c r="P145" s="132"/>
      <c r="Q145" s="132"/>
      <c r="R145" s="91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BB145" s="78">
        <f t="shared" ref="BB145:BG145" si="371">BB128*10^6/BB132</f>
        <v>401834.61538461538</v>
      </c>
      <c r="BC145" s="78">
        <f t="shared" si="371"/>
        <v>481369.76984615391</v>
      </c>
      <c r="BD145" s="78">
        <f t="shared" si="371"/>
        <v>605894.48099999991</v>
      </c>
      <c r="BE145" s="78">
        <f>BE128*10^6/BE132</f>
        <v>627055.06065217394</v>
      </c>
      <c r="BF145" s="78">
        <f t="shared" si="371"/>
        <v>820828.75144927541</v>
      </c>
      <c r="BG145" s="78">
        <f t="shared" si="371"/>
        <v>806501.01896551729</v>
      </c>
      <c r="BH145" s="78"/>
      <c r="BI145" s="78"/>
      <c r="BJ145" s="78"/>
      <c r="BK145" s="78"/>
      <c r="BL145" s="78"/>
      <c r="BM145" s="78"/>
    </row>
    <row r="146" spans="2:65">
      <c r="B146" s="127" t="str">
        <f>B133</f>
        <v>G&amp;A</v>
      </c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132"/>
      <c r="P146" s="132"/>
      <c r="Q146" s="132"/>
      <c r="R146" s="91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BB146" s="78">
        <f t="shared" ref="BB146:BG146" si="372">BB129*10^6/BB133</f>
        <v>6625415.7894736845</v>
      </c>
      <c r="BC146" s="78">
        <f t="shared" si="372"/>
        <v>407911.13306666666</v>
      </c>
      <c r="BD146" s="78">
        <f>BD129*10^6/BD133</f>
        <v>1522834.4291666667</v>
      </c>
      <c r="BE146" s="78">
        <f>BE129*10^6/BE133</f>
        <v>984657.21041095897</v>
      </c>
      <c r="BF146" s="78">
        <f t="shared" si="372"/>
        <v>458122.65213483147</v>
      </c>
      <c r="BG146" s="78">
        <f t="shared" si="372"/>
        <v>683158.51127071818</v>
      </c>
      <c r="BH146" s="78"/>
      <c r="BI146" s="78"/>
      <c r="BJ146" s="78"/>
      <c r="BK146" s="78"/>
      <c r="BL146" s="78"/>
      <c r="BM146" s="78"/>
    </row>
    <row r="147" spans="2:65">
      <c r="B147" s="127" t="str">
        <f>B134</f>
        <v>R&amp;D</v>
      </c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132"/>
      <c r="P147" s="132"/>
      <c r="Q147" s="132"/>
      <c r="R147" s="91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BB147" s="78">
        <f>BB130*10^6/BB134</f>
        <v>416505.5882352941</v>
      </c>
      <c r="BC147" s="78">
        <f t="shared" ref="BC147:BG147" si="373">BC130*10^6/BC134</f>
        <v>452674.34769938648</v>
      </c>
      <c r="BD147" s="78">
        <f t="shared" si="373"/>
        <v>608756.57694146747</v>
      </c>
      <c r="BE147" s="78">
        <f>BE130*10^6/BE134</f>
        <v>723817.81139419088</v>
      </c>
      <c r="BF147" s="78">
        <f t="shared" si="373"/>
        <v>917483.92897606385</v>
      </c>
      <c r="BG147" s="78">
        <f t="shared" si="373"/>
        <v>955689.09609986492</v>
      </c>
      <c r="BH147" s="78"/>
      <c r="BI147" s="78"/>
      <c r="BJ147" s="78"/>
      <c r="BK147" s="78"/>
      <c r="BL147" s="78"/>
      <c r="BM147" s="78"/>
    </row>
    <row r="148" spans="2:65">
      <c r="B148" s="139" t="s">
        <v>436</v>
      </c>
      <c r="BB148" s="78"/>
    </row>
    <row r="149" spans="2:65">
      <c r="B149" s="127" t="str">
        <f>B145</f>
        <v>Selling</v>
      </c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BB149" s="78">
        <f t="shared" ref="BB149:BC151" si="374">BB145/12</f>
        <v>33486.217948717946</v>
      </c>
      <c r="BC149" s="78">
        <f t="shared" si="374"/>
        <v>40114.147487179493</v>
      </c>
      <c r="BD149" s="78">
        <f t="shared" ref="BD149:BG149" si="375">BD145/12</f>
        <v>50491.20674999999</v>
      </c>
      <c r="BE149" s="78">
        <f>BE145/12</f>
        <v>52254.588387681164</v>
      </c>
      <c r="BF149" s="78">
        <f t="shared" si="375"/>
        <v>68402.39595410628</v>
      </c>
      <c r="BG149" s="78">
        <f t="shared" si="375"/>
        <v>67208.418247126436</v>
      </c>
      <c r="BH149" s="78"/>
      <c r="BI149" s="78"/>
      <c r="BJ149" s="78"/>
      <c r="BK149" s="78"/>
      <c r="BL149" s="78"/>
      <c r="BM149" s="78"/>
    </row>
    <row r="150" spans="2:65">
      <c r="B150" s="127" t="str">
        <f>B146</f>
        <v>G&amp;A</v>
      </c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BB150" s="78">
        <f t="shared" si="374"/>
        <v>552117.98245614034</v>
      </c>
      <c r="BC150" s="78">
        <f t="shared" si="374"/>
        <v>33992.594422222224</v>
      </c>
      <c r="BD150" s="78">
        <f t="shared" ref="BD150:BG150" si="376">BD146/12</f>
        <v>126902.86909722222</v>
      </c>
      <c r="BE150" s="78">
        <f>BE146/12</f>
        <v>82054.767534246581</v>
      </c>
      <c r="BF150" s="78">
        <f t="shared" si="376"/>
        <v>38176.887677902625</v>
      </c>
      <c r="BG150" s="78">
        <f t="shared" si="376"/>
        <v>56929.875939226513</v>
      </c>
      <c r="BH150" s="78"/>
      <c r="BI150" s="78"/>
      <c r="BJ150" s="78"/>
      <c r="BK150" s="78"/>
      <c r="BL150" s="78"/>
      <c r="BM150" s="78"/>
    </row>
    <row r="151" spans="2:65">
      <c r="B151" s="127" t="str">
        <f>B147</f>
        <v>R&amp;D</v>
      </c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BB151" s="78">
        <f t="shared" si="374"/>
        <v>34708.799019607839</v>
      </c>
      <c r="BC151" s="78">
        <f t="shared" si="374"/>
        <v>37722.862308282209</v>
      </c>
      <c r="BD151" s="78">
        <f t="shared" ref="BD151:BG151" si="377">BD147/12</f>
        <v>50729.714745122292</v>
      </c>
      <c r="BE151" s="78">
        <f>BE147/12</f>
        <v>60318.150949515904</v>
      </c>
      <c r="BF151" s="78">
        <f t="shared" si="377"/>
        <v>76456.994081338649</v>
      </c>
      <c r="BG151" s="78">
        <f t="shared" si="377"/>
        <v>79640.758008322082</v>
      </c>
      <c r="BH151" s="78"/>
      <c r="BI151" s="78"/>
      <c r="BJ151" s="78"/>
      <c r="BK151" s="78"/>
      <c r="BL151" s="78"/>
      <c r="BM151" s="78"/>
    </row>
    <row r="152" spans="2:65">
      <c r="B152" s="139" t="s">
        <v>164</v>
      </c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5"/>
    </row>
    <row r="153" spans="2:65">
      <c r="B153" s="127" t="str">
        <f>B149</f>
        <v>Selling</v>
      </c>
      <c r="G153" s="47"/>
      <c r="H153" s="47"/>
      <c r="I153" s="47"/>
      <c r="J153" s="47"/>
      <c r="K153" s="47"/>
      <c r="L153" s="47"/>
      <c r="M153" s="47"/>
      <c r="N153" s="47"/>
      <c r="O153" s="275"/>
      <c r="P153" s="275"/>
      <c r="Q153" s="275"/>
      <c r="R153" s="47"/>
      <c r="S153" s="275"/>
      <c r="T153" s="275"/>
      <c r="U153" s="275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  <c r="BB153" s="107"/>
      <c r="BC153" s="106">
        <f>BC149/BB149-1</f>
        <v>0.19793007226470927</v>
      </c>
      <c r="BD153" s="106">
        <f t="shared" ref="BD153:BG155" si="378">BD149/BC149-1</f>
        <v>0.2586882661818255</v>
      </c>
      <c r="BE153" s="106">
        <f t="shared" si="378"/>
        <v>3.4924529461383358E-2</v>
      </c>
      <c r="BF153" s="106">
        <f t="shared" si="378"/>
        <v>0.30902181157036734</v>
      </c>
      <c r="BG153" s="106">
        <f t="shared" si="378"/>
        <v>-1.7455202998750585E-2</v>
      </c>
      <c r="BH153" s="106"/>
      <c r="BI153" s="106"/>
      <c r="BJ153" s="106"/>
      <c r="BK153" s="106"/>
      <c r="BL153" s="106"/>
      <c r="BM153" s="106"/>
    </row>
    <row r="154" spans="2:65">
      <c r="B154" s="127" t="str">
        <f>B150</f>
        <v>G&amp;A</v>
      </c>
      <c r="G154" s="47"/>
      <c r="H154" s="47"/>
      <c r="I154" s="47"/>
      <c r="J154" s="47"/>
      <c r="K154" s="47"/>
      <c r="L154" s="47"/>
      <c r="M154" s="47"/>
      <c r="N154" s="47"/>
      <c r="O154" s="275"/>
      <c r="P154" s="275"/>
      <c r="Q154" s="275"/>
      <c r="R154" s="47"/>
      <c r="S154" s="275"/>
      <c r="T154" s="275"/>
      <c r="U154" s="275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BB154" s="106"/>
      <c r="BC154" s="106">
        <f>BC150/BB150-1</f>
        <v>-0.93843237224224518</v>
      </c>
      <c r="BD154" s="106">
        <f t="shared" si="378"/>
        <v>2.7332504698217766</v>
      </c>
      <c r="BE154" s="106">
        <f t="shared" si="378"/>
        <v>-0.35340494570392122</v>
      </c>
      <c r="BF154" s="106">
        <f t="shared" si="378"/>
        <v>-0.53473894540047262</v>
      </c>
      <c r="BG154" s="106">
        <f t="shared" si="378"/>
        <v>0.49121312401216</v>
      </c>
      <c r="BH154" s="106"/>
      <c r="BI154" s="106"/>
      <c r="BJ154" s="106"/>
      <c r="BK154" s="106"/>
      <c r="BL154" s="106"/>
      <c r="BM154" s="106"/>
    </row>
    <row r="155" spans="2:65">
      <c r="B155" s="127" t="str">
        <f>B151</f>
        <v>R&amp;D</v>
      </c>
      <c r="G155" s="47"/>
      <c r="H155" s="47"/>
      <c r="I155" s="47"/>
      <c r="J155" s="47"/>
      <c r="K155" s="47"/>
      <c r="L155" s="47"/>
      <c r="M155" s="47"/>
      <c r="N155" s="47"/>
      <c r="O155" s="275"/>
      <c r="P155" s="275"/>
      <c r="Q155" s="275"/>
      <c r="R155" s="47"/>
      <c r="S155" s="275"/>
      <c r="T155" s="275"/>
      <c r="U155" s="275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  <c r="BB155" s="106"/>
      <c r="BC155" s="106">
        <f>BC151/BB151-1</f>
        <v>8.6838593492435612E-2</v>
      </c>
      <c r="BD155" s="106">
        <f t="shared" si="378"/>
        <v>0.34480025217981347</v>
      </c>
      <c r="BE155" s="106">
        <f t="shared" si="378"/>
        <v>0.18901025272008942</v>
      </c>
      <c r="BF155" s="106">
        <f>BF151/BE151-1</f>
        <v>0.2675619672978764</v>
      </c>
      <c r="BG155" s="106">
        <f>BG151/BF151-1</f>
        <v>4.1641238518955959E-2</v>
      </c>
      <c r="BH155" s="106"/>
      <c r="BI155" s="106"/>
      <c r="BJ155" s="106"/>
      <c r="BK155" s="106"/>
      <c r="BL155" s="106"/>
      <c r="BM155" s="106"/>
    </row>
  </sheetData>
  <phoneticPr fontId="22" type="noConversion"/>
  <pageMargins left="0" right="0" top="0" bottom="0" header="0" footer="0"/>
  <pageSetup paperSize="9" scale="10" fitToHeight="2" orientation="portrait" r:id="rId1"/>
  <customProperties>
    <customPr name="Qube.Worksheet.Visibility" r:id="rId2"/>
    <customPr name="QXL_SHEET_ID" r:id="rId3"/>
    <customPr name="SHEET_UNIQUE_ID" r:id="rId4"/>
  </customProperties>
  <ignoredErrors>
    <ignoredError sqref="AZ6:BC6 AZ25 BC27:BD27 AZ12:BC12 BB10:BC10 BB8:BC9 BB7:BC7 BB11:BC11 BB13:BD13 BB23:BC23 BB24:BC24 BB25:BC25 BF6 BF11 BF12 BH23 BH24 BH25 BF7 BF10 BF9 BC26:BD26 BF13 BF23 BD20 BD24 BD23 BD25 BD21 BF8 BF24 BF27 BH6 BH11 BH7 BH8 BH9 BH12 BH27" formula="1"/>
    <ignoredError sqref="BC17 BB22:BC22 BC19 BC18 BC16 BF16 BF17:BH17 BF19:BG19 BF18 BB21:BC21 BH21 BH22 BD22 BH18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B1:T37"/>
  <sheetViews>
    <sheetView showGridLines="0" workbookViewId="0">
      <selection activeCell="A29" sqref="A29:XFD29"/>
    </sheetView>
  </sheetViews>
  <sheetFormatPr defaultColWidth="9.28515625" defaultRowHeight="12.75"/>
  <cols>
    <col min="1" max="1" width="1.7109375" style="2" customWidth="1"/>
    <col min="2" max="2" width="32.85546875" style="2" customWidth="1"/>
    <col min="3" max="3" width="0.5703125" style="2" hidden="1" customWidth="1"/>
    <col min="4" max="6" width="8.7109375" style="2" hidden="1" customWidth="1"/>
    <col min="7" max="11" width="8.7109375" style="2" customWidth="1"/>
    <col min="12" max="12" width="9.42578125" style="2" customWidth="1"/>
    <col min="13" max="20" width="8.7109375" style="2" customWidth="1"/>
    <col min="21" max="16384" width="9.28515625" style="2"/>
  </cols>
  <sheetData>
    <row r="1" spans="2:20">
      <c r="B1" s="2" t="str">
        <f>BS!B1</f>
        <v>Cambricon (688256.SS)</v>
      </c>
      <c r="I1" s="4"/>
      <c r="J1" s="96">
        <f>BS!J4</f>
        <v>4875.2883558800004</v>
      </c>
    </row>
    <row r="2" spans="2:20" s="22" customFormat="1">
      <c r="B2" s="22" t="str">
        <f>BS!B2</f>
        <v>Rmb m</v>
      </c>
      <c r="C2" s="80">
        <v>2013</v>
      </c>
      <c r="D2" s="80">
        <v>2014</v>
      </c>
      <c r="E2" s="80">
        <v>2015</v>
      </c>
      <c r="F2" s="80">
        <v>2016</v>
      </c>
      <c r="G2" s="80">
        <v>2017</v>
      </c>
      <c r="H2" s="80">
        <v>2018</v>
      </c>
      <c r="I2" s="80">
        <v>2019</v>
      </c>
      <c r="J2" s="80">
        <v>2020</v>
      </c>
      <c r="K2" s="80">
        <v>2021</v>
      </c>
      <c r="L2" s="80">
        <v>2022</v>
      </c>
      <c r="M2" s="80">
        <v>2023</v>
      </c>
      <c r="N2" s="80">
        <v>2024</v>
      </c>
      <c r="O2" s="80">
        <v>2025</v>
      </c>
      <c r="P2" s="86" t="s">
        <v>320</v>
      </c>
      <c r="Q2" s="86" t="s">
        <v>379</v>
      </c>
      <c r="R2" s="86" t="s">
        <v>380</v>
      </c>
      <c r="S2" s="86" t="s">
        <v>381</v>
      </c>
      <c r="T2" s="86" t="s">
        <v>382</v>
      </c>
    </row>
    <row r="3" spans="2:20">
      <c r="B3" s="3" t="s">
        <v>239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0">
      <c r="B4" s="2" t="s">
        <v>7</v>
      </c>
      <c r="C4" s="24" t="e">
        <f>PL!#REF!</f>
        <v>#REF!</v>
      </c>
      <c r="D4" s="24" t="e">
        <f>PL!#REF!</f>
        <v>#REF!</v>
      </c>
      <c r="E4" s="24" t="e">
        <f>PL!#REF!</f>
        <v>#REF!</v>
      </c>
      <c r="F4" s="24" t="e">
        <f>PL!#REF!</f>
        <v>#REF!</v>
      </c>
      <c r="G4" s="24">
        <f>PL!AZ25</f>
        <v>-380.70041323999999</v>
      </c>
      <c r="H4" s="24">
        <f>PL!BA25</f>
        <v>-41.04650737</v>
      </c>
      <c r="I4" s="24">
        <f>PL!BB25</f>
        <v>-1178.9858539400002</v>
      </c>
      <c r="J4" s="24">
        <f>PL!BC25</f>
        <v>-434.50933116000004</v>
      </c>
      <c r="K4" s="24">
        <f>PL!BD25</f>
        <v>-824.94940911000026</v>
      </c>
      <c r="L4" s="24">
        <f>PL!BE25</f>
        <v>-1256.5625219999999</v>
      </c>
      <c r="M4" s="24">
        <f>PL!BF25</f>
        <v>-845.10148783000011</v>
      </c>
      <c r="N4" s="24">
        <f>PL!BG25</f>
        <v>-452.11927295000021</v>
      </c>
      <c r="O4" s="24">
        <f>PL!BH25</f>
        <v>2059.2175826400007</v>
      </c>
      <c r="P4" s="5">
        <f>PL!BI25</f>
        <v>6179.0473089729303</v>
      </c>
      <c r="Q4" s="5">
        <f>PL!BJ25</f>
        <v>14283.564590865639</v>
      </c>
      <c r="R4" s="5">
        <f>PL!BK25</f>
        <v>27265.259128150858</v>
      </c>
      <c r="S4" s="5">
        <f>PL!BL25</f>
        <v>40557.70115377933</v>
      </c>
      <c r="T4" s="5">
        <f>PL!BM25</f>
        <v>51100.277677050879</v>
      </c>
    </row>
    <row r="5" spans="2:20">
      <c r="B5" s="2" t="s">
        <v>18</v>
      </c>
      <c r="C5" s="24" t="e">
        <f>PL!#REF!</f>
        <v>#REF!</v>
      </c>
      <c r="D5" s="24" t="e">
        <f>PL!#REF!</f>
        <v>#REF!</v>
      </c>
      <c r="E5" s="24" t="e">
        <f>PL!#REF!</f>
        <v>#REF!</v>
      </c>
      <c r="F5" s="24" t="e">
        <f>PL!#REF!</f>
        <v>#REF!</v>
      </c>
      <c r="G5" s="24">
        <f>PL!AZ24</f>
        <v>0</v>
      </c>
      <c r="H5" s="24">
        <f>PL!BA24</f>
        <v>0</v>
      </c>
      <c r="I5" s="24">
        <f>PL!BB24</f>
        <v>-0.1396819</v>
      </c>
      <c r="J5" s="24">
        <f>PL!BC24</f>
        <v>0</v>
      </c>
      <c r="K5" s="24">
        <f>PL!BD24</f>
        <v>-4.8650683199999998</v>
      </c>
      <c r="L5" s="24">
        <f>PL!BE24</f>
        <v>-68.44431917</v>
      </c>
      <c r="M5" s="24">
        <f>PL!BF24</f>
        <v>-29.63730322</v>
      </c>
      <c r="N5" s="24">
        <f>PL!BG24</f>
        <v>-4.5878616699999997</v>
      </c>
      <c r="O5" s="24">
        <f>PL!BH24</f>
        <v>-0.74114933000000005</v>
      </c>
      <c r="P5" s="5">
        <f>PL!BI24</f>
        <v>1.2890602000000002</v>
      </c>
      <c r="Q5" s="5">
        <f>PL!BJ24</f>
        <v>2.8996680000000001</v>
      </c>
      <c r="R5" s="5">
        <f>PL!BK24</f>
        <v>2.8996680000000001</v>
      </c>
      <c r="S5" s="5">
        <f>PL!BL24</f>
        <v>2.8996680000000001</v>
      </c>
      <c r="T5" s="5">
        <f>PL!BM24</f>
        <v>2.8996680000000001</v>
      </c>
    </row>
    <row r="6" spans="2:20">
      <c r="B6" s="2" t="s">
        <v>19</v>
      </c>
      <c r="C6" s="24" t="e">
        <f>PL!#REF!+PL!#REF!</f>
        <v>#REF!</v>
      </c>
      <c r="D6" s="24" t="e">
        <f>PL!#REF!+PL!#REF!</f>
        <v>#REF!</v>
      </c>
      <c r="E6" s="24" t="e">
        <f>PL!#REF!+PL!#REF!</f>
        <v>#REF!</v>
      </c>
      <c r="F6" s="24" t="e">
        <f>PL!#REF!+PL!#REF!</f>
        <v>#REF!</v>
      </c>
      <c r="G6" s="24">
        <f>PL!AZ36+PL!AZ37</f>
        <v>0.48560688999999996</v>
      </c>
      <c r="H6" s="24">
        <f>PL!BA36+PL!BA37</f>
        <v>15.803402999999999</v>
      </c>
      <c r="I6" s="24">
        <f>PL!BB36+PL!BB37</f>
        <v>50.173126280000005</v>
      </c>
      <c r="J6" s="24">
        <f>PL!BC36+PL!BC37</f>
        <v>121.07045863</v>
      </c>
      <c r="K6" s="24">
        <f>PL!BD36+PL!BD37</f>
        <v>189.77004534999998</v>
      </c>
      <c r="L6" s="24">
        <f>PL!BE36+PL!BE37</f>
        <v>285.0559844</v>
      </c>
      <c r="M6" s="24">
        <f>PL!BF36+PL!BF37</f>
        <v>250.04370615000002</v>
      </c>
      <c r="N6" s="24">
        <f>PL!BG36+PL!BG37</f>
        <v>170.99471452</v>
      </c>
      <c r="O6" s="24">
        <f>PL!BH36+PL!BH37</f>
        <v>244.75093717999999</v>
      </c>
      <c r="P6" s="5">
        <f>PL!BI36+PL!BI37</f>
        <v>320.06266650919997</v>
      </c>
      <c r="Q6" s="5">
        <f>PL!BJ36+PL!BJ37</f>
        <v>324.85442001142764</v>
      </c>
      <c r="R6" s="5">
        <f>PL!BK36+PL!BK37</f>
        <v>329.30983831957826</v>
      </c>
      <c r="S6" s="5">
        <f>PL!BL36+PL!BL37</f>
        <v>334.61503784421541</v>
      </c>
      <c r="T6" s="5">
        <f>PL!BM36+PL!BM37</f>
        <v>341.95758284097712</v>
      </c>
    </row>
    <row r="7" spans="2:20">
      <c r="B7" s="2" t="s">
        <v>240</v>
      </c>
      <c r="C7" s="24" t="e">
        <f>-PL!#REF!</f>
        <v>#REF!</v>
      </c>
      <c r="D7" s="24" t="e">
        <f>-PL!#REF!</f>
        <v>#REF!</v>
      </c>
      <c r="E7" s="24" t="e">
        <f>-PL!#REF!</f>
        <v>#REF!</v>
      </c>
      <c r="F7" s="24" t="e">
        <f>-PL!#REF!</f>
        <v>#REF!</v>
      </c>
      <c r="G7" s="24">
        <f>-PL!AZ19</f>
        <v>0</v>
      </c>
      <c r="H7" s="24">
        <f>-PL!BA19</f>
        <v>2.8796720000000001E-2</v>
      </c>
      <c r="I7" s="24">
        <f>-PL!BB19</f>
        <v>0</v>
      </c>
      <c r="J7" s="24">
        <f>-PL!BC19</f>
        <v>0</v>
      </c>
      <c r="K7" s="24">
        <f>-PL!BD19</f>
        <v>0</v>
      </c>
      <c r="L7" s="24">
        <f>-PL!BE19</f>
        <v>0.42596666</v>
      </c>
      <c r="M7" s="24">
        <f>-PL!BF19</f>
        <v>0</v>
      </c>
      <c r="N7" s="24">
        <f>-PL!BG19</f>
        <v>-1.2448393999999998</v>
      </c>
      <c r="O7" s="24">
        <f>-PL!BH19</f>
        <v>0</v>
      </c>
      <c r="P7" s="5">
        <f>-PL!BI19</f>
        <v>-0.19573256</v>
      </c>
      <c r="Q7" s="5">
        <f>-PL!BJ19</f>
        <v>-9.786628E-2</v>
      </c>
      <c r="R7" s="5">
        <f>-PL!BK19</f>
        <v>0</v>
      </c>
      <c r="S7" s="5">
        <f>-PL!BL19</f>
        <v>0</v>
      </c>
      <c r="T7" s="5">
        <f>-PL!BM19</f>
        <v>0</v>
      </c>
    </row>
    <row r="8" spans="2:20">
      <c r="B8" s="2" t="s">
        <v>2</v>
      </c>
      <c r="C8" s="24" t="e">
        <f t="shared" ref="C8:H8" si="0">SUM(C9:C11)</f>
        <v>#REF!</v>
      </c>
      <c r="D8" s="24">
        <f t="shared" si="0"/>
        <v>0</v>
      </c>
      <c r="E8" s="24">
        <f t="shared" si="0"/>
        <v>0</v>
      </c>
      <c r="F8" s="24">
        <f t="shared" si="0"/>
        <v>0</v>
      </c>
      <c r="G8" s="24">
        <f t="shared" si="0"/>
        <v>-3.5792076599999993</v>
      </c>
      <c r="H8" s="24">
        <f t="shared" si="0"/>
        <v>-11.814198450000003</v>
      </c>
      <c r="I8" s="24">
        <f t="shared" ref="I8" si="1">SUM(I9:I11)</f>
        <v>24.633157170000018</v>
      </c>
      <c r="J8" s="24">
        <f t="shared" ref="J8:Q8" si="2">SUM(J9:J11)</f>
        <v>-68.874455650000016</v>
      </c>
      <c r="K8" s="24">
        <f t="shared" si="2"/>
        <v>-490.75543794000009</v>
      </c>
      <c r="L8" s="24">
        <f t="shared" si="2"/>
        <v>-271.92364420999991</v>
      </c>
      <c r="M8" s="24">
        <f t="shared" si="2"/>
        <v>316.22067142999992</v>
      </c>
      <c r="N8" s="24">
        <f t="shared" si="2"/>
        <v>-1067.28719269</v>
      </c>
      <c r="O8" s="24">
        <f t="shared" si="2"/>
        <v>-3275.7867679499996</v>
      </c>
      <c r="P8" s="5">
        <f t="shared" si="2"/>
        <v>-3169.6601457829515</v>
      </c>
      <c r="Q8" s="5">
        <f t="shared" si="2"/>
        <v>-2614.0766180567707</v>
      </c>
      <c r="R8" s="5">
        <f t="shared" ref="R8:T8" si="3">SUM(R9:R11)</f>
        <v>-8691.2060786389447</v>
      </c>
      <c r="S8" s="5">
        <f t="shared" si="3"/>
        <v>1141.3112298276701</v>
      </c>
      <c r="T8" s="5">
        <f t="shared" si="3"/>
        <v>-2141.2990633247123</v>
      </c>
    </row>
    <row r="9" spans="2:20">
      <c r="B9" s="2" t="s">
        <v>20</v>
      </c>
      <c r="C9" s="24" t="e">
        <f>BS!#REF!-BS!C6</f>
        <v>#REF!</v>
      </c>
      <c r="D9" s="24">
        <f>BS!C6-BS!D6</f>
        <v>0</v>
      </c>
      <c r="E9" s="24">
        <f>BS!D6-BS!E6</f>
        <v>0</v>
      </c>
      <c r="F9" s="24">
        <f>BS!E6-BS!F6</f>
        <v>0</v>
      </c>
      <c r="G9" s="24">
        <f>BS!F6-BS!G6</f>
        <v>-4.4109130199999997</v>
      </c>
      <c r="H9" s="24">
        <f>BS!G6-BS!H6</f>
        <v>-28.233463580000002</v>
      </c>
      <c r="I9" s="24">
        <f>BS!H6-BS!I6</f>
        <v>-31.964278219999997</v>
      </c>
      <c r="J9" s="24">
        <f>BS!I6-BS!J6</f>
        <v>-143.03758453</v>
      </c>
      <c r="K9" s="24">
        <f>BS!J6-BS!K6</f>
        <v>-270.38886232000004</v>
      </c>
      <c r="L9" s="24">
        <f>BS!K6-BS!L6</f>
        <v>-287.60037421999994</v>
      </c>
      <c r="M9" s="24">
        <f>BS!L6-BS!M6</f>
        <v>121.71442329999991</v>
      </c>
      <c r="N9" s="24">
        <f>BS!M6-BS!N6</f>
        <v>329.87203419000008</v>
      </c>
      <c r="O9" s="24">
        <f>BS!N6-BS!O6</f>
        <v>-356.59420487000006</v>
      </c>
      <c r="P9" s="5">
        <f>BS!O6-BS!P6</f>
        <v>-12.130548701113185</v>
      </c>
      <c r="Q9" s="5">
        <f>BS!P6-BS!Q6</f>
        <v>-134.64334563161742</v>
      </c>
      <c r="R9" s="5">
        <f>BS!Q6-BS!R6</f>
        <v>-255.24306901626835</v>
      </c>
      <c r="S9" s="5">
        <f>BS!R6-BS!S6</f>
        <v>-633.02048498245313</v>
      </c>
      <c r="T9" s="5">
        <f>BS!S6-BS!T6</f>
        <v>-89.32148235523573</v>
      </c>
    </row>
    <row r="10" spans="2:20">
      <c r="B10" s="2" t="s">
        <v>32</v>
      </c>
      <c r="C10" s="24" t="e">
        <f>BS!#REF!-BS!C7</f>
        <v>#REF!</v>
      </c>
      <c r="D10" s="24">
        <f>BS!C7-BS!D7</f>
        <v>0</v>
      </c>
      <c r="E10" s="24">
        <f>BS!D7-BS!E7</f>
        <v>0</v>
      </c>
      <c r="F10" s="24">
        <f>BS!E7-BS!F7</f>
        <v>0</v>
      </c>
      <c r="G10" s="24">
        <f>BS!F7-BS!G7</f>
        <v>-4.9401710000000001E-2</v>
      </c>
      <c r="H10" s="24">
        <f>BS!G7-BS!H7</f>
        <v>-5.0991150899999997</v>
      </c>
      <c r="I10" s="24">
        <f>BS!H7-BS!I7</f>
        <v>-45.916936609999993</v>
      </c>
      <c r="J10" s="24">
        <f>BS!I7-BS!J7</f>
        <v>-39.552990130000005</v>
      </c>
      <c r="K10" s="24">
        <f>BS!J7-BS!K7</f>
        <v>-196.41134971000002</v>
      </c>
      <c r="L10" s="24">
        <f>BS!K7-BS!L7</f>
        <v>-9.1700259999981881E-2</v>
      </c>
      <c r="M10" s="24">
        <f>BS!L7-BS!M7</f>
        <v>187.72042535</v>
      </c>
      <c r="N10" s="24">
        <f>BS!M7-BS!N7</f>
        <v>-1674.57329564</v>
      </c>
      <c r="O10" s="24">
        <f>BS!N7-BS!O7</f>
        <v>-3169.55814646</v>
      </c>
      <c r="P10" s="5">
        <f>BS!O7-BS!P7</f>
        <v>-3546.6084989954779</v>
      </c>
      <c r="Q10" s="5">
        <f>BS!P7-BS!Q7</f>
        <v>-7521.9182271302307</v>
      </c>
      <c r="R10" s="5">
        <f>BS!Q7-BS!R7</f>
        <v>-10076.286208223572</v>
      </c>
      <c r="S10" s="5">
        <f>BS!R7-BS!S7</f>
        <v>-3389.0175088761753</v>
      </c>
      <c r="T10" s="5">
        <f>BS!S7-BS!T7</f>
        <v>-2306.1479192240731</v>
      </c>
    </row>
    <row r="11" spans="2:20">
      <c r="B11" s="2" t="s">
        <v>44</v>
      </c>
      <c r="C11" s="24" t="e">
        <f>BS!C20-BS!#REF!</f>
        <v>#REF!</v>
      </c>
      <c r="D11" s="24">
        <f>BS!D20-BS!C20</f>
        <v>0</v>
      </c>
      <c r="E11" s="24">
        <f>BS!E20-BS!D20</f>
        <v>0</v>
      </c>
      <c r="F11" s="24">
        <f>BS!F20-BS!E20</f>
        <v>0</v>
      </c>
      <c r="G11" s="24">
        <f>BS!G20-BS!F20</f>
        <v>0.88110706999999999</v>
      </c>
      <c r="H11" s="24">
        <f>BS!H20-BS!G20</f>
        <v>21.518380220000001</v>
      </c>
      <c r="I11" s="24">
        <f>BS!I20-BS!H20</f>
        <v>102.51437200000001</v>
      </c>
      <c r="J11" s="24">
        <f>BS!J20-BS!I20</f>
        <v>113.71611901</v>
      </c>
      <c r="K11" s="24">
        <f>BS!K20-BS!J20</f>
        <v>-23.955225910000024</v>
      </c>
      <c r="L11" s="24">
        <f>BS!L20-BS!K20</f>
        <v>15.76843027000001</v>
      </c>
      <c r="M11" s="24">
        <f>BS!M20-BS!L20</f>
        <v>6.7858227800000179</v>
      </c>
      <c r="N11" s="24">
        <f>BS!N20-BS!M20</f>
        <v>277.41406875999996</v>
      </c>
      <c r="O11" s="24">
        <f>BS!O20-BS!N20</f>
        <v>250.36558338000009</v>
      </c>
      <c r="P11" s="5">
        <f>BS!P20-BS!O20</f>
        <v>389.07890191363958</v>
      </c>
      <c r="Q11" s="5">
        <f>BS!Q20-BS!P20</f>
        <v>5042.4849547050771</v>
      </c>
      <c r="R11" s="5">
        <f>BS!R20-BS!Q20</f>
        <v>1640.3231986008959</v>
      </c>
      <c r="S11" s="5">
        <f>BS!S20-BS!R20</f>
        <v>5163.3492236862985</v>
      </c>
      <c r="T11" s="5">
        <f>BS!T20-BS!S20</f>
        <v>254.17033825459657</v>
      </c>
    </row>
    <row r="12" spans="2:20">
      <c r="B12" s="2" t="s">
        <v>21</v>
      </c>
      <c r="C12" s="4" t="e">
        <f t="shared" ref="C12:H12" si="4">C13-SUM(C4:C8)</f>
        <v>#REF!</v>
      </c>
      <c r="D12" s="4" t="e">
        <f t="shared" si="4"/>
        <v>#REF!</v>
      </c>
      <c r="E12" s="4" t="e">
        <f t="shared" si="4"/>
        <v>#REF!</v>
      </c>
      <c r="F12" s="4" t="e">
        <f t="shared" si="4"/>
        <v>#REF!</v>
      </c>
      <c r="G12" s="4">
        <f t="shared" si="4"/>
        <v>360.26970620000003</v>
      </c>
      <c r="H12" s="4">
        <f t="shared" si="4"/>
        <v>-18.461968390000003</v>
      </c>
      <c r="I12" s="4">
        <f t="shared" ref="I12:N12" si="5">I13-SUM(I4:I8)</f>
        <v>902.52321224000025</v>
      </c>
      <c r="J12" s="4">
        <f t="shared" si="5"/>
        <v>250.16534027000006</v>
      </c>
      <c r="K12" s="4">
        <f t="shared" si="5"/>
        <v>257.6596700800003</v>
      </c>
      <c r="L12" s="4">
        <f t="shared" si="5"/>
        <v>-18.41255572</v>
      </c>
      <c r="M12" s="4">
        <f t="shared" si="5"/>
        <v>-287.06060953999986</v>
      </c>
      <c r="N12" s="4">
        <f t="shared" si="5"/>
        <v>-263.71578470999998</v>
      </c>
      <c r="O12" s="4">
        <f t="shared" ref="O12" si="6">O13-SUM(O4:O8)</f>
        <v>474.16126044999879</v>
      </c>
      <c r="P12" s="111">
        <v>0</v>
      </c>
      <c r="Q12" s="111">
        <v>0</v>
      </c>
      <c r="R12" s="111">
        <v>0</v>
      </c>
      <c r="S12" s="111">
        <v>0</v>
      </c>
      <c r="T12" s="111">
        <v>0</v>
      </c>
    </row>
    <row r="13" spans="2:20" s="7" customFormat="1">
      <c r="B13" s="7" t="s">
        <v>241</v>
      </c>
      <c r="C13" s="42">
        <f>Annual!F14/1000000</f>
        <v>0</v>
      </c>
      <c r="D13" s="42">
        <f>Annual!G14/1000000</f>
        <v>0</v>
      </c>
      <c r="E13" s="42">
        <f>Annual!H14/1000000</f>
        <v>0</v>
      </c>
      <c r="F13" s="42">
        <f>Annual!I14/1000000</f>
        <v>0</v>
      </c>
      <c r="G13" s="42">
        <f>Annual!J14/1000000</f>
        <v>-23.52430781</v>
      </c>
      <c r="H13" s="42">
        <f>Annual!K14/1000000</f>
        <v>-55.490474490000004</v>
      </c>
      <c r="I13" s="42">
        <f>Annual!L14/1000000</f>
        <v>-201.79604015000001</v>
      </c>
      <c r="J13" s="42">
        <f>Annual!M14/1000000</f>
        <v>-132.14798790999998</v>
      </c>
      <c r="K13" s="42">
        <f>Annual!N14/1000000</f>
        <v>-873.14019994</v>
      </c>
      <c r="L13" s="42">
        <f>Annual!O14/1000000</f>
        <v>-1329.8610900399999</v>
      </c>
      <c r="M13" s="42">
        <f>Annual!P14/1000000</f>
        <v>-595.53502301000003</v>
      </c>
      <c r="N13" s="42">
        <f>Annual!Q14/1000000</f>
        <v>-1617.9602369000002</v>
      </c>
      <c r="O13" s="42">
        <f>Annual!R14/1000000</f>
        <v>-498.39813700999997</v>
      </c>
      <c r="P13" s="112">
        <f>SUM(P4:P8)+P12</f>
        <v>3330.5431573391793</v>
      </c>
      <c r="Q13" s="112">
        <f>SUM(Q4:Q8)+Q12</f>
        <v>11997.144194540295</v>
      </c>
      <c r="R13" s="112">
        <f t="shared" ref="R13:T13" si="7">SUM(R4:R8)+R12</f>
        <v>18906.26255583149</v>
      </c>
      <c r="S13" s="112">
        <f t="shared" si="7"/>
        <v>42036.527089451214</v>
      </c>
      <c r="T13" s="112">
        <f t="shared" si="7"/>
        <v>49303.835864567147</v>
      </c>
    </row>
    <row r="14" spans="2:20">
      <c r="B14" s="2" t="s">
        <v>42</v>
      </c>
      <c r="C14" s="41">
        <f>-Annual!F22/1000000</f>
        <v>0</v>
      </c>
      <c r="D14" s="41">
        <f>-Annual!G22/1000000</f>
        <v>0</v>
      </c>
      <c r="E14" s="41">
        <f>-Annual!H22/1000000</f>
        <v>0</v>
      </c>
      <c r="F14" s="41">
        <f>-Annual!I22/1000000</f>
        <v>0</v>
      </c>
      <c r="G14" s="41">
        <f>-Annual!J22/1000000</f>
        <v>-20.644931309999997</v>
      </c>
      <c r="H14" s="41">
        <f>-Annual!K22/1000000</f>
        <v>-74.855491689999994</v>
      </c>
      <c r="I14" s="41">
        <f>-Annual!L22/1000000</f>
        <v>-156.21396949000001</v>
      </c>
      <c r="J14" s="41">
        <f>-Annual!M22/1000000</f>
        <v>-259.58015964999998</v>
      </c>
      <c r="K14" s="41">
        <f>-Annual!N22/1000000</f>
        <v>-504.99966482000002</v>
      </c>
      <c r="L14" s="41">
        <f>-Annual!O22/1000000</f>
        <v>-284.14035679</v>
      </c>
      <c r="M14" s="41">
        <f>-Annual!P22/1000000</f>
        <v>-100.38246325</v>
      </c>
      <c r="N14" s="41">
        <f>-Annual!Q22/1000000</f>
        <v>-366.04933519999997</v>
      </c>
      <c r="O14" s="41">
        <f>-Annual!R22/1000000</f>
        <v>-568.69788862999997</v>
      </c>
      <c r="P14" s="110">
        <f>P32*PL!BI4*-1</f>
        <v>-887.27653013258418</v>
      </c>
      <c r="Q14" s="110">
        <f>Q32*PL!BJ4*-1</f>
        <v>-866.98531826621729</v>
      </c>
      <c r="R14" s="110">
        <f>R32*PL!BK4*-1</f>
        <v>-862.34777005116416</v>
      </c>
      <c r="S14" s="110">
        <f>S32*PL!BL4*-1</f>
        <v>-811.27553060037167</v>
      </c>
      <c r="T14" s="110">
        <f>T32*PL!BM4*-1</f>
        <v>-811.37076189373795</v>
      </c>
    </row>
    <row r="15" spans="2:20">
      <c r="B15" s="2" t="s">
        <v>242</v>
      </c>
      <c r="C15" s="24" t="e">
        <f>BS!#REF!-BS!C5</f>
        <v>#REF!</v>
      </c>
      <c r="D15" s="24">
        <f>BS!C5-BS!D5</f>
        <v>0</v>
      </c>
      <c r="E15" s="24">
        <f>BS!D5-BS!E5</f>
        <v>0</v>
      </c>
      <c r="F15" s="24">
        <f>BS!E5-BS!F5</f>
        <v>0</v>
      </c>
      <c r="G15" s="24">
        <f>BS!F5-BS!G5</f>
        <v>0</v>
      </c>
      <c r="H15" s="24">
        <f>BS!G5-BS!H5</f>
        <v>0</v>
      </c>
      <c r="I15" s="24">
        <f>BS!H5-BS!I5</f>
        <v>-3898.6978995599998</v>
      </c>
      <c r="J15" s="24">
        <f>BS!I5-BS!J5</f>
        <v>2262.7055906899996</v>
      </c>
      <c r="K15" s="24">
        <f>BS!J5-BS!K5</f>
        <v>-650.05688155999974</v>
      </c>
      <c r="L15" s="24">
        <f>BS!K5-BS!L5</f>
        <v>1665.0611810399996</v>
      </c>
      <c r="M15" s="24">
        <f>BS!L5-BS!M5</f>
        <v>-79.279501620000019</v>
      </c>
      <c r="N15" s="24">
        <f>BS!M5-BS!N5</f>
        <v>-59.917291269999964</v>
      </c>
      <c r="O15" s="24">
        <f>BS!N5-BS!O5</f>
        <v>-3500.9657365300004</v>
      </c>
      <c r="P15" s="110">
        <f>BS!O5-BS!P5</f>
        <v>0</v>
      </c>
      <c r="Q15" s="110">
        <f>BS!P5-BS!Q5</f>
        <v>0</v>
      </c>
      <c r="R15" s="110">
        <f>BS!Q5-BS!R5</f>
        <v>0</v>
      </c>
      <c r="S15" s="110">
        <f>BS!R5-BS!S5</f>
        <v>0</v>
      </c>
      <c r="T15" s="110">
        <f>BS!S5-BS!T5</f>
        <v>0</v>
      </c>
    </row>
    <row r="16" spans="2:20">
      <c r="B16" s="2" t="s">
        <v>243</v>
      </c>
      <c r="C16" s="24" t="e">
        <f>BS!#REF!-BS!C16</f>
        <v>#REF!</v>
      </c>
      <c r="D16" s="24">
        <f>BS!C16-BS!D16</f>
        <v>0</v>
      </c>
      <c r="E16" s="24">
        <f>BS!D16-BS!E16</f>
        <v>0</v>
      </c>
      <c r="F16" s="24">
        <f>BS!E16-BS!F16</f>
        <v>0</v>
      </c>
      <c r="G16" s="24">
        <f>BS!F16-BS!G16</f>
        <v>0</v>
      </c>
      <c r="H16" s="24">
        <f>BS!G16-BS!H16</f>
        <v>0</v>
      </c>
      <c r="I16" s="24">
        <f>BS!H16-BS!I16</f>
        <v>-1.36030918</v>
      </c>
      <c r="J16" s="24">
        <f>BS!I16-BS!J16</f>
        <v>2.0285459999999977E-2</v>
      </c>
      <c r="K16" s="24">
        <f>BS!J16-BS!K16</f>
        <v>-128.9083186</v>
      </c>
      <c r="L16" s="24">
        <f>BS!K16-BS!L16</f>
        <v>-91.970665249999996</v>
      </c>
      <c r="M16" s="24">
        <f>BS!L16-BS!M16</f>
        <v>-7.3362075800000071</v>
      </c>
      <c r="N16" s="24">
        <f>BS!M16-BS!N16</f>
        <v>-17.035373049999976</v>
      </c>
      <c r="O16" s="24">
        <f>BS!N16-BS!O16</f>
        <v>-53.112804549999993</v>
      </c>
      <c r="P16" s="24">
        <f>BS!O16-BS!P16</f>
        <v>0</v>
      </c>
      <c r="Q16" s="24">
        <f>BS!P16-BS!Q16</f>
        <v>0</v>
      </c>
      <c r="R16" s="24">
        <f>BS!Q16-BS!R16</f>
        <v>0</v>
      </c>
      <c r="S16" s="24">
        <f>BS!R16-BS!S16</f>
        <v>0</v>
      </c>
      <c r="T16" s="24">
        <f>BS!S16-BS!T16</f>
        <v>0</v>
      </c>
    </row>
    <row r="17" spans="2:20">
      <c r="B17" s="2" t="s">
        <v>22</v>
      </c>
      <c r="C17" s="4" t="e">
        <f t="shared" ref="C17:H17" si="8">C18-SUM(C14:C16)</f>
        <v>#REF!</v>
      </c>
      <c r="D17" s="4">
        <f t="shared" si="8"/>
        <v>0</v>
      </c>
      <c r="E17" s="4">
        <f t="shared" si="8"/>
        <v>0</v>
      </c>
      <c r="F17" s="4">
        <f t="shared" si="8"/>
        <v>0</v>
      </c>
      <c r="G17" s="4">
        <f t="shared" si="8"/>
        <v>-289.02505974000002</v>
      </c>
      <c r="H17" s="4">
        <f t="shared" si="8"/>
        <v>-1146.5566196900002</v>
      </c>
      <c r="I17" s="4">
        <f t="shared" ref="I17:N17" si="9">I18-SUM(I14:I16)</f>
        <v>1587.7892505199998</v>
      </c>
      <c r="J17" s="4">
        <f t="shared" si="9"/>
        <v>-1130.9824984399995</v>
      </c>
      <c r="K17" s="4">
        <f t="shared" si="9"/>
        <v>1363.2319685599998</v>
      </c>
      <c r="L17" s="4">
        <f t="shared" si="9"/>
        <v>-511.81273687999976</v>
      </c>
      <c r="M17" s="4">
        <f t="shared" si="9"/>
        <v>611.65726454000003</v>
      </c>
      <c r="N17" s="4">
        <f t="shared" si="9"/>
        <v>31.350040619999959</v>
      </c>
      <c r="O17" s="4">
        <f t="shared" ref="O17" si="10">O18-SUM(O14:O16)</f>
        <v>-407.52988499999992</v>
      </c>
      <c r="P17" s="113">
        <f>-(BS!P13-BS!O13)</f>
        <v>-139.19573256000001</v>
      </c>
      <c r="Q17" s="113">
        <f>-(BS!Q13-BS!P13)</f>
        <v>-139.09786628000006</v>
      </c>
      <c r="R17" s="113">
        <f>-(BS!R13-BS!Q13)</f>
        <v>-139</v>
      </c>
      <c r="S17" s="113">
        <f>-(BS!S13-BS!R13)</f>
        <v>-139</v>
      </c>
      <c r="T17" s="113">
        <f>-(BS!T13-BS!S13)</f>
        <v>-139</v>
      </c>
    </row>
    <row r="18" spans="2:20" s="7" customFormat="1">
      <c r="B18" s="7" t="s">
        <v>23</v>
      </c>
      <c r="C18" s="42">
        <f>Annual!F27/1000000</f>
        <v>0</v>
      </c>
      <c r="D18" s="42">
        <f>Annual!G27/1000000</f>
        <v>0</v>
      </c>
      <c r="E18" s="42">
        <f>Annual!H27/1000000</f>
        <v>0</v>
      </c>
      <c r="F18" s="42">
        <f>Annual!I27/1000000</f>
        <v>0</v>
      </c>
      <c r="G18" s="42">
        <f>Annual!J27/1000000</f>
        <v>-309.66999105000002</v>
      </c>
      <c r="H18" s="42">
        <f>Annual!K27/1000000</f>
        <v>-1221.4121113800002</v>
      </c>
      <c r="I18" s="42">
        <f>Annual!L27/1000000</f>
        <v>-2468.4829277100002</v>
      </c>
      <c r="J18" s="42">
        <f>Annual!M27/1000000</f>
        <v>872.16321805999996</v>
      </c>
      <c r="K18" s="42">
        <f>Annual!N27/1000000</f>
        <v>79.267103579999997</v>
      </c>
      <c r="L18" s="42">
        <f>Annual!O27/1000000</f>
        <v>777.13742212</v>
      </c>
      <c r="M18" s="42">
        <f>Annual!P27/1000000</f>
        <v>424.65909209</v>
      </c>
      <c r="N18" s="42">
        <f>Annual!Q27/1000000</f>
        <v>-411.65195889999995</v>
      </c>
      <c r="O18" s="42">
        <f>Annual!R27/1000000</f>
        <v>-4530.3063147100002</v>
      </c>
      <c r="P18" s="114">
        <f>SUM(P14:P17)</f>
        <v>-1026.4722626925841</v>
      </c>
      <c r="Q18" s="114">
        <f>SUM(Q14:Q17)</f>
        <v>-1006.0831845462174</v>
      </c>
      <c r="R18" s="114">
        <f t="shared" ref="R18:T18" si="11">SUM(R14:R17)</f>
        <v>-1001.3477700511642</v>
      </c>
      <c r="S18" s="114">
        <f t="shared" si="11"/>
        <v>-950.27553060037167</v>
      </c>
      <c r="T18" s="114">
        <f t="shared" si="11"/>
        <v>-950.37076189373795</v>
      </c>
    </row>
    <row r="19" spans="2:20">
      <c r="B19" s="2" t="s">
        <v>161</v>
      </c>
      <c r="C19" s="41">
        <f>-Annual!F36/1000000</f>
        <v>0</v>
      </c>
      <c r="D19" s="41">
        <f>-Annual!G36/1000000</f>
        <v>0</v>
      </c>
      <c r="E19" s="41">
        <f>-Annual!H36/1000000</f>
        <v>0</v>
      </c>
      <c r="F19" s="41">
        <f>-Annual!I36/1000000</f>
        <v>0</v>
      </c>
      <c r="G19" s="41">
        <f>-Annual!J36/1000000</f>
        <v>0</v>
      </c>
      <c r="H19" s="41">
        <f>-Annual!K36/1000000</f>
        <v>0</v>
      </c>
      <c r="I19" s="41">
        <f>-Annual!L36/1000000</f>
        <v>0</v>
      </c>
      <c r="J19" s="41">
        <f>-Annual!M36/1000000</f>
        <v>0</v>
      </c>
      <c r="K19" s="41">
        <f>-Annual!N36/1000000</f>
        <v>0</v>
      </c>
      <c r="L19" s="41">
        <f>-Annual!O36/1000000</f>
        <v>0</v>
      </c>
      <c r="M19" s="41">
        <f>-Annual!P36/1000000</f>
        <v>0</v>
      </c>
      <c r="N19" s="41">
        <f>-Annual!Q36/1000000</f>
        <v>-8.2795899999999992E-2</v>
      </c>
      <c r="O19" s="41">
        <f>-Annual!R36/1000000</f>
        <v>-4.1168232800000002</v>
      </c>
      <c r="P19" s="110">
        <f>-PL!BH29</f>
        <v>-632.47285499999998</v>
      </c>
      <c r="Q19" s="110">
        <f>-PL!BI29</f>
        <v>-1897.8468937099203</v>
      </c>
      <c r="R19" s="110">
        <f>-PL!BJ29</f>
        <v>-4387.0870919719828</v>
      </c>
      <c r="S19" s="110">
        <f>-PL!BK29</f>
        <v>-8374.3148021241086</v>
      </c>
      <c r="T19" s="110">
        <f>-PL!BL29</f>
        <v>-12456.986215162922</v>
      </c>
    </row>
    <row r="20" spans="2:20">
      <c r="B20" s="2" t="s">
        <v>244</v>
      </c>
      <c r="C20" s="24" t="e">
        <f>BS!C29-BS!#REF!</f>
        <v>#REF!</v>
      </c>
      <c r="D20" s="24">
        <f>BS!D29-BS!C29</f>
        <v>0</v>
      </c>
      <c r="E20" s="24">
        <f>BS!E29-BS!D29</f>
        <v>0</v>
      </c>
      <c r="F20" s="24">
        <f>BS!F29-BS!E29</f>
        <v>0</v>
      </c>
      <c r="G20" s="24">
        <f>BS!G29-BS!F29</f>
        <v>1.0046504999999999</v>
      </c>
      <c r="H20" s="24">
        <f>BS!H29-BS!G29</f>
        <v>0.12337830000000016</v>
      </c>
      <c r="I20" s="24">
        <f>BS!I29-BS!H29</f>
        <v>358.87197120000002</v>
      </c>
      <c r="J20" s="24">
        <f>BS!J29-BS!I29</f>
        <v>40.100000000000023</v>
      </c>
      <c r="K20" s="24">
        <f>BS!K29-BS!J29</f>
        <v>0</v>
      </c>
      <c r="L20" s="24">
        <f>BS!L29-BS!K29</f>
        <v>0.71464999999994916</v>
      </c>
      <c r="M20" s="24">
        <f>BS!M29-BS!L29</f>
        <v>15.77980100000002</v>
      </c>
      <c r="N20" s="24">
        <f>BS!N29-BS!M29</f>
        <v>0.86230199999999968</v>
      </c>
      <c r="O20" s="24">
        <f>BS!O29-BS!N29</f>
        <v>4.2284170000000358</v>
      </c>
      <c r="P20" s="110">
        <f>BS!P29-BS!O29</f>
        <v>206.60779899999994</v>
      </c>
      <c r="Q20" s="110">
        <f>BS!Q29-BS!P29</f>
        <v>0</v>
      </c>
      <c r="R20" s="110">
        <f>BS!R29-BS!Q29</f>
        <v>0</v>
      </c>
      <c r="S20" s="110">
        <f>BS!S29-BS!R29</f>
        <v>0</v>
      </c>
      <c r="T20" s="110">
        <f>BS!T29-BS!S29</f>
        <v>0</v>
      </c>
    </row>
    <row r="21" spans="2:20">
      <c r="B21" s="2" t="s">
        <v>245</v>
      </c>
      <c r="C21" s="24" t="e">
        <f>BS!C21-BS!#REF!</f>
        <v>#REF!</v>
      </c>
      <c r="D21" s="24">
        <f>BS!D21-BS!C21</f>
        <v>0</v>
      </c>
      <c r="E21" s="24">
        <f>BS!E21-BS!D21</f>
        <v>0</v>
      </c>
      <c r="F21" s="24">
        <f>BS!F21-BS!E21</f>
        <v>0</v>
      </c>
      <c r="G21" s="24">
        <f>BS!G21-BS!F21</f>
        <v>0</v>
      </c>
      <c r="H21" s="24">
        <f>BS!H21-BS!G21</f>
        <v>0</v>
      </c>
      <c r="I21" s="24">
        <f>BS!I21-BS!H21</f>
        <v>0</v>
      </c>
      <c r="J21" s="24">
        <f>BS!J21-BS!I21</f>
        <v>3.5954144800000001</v>
      </c>
      <c r="K21" s="24">
        <f>BS!K21-BS!J21</f>
        <v>52.297465929999994</v>
      </c>
      <c r="L21" s="24">
        <f>BS!L21-BS!K21</f>
        <v>11.290051900000002</v>
      </c>
      <c r="M21" s="24">
        <f>BS!M21-BS!L21</f>
        <v>-30.60055363</v>
      </c>
      <c r="N21" s="24">
        <f>BS!N21-BS!M21</f>
        <v>82.97031192</v>
      </c>
      <c r="O21" s="24">
        <f>BS!O21-BS!N21</f>
        <v>247.25685824000004</v>
      </c>
      <c r="P21" s="110">
        <f>BS!P21-BS!O21</f>
        <v>-349.80954884000005</v>
      </c>
      <c r="Q21" s="110">
        <f>BS!Q21-BS!P21</f>
        <v>0</v>
      </c>
      <c r="R21" s="110">
        <f>BS!R21-BS!Q21</f>
        <v>0</v>
      </c>
      <c r="S21" s="110">
        <f>BS!S21-BS!R21</f>
        <v>0</v>
      </c>
      <c r="T21" s="110">
        <f>BS!T21-BS!S21</f>
        <v>0</v>
      </c>
    </row>
    <row r="22" spans="2:20">
      <c r="B22" s="2" t="s">
        <v>246</v>
      </c>
      <c r="C22" s="24" t="e">
        <f>BS!C24-BS!#REF!</f>
        <v>#REF!</v>
      </c>
      <c r="D22" s="24">
        <f>BS!D24-BS!C24</f>
        <v>0</v>
      </c>
      <c r="E22" s="24">
        <f>BS!E24-BS!D24</f>
        <v>0</v>
      </c>
      <c r="F22" s="24">
        <f>BS!F24-BS!E24</f>
        <v>0</v>
      </c>
      <c r="G22" s="24">
        <f>BS!G24-BS!F24</f>
        <v>0</v>
      </c>
      <c r="H22" s="24">
        <f>BS!H24-BS!G24</f>
        <v>0</v>
      </c>
      <c r="I22" s="24">
        <f>BS!I24-BS!H24</f>
        <v>0</v>
      </c>
      <c r="J22" s="24">
        <f>BS!J24-BS!I24</f>
        <v>0</v>
      </c>
      <c r="K22" s="24">
        <f>BS!K24-BS!J24</f>
        <v>0</v>
      </c>
      <c r="L22" s="24">
        <f>BS!L24-BS!K24</f>
        <v>0</v>
      </c>
      <c r="M22" s="24">
        <f>BS!M24-BS!L24</f>
        <v>0</v>
      </c>
      <c r="N22" s="24">
        <f>BS!N24-BS!M24</f>
        <v>0</v>
      </c>
      <c r="O22" s="24">
        <f>BS!O24-BS!N24</f>
        <v>0</v>
      </c>
      <c r="P22" s="110">
        <f>BS!P24-BS!O24</f>
        <v>0</v>
      </c>
      <c r="Q22" s="110">
        <f>BS!Q24-BS!P24</f>
        <v>0</v>
      </c>
      <c r="R22" s="110">
        <f>BS!R24-BS!Q24</f>
        <v>0</v>
      </c>
      <c r="S22" s="110">
        <f>BS!S24-BS!R24</f>
        <v>0</v>
      </c>
      <c r="T22" s="110">
        <f>BS!T24-BS!S24</f>
        <v>0</v>
      </c>
    </row>
    <row r="23" spans="2:20">
      <c r="B23" s="2" t="s">
        <v>55</v>
      </c>
      <c r="C23" s="17" t="e">
        <f>BS!C28-BS!#REF!</f>
        <v>#REF!</v>
      </c>
      <c r="D23" s="17">
        <f>BS!D28-BS!C28</f>
        <v>0</v>
      </c>
      <c r="E23" s="17">
        <f>BS!E28-BS!D28</f>
        <v>0</v>
      </c>
      <c r="F23" s="17">
        <f>BS!F28-BS!E28</f>
        <v>0</v>
      </c>
      <c r="G23" s="17">
        <f>BS!G28-BS!F28</f>
        <v>0</v>
      </c>
      <c r="H23" s="17">
        <f>BS!H28-BS!G28</f>
        <v>0</v>
      </c>
      <c r="I23" s="17">
        <f>BS!I28-BS!H28</f>
        <v>0</v>
      </c>
      <c r="J23" s="17">
        <f>BS!J28-BS!I28</f>
        <v>0</v>
      </c>
      <c r="K23" s="17">
        <f>BS!K28-BS!J28</f>
        <v>0</v>
      </c>
      <c r="L23" s="17">
        <f>BS!L28-BS!K28</f>
        <v>0</v>
      </c>
      <c r="M23" s="17">
        <f>BS!M28-BS!L28</f>
        <v>0</v>
      </c>
      <c r="N23" s="17">
        <f>BS!N28-BS!M28</f>
        <v>0</v>
      </c>
      <c r="O23" s="17">
        <f>BS!O28-BS!N28</f>
        <v>0</v>
      </c>
      <c r="P23" s="100">
        <f>BS!P28-BS!O28</f>
        <v>0</v>
      </c>
      <c r="Q23" s="100">
        <f>BS!Q28-BS!P28</f>
        <v>0</v>
      </c>
      <c r="R23" s="100">
        <f>BS!R28-BS!Q28</f>
        <v>0</v>
      </c>
      <c r="S23" s="100">
        <f>BS!S28-BS!R28</f>
        <v>0</v>
      </c>
      <c r="T23" s="100">
        <f>BS!T28-BS!S28</f>
        <v>0</v>
      </c>
    </row>
    <row r="24" spans="2:20">
      <c r="B24" s="2" t="s">
        <v>49</v>
      </c>
      <c r="C24" s="24" t="e">
        <f>BS!C34-BS!#REF!</f>
        <v>#REF!</v>
      </c>
      <c r="D24" s="24">
        <f>BS!D34-BS!C34</f>
        <v>0</v>
      </c>
      <c r="E24" s="24">
        <f>BS!E34-BS!D34</f>
        <v>0</v>
      </c>
      <c r="F24" s="24">
        <f>BS!F34-BS!E34</f>
        <v>0</v>
      </c>
      <c r="G24" s="24">
        <f>BS!G34-BS!F34</f>
        <v>0</v>
      </c>
      <c r="H24" s="24">
        <f>BS!H34-BS!G34</f>
        <v>0</v>
      </c>
      <c r="I24" s="24">
        <f>BS!I34-BS!H34</f>
        <v>0</v>
      </c>
      <c r="J24" s="24">
        <f>BS!J34-BS!I34</f>
        <v>0</v>
      </c>
      <c r="K24" s="24">
        <f>BS!K34-BS!J34</f>
        <v>89.254190800000003</v>
      </c>
      <c r="L24" s="24">
        <f>BS!L34-BS!K34</f>
        <v>-4.4812436200000008</v>
      </c>
      <c r="M24" s="24">
        <f>BS!M34-BS!L34</f>
        <v>-5.0826344600000084</v>
      </c>
      <c r="N24" s="24">
        <f>BS!N34-BS!M34</f>
        <v>-71.869400719999987</v>
      </c>
      <c r="O24" s="24">
        <f>BS!O34-BS!N34</f>
        <v>-0.74114933999999977</v>
      </c>
      <c r="P24" s="111">
        <v>0</v>
      </c>
      <c r="Q24" s="111">
        <v>0</v>
      </c>
      <c r="R24" s="111">
        <v>0</v>
      </c>
      <c r="S24" s="111">
        <v>0</v>
      </c>
      <c r="T24" s="111">
        <v>0</v>
      </c>
    </row>
    <row r="25" spans="2:20">
      <c r="B25" s="2" t="s">
        <v>24</v>
      </c>
      <c r="C25" s="4" t="e">
        <f t="shared" ref="C25:H25" si="12">C26-SUM(C19:C24)</f>
        <v>#REF!</v>
      </c>
      <c r="D25" s="4">
        <f t="shared" si="12"/>
        <v>0</v>
      </c>
      <c r="E25" s="4">
        <f t="shared" si="12"/>
        <v>0</v>
      </c>
      <c r="F25" s="4">
        <f t="shared" si="12"/>
        <v>0</v>
      </c>
      <c r="G25" s="4">
        <f t="shared" si="12"/>
        <v>494.93287574999999</v>
      </c>
      <c r="H25" s="4">
        <f t="shared" si="12"/>
        <v>2404.9514029400002</v>
      </c>
      <c r="I25" s="4">
        <f t="shared" ref="I25:N25" si="13">I26-SUM(I19:I24)</f>
        <v>1341.0816370499999</v>
      </c>
      <c r="J25" s="4">
        <f t="shared" si="13"/>
        <v>2448.9530111499998</v>
      </c>
      <c r="K25" s="4">
        <f t="shared" si="13"/>
        <v>-42.555125129999993</v>
      </c>
      <c r="L25" s="4">
        <f t="shared" si="13"/>
        <v>91.077393430000029</v>
      </c>
      <c r="M25" s="4">
        <f t="shared" si="13"/>
        <v>1676.80308175</v>
      </c>
      <c r="N25" s="4">
        <f t="shared" si="13"/>
        <v>36.01034559999998</v>
      </c>
      <c r="O25" s="4">
        <f t="shared" ref="O25" si="14">O26-SUM(O19:O24)</f>
        <v>3739.3366687499997</v>
      </c>
      <c r="P25" s="90">
        <f>-BS!O32+BS!P32</f>
        <v>0</v>
      </c>
      <c r="Q25" s="90">
        <f>-BS!P32+BS!Q32</f>
        <v>0</v>
      </c>
      <c r="R25" s="90">
        <f>-BS!Q32+BS!R32</f>
        <v>0</v>
      </c>
      <c r="S25" s="90">
        <f>-BS!R32+BS!S32</f>
        <v>0</v>
      </c>
      <c r="T25" s="90">
        <f>-BS!S32+BS!T32</f>
        <v>0</v>
      </c>
    </row>
    <row r="26" spans="2:20" s="7" customFormat="1">
      <c r="B26" s="7" t="s">
        <v>25</v>
      </c>
      <c r="C26" s="42">
        <f>Annual!F40/1000000</f>
        <v>0</v>
      </c>
      <c r="D26" s="42">
        <f>Annual!G40/1000000</f>
        <v>0</v>
      </c>
      <c r="E26" s="42">
        <f>Annual!H40/1000000</f>
        <v>0</v>
      </c>
      <c r="F26" s="42">
        <f>Annual!I40/1000000</f>
        <v>0</v>
      </c>
      <c r="G26" s="42">
        <f>Annual!J40/1000000</f>
        <v>495.93752625000002</v>
      </c>
      <c r="H26" s="42">
        <f>Annual!K40/1000000</f>
        <v>2405.07478124</v>
      </c>
      <c r="I26" s="42">
        <f>Annual!L40/1000000</f>
        <v>1699.9536082499999</v>
      </c>
      <c r="J26" s="42">
        <f>Annual!M40/1000000</f>
        <v>2492.64842563</v>
      </c>
      <c r="K26" s="42">
        <f>Annual!N40/1000000</f>
        <v>98.996531599999997</v>
      </c>
      <c r="L26" s="42">
        <f>Annual!O40/1000000</f>
        <v>98.600851709999986</v>
      </c>
      <c r="M26" s="42">
        <f>Annual!P40/1000000</f>
        <v>1656.89969466</v>
      </c>
      <c r="N26" s="42">
        <f>Annual!Q40/1000000</f>
        <v>47.890762899999999</v>
      </c>
      <c r="O26" s="42">
        <f>Annual!R40/1000000</f>
        <v>3985.9639713699999</v>
      </c>
      <c r="P26" s="114">
        <f>SUM(P19:P25)</f>
        <v>-775.67460484000003</v>
      </c>
      <c r="Q26" s="114">
        <f>SUM(Q19:Q25)</f>
        <v>-1897.8468937099203</v>
      </c>
      <c r="R26" s="114">
        <f t="shared" ref="R26:T26" si="15">SUM(R19:R25)</f>
        <v>-4387.0870919719828</v>
      </c>
      <c r="S26" s="114">
        <f t="shared" si="15"/>
        <v>-8374.3148021241086</v>
      </c>
      <c r="T26" s="114">
        <f t="shared" si="15"/>
        <v>-12456.986215162922</v>
      </c>
    </row>
    <row r="27" spans="2:20">
      <c r="B27" s="2" t="s">
        <v>33</v>
      </c>
      <c r="C27" s="84">
        <f>(Annual!F41+Annual!F45)/1000000</f>
        <v>0</v>
      </c>
      <c r="D27" s="84">
        <f>(Annual!G41+Annual!G45)/1000000</f>
        <v>0</v>
      </c>
      <c r="E27" s="84">
        <f>(Annual!H41+Annual!H45)/1000000</f>
        <v>0</v>
      </c>
      <c r="F27" s="84">
        <f>(Annual!I41+Annual!I45)/1000000</f>
        <v>0</v>
      </c>
      <c r="G27" s="84">
        <v>69.452978690000037</v>
      </c>
      <c r="H27" s="84">
        <v>-5.9935137499996927</v>
      </c>
      <c r="I27" s="84">
        <v>-0.74084765999975843</v>
      </c>
      <c r="J27" s="84">
        <v>1259.3160196700001</v>
      </c>
      <c r="K27" s="84">
        <v>-1259.56594567</v>
      </c>
      <c r="L27" s="84">
        <v>0.58667661000004001</v>
      </c>
      <c r="M27" s="84">
        <v>0.37693895000029398</v>
      </c>
      <c r="N27" s="84">
        <v>14.503290659999944</v>
      </c>
      <c r="O27" s="84">
        <v>373.60719089000003</v>
      </c>
      <c r="P27" s="111">
        <v>-1.1368683772161603E-13</v>
      </c>
      <c r="Q27" s="111">
        <v>1.1368683772161603E-13</v>
      </c>
      <c r="R27" s="111">
        <v>1.1368683772161603E-13</v>
      </c>
      <c r="S27" s="111">
        <v>1.1368683772161603E-13</v>
      </c>
      <c r="T27" s="111">
        <v>1.1368683772161603E-13</v>
      </c>
    </row>
    <row r="28" spans="2:20">
      <c r="B28" s="2" t="s">
        <v>145</v>
      </c>
      <c r="C28" s="24">
        <f t="shared" ref="C28:H28" si="16">SUM(C26,C27,C18,C13)</f>
        <v>0</v>
      </c>
      <c r="D28" s="24">
        <f t="shared" si="16"/>
        <v>0</v>
      </c>
      <c r="E28" s="24">
        <f t="shared" si="16"/>
        <v>0</v>
      </c>
      <c r="F28" s="24">
        <f t="shared" si="16"/>
        <v>0</v>
      </c>
      <c r="G28" s="24">
        <f t="shared" si="16"/>
        <v>232.19620608</v>
      </c>
      <c r="H28" s="24">
        <f t="shared" si="16"/>
        <v>1122.1786816200001</v>
      </c>
      <c r="I28" s="24">
        <f t="shared" ref="I28:Q28" si="17">SUM(I26,I27,I18,I13)</f>
        <v>-971.06620727000018</v>
      </c>
      <c r="J28" s="24">
        <f t="shared" si="17"/>
        <v>4491.9796754500003</v>
      </c>
      <c r="K28" s="24">
        <f t="shared" si="17"/>
        <v>-1954.4425104300001</v>
      </c>
      <c r="L28" s="24">
        <f t="shared" si="17"/>
        <v>-453.53613959999984</v>
      </c>
      <c r="M28" s="24">
        <f t="shared" si="17"/>
        <v>1486.4007026900001</v>
      </c>
      <c r="N28" s="24">
        <f t="shared" ref="N28:O28" si="18">SUM(N26,N27,N18,N13)</f>
        <v>-1967.2181422400001</v>
      </c>
      <c r="O28" s="24">
        <f t="shared" si="18"/>
        <v>-669.13328946000001</v>
      </c>
      <c r="P28" s="5">
        <f t="shared" si="17"/>
        <v>1528.3962898065952</v>
      </c>
      <c r="Q28" s="5">
        <f t="shared" si="17"/>
        <v>9093.2141162841581</v>
      </c>
      <c r="R28" s="5">
        <f t="shared" ref="R28:T28" si="19">SUM(R26,R27,R18,R13)</f>
        <v>13517.827693808344</v>
      </c>
      <c r="S28" s="5">
        <f t="shared" si="19"/>
        <v>32711.936756726733</v>
      </c>
      <c r="T28" s="5">
        <f t="shared" si="19"/>
        <v>35896.478887510486</v>
      </c>
    </row>
    <row r="29" spans="2:20"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19"/>
      <c r="M29" s="119"/>
      <c r="N29" s="119"/>
      <c r="O29" s="119"/>
      <c r="P29" s="16"/>
      <c r="Q29" s="16"/>
      <c r="R29" s="16"/>
      <c r="S29" s="16"/>
      <c r="T29" s="16"/>
    </row>
    <row r="30" spans="2:20">
      <c r="G30" s="4"/>
      <c r="H30" s="4"/>
      <c r="I30" s="4"/>
      <c r="J30" s="4"/>
      <c r="K30" s="4"/>
    </row>
    <row r="31" spans="2:20">
      <c r="B31" s="13" t="s">
        <v>187</v>
      </c>
    </row>
    <row r="32" spans="2:20">
      <c r="B32" s="2" t="s">
        <v>316</v>
      </c>
      <c r="C32" s="43" t="e">
        <f>C14/PL!#REF!*-1</f>
        <v>#REF!</v>
      </c>
      <c r="D32" s="43" t="e">
        <f>D14/PL!#REF!*-1</f>
        <v>#REF!</v>
      </c>
      <c r="E32" s="43" t="e">
        <f>E14/PL!#REF!*-1</f>
        <v>#REF!</v>
      </c>
      <c r="F32" s="43" t="e">
        <f>F14/PL!#REF!*-1</f>
        <v>#REF!</v>
      </c>
      <c r="G32" s="43">
        <f>G14/PL!AZ4*-1</f>
        <v>2.6321828029333676</v>
      </c>
      <c r="H32" s="43">
        <f>H14/PL!BA4*-1</f>
        <v>0.63965254404237193</v>
      </c>
      <c r="I32" s="43">
        <f>I14/PL!BB4*-1</f>
        <v>0.3518820321223049</v>
      </c>
      <c r="J32" s="43">
        <f>J14/PL!BC4*-1</f>
        <v>0.56562366697802047</v>
      </c>
      <c r="K32" s="43">
        <f>K14/PL!BD4*-1</f>
        <v>0.70037164037934319</v>
      </c>
      <c r="L32" s="43">
        <f>L14/PL!BE4*-1</f>
        <v>0.38974878257669882</v>
      </c>
      <c r="M32" s="43">
        <f>M14/PL!BF4*-1</f>
        <v>0.14150600741162089</v>
      </c>
      <c r="N32" s="43">
        <f>N14/PL!BG4*-1</f>
        <v>0.31167342513749491</v>
      </c>
      <c r="O32" s="43">
        <f>O14/PL!BH4*-1</f>
        <v>8.752973917357447E-2</v>
      </c>
      <c r="P32" s="18">
        <v>3.6999999999999998E-2</v>
      </c>
      <c r="Q32" s="18">
        <v>9.4999999999999998E-3</v>
      </c>
      <c r="R32" s="18">
        <v>5.0000000000000001E-3</v>
      </c>
      <c r="S32" s="18">
        <v>3.2000000000000002E-3</v>
      </c>
      <c r="T32" s="18">
        <v>2.5400000000000002E-3</v>
      </c>
    </row>
    <row r="33" spans="2:20" s="22" customFormat="1">
      <c r="C33" s="90">
        <f t="shared" ref="C33:N33" si="20">C14*-1</f>
        <v>0</v>
      </c>
      <c r="D33" s="90">
        <f t="shared" si="20"/>
        <v>0</v>
      </c>
      <c r="E33" s="90">
        <f t="shared" si="20"/>
        <v>0</v>
      </c>
      <c r="F33" s="90">
        <f t="shared" si="20"/>
        <v>0</v>
      </c>
      <c r="G33" s="90">
        <f t="shared" si="20"/>
        <v>20.644931309999997</v>
      </c>
      <c r="H33" s="90">
        <f t="shared" si="20"/>
        <v>74.855491689999994</v>
      </c>
      <c r="I33" s="90">
        <f>I14*-1</f>
        <v>156.21396949000001</v>
      </c>
      <c r="J33" s="90">
        <f t="shared" si="20"/>
        <v>259.58015964999998</v>
      </c>
      <c r="K33" s="90">
        <f>K14*-1</f>
        <v>504.99966482000002</v>
      </c>
      <c r="L33" s="90">
        <f>L14*-1</f>
        <v>284.14035679</v>
      </c>
      <c r="M33" s="90">
        <f>M14*-1</f>
        <v>100.38246325</v>
      </c>
      <c r="N33" s="90">
        <f t="shared" si="20"/>
        <v>366.04933519999997</v>
      </c>
      <c r="O33" s="90">
        <f>O14*-1</f>
        <v>568.69788862999997</v>
      </c>
      <c r="P33" s="90">
        <f>P14*-1</f>
        <v>887.27653013258418</v>
      </c>
      <c r="Q33" s="90">
        <f>Q14*-1</f>
        <v>866.98531826621729</v>
      </c>
      <c r="R33" s="90">
        <f t="shared" ref="R33:T33" si="21">R14*-1</f>
        <v>862.34777005116416</v>
      </c>
      <c r="S33" s="90">
        <f t="shared" si="21"/>
        <v>811.27553060037167</v>
      </c>
      <c r="T33" s="90">
        <f t="shared" si="21"/>
        <v>811.37076189373795</v>
      </c>
    </row>
    <row r="34" spans="2:20">
      <c r="B34" s="13" t="s">
        <v>315</v>
      </c>
    </row>
    <row r="35" spans="2:20">
      <c r="B35" s="2" t="s">
        <v>247</v>
      </c>
      <c r="C35" s="4">
        <f t="shared" ref="C35:O35" si="22">C13+C14</f>
        <v>0</v>
      </c>
      <c r="D35" s="4">
        <f t="shared" si="22"/>
        <v>0</v>
      </c>
      <c r="E35" s="4">
        <f t="shared" si="22"/>
        <v>0</v>
      </c>
      <c r="F35" s="4">
        <f t="shared" si="22"/>
        <v>0</v>
      </c>
      <c r="G35" s="4">
        <f t="shared" si="22"/>
        <v>-44.16923912</v>
      </c>
      <c r="H35" s="4">
        <f t="shared" si="22"/>
        <v>-130.34596618</v>
      </c>
      <c r="I35" s="4">
        <f>I13+I14</f>
        <v>-358.01000964000002</v>
      </c>
      <c r="J35" s="4">
        <f>J13+J14</f>
        <v>-391.72814755999997</v>
      </c>
      <c r="K35" s="4">
        <f>K13+K14</f>
        <v>-1378.1398647599999</v>
      </c>
      <c r="L35" s="4">
        <f>L13+L14</f>
        <v>-1614.0014468299998</v>
      </c>
      <c r="M35" s="4">
        <f>M13+M14</f>
        <v>-695.91748626000003</v>
      </c>
      <c r="N35" s="4">
        <f t="shared" si="22"/>
        <v>-1984.0095721000002</v>
      </c>
      <c r="O35" s="4">
        <f t="shared" si="22"/>
        <v>-1067.0960256399999</v>
      </c>
      <c r="P35" s="4">
        <f>P13+P14</f>
        <v>2443.2666272065953</v>
      </c>
      <c r="Q35" s="4">
        <f>Q13+Q14</f>
        <v>11130.158876274078</v>
      </c>
      <c r="R35" s="4">
        <f t="shared" ref="R35:T35" si="23">R13+R14</f>
        <v>18043.914785780325</v>
      </c>
      <c r="S35" s="4">
        <f t="shared" si="23"/>
        <v>41225.25155885084</v>
      </c>
      <c r="T35" s="4">
        <f t="shared" si="23"/>
        <v>48492.465102673406</v>
      </c>
    </row>
    <row r="36" spans="2:20" customFormat="1">
      <c r="B36" t="s">
        <v>467</v>
      </c>
      <c r="G36" s="27">
        <f>G35/PL!AZ33/TP!$C$5</f>
        <v>-4.2478049184922526E-2</v>
      </c>
      <c r="H36" s="27">
        <f>H35/PL!BA33/TP!$C$5</f>
        <v>-0.11164442926889741</v>
      </c>
      <c r="I36" s="27">
        <f>I35/PL!BB33/TP!$C$5</f>
        <v>-9.6084275265700492E-4</v>
      </c>
      <c r="J36" s="27">
        <f>J35/PL!BC33/TP!$C$5</f>
        <v>-9.9491848339895131E-4</v>
      </c>
      <c r="K36" s="27">
        <f>K35/PL!BD33/TP!$C$5</f>
        <v>-3.3280082509807313E-3</v>
      </c>
      <c r="L36" s="27">
        <f>L35/PL!BE33/TP!$C$5</f>
        <v>-3.8906304641271325E-3</v>
      </c>
      <c r="M36" s="27">
        <f>M35/PL!BF33/TP!$C$5</f>
        <v>-1.6331770097036478E-3</v>
      </c>
      <c r="N36" s="94">
        <f>N35/PL!BG33/TP!$C$5</f>
        <v>-4.6030358688098809E-3</v>
      </c>
      <c r="O36" s="94">
        <f>O35/PL!BH33/TP!$C$5</f>
        <v>-2.4557262551326586E-3</v>
      </c>
      <c r="P36" s="94">
        <f>P35/PL!BI33/TP!$C$5</f>
        <v>4.0593325100739619E-3</v>
      </c>
      <c r="Q36" s="94">
        <f>Q35/PL!BJ33/TP!$C$5</f>
        <v>1.7002384222839728E-2</v>
      </c>
      <c r="R36" s="94">
        <f>R35/PL!BK33/TP!$C$5</f>
        <v>2.7747778429367379E-2</v>
      </c>
      <c r="S36" s="94">
        <f>S35/PL!BL33/TP!$C$5</f>
        <v>6.3395840621647839E-2</v>
      </c>
      <c r="T36" s="94">
        <f>T35/PL!BM33/TP!$C$5</f>
        <v>7.4571299695074492E-2</v>
      </c>
    </row>
    <row r="37" spans="2:20" customFormat="1"/>
  </sheetData>
  <pageMargins left="0" right="0" top="0" bottom="0" header="0" footer="0"/>
  <pageSetup paperSize="9" scale="29" fitToHeight="0" orientation="portrait" r:id="rId1"/>
  <customProperties>
    <customPr name="Qube.Worksheet.Visibility" r:id="rId2"/>
    <customPr name="SHEET_UNIQUE_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BO185"/>
  <sheetViews>
    <sheetView showGridLines="0" topLeftCell="B2" zoomScaleNormal="100" workbookViewId="0">
      <pane xSplit="18" ySplit="13" topLeftCell="AJ139" activePane="bottomRight" state="frozen"/>
      <selection activeCell="B2" sqref="B2"/>
      <selection pane="topRight" activeCell="T2" sqref="T2"/>
      <selection pane="bottomLeft" activeCell="B13" sqref="B13"/>
      <selection pane="bottomRight" activeCell="AC181" sqref="AC181"/>
    </sheetView>
  </sheetViews>
  <sheetFormatPr defaultColWidth="9.28515625" defaultRowHeight="12.75" outlineLevelCol="1"/>
  <cols>
    <col min="1" max="1" width="18.140625" style="38" hidden="1" customWidth="1"/>
    <col min="2" max="2" width="3.28515625" style="38" customWidth="1"/>
    <col min="3" max="3" width="39.7109375" style="38" customWidth="1"/>
    <col min="4" max="19" width="8.7109375" style="38" hidden="1" customWidth="1" outlineLevel="1"/>
    <col min="20" max="20" width="8.7109375" style="38" customWidth="1" collapsed="1"/>
    <col min="21" max="31" width="8.7109375" style="38" customWidth="1"/>
    <col min="32" max="47" width="8.7109375" style="38" customWidth="1" outlineLevel="1"/>
    <col min="48" max="48" width="1.7109375" style="38" customWidth="1"/>
    <col min="49" max="52" width="8.7109375" style="38" hidden="1" customWidth="1" outlineLevel="1"/>
    <col min="53" max="53" width="1.7109375" style="38" hidden="1" customWidth="1" outlineLevel="1"/>
    <col min="54" max="58" width="10.28515625" style="38" hidden="1" customWidth="1" outlineLevel="1"/>
    <col min="59" max="59" width="10.28515625" style="38" customWidth="1" collapsed="1"/>
    <col min="60" max="67" width="10.28515625" style="38" customWidth="1"/>
    <col min="68" max="16384" width="9.28515625" style="38"/>
  </cols>
  <sheetData>
    <row r="1" spans="1:67">
      <c r="C1" s="225" t="str">
        <f>TP!C2</f>
        <v>Cambricon</v>
      </c>
      <c r="D1" s="226"/>
      <c r="E1" s="226"/>
      <c r="F1" s="227"/>
      <c r="G1" s="228"/>
      <c r="H1" s="228"/>
      <c r="I1" s="71"/>
      <c r="J1" s="229"/>
      <c r="K1" s="229"/>
      <c r="L1" s="227"/>
      <c r="M1" s="227"/>
      <c r="N1" s="227"/>
      <c r="O1" s="156"/>
      <c r="P1" s="156"/>
      <c r="Q1" s="230"/>
      <c r="R1" s="226"/>
      <c r="S1" s="229"/>
      <c r="T1" s="71"/>
      <c r="U1" s="231"/>
      <c r="V1" s="71"/>
      <c r="W1" s="71"/>
      <c r="X1" s="156">
        <f>TP!L113</f>
        <v>1840.7</v>
      </c>
      <c r="Y1" s="71" t="e">
        <f>#REF!</f>
        <v>#REF!</v>
      </c>
      <c r="Z1" s="226" t="e">
        <f>#REF!</f>
        <v>#REF!</v>
      </c>
      <c r="AA1" s="226" t="e">
        <f>#REF!</f>
        <v>#REF!</v>
      </c>
      <c r="AB1" s="321" t="e">
        <f>#REF!</f>
        <v>#REF!</v>
      </c>
      <c r="AC1" s="321" t="e">
        <f>#REF!</f>
        <v>#REF!</v>
      </c>
      <c r="AD1" s="321" t="e">
        <f>#REF!</f>
        <v>#REF!</v>
      </c>
      <c r="AE1" s="321" t="e">
        <f>#REF!</f>
        <v>#REF!</v>
      </c>
      <c r="AF1" s="321" t="e">
        <f>#REF!</f>
        <v>#REF!</v>
      </c>
      <c r="AG1" s="227"/>
      <c r="AH1" s="226" t="e">
        <f>#REF!</f>
        <v>#REF!</v>
      </c>
      <c r="AI1" s="226" t="e">
        <f>#REF!</f>
        <v>#REF!</v>
      </c>
      <c r="AJ1" s="226" t="e">
        <f>#REF!</f>
        <v>#REF!</v>
      </c>
      <c r="AK1" s="227"/>
      <c r="AL1" s="226"/>
      <c r="AM1" s="321">
        <f>BJ6/6000-1</f>
        <v>8.2866033113333515E-2</v>
      </c>
      <c r="AN1" s="227"/>
      <c r="AO1" s="227"/>
      <c r="AP1" s="226"/>
      <c r="AQ1" s="226"/>
      <c r="AR1" s="227"/>
      <c r="AS1" s="227"/>
      <c r="AT1" s="226"/>
      <c r="AU1" s="226"/>
      <c r="BD1" s="226"/>
      <c r="BE1" s="232"/>
      <c r="BF1" s="232"/>
      <c r="BG1" s="232"/>
      <c r="BH1" s="232"/>
      <c r="BI1" s="232"/>
      <c r="BJ1" s="170">
        <f>BJ71</f>
        <v>117.43600000000001</v>
      </c>
      <c r="BK1" s="170">
        <f t="shared" ref="BK1:BO1" si="0">BK71</f>
        <v>405.01923303326282</v>
      </c>
      <c r="BL1" s="170">
        <f t="shared" si="0"/>
        <v>1032.607830338211</v>
      </c>
      <c r="BM1" s="170">
        <f t="shared" si="0"/>
        <v>1858.6940946087793</v>
      </c>
      <c r="BN1" s="170">
        <f t="shared" si="0"/>
        <v>2602.1717324522915</v>
      </c>
      <c r="BO1" s="170">
        <f t="shared" si="0"/>
        <v>3122.6060789427493</v>
      </c>
    </row>
    <row r="2" spans="1:67">
      <c r="C2" s="225"/>
      <c r="D2" s="226"/>
      <c r="E2" s="226"/>
      <c r="F2" s="227"/>
      <c r="G2" s="228"/>
      <c r="H2" s="228"/>
      <c r="I2" s="71"/>
      <c r="J2" s="229"/>
      <c r="K2" s="229"/>
      <c r="L2" s="227"/>
      <c r="M2" s="227"/>
      <c r="N2" s="227"/>
      <c r="O2" s="156"/>
      <c r="P2" s="156"/>
      <c r="Q2" s="230"/>
      <c r="R2" s="226"/>
      <c r="S2" s="229"/>
      <c r="T2" s="71"/>
      <c r="U2" s="231"/>
      <c r="V2" s="71"/>
      <c r="W2" s="71"/>
      <c r="X2" s="156"/>
      <c r="Y2" s="71"/>
      <c r="Z2" s="226"/>
      <c r="AA2" s="226"/>
      <c r="AB2" s="321"/>
      <c r="AC2" s="321"/>
      <c r="AD2" s="321"/>
      <c r="AE2" s="321"/>
      <c r="AF2" s="321"/>
      <c r="AG2" s="227"/>
      <c r="AH2" s="227"/>
      <c r="AI2" s="227"/>
      <c r="AJ2" s="227"/>
      <c r="AK2" s="227"/>
      <c r="AL2" s="227"/>
      <c r="AM2" s="227"/>
      <c r="AN2" s="228"/>
      <c r="AO2" s="227"/>
      <c r="AP2" s="226"/>
      <c r="AQ2" s="226"/>
      <c r="AR2" s="227"/>
      <c r="AS2" s="227"/>
      <c r="AT2" s="226"/>
      <c r="AU2" s="226"/>
      <c r="BD2" s="226"/>
      <c r="BE2" s="232"/>
      <c r="BF2" s="232"/>
      <c r="BG2" s="232"/>
      <c r="BH2" s="232"/>
      <c r="BI2" s="170"/>
      <c r="BJ2" s="170"/>
      <c r="BK2" s="170"/>
      <c r="BL2" s="170"/>
      <c r="BM2" s="170"/>
      <c r="BN2" s="170"/>
      <c r="BO2" s="170"/>
    </row>
    <row r="3" spans="1:67">
      <c r="C3" s="225"/>
      <c r="D3" s="226"/>
      <c r="E3" s="226"/>
      <c r="F3" s="227"/>
      <c r="G3" s="228"/>
      <c r="H3" s="228"/>
      <c r="I3" s="71"/>
      <c r="J3" s="229"/>
      <c r="K3" s="229"/>
      <c r="L3" s="227"/>
      <c r="M3" s="227"/>
      <c r="N3" s="227"/>
      <c r="O3" s="156"/>
      <c r="P3" s="156"/>
      <c r="Q3" s="230"/>
      <c r="R3" s="226"/>
      <c r="S3" s="229"/>
      <c r="T3" s="71"/>
      <c r="U3" s="231"/>
      <c r="V3" s="71"/>
      <c r="W3" s="71"/>
      <c r="X3" s="156"/>
      <c r="Y3" s="71"/>
      <c r="Z3" s="226"/>
      <c r="AA3" s="226"/>
      <c r="AB3" s="321"/>
      <c r="AC3" s="321"/>
      <c r="AD3" s="321"/>
      <c r="AE3" s="321"/>
      <c r="AF3" s="321"/>
      <c r="AG3" s="227"/>
      <c r="AH3" s="227"/>
      <c r="AI3" s="227"/>
      <c r="AJ3" s="227"/>
      <c r="AK3" s="227"/>
      <c r="AL3" s="227"/>
      <c r="AM3" s="227"/>
      <c r="AN3" s="227"/>
      <c r="AO3" s="227"/>
      <c r="AP3" s="226"/>
      <c r="AQ3" s="226"/>
      <c r="AR3" s="227"/>
      <c r="AS3" s="227"/>
      <c r="AT3" s="226"/>
      <c r="AU3" s="226"/>
      <c r="BD3" s="226"/>
      <c r="BE3" s="232"/>
      <c r="BF3" s="232"/>
      <c r="BG3" s="232"/>
      <c r="BH3" s="232"/>
      <c r="BI3" s="232"/>
      <c r="BJ3" s="232"/>
      <c r="BK3" s="232"/>
      <c r="BL3" s="170"/>
      <c r="BM3" s="170"/>
      <c r="BN3" s="170"/>
      <c r="BO3" s="170"/>
    </row>
    <row r="4" spans="1:67">
      <c r="C4" s="38" t="s">
        <v>283</v>
      </c>
      <c r="D4" s="233" t="str">
        <f>PL!G2</f>
        <v>1Q20</v>
      </c>
      <c r="E4" s="233" t="str">
        <f>PL!H2</f>
        <v>2Q20</v>
      </c>
      <c r="F4" s="233" t="str">
        <f>PL!I2</f>
        <v>3Q20</v>
      </c>
      <c r="G4" s="233" t="str">
        <f>PL!J2</f>
        <v>4Q20</v>
      </c>
      <c r="H4" s="233" t="str">
        <f>PL!K2</f>
        <v>1Q21</v>
      </c>
      <c r="I4" s="233" t="str">
        <f>PL!L2</f>
        <v>2Q21</v>
      </c>
      <c r="J4" s="233" t="str">
        <f>PL!M2</f>
        <v>3Q21</v>
      </c>
      <c r="K4" s="233" t="str">
        <f>PL!N2</f>
        <v>4Q21</v>
      </c>
      <c r="L4" s="233" t="str">
        <f>PL!O2</f>
        <v>1Q22</v>
      </c>
      <c r="M4" s="233" t="str">
        <f>PL!P2</f>
        <v>2Q22</v>
      </c>
      <c r="N4" s="233" t="str">
        <f>PL!Q2</f>
        <v>3Q22</v>
      </c>
      <c r="O4" s="233" t="str">
        <f>PL!R2</f>
        <v>4Q22</v>
      </c>
      <c r="P4" s="233" t="str">
        <f>PL!S2</f>
        <v>1Q23</v>
      </c>
      <c r="Q4" s="233" t="str">
        <f>PL!T2</f>
        <v>2Q23</v>
      </c>
      <c r="R4" s="233" t="str">
        <f>PL!U2</f>
        <v>3Q23</v>
      </c>
      <c r="S4" s="233" t="str">
        <f>PL!V2</f>
        <v>4Q23</v>
      </c>
      <c r="T4" s="233" t="str">
        <f>PL!W2</f>
        <v>1Q24</v>
      </c>
      <c r="U4" s="233" t="str">
        <f>PL!X2</f>
        <v>2Q24</v>
      </c>
      <c r="V4" s="233" t="str">
        <f>PL!Y2</f>
        <v>3Q24</v>
      </c>
      <c r="W4" s="233" t="str">
        <f>PL!Z2</f>
        <v>4Q24</v>
      </c>
      <c r="X4" s="233" t="str">
        <f>PL!AA2</f>
        <v>1Q25</v>
      </c>
      <c r="Y4" s="233" t="str">
        <f>PL!AB2</f>
        <v>2Q25</v>
      </c>
      <c r="Z4" s="233" t="str">
        <f>PL!AC2</f>
        <v>3Q25</v>
      </c>
      <c r="AA4" s="233" t="str">
        <f>PL!AD2</f>
        <v>4Q25</v>
      </c>
      <c r="AB4" s="233" t="str">
        <f>PL!AE2</f>
        <v>1Q26</v>
      </c>
      <c r="AC4" s="233" t="str">
        <f>PL!AF2</f>
        <v>2Q26</v>
      </c>
      <c r="AD4" s="234" t="str">
        <f>PL!AG2</f>
        <v>3Q26E</v>
      </c>
      <c r="AE4" s="234" t="str">
        <f>PL!AH2</f>
        <v>4Q26E</v>
      </c>
      <c r="AF4" s="234" t="str">
        <f>PL!AI2</f>
        <v>1Q27E</v>
      </c>
      <c r="AG4" s="234" t="str">
        <f>PL!AJ2</f>
        <v>2Q27E</v>
      </c>
      <c r="AH4" s="234" t="str">
        <f>PL!AK2</f>
        <v>3Q27E</v>
      </c>
      <c r="AI4" s="234" t="str">
        <f>PL!AL2</f>
        <v>4Q27E</v>
      </c>
      <c r="AJ4" s="234" t="s">
        <v>696</v>
      </c>
      <c r="AK4" s="234" t="s">
        <v>697</v>
      </c>
      <c r="AL4" s="234" t="s">
        <v>698</v>
      </c>
      <c r="AM4" s="234" t="s">
        <v>699</v>
      </c>
      <c r="AN4" s="234" t="s">
        <v>700</v>
      </c>
      <c r="AO4" s="234" t="s">
        <v>701</v>
      </c>
      <c r="AP4" s="234" t="s">
        <v>702</v>
      </c>
      <c r="AQ4" s="234" t="s">
        <v>703</v>
      </c>
      <c r="AR4" s="234" t="s">
        <v>704</v>
      </c>
      <c r="AS4" s="234" t="s">
        <v>705</v>
      </c>
      <c r="AT4" s="234" t="s">
        <v>706</v>
      </c>
      <c r="AU4" s="234" t="s">
        <v>707</v>
      </c>
      <c r="AW4" s="233" t="s">
        <v>370</v>
      </c>
      <c r="AX4" s="233" t="s">
        <v>412</v>
      </c>
      <c r="AY4" s="233" t="s">
        <v>415</v>
      </c>
      <c r="AZ4" s="233" t="s">
        <v>459</v>
      </c>
      <c r="BB4" s="38">
        <f>PL!AZ2</f>
        <v>2017</v>
      </c>
      <c r="BC4" s="38">
        <f>PL!BA2</f>
        <v>2018</v>
      </c>
      <c r="BD4" s="233">
        <f>PL!BB2</f>
        <v>2019</v>
      </c>
      <c r="BE4" s="233">
        <f>PL!BC2</f>
        <v>2020</v>
      </c>
      <c r="BF4" s="233">
        <f>PL!BD2</f>
        <v>2021</v>
      </c>
      <c r="BG4" s="233">
        <f>PL!BE2</f>
        <v>2022</v>
      </c>
      <c r="BH4" s="233">
        <f>PL!BF2</f>
        <v>2023</v>
      </c>
      <c r="BI4" s="233">
        <f>PL!BG2</f>
        <v>2024</v>
      </c>
      <c r="BJ4" s="233">
        <f>PL!BH2</f>
        <v>2025</v>
      </c>
      <c r="BK4" s="234" t="str">
        <f>PL!BI2</f>
        <v>2026E</v>
      </c>
      <c r="BL4" s="234" t="str">
        <f>PL!BJ2</f>
        <v>2027E</v>
      </c>
      <c r="BM4" s="234" t="s">
        <v>380</v>
      </c>
      <c r="BN4" s="234" t="s">
        <v>381</v>
      </c>
      <c r="BO4" s="234" t="s">
        <v>382</v>
      </c>
    </row>
    <row r="5" spans="1:67">
      <c r="C5" s="236" t="s">
        <v>284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W5" s="236"/>
      <c r="AX5" s="236"/>
      <c r="AY5" s="236"/>
      <c r="AZ5" s="236"/>
      <c r="BB5" s="236"/>
      <c r="BC5" s="236"/>
      <c r="BD5" s="236"/>
      <c r="BE5" s="236"/>
      <c r="BF5" s="236"/>
      <c r="BG5" s="236"/>
      <c r="BH5" s="236"/>
      <c r="BI5" s="334">
        <v>161.93982655470589</v>
      </c>
      <c r="BJ5" s="334">
        <v>908.04143472771818</v>
      </c>
      <c r="BK5" s="334">
        <v>3336.1899846127321</v>
      </c>
      <c r="BL5" s="334">
        <v>12760.926691143699</v>
      </c>
      <c r="BM5" s="334">
        <v>24118.151446261592</v>
      </c>
      <c r="BN5" s="334">
        <v>35453.682626004549</v>
      </c>
      <c r="BO5" s="334">
        <v>44671.640108765729</v>
      </c>
    </row>
    <row r="6" spans="1:67" s="237" customFormat="1">
      <c r="C6" s="237" t="s">
        <v>168</v>
      </c>
      <c r="D6" s="238">
        <f>PL!G4</f>
        <v>11.55264124</v>
      </c>
      <c r="E6" s="238">
        <f>PL!H4</f>
        <v>75.650784810000005</v>
      </c>
      <c r="F6" s="238">
        <f>PL!I4</f>
        <v>70.326531870000011</v>
      </c>
      <c r="G6" s="238">
        <f>PL!J4</f>
        <v>301.39737274999999</v>
      </c>
      <c r="H6" s="238">
        <f>PL!K4</f>
        <v>36.131025539999996</v>
      </c>
      <c r="I6" s="238">
        <f>PL!L4</f>
        <v>101.74116365</v>
      </c>
      <c r="J6" s="238">
        <f>PL!M4</f>
        <v>84.546549769999999</v>
      </c>
      <c r="K6" s="238">
        <f>PL!N4</f>
        <v>498.62654000999999</v>
      </c>
      <c r="L6" s="238">
        <f>PL!O4</f>
        <v>62.990732030000004</v>
      </c>
      <c r="M6" s="238">
        <f>PL!P4</f>
        <v>108.79286171000001</v>
      </c>
      <c r="N6" s="238">
        <f>PL!Q4</f>
        <v>92.581133969999996</v>
      </c>
      <c r="O6" s="238">
        <f>PL!R4</f>
        <v>464.66989533999998</v>
      </c>
      <c r="P6" s="238">
        <f>PL!S4</f>
        <v>75.287960030000008</v>
      </c>
      <c r="Q6" s="238">
        <f>PL!T4</f>
        <v>39.180005260000009</v>
      </c>
      <c r="R6" s="238">
        <f>PL!U4</f>
        <v>31.342826029999987</v>
      </c>
      <c r="S6" s="238">
        <f>PL!V4</f>
        <v>563.57579294000004</v>
      </c>
      <c r="T6" s="239">
        <f>PL!W4</f>
        <v>25.666105859999998</v>
      </c>
      <c r="U6" s="239">
        <f>PL!X4</f>
        <v>39.099237299999999</v>
      </c>
      <c r="V6" s="239">
        <f>PL!Y4</f>
        <v>120.54123401999999</v>
      </c>
      <c r="W6" s="239">
        <f>PL!Z4</f>
        <v>989.1578002</v>
      </c>
      <c r="X6" s="239">
        <f>PL!AA4</f>
        <v>1111.3989268</v>
      </c>
      <c r="Y6" s="239">
        <f>PL!AB4</f>
        <v>1769.24454429</v>
      </c>
      <c r="Z6" s="239">
        <f>PL!AC4</f>
        <v>1726.7808925699999</v>
      </c>
      <c r="AA6" s="239">
        <f>PL!AD4</f>
        <v>1889.77183502</v>
      </c>
      <c r="AB6" s="239">
        <f>PL!AE4</f>
        <v>2884.6967468600001</v>
      </c>
      <c r="AC6" s="239">
        <f>PL!AF4</f>
        <v>3110.8768727499996</v>
      </c>
      <c r="AD6" s="239">
        <f t="shared" ref="AD6:AI6" si="1">SUM(AD7:AD12)</f>
        <v>8177.9952011985752</v>
      </c>
      <c r="AE6" s="239">
        <f t="shared" si="1"/>
        <v>9806.8779395315396</v>
      </c>
      <c r="AF6" s="239">
        <f t="shared" si="1"/>
        <v>14198.635715019986</v>
      </c>
      <c r="AG6" s="239">
        <f t="shared" si="1"/>
        <v>18227.317098775497</v>
      </c>
      <c r="AH6" s="239">
        <f t="shared" si="1"/>
        <v>24162.810129487309</v>
      </c>
      <c r="AI6" s="239">
        <f t="shared" si="1"/>
        <v>34672.849505792699</v>
      </c>
      <c r="AJ6" s="239">
        <f t="shared" ref="AJ6:AM6" si="2">SUM(AJ7:AJ12)</f>
        <v>44042.247007514743</v>
      </c>
      <c r="AK6" s="239">
        <f t="shared" si="2"/>
        <v>41303.611586035891</v>
      </c>
      <c r="AL6" s="239">
        <f t="shared" si="2"/>
        <v>40911.027491547706</v>
      </c>
      <c r="AM6" s="239">
        <f t="shared" si="2"/>
        <v>46212.667925134498</v>
      </c>
      <c r="AN6" s="239">
        <f t="shared" ref="AN6:AQ6" si="3">SUM(AN7:AN12)</f>
        <v>66690.108665457097</v>
      </c>
      <c r="AO6" s="239">
        <f t="shared" si="3"/>
        <v>63405.142210870006</v>
      </c>
      <c r="AP6" s="239">
        <f t="shared" si="3"/>
        <v>59875.435679844311</v>
      </c>
      <c r="AQ6" s="239">
        <f t="shared" si="3"/>
        <v>63552.916756444727</v>
      </c>
      <c r="AR6" s="239">
        <f t="shared" ref="AR6:AU6" si="4">SUM(AR7:AR12)</f>
        <v>79209.655824004163</v>
      </c>
      <c r="AS6" s="239">
        <f t="shared" si="4"/>
        <v>80686.715759664599</v>
      </c>
      <c r="AT6" s="239">
        <f t="shared" si="4"/>
        <v>76999.591144757651</v>
      </c>
      <c r="AU6" s="239">
        <f t="shared" si="4"/>
        <v>82541.345103753876</v>
      </c>
      <c r="AV6" s="38"/>
      <c r="AW6" s="239">
        <f>SUM(D6:E6)</f>
        <v>87.203426050000004</v>
      </c>
      <c r="AX6" s="239">
        <f t="shared" ref="AX6:AX11" si="5">BE6-AW6</f>
        <v>371.72390461999998</v>
      </c>
      <c r="AY6" s="239">
        <f>SUM(H6:I6)</f>
        <v>137.87218919</v>
      </c>
      <c r="AZ6" s="239">
        <f t="shared" ref="AZ6:AZ11" si="6">BF6-AY6</f>
        <v>583.17308978000005</v>
      </c>
      <c r="BA6" s="38"/>
      <c r="BB6" s="238">
        <f>PL!AZ4</f>
        <v>7.8432741399999992</v>
      </c>
      <c r="BC6" s="238">
        <f>PL!BA4</f>
        <v>117.02523876000001</v>
      </c>
      <c r="BD6" s="238">
        <f>PL!BB4</f>
        <v>443.93846582000003</v>
      </c>
      <c r="BE6" s="238">
        <f>SUM(D6:G6)</f>
        <v>458.92733067</v>
      </c>
      <c r="BF6" s="238">
        <f>SUM(H6:K6)</f>
        <v>721.04527897000003</v>
      </c>
      <c r="BG6" s="238">
        <f>SUM(L6:O6)</f>
        <v>729.03462304999994</v>
      </c>
      <c r="BH6" s="238">
        <f>SUM(P6:S6)</f>
        <v>709.38658426000006</v>
      </c>
      <c r="BI6" s="238">
        <f>PL!BG4</f>
        <v>1174.4643773799999</v>
      </c>
      <c r="BJ6" s="271">
        <f t="shared" ref="BJ6:BJ10" si="7">SUM(X6:AA6)</f>
        <v>6497.1961986800006</v>
      </c>
      <c r="BK6" s="238">
        <f>SUM(AB6:AE6)</f>
        <v>23980.446760340114</v>
      </c>
      <c r="BL6" s="238">
        <f>SUM(AF6:AI6)</f>
        <v>91261.612449075503</v>
      </c>
      <c r="BM6" s="238">
        <f t="shared" ref="BM6:BM12" si="8">SUM(AJ6:AM6)</f>
        <v>172469.55401023282</v>
      </c>
      <c r="BN6" s="238">
        <f t="shared" ref="BN6:BN12" si="9">SUM(AN6:AQ6)</f>
        <v>253523.60331261615</v>
      </c>
      <c r="BO6" s="238">
        <f t="shared" ref="BO6:BO12" si="10">SUM(AR6:AU6)</f>
        <v>319437.30783218029</v>
      </c>
    </row>
    <row r="7" spans="1:67">
      <c r="A7" s="38" t="s">
        <v>346</v>
      </c>
      <c r="C7" s="240" t="s">
        <v>458</v>
      </c>
      <c r="D7" s="126">
        <f>AW7*D$13</f>
        <v>8.2426034590640906</v>
      </c>
      <c r="E7" s="170">
        <f>AW7-D7</f>
        <v>53.975485570935909</v>
      </c>
      <c r="F7" s="126">
        <f>AX7*F$13</f>
        <v>4.54703083377421</v>
      </c>
      <c r="G7" s="170">
        <f>AX7-F7</f>
        <v>19.487142486225785</v>
      </c>
      <c r="H7" s="126">
        <f>AY7*H$13</f>
        <v>4.9197309232781219</v>
      </c>
      <c r="I7" s="170">
        <f>AY7-H7</f>
        <v>13.853444276721879</v>
      </c>
      <c r="J7" s="126">
        <f>AZ7*J13</f>
        <v>3.0895646006194144</v>
      </c>
      <c r="K7" s="170">
        <f>BF7-H7-I7-J7</f>
        <v>18.221191889380581</v>
      </c>
      <c r="L7" s="170">
        <f>L158</f>
        <v>30.022415003382747</v>
      </c>
      <c r="M7" s="170">
        <f>M158</f>
        <v>39.274112506905837</v>
      </c>
      <c r="N7" s="170">
        <f>N158</f>
        <v>23.384929910526502</v>
      </c>
      <c r="O7" s="93">
        <f>BG7-L7-M7-N7</f>
        <v>49.605087672021803</v>
      </c>
      <c r="P7" s="170">
        <f>P158</f>
        <v>46.57464938128544</v>
      </c>
      <c r="Q7" s="170">
        <f>Q158</f>
        <v>11.426168688156054</v>
      </c>
      <c r="R7" s="170">
        <f>R158</f>
        <v>15.005412341500017</v>
      </c>
      <c r="S7" s="170">
        <f>BH7-SUM(P7:R7)</f>
        <v>17.558846489058482</v>
      </c>
      <c r="T7" s="170">
        <f>T158</f>
        <v>23.340074999999999</v>
      </c>
      <c r="U7" s="93">
        <f>61.05177338-T7</f>
        <v>37.711698380000001</v>
      </c>
      <c r="V7" s="170">
        <f>V158</f>
        <v>118.482575</v>
      </c>
      <c r="W7" s="93">
        <f>1166.27848536-SUM(T7:V7)</f>
        <v>986.74413698000012</v>
      </c>
      <c r="X7" s="170">
        <f t="shared" ref="X7:AU7" si="11">X158</f>
        <v>1106.8039125</v>
      </c>
      <c r="Y7" s="170">
        <f>Y6-SUM(Y8:Y12)</f>
        <v>1764.4920278105033</v>
      </c>
      <c r="Z7" s="170">
        <f>Z6-SUM(Z8:Z12)</f>
        <v>1720.262091032447</v>
      </c>
      <c r="AA7" s="170">
        <f>BJ7-SUM(X7:Z7)</f>
        <v>1885.2972132470504</v>
      </c>
      <c r="AB7" s="170">
        <f>AB6-SUM(AB8:AB12)</f>
        <v>2879.8796175154998</v>
      </c>
      <c r="AC7" s="170">
        <f>AC6-SUM(AC8:AC12)</f>
        <v>3105.903993435003</v>
      </c>
      <c r="AD7" s="170">
        <f t="shared" si="11"/>
        <v>8171.2449324041227</v>
      </c>
      <c r="AE7" s="170">
        <f t="shared" si="11"/>
        <v>9802.1617629234897</v>
      </c>
      <c r="AF7" s="170">
        <f t="shared" si="11"/>
        <v>14193.58536487876</v>
      </c>
      <c r="AG7" s="170">
        <f t="shared" si="11"/>
        <v>18222.112838483223</v>
      </c>
      <c r="AH7" s="170">
        <f t="shared" si="11"/>
        <v>24155.816820073112</v>
      </c>
      <c r="AI7" s="170">
        <f t="shared" si="11"/>
        <v>34667.879696607793</v>
      </c>
      <c r="AJ7" s="170">
        <f t="shared" si="11"/>
        <v>44036.994532683028</v>
      </c>
      <c r="AK7" s="170">
        <f t="shared" si="11"/>
        <v>41298.206795563317</v>
      </c>
      <c r="AL7" s="170">
        <f t="shared" si="11"/>
        <v>40903.823546929736</v>
      </c>
      <c r="AM7" s="170">
        <f t="shared" si="11"/>
        <v>46207.478301049647</v>
      </c>
      <c r="AN7" s="170">
        <f t="shared" si="11"/>
        <v>66684.734915811088</v>
      </c>
      <c r="AO7" s="170">
        <f t="shared" si="11"/>
        <v>63399.617102289252</v>
      </c>
      <c r="AP7" s="170">
        <f t="shared" si="11"/>
        <v>59868.105354104067</v>
      </c>
      <c r="AQ7" s="170">
        <f t="shared" si="11"/>
        <v>63547.595243419913</v>
      </c>
      <c r="AR7" s="170">
        <f t="shared" si="11"/>
        <v>79204.148672062423</v>
      </c>
      <c r="AS7" s="170">
        <f t="shared" si="11"/>
        <v>80681.058301164841</v>
      </c>
      <c r="AT7" s="170">
        <f t="shared" si="11"/>
        <v>76992.121799782923</v>
      </c>
      <c r="AU7" s="170">
        <f t="shared" si="11"/>
        <v>82535.878512895099</v>
      </c>
      <c r="AW7" s="79">
        <v>62.218089030000002</v>
      </c>
      <c r="AX7" s="156">
        <f t="shared" si="5"/>
        <v>24.034173319999994</v>
      </c>
      <c r="AY7" s="79">
        <v>18.773175200000001</v>
      </c>
      <c r="AZ7" s="79">
        <f t="shared" si="6"/>
        <v>21.310756489999999</v>
      </c>
      <c r="BB7" s="79">
        <v>0</v>
      </c>
      <c r="BC7" s="79">
        <v>0</v>
      </c>
      <c r="BD7" s="79">
        <v>78.882400000000004</v>
      </c>
      <c r="BE7" s="79">
        <v>86.252262349999995</v>
      </c>
      <c r="BF7" s="79">
        <f>80.23163169-BF8</f>
        <v>40.08393169</v>
      </c>
      <c r="BG7" s="79">
        <f>219.44894875-BG8</f>
        <v>142.28654509283689</v>
      </c>
      <c r="BH7" s="79">
        <f>90.5650769-BH8</f>
        <v>90.565076899999994</v>
      </c>
      <c r="BI7" s="79">
        <v>1166.2784853600001</v>
      </c>
      <c r="BJ7" s="79">
        <v>6476.8552445900004</v>
      </c>
      <c r="BK7" s="156">
        <f t="shared" ref="BK7:BK12" si="12">SUM(AB7:AE7)</f>
        <v>23959.190306278113</v>
      </c>
      <c r="BL7" s="156">
        <f>SUM(AF7:AI7)</f>
        <v>91239.394720042881</v>
      </c>
      <c r="BM7" s="156">
        <f t="shared" si="8"/>
        <v>172446.50317622573</v>
      </c>
      <c r="BN7" s="156">
        <f t="shared" si="9"/>
        <v>253500.05261562433</v>
      </c>
      <c r="BO7" s="156">
        <f t="shared" si="10"/>
        <v>319413.20728590526</v>
      </c>
    </row>
    <row r="8" spans="1:67">
      <c r="C8" s="240" t="s">
        <v>457</v>
      </c>
      <c r="D8" s="126">
        <f>AW8*D$13</f>
        <v>0</v>
      </c>
      <c r="E8" s="170">
        <f>AW8-D8</f>
        <v>0</v>
      </c>
      <c r="F8" s="126">
        <f>AX8*F$13</f>
        <v>0</v>
      </c>
      <c r="G8" s="170">
        <f>AX8-F8</f>
        <v>0</v>
      </c>
      <c r="H8" s="126">
        <f>AY8*H$13</f>
        <v>6.8228817158851625</v>
      </c>
      <c r="I8" s="170">
        <f t="shared" ref="I8:I12" si="13">AY8-H8</f>
        <v>19.212516524114836</v>
      </c>
      <c r="J8" s="126">
        <f>AZ8*J13</f>
        <v>2.0459558989102344</v>
      </c>
      <c r="K8" s="170">
        <f>BF8-H8-I8-J8</f>
        <v>12.06634586108977</v>
      </c>
      <c r="L8" s="170">
        <f>L176</f>
        <v>14.560029581698938</v>
      </c>
      <c r="M8" s="93">
        <f>SUM(H7:I8)+85.519-L7-L8-M7</f>
        <v>46.471016348012483</v>
      </c>
      <c r="N8" s="170">
        <f t="shared" ref="N8:AU8" si="14">N176</f>
        <v>7.9383088877717096</v>
      </c>
      <c r="O8" s="170">
        <f t="shared" si="14"/>
        <v>8.193048839679955</v>
      </c>
      <c r="P8" s="170">
        <f t="shared" si="14"/>
        <v>0</v>
      </c>
      <c r="Q8" s="170">
        <f t="shared" si="14"/>
        <v>0</v>
      </c>
      <c r="R8" s="170">
        <f t="shared" si="14"/>
        <v>0</v>
      </c>
      <c r="S8" s="170">
        <f t="shared" si="14"/>
        <v>0</v>
      </c>
      <c r="T8" s="170">
        <f t="shared" si="14"/>
        <v>0</v>
      </c>
      <c r="U8" s="170">
        <f t="shared" si="14"/>
        <v>0</v>
      </c>
      <c r="V8" s="170">
        <f t="shared" si="14"/>
        <v>0</v>
      </c>
      <c r="W8" s="170">
        <f t="shared" si="14"/>
        <v>0</v>
      </c>
      <c r="X8" s="170">
        <f t="shared" si="14"/>
        <v>0</v>
      </c>
      <c r="Y8" s="170">
        <f t="shared" si="14"/>
        <v>0</v>
      </c>
      <c r="Z8" s="170">
        <f t="shared" si="14"/>
        <v>0</v>
      </c>
      <c r="AA8" s="170">
        <f t="shared" si="14"/>
        <v>0</v>
      </c>
      <c r="AB8" s="170">
        <f t="shared" si="14"/>
        <v>0</v>
      </c>
      <c r="AC8" s="170">
        <f t="shared" si="14"/>
        <v>0</v>
      </c>
      <c r="AD8" s="170">
        <f t="shared" si="14"/>
        <v>0</v>
      </c>
      <c r="AE8" s="170">
        <f t="shared" si="14"/>
        <v>0</v>
      </c>
      <c r="AF8" s="170">
        <f t="shared" si="14"/>
        <v>0</v>
      </c>
      <c r="AG8" s="170">
        <f t="shared" si="14"/>
        <v>0</v>
      </c>
      <c r="AH8" s="170">
        <f t="shared" si="14"/>
        <v>0</v>
      </c>
      <c r="AI8" s="170">
        <f t="shared" si="14"/>
        <v>0</v>
      </c>
      <c r="AJ8" s="170">
        <f t="shared" si="14"/>
        <v>0</v>
      </c>
      <c r="AK8" s="170">
        <f t="shared" si="14"/>
        <v>0</v>
      </c>
      <c r="AL8" s="170">
        <f t="shared" si="14"/>
        <v>0</v>
      </c>
      <c r="AM8" s="170">
        <f t="shared" si="14"/>
        <v>0</v>
      </c>
      <c r="AN8" s="170">
        <f t="shared" si="14"/>
        <v>0</v>
      </c>
      <c r="AO8" s="170">
        <f t="shared" si="14"/>
        <v>0</v>
      </c>
      <c r="AP8" s="170">
        <f t="shared" si="14"/>
        <v>0</v>
      </c>
      <c r="AQ8" s="170">
        <f t="shared" si="14"/>
        <v>0</v>
      </c>
      <c r="AR8" s="170">
        <f t="shared" si="14"/>
        <v>0</v>
      </c>
      <c r="AS8" s="170">
        <f t="shared" si="14"/>
        <v>0</v>
      </c>
      <c r="AT8" s="170">
        <f t="shared" si="14"/>
        <v>0</v>
      </c>
      <c r="AU8" s="170">
        <f t="shared" si="14"/>
        <v>0</v>
      </c>
      <c r="AW8" s="79">
        <v>0</v>
      </c>
      <c r="AX8" s="156">
        <f t="shared" si="5"/>
        <v>0</v>
      </c>
      <c r="AY8" s="79">
        <v>26.035398239999999</v>
      </c>
      <c r="AZ8" s="79">
        <f>BF8-AY8</f>
        <v>14.112301760000001</v>
      </c>
      <c r="BB8" s="79">
        <v>0</v>
      </c>
      <c r="BC8" s="79">
        <v>0</v>
      </c>
      <c r="BD8" s="79">
        <v>0</v>
      </c>
      <c r="BE8" s="79">
        <v>0</v>
      </c>
      <c r="BF8" s="79">
        <v>40.1477</v>
      </c>
      <c r="BG8" s="156">
        <f>SUM(L8:O8)</f>
        <v>77.162403657163097</v>
      </c>
      <c r="BH8" s="156">
        <f t="shared" ref="BH8" si="15">SUM(P8:S8)</f>
        <v>0</v>
      </c>
      <c r="BI8" s="156">
        <f>SUM(T8:W8)</f>
        <v>0</v>
      </c>
      <c r="BJ8" s="156">
        <f t="shared" si="7"/>
        <v>0</v>
      </c>
      <c r="BK8" s="156">
        <f t="shared" si="12"/>
        <v>0</v>
      </c>
      <c r="BL8" s="156">
        <f t="shared" ref="BL8:BL12" si="16">SUM(AF8:AI8)</f>
        <v>0</v>
      </c>
      <c r="BM8" s="156">
        <f t="shared" si="8"/>
        <v>0</v>
      </c>
      <c r="BN8" s="156">
        <f t="shared" si="9"/>
        <v>0</v>
      </c>
      <c r="BO8" s="156">
        <f t="shared" si="10"/>
        <v>0</v>
      </c>
    </row>
    <row r="9" spans="1:67">
      <c r="A9" s="38" t="s">
        <v>347</v>
      </c>
      <c r="C9" s="240" t="s">
        <v>445</v>
      </c>
      <c r="D9" s="126">
        <f>AW9*D$13</f>
        <v>1.3215002385453185</v>
      </c>
      <c r="E9" s="170">
        <f>AW9-D9</f>
        <v>8.6536514114546819</v>
      </c>
      <c r="F9" s="126">
        <f>AX9*F$13</f>
        <v>2.0525696513821781</v>
      </c>
      <c r="G9" s="170">
        <f>AX9-F9</f>
        <v>8.7966672586178198</v>
      </c>
      <c r="H9" s="126">
        <f>AY9*H$13</f>
        <v>21.946048705635093</v>
      </c>
      <c r="I9" s="170">
        <f t="shared" si="13"/>
        <v>61.797762434364913</v>
      </c>
      <c r="J9" s="126">
        <f>AZ9*0.21</f>
        <v>19.195910126400001</v>
      </c>
      <c r="K9" s="170">
        <f>BF9-H9-I9-J9</f>
        <v>72.213185713600012</v>
      </c>
      <c r="L9" s="170">
        <f t="shared" ref="L9:S9" si="17">H9*(1+L18)</f>
        <v>15.090103089994686</v>
      </c>
      <c r="M9" s="170">
        <f t="shared" si="17"/>
        <v>12.983709887460066</v>
      </c>
      <c r="N9" s="170">
        <f t="shared" si="17"/>
        <v>4.583023542678001</v>
      </c>
      <c r="O9" s="170">
        <f t="shared" si="17"/>
        <v>5.1809045798672493</v>
      </c>
      <c r="P9" s="170">
        <f t="shared" si="17"/>
        <v>4.2252288651985088</v>
      </c>
      <c r="Q9" s="170">
        <f t="shared" si="17"/>
        <v>3.5056016696142178</v>
      </c>
      <c r="R9" s="170">
        <f t="shared" si="17"/>
        <v>1.3749070628034006</v>
      </c>
      <c r="S9" s="170">
        <f t="shared" si="17"/>
        <v>1.7187883423838735</v>
      </c>
      <c r="T9" s="126">
        <v>2.1800000000000002</v>
      </c>
      <c r="U9" s="93">
        <f>3.42440717-T9</f>
        <v>1.2444071699999997</v>
      </c>
      <c r="V9" s="170">
        <f>R9*(1+V18)</f>
        <v>1.3749070628034006</v>
      </c>
      <c r="W9" s="93">
        <f>6.5420118-V9-U9-T9</f>
        <v>1.7426975671965992</v>
      </c>
      <c r="X9" s="170">
        <f t="shared" ref="X9:AU9" si="18">T9*(1+X18)</f>
        <v>1.0900000000000001</v>
      </c>
      <c r="Y9" s="170">
        <f t="shared" si="18"/>
        <v>0.62220358499999984</v>
      </c>
      <c r="Z9" s="170">
        <f t="shared" si="18"/>
        <v>0.68745353140170029</v>
      </c>
      <c r="AA9" s="170">
        <f>BJ9-SUM(X9:Z9)</f>
        <v>0.99432961359829974</v>
      </c>
      <c r="AB9" s="170">
        <f t="shared" si="18"/>
        <v>1.0900000000000001</v>
      </c>
      <c r="AC9" s="170">
        <f t="shared" si="18"/>
        <v>0.62220358499999984</v>
      </c>
      <c r="AD9" s="170">
        <f t="shared" si="18"/>
        <v>0.68745353140170029</v>
      </c>
      <c r="AE9" s="170">
        <f t="shared" si="18"/>
        <v>0.99432961359829974</v>
      </c>
      <c r="AF9" s="170">
        <f t="shared" si="18"/>
        <v>1.0900000000000001</v>
      </c>
      <c r="AG9" s="170">
        <f t="shared" si="18"/>
        <v>0.62220358499999984</v>
      </c>
      <c r="AH9" s="170">
        <f t="shared" si="18"/>
        <v>0.68745353140170029</v>
      </c>
      <c r="AI9" s="170">
        <f t="shared" si="18"/>
        <v>0.99432961359829974</v>
      </c>
      <c r="AJ9" s="170">
        <f t="shared" si="18"/>
        <v>1.0900000000000001</v>
      </c>
      <c r="AK9" s="170">
        <f t="shared" si="18"/>
        <v>0.62220358499999984</v>
      </c>
      <c r="AL9" s="170">
        <f t="shared" si="18"/>
        <v>0.68745353140170029</v>
      </c>
      <c r="AM9" s="170">
        <f t="shared" si="18"/>
        <v>0.99432961359829974</v>
      </c>
      <c r="AN9" s="170">
        <f t="shared" si="18"/>
        <v>1.0900000000000001</v>
      </c>
      <c r="AO9" s="170">
        <f t="shared" si="18"/>
        <v>0.62220358499999984</v>
      </c>
      <c r="AP9" s="170">
        <f t="shared" si="18"/>
        <v>0.68745353140170029</v>
      </c>
      <c r="AQ9" s="170">
        <f t="shared" si="18"/>
        <v>0.99432961359829974</v>
      </c>
      <c r="AR9" s="170">
        <f t="shared" si="18"/>
        <v>1.0900000000000001</v>
      </c>
      <c r="AS9" s="170">
        <f t="shared" si="18"/>
        <v>0.62220358499999984</v>
      </c>
      <c r="AT9" s="170">
        <f t="shared" si="18"/>
        <v>0.68745353140170029</v>
      </c>
      <c r="AU9" s="170">
        <f t="shared" si="18"/>
        <v>0.99432961359829974</v>
      </c>
      <c r="AW9" s="79">
        <v>9.9751516500000008</v>
      </c>
      <c r="AX9" s="156">
        <f t="shared" si="5"/>
        <v>10.849236909999998</v>
      </c>
      <c r="AY9" s="79">
        <v>83.743811140000005</v>
      </c>
      <c r="AZ9" s="79">
        <f t="shared" si="6"/>
        <v>91.409095840000006</v>
      </c>
      <c r="BB9" s="79">
        <v>0</v>
      </c>
      <c r="BC9" s="79">
        <v>0</v>
      </c>
      <c r="BD9" s="79">
        <v>0</v>
      </c>
      <c r="BE9" s="79">
        <v>20.824388559999999</v>
      </c>
      <c r="BF9" s="79">
        <v>175.15290698000001</v>
      </c>
      <c r="BG9" s="79">
        <v>37.837741100000002</v>
      </c>
      <c r="BH9" s="79">
        <v>10.824525939999999</v>
      </c>
      <c r="BI9" s="79">
        <v>6.5420118</v>
      </c>
      <c r="BJ9" s="79">
        <v>3.39398673</v>
      </c>
      <c r="BK9" s="156">
        <f t="shared" si="12"/>
        <v>3.39398673</v>
      </c>
      <c r="BL9" s="156">
        <f t="shared" si="16"/>
        <v>3.39398673</v>
      </c>
      <c r="BM9" s="156">
        <f t="shared" si="8"/>
        <v>3.39398673</v>
      </c>
      <c r="BN9" s="156">
        <f t="shared" si="9"/>
        <v>3.39398673</v>
      </c>
      <c r="BO9" s="156">
        <f t="shared" si="10"/>
        <v>3.39398673</v>
      </c>
    </row>
    <row r="10" spans="1:67">
      <c r="C10" s="240" t="s">
        <v>446</v>
      </c>
      <c r="D10" s="126">
        <v>0</v>
      </c>
      <c r="E10" s="170">
        <f>AW10-D10</f>
        <v>0.12794027999999999</v>
      </c>
      <c r="F10" s="126">
        <f>AX10*F$13</f>
        <v>61.585741210788854</v>
      </c>
      <c r="G10" s="170">
        <f>AX10-F10</f>
        <v>263.93709608921114</v>
      </c>
      <c r="H10" s="126">
        <v>0</v>
      </c>
      <c r="I10" s="170">
        <f t="shared" si="13"/>
        <v>1.58214381</v>
      </c>
      <c r="J10" s="126">
        <f>AZ10*0.13</f>
        <v>59.022907420100005</v>
      </c>
      <c r="K10" s="170">
        <f>BF10-H10-I10-J10</f>
        <v>394.99945734990001</v>
      </c>
      <c r="L10" s="170">
        <f t="shared" ref="L10:R10" si="19">L184</f>
        <v>0</v>
      </c>
      <c r="M10" s="170">
        <f t="shared" si="19"/>
        <v>6.8776543156500001</v>
      </c>
      <c r="N10" s="170">
        <f t="shared" si="19"/>
        <v>52.728683086650001</v>
      </c>
      <c r="O10" s="170">
        <f t="shared" si="19"/>
        <v>398.90395030770003</v>
      </c>
      <c r="P10" s="170">
        <f t="shared" si="19"/>
        <v>24.181309735999999</v>
      </c>
      <c r="Q10" s="170">
        <f t="shared" si="19"/>
        <v>24.181309735999999</v>
      </c>
      <c r="R10" s="170">
        <f t="shared" si="19"/>
        <v>13.904253098199998</v>
      </c>
      <c r="S10" s="170">
        <f t="shared" ref="S10" si="20">BH10-SUM(P10:R10)</f>
        <v>542.26587082979995</v>
      </c>
      <c r="T10" s="170">
        <f>0.06792367*0.9/2</f>
        <v>3.0565651500000002E-2</v>
      </c>
      <c r="U10" s="93">
        <f>0.06792367*0.9-T10</f>
        <v>3.0565651500000002E-2</v>
      </c>
      <c r="V10" s="170">
        <f>(1.14417599*0.9-SUM(T10:U10))/2</f>
        <v>0.48431354399999993</v>
      </c>
      <c r="W10" s="93">
        <f>1.14417599*0.9-SUM(T10:V10)</f>
        <v>0.48431354399999993</v>
      </c>
      <c r="X10" s="170">
        <f t="shared" ref="X10:AU10" si="21">X184</f>
        <v>0</v>
      </c>
      <c r="Y10" s="170">
        <f t="shared" si="21"/>
        <v>0</v>
      </c>
      <c r="Z10" s="170">
        <f t="shared" si="21"/>
        <v>0</v>
      </c>
      <c r="AA10" s="170">
        <f t="shared" si="21"/>
        <v>0</v>
      </c>
      <c r="AB10" s="170">
        <f t="shared" si="21"/>
        <v>0</v>
      </c>
      <c r="AC10" s="170">
        <f t="shared" si="21"/>
        <v>0</v>
      </c>
      <c r="AD10" s="170">
        <f t="shared" si="21"/>
        <v>0</v>
      </c>
      <c r="AE10" s="170">
        <f t="shared" si="21"/>
        <v>0</v>
      </c>
      <c r="AF10" s="170">
        <f t="shared" si="21"/>
        <v>0</v>
      </c>
      <c r="AG10" s="170">
        <f t="shared" si="21"/>
        <v>0</v>
      </c>
      <c r="AH10" s="170">
        <f t="shared" si="21"/>
        <v>0</v>
      </c>
      <c r="AI10" s="170">
        <f t="shared" si="21"/>
        <v>0</v>
      </c>
      <c r="AJ10" s="170">
        <f t="shared" si="21"/>
        <v>0</v>
      </c>
      <c r="AK10" s="170">
        <f t="shared" si="21"/>
        <v>0</v>
      </c>
      <c r="AL10" s="170">
        <f t="shared" si="21"/>
        <v>0</v>
      </c>
      <c r="AM10" s="170">
        <f t="shared" si="21"/>
        <v>0</v>
      </c>
      <c r="AN10" s="170">
        <f t="shared" si="21"/>
        <v>0</v>
      </c>
      <c r="AO10" s="170">
        <f t="shared" si="21"/>
        <v>0</v>
      </c>
      <c r="AP10" s="170">
        <f t="shared" si="21"/>
        <v>0</v>
      </c>
      <c r="AQ10" s="170">
        <f t="shared" si="21"/>
        <v>0</v>
      </c>
      <c r="AR10" s="170">
        <f t="shared" si="21"/>
        <v>0</v>
      </c>
      <c r="AS10" s="170">
        <f t="shared" si="21"/>
        <v>0</v>
      </c>
      <c r="AT10" s="170">
        <f t="shared" si="21"/>
        <v>0</v>
      </c>
      <c r="AU10" s="170">
        <f t="shared" si="21"/>
        <v>0</v>
      </c>
      <c r="AW10" s="79">
        <v>0.12794027999999999</v>
      </c>
      <c r="AX10" s="156">
        <f t="shared" si="5"/>
        <v>325.52283729999999</v>
      </c>
      <c r="AY10" s="79">
        <v>1.58214381</v>
      </c>
      <c r="AZ10" s="79">
        <f t="shared" si="6"/>
        <v>454.02236477000002</v>
      </c>
      <c r="BB10" s="79">
        <v>0</v>
      </c>
      <c r="BC10" s="79">
        <v>0</v>
      </c>
      <c r="BD10" s="79">
        <v>296.18150000000003</v>
      </c>
      <c r="BE10" s="79">
        <v>325.65077758000001</v>
      </c>
      <c r="BF10" s="79">
        <v>455.60450858000002</v>
      </c>
      <c r="BG10" s="79">
        <v>458.51028771</v>
      </c>
      <c r="BH10" s="79">
        <v>604.53274339999996</v>
      </c>
      <c r="BI10" s="156">
        <f>1.14417599*90%</f>
        <v>1.0297583909999999</v>
      </c>
      <c r="BJ10" s="156">
        <f t="shared" si="7"/>
        <v>0</v>
      </c>
      <c r="BK10" s="156">
        <f t="shared" si="12"/>
        <v>0</v>
      </c>
      <c r="BL10" s="156">
        <f t="shared" si="16"/>
        <v>0</v>
      </c>
      <c r="BM10" s="156">
        <f t="shared" si="8"/>
        <v>0</v>
      </c>
      <c r="BN10" s="156">
        <f t="shared" si="9"/>
        <v>0</v>
      </c>
      <c r="BO10" s="156">
        <f t="shared" si="10"/>
        <v>0</v>
      </c>
    </row>
    <row r="11" spans="1:67">
      <c r="A11" s="38" t="s">
        <v>345</v>
      </c>
      <c r="C11" s="240" t="s">
        <v>462</v>
      </c>
      <c r="D11" s="126">
        <f>AW11*D$13</f>
        <v>1.9573366051936942</v>
      </c>
      <c r="E11" s="170">
        <f>AW11-D11</f>
        <v>12.817333044806306</v>
      </c>
      <c r="F11" s="126">
        <f>AX11*F$13</f>
        <v>1.3150381043841703</v>
      </c>
      <c r="G11" s="170">
        <f>AX11-F11</f>
        <v>5.6358392656158305</v>
      </c>
      <c r="H11" s="126">
        <f>AY11*H$13</f>
        <v>1.7546345878337426</v>
      </c>
      <c r="I11" s="170">
        <f t="shared" si="13"/>
        <v>4.9408662521662574</v>
      </c>
      <c r="J11" s="126">
        <f>AZ11*J13</f>
        <v>2.5546959401434411E-2</v>
      </c>
      <c r="K11" s="170">
        <f>BF11-H11-I11-J11</f>
        <v>0.15066720059856537</v>
      </c>
      <c r="L11" s="156">
        <f>BG11/4</f>
        <v>0.28446902499999999</v>
      </c>
      <c r="M11" s="156">
        <f>L11</f>
        <v>0.28446902499999999</v>
      </c>
      <c r="N11" s="170">
        <f>M11</f>
        <v>0.28446902499999999</v>
      </c>
      <c r="O11" s="170">
        <f>BG11-N11-M11-L11</f>
        <v>0.2844690250000001</v>
      </c>
      <c r="P11" s="156">
        <f>BH11/4</f>
        <v>5.8451327499999997E-2</v>
      </c>
      <c r="Q11" s="156">
        <f>P11</f>
        <v>5.8451327499999997E-2</v>
      </c>
      <c r="R11" s="156">
        <f>Q11</f>
        <v>5.8451327499999997E-2</v>
      </c>
      <c r="S11" s="156">
        <f>BH11-R11-Q11-P11</f>
        <v>5.8451327500000011E-2</v>
      </c>
      <c r="T11" s="156">
        <f>P11*(1+T20)</f>
        <v>0.11105752224999998</v>
      </c>
      <c r="U11" s="79">
        <f>0.22123894-T11</f>
        <v>0.11018141775000001</v>
      </c>
      <c r="V11" s="156">
        <f>R11*(1+V20)</f>
        <v>9.6444690374999989E-2</v>
      </c>
      <c r="W11" s="79">
        <f>0.41238938-SUM(T11:V11)</f>
        <v>9.4705749625000057E-2</v>
      </c>
      <c r="X11" s="156">
        <f t="shared" ref="X11:AU11" si="22">T11*(1+X20)</f>
        <v>0.55528761124999992</v>
      </c>
      <c r="Y11" s="156">
        <f t="shared" si="22"/>
        <v>0.55090708875000005</v>
      </c>
      <c r="Z11" s="156">
        <f t="shared" si="22"/>
        <v>0.57866814224999996</v>
      </c>
      <c r="AA11" s="156">
        <f t="shared" ref="AA11:AA12" si="23">BJ11-SUM(X11:Z11)</f>
        <v>0.60388708774999977</v>
      </c>
      <c r="AB11" s="156">
        <f>X11*(1+AB20)</f>
        <v>0.77740265574999989</v>
      </c>
      <c r="AC11" s="156">
        <f t="shared" si="22"/>
        <v>0.77126992425000007</v>
      </c>
      <c r="AD11" s="156">
        <f t="shared" si="22"/>
        <v>0.81013539914999988</v>
      </c>
      <c r="AE11" s="156">
        <f t="shared" si="22"/>
        <v>0.84544192284999964</v>
      </c>
      <c r="AF11" s="156">
        <f t="shared" si="22"/>
        <v>1.010623452475</v>
      </c>
      <c r="AG11" s="156">
        <f t="shared" si="22"/>
        <v>1.002650901525</v>
      </c>
      <c r="AH11" s="156">
        <f t="shared" si="22"/>
        <v>1.0531760188949999</v>
      </c>
      <c r="AI11" s="156">
        <f t="shared" si="22"/>
        <v>1.0990744997049995</v>
      </c>
      <c r="AJ11" s="156">
        <f t="shared" si="22"/>
        <v>1.21274814297</v>
      </c>
      <c r="AK11" s="156">
        <f t="shared" si="22"/>
        <v>1.2031810818299999</v>
      </c>
      <c r="AL11" s="156">
        <f t="shared" si="22"/>
        <v>1.2638112226739999</v>
      </c>
      <c r="AM11" s="156">
        <f t="shared" si="22"/>
        <v>1.3188893996459994</v>
      </c>
      <c r="AN11" s="156">
        <f t="shared" si="22"/>
        <v>1.3340229572670002</v>
      </c>
      <c r="AO11" s="156">
        <f t="shared" si="22"/>
        <v>1.323499190013</v>
      </c>
      <c r="AP11" s="156">
        <f t="shared" si="22"/>
        <v>1.3901923449414</v>
      </c>
      <c r="AQ11" s="156">
        <f t="shared" si="22"/>
        <v>1.4507783396105995</v>
      </c>
      <c r="AR11" s="156">
        <f t="shared" si="22"/>
        <v>1.4674252529937002</v>
      </c>
      <c r="AS11" s="156">
        <f t="shared" si="22"/>
        <v>1.4558491090143002</v>
      </c>
      <c r="AT11" s="156">
        <f t="shared" si="22"/>
        <v>1.5292115794355401</v>
      </c>
      <c r="AU11" s="156">
        <f t="shared" si="22"/>
        <v>1.5958561735716597</v>
      </c>
      <c r="AW11" s="79">
        <f>4.76670505+10.0079646</f>
        <v>14.77466965</v>
      </c>
      <c r="AX11" s="156">
        <f t="shared" si="5"/>
        <v>6.9508773700000006</v>
      </c>
      <c r="AY11" s="79">
        <f>6.17261854+0.5228823</f>
        <v>6.6955008400000002</v>
      </c>
      <c r="AZ11" s="156">
        <f t="shared" si="6"/>
        <v>0.17621415999999979</v>
      </c>
      <c r="BA11" s="228">
        <f>BG11-L11-M11-N11-O11</f>
        <v>0</v>
      </c>
      <c r="BB11" s="79">
        <v>7.7126999999999999</v>
      </c>
      <c r="BC11" s="79">
        <v>116.6621</v>
      </c>
      <c r="BD11" s="79">
        <v>68.771199999999993</v>
      </c>
      <c r="BE11" s="79">
        <f>11.71758242+10.0079646</f>
        <v>21.72554702</v>
      </c>
      <c r="BF11" s="79">
        <v>6.871715</v>
      </c>
      <c r="BG11" s="79">
        <v>1.1378760999999999</v>
      </c>
      <c r="BH11" s="79">
        <v>0.23380530999999999</v>
      </c>
      <c r="BI11" s="79">
        <v>0.41238938000000003</v>
      </c>
      <c r="BJ11" s="79">
        <v>2.2887499299999998</v>
      </c>
      <c r="BK11" s="156">
        <f t="shared" si="12"/>
        <v>3.2042499019999995</v>
      </c>
      <c r="BL11" s="156">
        <f t="shared" si="16"/>
        <v>4.1655248725999989</v>
      </c>
      <c r="BM11" s="156">
        <f t="shared" si="8"/>
        <v>4.9986298471199992</v>
      </c>
      <c r="BN11" s="156">
        <f t="shared" si="9"/>
        <v>5.4984928318319994</v>
      </c>
      <c r="BO11" s="156">
        <f t="shared" si="10"/>
        <v>6.0483421150152008</v>
      </c>
    </row>
    <row r="12" spans="1:67">
      <c r="C12" s="240" t="s">
        <v>33</v>
      </c>
      <c r="D12" s="170">
        <f>D6-SUM(D7:D11)</f>
        <v>3.1200937196896206E-2</v>
      </c>
      <c r="E12" s="170">
        <f>E6-SUM(E7:E11)</f>
        <v>7.6374502803105315E-2</v>
      </c>
      <c r="F12" s="170">
        <f>F6-SUM(F7:F11)</f>
        <v>0.82615206967059862</v>
      </c>
      <c r="G12" s="170">
        <f>G6-SUM(G7:G11)</f>
        <v>3.5406276503293839</v>
      </c>
      <c r="H12" s="170">
        <f>H6-SUM(H7:H11)</f>
        <v>0.6877296073678778</v>
      </c>
      <c r="I12" s="170">
        <f t="shared" si="13"/>
        <v>0.35443035263211442</v>
      </c>
      <c r="J12" s="170">
        <f t="shared" ref="J12:X12" si="24">J6-SUM(J7:J11)</f>
        <v>1.1666647645689068</v>
      </c>
      <c r="K12" s="170">
        <f t="shared" si="24"/>
        <v>0.97569199543107743</v>
      </c>
      <c r="L12" s="170">
        <f t="shared" si="24"/>
        <v>3.0337153299236306</v>
      </c>
      <c r="M12" s="170">
        <f t="shared" si="24"/>
        <v>2.9018996269716126</v>
      </c>
      <c r="N12" s="170">
        <f t="shared" si="24"/>
        <v>3.6617195173737827</v>
      </c>
      <c r="O12" s="170">
        <f t="shared" si="24"/>
        <v>2.5024349157309302</v>
      </c>
      <c r="P12" s="170">
        <f>P6-SUM(P7:P11)</f>
        <v>0.24832072001606775</v>
      </c>
      <c r="Q12" s="170">
        <f t="shared" si="24"/>
        <v>8.4738387297349504E-3</v>
      </c>
      <c r="R12" s="170">
        <f t="shared" si="24"/>
        <v>0.99980219999657294</v>
      </c>
      <c r="S12" s="170">
        <f>BH12-SUM(P12:R12)</f>
        <v>1.9738359512577972</v>
      </c>
      <c r="T12" s="170">
        <f t="shared" si="24"/>
        <v>4.4076862499977665E-3</v>
      </c>
      <c r="U12" s="170">
        <f t="shared" si="24"/>
        <v>2.3846807499978695E-3</v>
      </c>
      <c r="V12" s="170">
        <f t="shared" si="24"/>
        <v>0.10299372282159425</v>
      </c>
      <c r="W12" s="170">
        <f t="shared" si="24"/>
        <v>9.1946359178336934E-2</v>
      </c>
      <c r="X12" s="170">
        <f t="shared" si="24"/>
        <v>2.949726688750161</v>
      </c>
      <c r="Y12" s="170">
        <f t="shared" ref="Y12:AU12" si="25">U12*(1+Y21)</f>
        <v>3.5794058057468021</v>
      </c>
      <c r="Z12" s="170">
        <f t="shared" si="25"/>
        <v>5.2526798639013066</v>
      </c>
      <c r="AA12" s="170">
        <f t="shared" si="23"/>
        <v>2.8764050716018801</v>
      </c>
      <c r="AB12" s="170">
        <f t="shared" si="25"/>
        <v>2.949726688750161</v>
      </c>
      <c r="AC12" s="170">
        <f t="shared" si="25"/>
        <v>3.5794058057468021</v>
      </c>
      <c r="AD12" s="170">
        <f t="shared" si="25"/>
        <v>5.2526798639013066</v>
      </c>
      <c r="AE12" s="170">
        <f t="shared" si="25"/>
        <v>2.8764050716018801</v>
      </c>
      <c r="AF12" s="170">
        <f t="shared" si="25"/>
        <v>2.949726688750161</v>
      </c>
      <c r="AG12" s="170">
        <f t="shared" si="25"/>
        <v>3.5794058057468021</v>
      </c>
      <c r="AH12" s="170">
        <f t="shared" si="25"/>
        <v>5.2526798639013066</v>
      </c>
      <c r="AI12" s="170">
        <f t="shared" si="25"/>
        <v>2.8764050716018801</v>
      </c>
      <c r="AJ12" s="170">
        <f t="shared" si="25"/>
        <v>2.949726688750161</v>
      </c>
      <c r="AK12" s="170">
        <f t="shared" si="25"/>
        <v>3.5794058057468021</v>
      </c>
      <c r="AL12" s="170">
        <f t="shared" si="25"/>
        <v>5.2526798639013066</v>
      </c>
      <c r="AM12" s="170">
        <f t="shared" si="25"/>
        <v>2.8764050716018801</v>
      </c>
      <c r="AN12" s="170">
        <f t="shared" si="25"/>
        <v>2.949726688750161</v>
      </c>
      <c r="AO12" s="170">
        <f t="shared" si="25"/>
        <v>3.5794058057468021</v>
      </c>
      <c r="AP12" s="170">
        <f t="shared" si="25"/>
        <v>5.2526798639013066</v>
      </c>
      <c r="AQ12" s="170">
        <f t="shared" si="25"/>
        <v>2.8764050716018801</v>
      </c>
      <c r="AR12" s="170">
        <f t="shared" si="25"/>
        <v>2.949726688750161</v>
      </c>
      <c r="AS12" s="170">
        <f t="shared" si="25"/>
        <v>3.5794058057468021</v>
      </c>
      <c r="AT12" s="170">
        <f t="shared" si="25"/>
        <v>5.2526798639013066</v>
      </c>
      <c r="AU12" s="170">
        <f t="shared" si="25"/>
        <v>2.8764050716018801</v>
      </c>
      <c r="AW12" s="156">
        <f>AW6-SUM(AW7:AW11)</f>
        <v>0.10757543999999086</v>
      </c>
      <c r="AX12" s="156">
        <f>AX6-SUM(AX7:AX11)</f>
        <v>4.3667797200000109</v>
      </c>
      <c r="AY12" s="156">
        <f>AY6-SUM(AY7:AY11)</f>
        <v>1.0421599599999922</v>
      </c>
      <c r="AZ12" s="156">
        <f>AZ6-SUM(AZ7:AZ11)</f>
        <v>2.1423567600000979</v>
      </c>
      <c r="BB12" s="156">
        <f t="shared" ref="BB12:BH12" si="26">BB6-SUM(BB7:BB11)</f>
        <v>0.13057413999999934</v>
      </c>
      <c r="BC12" s="156">
        <f t="shared" si="26"/>
        <v>0.36313876000001244</v>
      </c>
      <c r="BD12" s="156">
        <f t="shared" si="26"/>
        <v>0.10336582000002181</v>
      </c>
      <c r="BE12" s="156">
        <f t="shared" si="26"/>
        <v>4.4743551599999591</v>
      </c>
      <c r="BF12" s="156">
        <f t="shared" si="26"/>
        <v>3.1845167200000333</v>
      </c>
      <c r="BG12" s="156">
        <f t="shared" si="26"/>
        <v>12.099769390000006</v>
      </c>
      <c r="BH12" s="156">
        <f t="shared" si="26"/>
        <v>3.2304327100001728</v>
      </c>
      <c r="BI12" s="156">
        <f>BI6-SUM(BI7:BI11)</f>
        <v>0.20173244899979181</v>
      </c>
      <c r="BJ12" s="156">
        <f>BJ6-SUM(BJ7:BJ11)</f>
        <v>14.65821743000015</v>
      </c>
      <c r="BK12" s="156">
        <f t="shared" si="12"/>
        <v>14.65821743000015</v>
      </c>
      <c r="BL12" s="156">
        <f t="shared" si="16"/>
        <v>14.65821743000015</v>
      </c>
      <c r="BM12" s="156">
        <f t="shared" si="8"/>
        <v>14.65821743000015</v>
      </c>
      <c r="BN12" s="156">
        <f t="shared" si="9"/>
        <v>14.65821743000015</v>
      </c>
      <c r="BO12" s="156">
        <f t="shared" si="10"/>
        <v>14.65821743000015</v>
      </c>
    </row>
    <row r="13" spans="1:67" s="235" customFormat="1">
      <c r="C13" s="235" t="s">
        <v>447</v>
      </c>
      <c r="D13" s="243">
        <f>D6/SUM(D6:E6)</f>
        <v>0.13247921283936756</v>
      </c>
      <c r="E13" s="243">
        <f>1-D13</f>
        <v>0.86752078716063241</v>
      </c>
      <c r="F13" s="243">
        <f>F6/SUM(F6:G6)</f>
        <v>0.18919023230935955</v>
      </c>
      <c r="G13" s="243">
        <f>1-F13</f>
        <v>0.8108097676906405</v>
      </c>
      <c r="H13" s="244">
        <f>H6/SUM(H6:I6)</f>
        <v>0.26206173813783623</v>
      </c>
      <c r="I13" s="244">
        <f>1-H13</f>
        <v>0.73793826186216371</v>
      </c>
      <c r="J13" s="244">
        <f>J6/SUM(J6:K6)</f>
        <v>0.14497676804993676</v>
      </c>
      <c r="K13" s="244">
        <f>1-J13</f>
        <v>0.85502323195006324</v>
      </c>
      <c r="L13" s="244">
        <f>L6/$BG$6</f>
        <v>8.6402936209628911E-2</v>
      </c>
      <c r="M13" s="244">
        <f>M6/$BG$6</f>
        <v>0.14922866249459127</v>
      </c>
      <c r="N13" s="244">
        <f>N6/$BG$6</f>
        <v>0.12699140897132732</v>
      </c>
      <c r="O13" s="244">
        <f>O6/$BG$6</f>
        <v>0.63737699232445255</v>
      </c>
      <c r="P13" s="244">
        <f>P6/$BH$6</f>
        <v>0.10613107394543836</v>
      </c>
      <c r="Q13" s="244">
        <f>Q6/$BH$6</f>
        <v>5.5230823544359549E-2</v>
      </c>
      <c r="R13" s="244">
        <f>R6/$BH$6</f>
        <v>4.4182997994944323E-2</v>
      </c>
      <c r="S13" s="244">
        <f>S6/$BH$6</f>
        <v>0.79445510451525769</v>
      </c>
      <c r="T13" s="244">
        <f>T6/SUM($T$6:$W$6)</f>
        <v>2.1853456225940249E-2</v>
      </c>
      <c r="U13" s="244">
        <f>U6/SUM($T$6:$W$6)</f>
        <v>3.3291122364411549E-2</v>
      </c>
      <c r="V13" s="244">
        <f>V6/SUM($T$6:$W$6)</f>
        <v>0.10263507037046445</v>
      </c>
      <c r="W13" s="244">
        <f>W6/SUM($T$6:$W$6)</f>
        <v>0.84222035103918391</v>
      </c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38"/>
      <c r="AW13" s="79"/>
      <c r="AX13" s="156"/>
      <c r="AY13" s="79"/>
      <c r="AZ13" s="79"/>
      <c r="BA13" s="38"/>
      <c r="BB13" s="246"/>
      <c r="BC13" s="246"/>
      <c r="BD13" s="246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</row>
    <row r="14" spans="1:67" s="235" customFormat="1">
      <c r="C14" s="235" t="s">
        <v>0</v>
      </c>
      <c r="D14" s="247">
        <f t="shared" ref="D14:AI14" si="27">SUM(D7:D12)-D6</f>
        <v>0</v>
      </c>
      <c r="E14" s="247">
        <f t="shared" si="27"/>
        <v>0</v>
      </c>
      <c r="F14" s="247">
        <f t="shared" si="27"/>
        <v>0</v>
      </c>
      <c r="G14" s="247">
        <f t="shared" si="27"/>
        <v>0</v>
      </c>
      <c r="H14" s="247">
        <f t="shared" si="27"/>
        <v>0</v>
      </c>
      <c r="I14" s="247">
        <f t="shared" si="27"/>
        <v>0</v>
      </c>
      <c r="J14" s="247">
        <f t="shared" si="27"/>
        <v>0</v>
      </c>
      <c r="K14" s="247">
        <f t="shared" si="27"/>
        <v>0</v>
      </c>
      <c r="L14" s="247">
        <f t="shared" si="27"/>
        <v>0</v>
      </c>
      <c r="M14" s="247">
        <f t="shared" si="27"/>
        <v>0</v>
      </c>
      <c r="N14" s="247">
        <f t="shared" si="27"/>
        <v>0</v>
      </c>
      <c r="O14" s="247">
        <f t="shared" si="27"/>
        <v>0</v>
      </c>
      <c r="P14" s="247">
        <f t="shared" si="27"/>
        <v>0</v>
      </c>
      <c r="Q14" s="247">
        <f t="shared" si="27"/>
        <v>0</v>
      </c>
      <c r="R14" s="247">
        <f t="shared" si="27"/>
        <v>0</v>
      </c>
      <c r="S14" s="247">
        <f t="shared" si="27"/>
        <v>0</v>
      </c>
      <c r="T14" s="247">
        <f t="shared" si="27"/>
        <v>0</v>
      </c>
      <c r="U14" s="247">
        <f t="shared" si="27"/>
        <v>0</v>
      </c>
      <c r="V14" s="247">
        <f t="shared" si="27"/>
        <v>0</v>
      </c>
      <c r="W14" s="247">
        <f t="shared" si="27"/>
        <v>0</v>
      </c>
      <c r="X14" s="247">
        <f t="shared" si="27"/>
        <v>0</v>
      </c>
      <c r="Y14" s="247">
        <f t="shared" si="27"/>
        <v>0</v>
      </c>
      <c r="Z14" s="247">
        <f t="shared" si="27"/>
        <v>0</v>
      </c>
      <c r="AA14" s="247">
        <f t="shared" si="27"/>
        <v>0</v>
      </c>
      <c r="AB14" s="247">
        <f t="shared" si="27"/>
        <v>0</v>
      </c>
      <c r="AC14" s="247">
        <f t="shared" si="27"/>
        <v>0</v>
      </c>
      <c r="AD14" s="247">
        <f t="shared" si="27"/>
        <v>0</v>
      </c>
      <c r="AE14" s="247">
        <f t="shared" si="27"/>
        <v>0</v>
      </c>
      <c r="AF14" s="247">
        <f t="shared" si="27"/>
        <v>0</v>
      </c>
      <c r="AG14" s="247">
        <f t="shared" si="27"/>
        <v>0</v>
      </c>
      <c r="AH14" s="247">
        <f t="shared" si="27"/>
        <v>0</v>
      </c>
      <c r="AI14" s="247">
        <f t="shared" si="27"/>
        <v>0</v>
      </c>
      <c r="AJ14" s="247">
        <f t="shared" ref="AJ14:AM14" si="28">SUM(AJ7:AJ12)-AJ6</f>
        <v>0</v>
      </c>
      <c r="AK14" s="247">
        <f t="shared" si="28"/>
        <v>0</v>
      </c>
      <c r="AL14" s="247">
        <f t="shared" si="28"/>
        <v>0</v>
      </c>
      <c r="AM14" s="247">
        <f t="shared" si="28"/>
        <v>0</v>
      </c>
      <c r="AN14" s="247">
        <f t="shared" ref="AN14:AQ14" si="29">SUM(AN7:AN12)-AN6</f>
        <v>0</v>
      </c>
      <c r="AO14" s="247">
        <f t="shared" si="29"/>
        <v>0</v>
      </c>
      <c r="AP14" s="247">
        <f t="shared" si="29"/>
        <v>0</v>
      </c>
      <c r="AQ14" s="247">
        <f t="shared" si="29"/>
        <v>0</v>
      </c>
      <c r="AR14" s="247">
        <f t="shared" ref="AR14:AU14" si="30">SUM(AR7:AR12)-AR6</f>
        <v>0</v>
      </c>
      <c r="AS14" s="247">
        <f t="shared" si="30"/>
        <v>0</v>
      </c>
      <c r="AT14" s="247">
        <f t="shared" si="30"/>
        <v>0</v>
      </c>
      <c r="AU14" s="247">
        <f t="shared" si="30"/>
        <v>0</v>
      </c>
      <c r="AV14" s="38"/>
      <c r="AW14" s="245"/>
      <c r="AX14" s="245"/>
      <c r="AY14" s="245"/>
      <c r="AZ14" s="245"/>
      <c r="BA14" s="38"/>
      <c r="BB14" s="245">
        <f>SUM(BB7:BB12)-PL!AZ4</f>
        <v>0</v>
      </c>
      <c r="BC14" s="245">
        <f>SUM(BC7:BC12)-PL!BA4</f>
        <v>0</v>
      </c>
      <c r="BD14" s="245">
        <f>SUM(BD7:BD12)-PL!BB4</f>
        <v>0</v>
      </c>
      <c r="BE14" s="245">
        <f>SUM(BE7:BE12)-PL!BC4</f>
        <v>0</v>
      </c>
      <c r="BF14" s="245">
        <f>SUM(BF7:BF12)-PL!BD4</f>
        <v>0</v>
      </c>
      <c r="BG14" s="245">
        <f>SUM(BG7:BG12)-PL!BE4</f>
        <v>0</v>
      </c>
      <c r="BH14" s="245">
        <f>SUM(BH7:BH12)-PL!BF4</f>
        <v>0</v>
      </c>
      <c r="BI14" s="245">
        <f>SUM(BI7:BI12)-PL!BG4</f>
        <v>0</v>
      </c>
      <c r="BJ14" s="245">
        <f>SUM(BJ7:BJ12)-PL!BH4</f>
        <v>0</v>
      </c>
      <c r="BK14" s="245">
        <f>SUM(BK7:BK12)-PL!BI4</f>
        <v>0</v>
      </c>
      <c r="BL14" s="245">
        <f>SUM(BL7:BL12)-PL!BJ4</f>
        <v>0</v>
      </c>
      <c r="BM14" s="245"/>
      <c r="BN14" s="245"/>
      <c r="BO14" s="245"/>
    </row>
    <row r="15" spans="1:67" s="248" customFormat="1">
      <c r="C15" s="237" t="s">
        <v>164</v>
      </c>
      <c r="D15" s="38"/>
      <c r="E15" s="38"/>
      <c r="F15" s="38"/>
      <c r="G15" s="38"/>
      <c r="H15" s="159">
        <f t="shared" ref="H15:Q17" si="31">IF(AND(H6&gt;0,D6&gt;0),(H6/D6-1), " ")</f>
        <v>2.1275121237989727</v>
      </c>
      <c r="I15" s="159">
        <f t="shared" si="31"/>
        <v>0.34487915631710941</v>
      </c>
      <c r="J15" s="159">
        <f t="shared" si="31"/>
        <v>0.20219990268091093</v>
      </c>
      <c r="K15" s="159">
        <f t="shared" si="31"/>
        <v>0.65438250327283254</v>
      </c>
      <c r="L15" s="159">
        <f t="shared" si="31"/>
        <v>0.74339729051598935</v>
      </c>
      <c r="M15" s="159">
        <f t="shared" si="31"/>
        <v>6.9310176992456674E-2</v>
      </c>
      <c r="N15" s="159">
        <f t="shared" si="31"/>
        <v>9.5031485280679506E-2</v>
      </c>
      <c r="O15" s="159">
        <f t="shared" si="31"/>
        <v>-6.8100355567353055E-2</v>
      </c>
      <c r="P15" s="159">
        <f t="shared" si="31"/>
        <v>0.19522281459030055</v>
      </c>
      <c r="Q15" s="159">
        <f t="shared" si="31"/>
        <v>-0.63986602940513815</v>
      </c>
      <c r="R15" s="159">
        <f t="shared" ref="R15:AA21" si="32">IF(AND(R6&gt;0,N6&gt;0),(R6/N6-1), " ")</f>
        <v>-0.66145558294677698</v>
      </c>
      <c r="S15" s="159">
        <f t="shared" si="32"/>
        <v>0.21285195919057842</v>
      </c>
      <c r="T15" s="159">
        <f t="shared" si="32"/>
        <v>-0.65909415197632104</v>
      </c>
      <c r="U15" s="159">
        <f t="shared" si="32"/>
        <v>-2.061458630850832E-3</v>
      </c>
      <c r="V15" s="159">
        <f t="shared" si="32"/>
        <v>2.84589551384496</v>
      </c>
      <c r="W15" s="159">
        <f t="shared" si="32"/>
        <v>0.75514600270510313</v>
      </c>
      <c r="X15" s="159">
        <f t="shared" si="32"/>
        <v>42.302203024576791</v>
      </c>
      <c r="Y15" s="159">
        <f t="shared" si="32"/>
        <v>44.250103747931675</v>
      </c>
      <c r="Z15" s="159">
        <f t="shared" si="32"/>
        <v>13.32522992326008</v>
      </c>
      <c r="AA15" s="159">
        <f t="shared" si="32"/>
        <v>0.91048570272397678</v>
      </c>
      <c r="AB15" s="159">
        <f t="shared" ref="AB15:AK17" si="33">IF(AND(AB6&gt;0,X6&gt;0),(AB6/X6-1), " ")</f>
        <v>1.5955547349373238</v>
      </c>
      <c r="AC15" s="159">
        <f t="shared" si="33"/>
        <v>0.75830802066901293</v>
      </c>
      <c r="AD15" s="159">
        <f t="shared" si="33"/>
        <v>3.7359773532281295</v>
      </c>
      <c r="AE15" s="159">
        <f t="shared" si="33"/>
        <v>4.1894507886068428</v>
      </c>
      <c r="AF15" s="159">
        <f t="shared" si="33"/>
        <v>3.9220548851366219</v>
      </c>
      <c r="AG15" s="159">
        <f t="shared" si="33"/>
        <v>4.8592216421161787</v>
      </c>
      <c r="AH15" s="159">
        <f t="shared" si="33"/>
        <v>1.9546129014536451</v>
      </c>
      <c r="AI15" s="159">
        <f t="shared" si="33"/>
        <v>2.5355645007088738</v>
      </c>
      <c r="AJ15" s="159">
        <f t="shared" si="33"/>
        <v>2.1018647066862051</v>
      </c>
      <c r="AK15" s="159">
        <f t="shared" si="33"/>
        <v>1.266028037050535</v>
      </c>
      <c r="AL15" s="159">
        <f t="shared" ref="AL15:AU17" si="34">IF(AND(AL6&gt;0,AH6&gt;0),(AL6/AH6-1), " ")</f>
        <v>0.69314029586407888</v>
      </c>
      <c r="AM15" s="159">
        <f t="shared" si="34"/>
        <v>0.33282001865505384</v>
      </c>
      <c r="AN15" s="159">
        <f t="shared" si="34"/>
        <v>0.51423038552229294</v>
      </c>
      <c r="AO15" s="159">
        <f t="shared" si="34"/>
        <v>0.5350992268266026</v>
      </c>
      <c r="AP15" s="159">
        <f t="shared" si="34"/>
        <v>0.46355247841708902</v>
      </c>
      <c r="AQ15" s="159">
        <f t="shared" si="34"/>
        <v>0.37522717492532132</v>
      </c>
      <c r="AR15" s="159">
        <f t="shared" si="34"/>
        <v>0.18772719686737749</v>
      </c>
      <c r="AS15" s="159">
        <f t="shared" si="34"/>
        <v>0.27255791795751061</v>
      </c>
      <c r="AT15" s="159">
        <f t="shared" si="34"/>
        <v>0.2859963400763661</v>
      </c>
      <c r="AU15" s="159">
        <f t="shared" si="34"/>
        <v>0.29878138276609612</v>
      </c>
      <c r="AV15" s="38"/>
      <c r="AW15" s="159"/>
      <c r="AX15" s="159"/>
      <c r="AY15" s="249"/>
      <c r="AZ15" s="249"/>
      <c r="BA15" s="38"/>
      <c r="BB15" s="159"/>
      <c r="BC15" s="159">
        <f t="shared" ref="BC15:BO15" si="35">IF(AND(BB6&gt;0,BC6&gt;0),(BC6/BB6-1)," ")</f>
        <v>13.920457537392672</v>
      </c>
      <c r="BD15" s="159">
        <f t="shared" si="35"/>
        <v>2.7935275375121993</v>
      </c>
      <c r="BE15" s="159">
        <f t="shared" si="35"/>
        <v>3.3763383901221466E-2</v>
      </c>
      <c r="BF15" s="105">
        <f t="shared" si="35"/>
        <v>0.57115349377280977</v>
      </c>
      <c r="BG15" s="105">
        <f t="shared" si="35"/>
        <v>1.1080225213335515E-2</v>
      </c>
      <c r="BH15" s="105">
        <f t="shared" si="35"/>
        <v>-2.6950762239247417E-2</v>
      </c>
      <c r="BI15" s="105">
        <f t="shared" si="35"/>
        <v>0.65560556604710518</v>
      </c>
      <c r="BJ15" s="250">
        <f t="shared" si="35"/>
        <v>4.532050459609489</v>
      </c>
      <c r="BK15" s="250">
        <f t="shared" si="35"/>
        <v>2.6908915826202215</v>
      </c>
      <c r="BL15" s="250">
        <f t="shared" si="35"/>
        <v>2.805667732596536</v>
      </c>
      <c r="BM15" s="250">
        <f t="shared" si="35"/>
        <v>0.88983680412694666</v>
      </c>
      <c r="BN15" s="250">
        <f t="shared" si="35"/>
        <v>0.46996149417522282</v>
      </c>
      <c r="BO15" s="250">
        <f t="shared" si="35"/>
        <v>0.25999040585695266</v>
      </c>
    </row>
    <row r="16" spans="1:67" s="248" customFormat="1">
      <c r="C16" s="38" t="str">
        <f t="shared" ref="C16:C21" si="36">C7</f>
        <v>Cloud - Chips and accelerator</v>
      </c>
      <c r="D16" s="38"/>
      <c r="E16" s="38"/>
      <c r="F16" s="38"/>
      <c r="G16" s="38"/>
      <c r="H16" s="71">
        <f t="shared" si="31"/>
        <v>-0.40313385840876848</v>
      </c>
      <c r="I16" s="71">
        <f t="shared" si="31"/>
        <v>-0.74333821863417349</v>
      </c>
      <c r="J16" s="71">
        <f t="shared" si="31"/>
        <v>-0.32053141630997972</v>
      </c>
      <c r="K16" s="71">
        <f t="shared" si="31"/>
        <v>-6.4963377659912114E-2</v>
      </c>
      <c r="L16" s="71">
        <f t="shared" si="31"/>
        <v>5.1024506160142131</v>
      </c>
      <c r="M16" s="71">
        <f t="shared" si="31"/>
        <v>1.8349709806750827</v>
      </c>
      <c r="N16" s="71">
        <f t="shared" si="31"/>
        <v>6.5690050001991063</v>
      </c>
      <c r="O16" s="71">
        <f t="shared" si="31"/>
        <v>1.722384351867341</v>
      </c>
      <c r="P16" s="71">
        <f t="shared" si="31"/>
        <v>0.55132921105905996</v>
      </c>
      <c r="Q16" s="71">
        <f t="shared" si="31"/>
        <v>-0.70906615175207555</v>
      </c>
      <c r="R16" s="71">
        <f t="shared" si="32"/>
        <v>-0.35832981330658276</v>
      </c>
      <c r="S16" s="71">
        <f t="shared" si="32"/>
        <v>-0.64602730661109187</v>
      </c>
      <c r="T16" s="71">
        <f t="shared" si="32"/>
        <v>-0.49886740297440701</v>
      </c>
      <c r="U16" s="71">
        <f t="shared" si="32"/>
        <v>2.3004674978315838</v>
      </c>
      <c r="V16" s="71">
        <f t="shared" si="32"/>
        <v>6.895989280635515</v>
      </c>
      <c r="W16" s="71">
        <f t="shared" si="32"/>
        <v>55.196410031540182</v>
      </c>
      <c r="X16" s="71">
        <f t="shared" si="32"/>
        <v>46.420752182672935</v>
      </c>
      <c r="Y16" s="71">
        <f t="shared" si="32"/>
        <v>45.788983355527762</v>
      </c>
      <c r="Z16" s="71">
        <f t="shared" si="32"/>
        <v>13.51911465489712</v>
      </c>
      <c r="AA16" s="71">
        <f t="shared" si="32"/>
        <v>0.9106241857358639</v>
      </c>
      <c r="AB16" s="71">
        <f t="shared" si="33"/>
        <v>1.6019781688434351</v>
      </c>
      <c r="AC16" s="71">
        <f t="shared" si="33"/>
        <v>0.76022557454623985</v>
      </c>
      <c r="AD16" s="71">
        <f t="shared" si="33"/>
        <v>3.75</v>
      </c>
      <c r="AE16" s="71">
        <f t="shared" si="33"/>
        <v>4.1992660329886187</v>
      </c>
      <c r="AF16" s="71">
        <f t="shared" si="33"/>
        <v>3.9285342618326888</v>
      </c>
      <c r="AG16" s="71">
        <f t="shared" si="33"/>
        <v>4.86692727044995</v>
      </c>
      <c r="AH16" s="71">
        <f t="shared" si="33"/>
        <v>1.9561978645726446</v>
      </c>
      <c r="AI16" s="71">
        <f t="shared" si="33"/>
        <v>2.5367585778617183</v>
      </c>
      <c r="AJ16" s="71">
        <f t="shared" si="33"/>
        <v>2.1025983499313803</v>
      </c>
      <c r="AK16" s="71">
        <f t="shared" si="33"/>
        <v>1.2663786116144427</v>
      </c>
      <c r="AL16" s="71">
        <f t="shared" si="34"/>
        <v>0.69333224587707942</v>
      </c>
      <c r="AM16" s="71">
        <f t="shared" si="34"/>
        <v>0.33286138943106436</v>
      </c>
      <c r="AN16" s="71">
        <f t="shared" si="34"/>
        <v>0.51428896598108076</v>
      </c>
      <c r="AO16" s="71">
        <f t="shared" si="34"/>
        <v>0.53516634308442423</v>
      </c>
      <c r="AP16" s="71">
        <f t="shared" si="34"/>
        <v>0.4636310291485648</v>
      </c>
      <c r="AQ16" s="71">
        <f t="shared" si="34"/>
        <v>0.3752664629174618</v>
      </c>
      <c r="AR16" s="71">
        <f t="shared" si="34"/>
        <v>0.1877403242594724</v>
      </c>
      <c r="AS16" s="71">
        <f t="shared" si="34"/>
        <v>0.27257958310684471</v>
      </c>
      <c r="AT16" s="71">
        <f t="shared" si="34"/>
        <v>0.28602903573438332</v>
      </c>
      <c r="AU16" s="71">
        <f t="shared" si="34"/>
        <v>0.29880411991579403</v>
      </c>
      <c r="AV16" s="38"/>
      <c r="AW16" s="71"/>
      <c r="AX16" s="71"/>
      <c r="AY16" s="71"/>
      <c r="AZ16" s="71"/>
      <c r="BA16" s="38"/>
      <c r="BB16" s="71"/>
      <c r="BC16" s="71" t="str">
        <f t="shared" ref="BC16:BO16" si="37">IF(AND(BB7&gt;0,BC7&gt;0),(BC7/BB7-1)," ")</f>
        <v xml:space="preserve"> </v>
      </c>
      <c r="BD16" s="71" t="str">
        <f t="shared" si="37"/>
        <v xml:space="preserve"> </v>
      </c>
      <c r="BE16" s="71">
        <f t="shared" si="37"/>
        <v>9.3428475173169101E-2</v>
      </c>
      <c r="BF16" s="106">
        <f t="shared" si="37"/>
        <v>-0.53527095292474947</v>
      </c>
      <c r="BG16" s="106">
        <f t="shared" si="37"/>
        <v>2.5497152872439917</v>
      </c>
      <c r="BH16" s="106">
        <f t="shared" si="37"/>
        <v>-0.36350217203664958</v>
      </c>
      <c r="BI16" s="106">
        <f t="shared" si="37"/>
        <v>11.877794899327251</v>
      </c>
      <c r="BJ16" s="106">
        <f t="shared" si="37"/>
        <v>4.5534379874895503</v>
      </c>
      <c r="BK16" s="106">
        <f t="shared" si="37"/>
        <v>2.6992011402896168</v>
      </c>
      <c r="BL16" s="106">
        <f t="shared" si="37"/>
        <v>2.8081167833178022</v>
      </c>
      <c r="BM16" s="106">
        <f t="shared" si="37"/>
        <v>0.89004435754267219</v>
      </c>
      <c r="BN16" s="106">
        <f t="shared" si="37"/>
        <v>0.47002141502729544</v>
      </c>
      <c r="BO16" s="106">
        <f t="shared" si="37"/>
        <v>0.26001239049138736</v>
      </c>
    </row>
    <row r="17" spans="3:67" s="248" customFormat="1">
      <c r="C17" s="38" t="str">
        <f t="shared" si="36"/>
        <v>Cloud - Training machine</v>
      </c>
      <c r="D17" s="38"/>
      <c r="E17" s="38"/>
      <c r="F17" s="38"/>
      <c r="G17" s="38"/>
      <c r="H17" s="71" t="str">
        <f t="shared" si="31"/>
        <v xml:space="preserve"> </v>
      </c>
      <c r="I17" s="71" t="str">
        <f t="shared" si="31"/>
        <v xml:space="preserve"> </v>
      </c>
      <c r="J17" s="71" t="str">
        <f t="shared" si="31"/>
        <v xml:space="preserve"> </v>
      </c>
      <c r="K17" s="71" t="str">
        <f t="shared" si="31"/>
        <v xml:space="preserve"> </v>
      </c>
      <c r="L17" s="71">
        <f t="shared" si="31"/>
        <v>1.1340000000000003</v>
      </c>
      <c r="M17" s="71">
        <f t="shared" si="31"/>
        <v>1.4187886209328067</v>
      </c>
      <c r="N17" s="71">
        <f t="shared" si="31"/>
        <v>2.88</v>
      </c>
      <c r="O17" s="71">
        <f t="shared" si="31"/>
        <v>-0.32099999999999995</v>
      </c>
      <c r="P17" s="71" t="str">
        <f t="shared" si="31"/>
        <v xml:space="preserve"> </v>
      </c>
      <c r="Q17" s="71" t="str">
        <f t="shared" si="31"/>
        <v xml:space="preserve"> </v>
      </c>
      <c r="R17" s="71" t="str">
        <f t="shared" si="32"/>
        <v xml:space="preserve"> </v>
      </c>
      <c r="S17" s="71" t="str">
        <f t="shared" si="32"/>
        <v xml:space="preserve"> </v>
      </c>
      <c r="T17" s="71" t="str">
        <f t="shared" si="32"/>
        <v xml:space="preserve"> </v>
      </c>
      <c r="U17" s="71" t="str">
        <f t="shared" si="32"/>
        <v xml:space="preserve"> </v>
      </c>
      <c r="V17" s="71" t="str">
        <f t="shared" si="32"/>
        <v xml:space="preserve"> </v>
      </c>
      <c r="W17" s="71" t="str">
        <f t="shared" si="32"/>
        <v xml:space="preserve"> </v>
      </c>
      <c r="X17" s="71" t="str">
        <f t="shared" si="32"/>
        <v xml:space="preserve"> </v>
      </c>
      <c r="Y17" s="71" t="str">
        <f t="shared" si="32"/>
        <v xml:space="preserve"> </v>
      </c>
      <c r="Z17" s="71" t="str">
        <f t="shared" si="32"/>
        <v xml:space="preserve"> </v>
      </c>
      <c r="AA17" s="71" t="str">
        <f t="shared" si="32"/>
        <v xml:space="preserve"> </v>
      </c>
      <c r="AB17" s="71" t="str">
        <f t="shared" si="33"/>
        <v xml:space="preserve"> </v>
      </c>
      <c r="AC17" s="71" t="str">
        <f t="shared" si="33"/>
        <v xml:space="preserve"> </v>
      </c>
      <c r="AD17" s="71" t="str">
        <f t="shared" si="33"/>
        <v xml:space="preserve"> </v>
      </c>
      <c r="AE17" s="71" t="str">
        <f t="shared" si="33"/>
        <v xml:space="preserve"> </v>
      </c>
      <c r="AF17" s="71" t="str">
        <f t="shared" si="33"/>
        <v xml:space="preserve"> </v>
      </c>
      <c r="AG17" s="71" t="str">
        <f t="shared" si="33"/>
        <v xml:space="preserve"> </v>
      </c>
      <c r="AH17" s="71" t="str">
        <f t="shared" si="33"/>
        <v xml:space="preserve"> </v>
      </c>
      <c r="AI17" s="71" t="str">
        <f t="shared" si="33"/>
        <v xml:space="preserve"> </v>
      </c>
      <c r="AJ17" s="71" t="str">
        <f t="shared" si="33"/>
        <v xml:space="preserve"> </v>
      </c>
      <c r="AK17" s="71" t="str">
        <f t="shared" si="33"/>
        <v xml:space="preserve"> </v>
      </c>
      <c r="AL17" s="71" t="str">
        <f t="shared" si="34"/>
        <v xml:space="preserve"> </v>
      </c>
      <c r="AM17" s="71" t="str">
        <f t="shared" si="34"/>
        <v xml:space="preserve"> </v>
      </c>
      <c r="AN17" s="71" t="str">
        <f t="shared" si="34"/>
        <v xml:space="preserve"> </v>
      </c>
      <c r="AO17" s="71" t="str">
        <f t="shared" si="34"/>
        <v xml:space="preserve"> </v>
      </c>
      <c r="AP17" s="71" t="str">
        <f t="shared" si="34"/>
        <v xml:space="preserve"> </v>
      </c>
      <c r="AQ17" s="71" t="str">
        <f t="shared" si="34"/>
        <v xml:space="preserve"> </v>
      </c>
      <c r="AR17" s="71" t="str">
        <f t="shared" si="34"/>
        <v xml:space="preserve"> </v>
      </c>
      <c r="AS17" s="71" t="str">
        <f t="shared" si="34"/>
        <v xml:space="preserve"> </v>
      </c>
      <c r="AT17" s="71" t="str">
        <f t="shared" si="34"/>
        <v xml:space="preserve"> </v>
      </c>
      <c r="AU17" s="71" t="str">
        <f t="shared" si="34"/>
        <v xml:space="preserve"> </v>
      </c>
      <c r="AV17" s="38"/>
      <c r="AW17" s="71"/>
      <c r="AX17" s="71"/>
      <c r="AY17" s="71"/>
      <c r="AZ17" s="71"/>
      <c r="BA17" s="38"/>
      <c r="BB17" s="71"/>
      <c r="BC17" s="71" t="str">
        <f t="shared" ref="BC17:BO17" si="38">IF(AND(BB8&gt;0,BC8&gt;0),(BC8/BB8-1)," ")</f>
        <v xml:space="preserve"> </v>
      </c>
      <c r="BD17" s="71" t="str">
        <f t="shared" si="38"/>
        <v xml:space="preserve"> </v>
      </c>
      <c r="BE17" s="71" t="str">
        <f t="shared" si="38"/>
        <v xml:space="preserve"> </v>
      </c>
      <c r="BF17" s="106" t="str">
        <f t="shared" si="38"/>
        <v xml:space="preserve"> </v>
      </c>
      <c r="BG17" s="106">
        <f t="shared" si="38"/>
        <v>0.9219632421574111</v>
      </c>
      <c r="BH17" s="106" t="str">
        <f t="shared" si="38"/>
        <v xml:space="preserve"> </v>
      </c>
      <c r="BI17" s="106" t="str">
        <f t="shared" si="38"/>
        <v xml:space="preserve"> </v>
      </c>
      <c r="BJ17" s="106" t="str">
        <f t="shared" si="38"/>
        <v xml:space="preserve"> </v>
      </c>
      <c r="BK17" s="106" t="str">
        <f t="shared" si="38"/>
        <v xml:space="preserve"> </v>
      </c>
      <c r="BL17" s="106" t="str">
        <f t="shared" si="38"/>
        <v xml:space="preserve"> </v>
      </c>
      <c r="BM17" s="106" t="str">
        <f t="shared" si="38"/>
        <v xml:space="preserve"> </v>
      </c>
      <c r="BN17" s="106" t="str">
        <f t="shared" si="38"/>
        <v xml:space="preserve"> </v>
      </c>
      <c r="BO17" s="106" t="str">
        <f t="shared" si="38"/>
        <v xml:space="preserve"> </v>
      </c>
    </row>
    <row r="18" spans="3:67" s="248" customFormat="1">
      <c r="C18" s="38" t="str">
        <f t="shared" si="36"/>
        <v>Edge chips and accelerator</v>
      </c>
      <c r="D18" s="38"/>
      <c r="E18" s="38"/>
      <c r="F18" s="38"/>
      <c r="G18" s="38"/>
      <c r="H18" s="71">
        <f t="shared" ref="H18:K21" si="39">IF(AND(H9&gt;0,D9&gt;0),(H9/D9-1), " ")</f>
        <v>15.606919972858176</v>
      </c>
      <c r="I18" s="71">
        <f t="shared" si="39"/>
        <v>6.1412354734516263</v>
      </c>
      <c r="J18" s="71">
        <f t="shared" si="39"/>
        <v>8.3521358037588076</v>
      </c>
      <c r="K18" s="71">
        <f t="shared" si="39"/>
        <v>7.2091528064625852</v>
      </c>
      <c r="L18" s="151">
        <v>-0.31240000000000012</v>
      </c>
      <c r="M18" s="151">
        <v>-0.78990000000000005</v>
      </c>
      <c r="N18" s="151">
        <v>-0.76124999999999998</v>
      </c>
      <c r="O18" s="151">
        <v>-0.92825542137948469</v>
      </c>
      <c r="P18" s="151">
        <v>-0.7200000000000002</v>
      </c>
      <c r="Q18" s="151">
        <v>-0.73</v>
      </c>
      <c r="R18" s="151">
        <v>-0.7</v>
      </c>
      <c r="S18" s="151">
        <v>-0.66824551275022437</v>
      </c>
      <c r="T18" s="71">
        <f>IF(AND(T9&gt;0,P9&gt;0),(T9/P9-1), " ")</f>
        <v>-0.48405161719030809</v>
      </c>
      <c r="U18" s="71">
        <f>IF(AND(U9&gt;0,Q9&gt;0),(U9/Q9-1), " ")</f>
        <v>-0.64502322645888532</v>
      </c>
      <c r="V18" s="151">
        <v>0</v>
      </c>
      <c r="W18" s="71">
        <f>IF(AND(W9&gt;0,S9&gt;0),(W9/S9-1), " ")</f>
        <v>1.391051138941557E-2</v>
      </c>
      <c r="X18" s="151">
        <v>-0.5</v>
      </c>
      <c r="Y18" s="151">
        <f>X18</f>
        <v>-0.5</v>
      </c>
      <c r="Z18" s="151">
        <f t="shared" ref="Z18" si="40">Y18</f>
        <v>-0.5</v>
      </c>
      <c r="AA18" s="71">
        <f t="shared" si="32"/>
        <v>-0.42943076738333086</v>
      </c>
      <c r="AB18" s="251">
        <v>0</v>
      </c>
      <c r="AC18" s="251">
        <f t="shared" ref="AC18" si="41">AB18</f>
        <v>0</v>
      </c>
      <c r="AD18" s="251">
        <f t="shared" ref="AD18" si="42">AC18</f>
        <v>0</v>
      </c>
      <c r="AE18" s="251">
        <f t="shared" ref="AE18" si="43">AD18</f>
        <v>0</v>
      </c>
      <c r="AF18" s="251">
        <f t="shared" ref="AF18" si="44">AE18</f>
        <v>0</v>
      </c>
      <c r="AG18" s="251">
        <f t="shared" ref="AG18" si="45">AF18</f>
        <v>0</v>
      </c>
      <c r="AH18" s="251">
        <f t="shared" ref="AH18" si="46">AG18</f>
        <v>0</v>
      </c>
      <c r="AI18" s="251">
        <f t="shared" ref="AI18" si="47">AH18</f>
        <v>0</v>
      </c>
      <c r="AJ18" s="251">
        <f t="shared" ref="AJ18" si="48">AI18</f>
        <v>0</v>
      </c>
      <c r="AK18" s="251">
        <f t="shared" ref="AK18" si="49">AJ18</f>
        <v>0</v>
      </c>
      <c r="AL18" s="251">
        <f t="shared" ref="AL18" si="50">AK18</f>
        <v>0</v>
      </c>
      <c r="AM18" s="251">
        <f t="shared" ref="AM18" si="51">AL18</f>
        <v>0</v>
      </c>
      <c r="AN18" s="251">
        <f t="shared" ref="AN18" si="52">AM18</f>
        <v>0</v>
      </c>
      <c r="AO18" s="251">
        <f t="shared" ref="AO18" si="53">AN18</f>
        <v>0</v>
      </c>
      <c r="AP18" s="251">
        <f t="shared" ref="AP18" si="54">AO18</f>
        <v>0</v>
      </c>
      <c r="AQ18" s="251">
        <f t="shared" ref="AQ18" si="55">AP18</f>
        <v>0</v>
      </c>
      <c r="AR18" s="251">
        <f t="shared" ref="AR18" si="56">AQ18</f>
        <v>0</v>
      </c>
      <c r="AS18" s="251">
        <f t="shared" ref="AS18" si="57">AR18</f>
        <v>0</v>
      </c>
      <c r="AT18" s="251">
        <f t="shared" ref="AT18" si="58">AS18</f>
        <v>0</v>
      </c>
      <c r="AU18" s="251">
        <f t="shared" ref="AU18" si="59">AT18</f>
        <v>0</v>
      </c>
      <c r="AV18" s="38"/>
      <c r="AW18" s="71"/>
      <c r="AX18" s="71"/>
      <c r="AY18" s="71"/>
      <c r="AZ18" s="71"/>
      <c r="BA18" s="38"/>
      <c r="BB18" s="71"/>
      <c r="BC18" s="71" t="str">
        <f t="shared" ref="BC18:BO18" si="60">IF(AND(BB9&gt;0,BC9&gt;0),(BC9/BB9-1)," ")</f>
        <v xml:space="preserve"> </v>
      </c>
      <c r="BD18" s="71" t="str">
        <f t="shared" si="60"/>
        <v xml:space="preserve"> </v>
      </c>
      <c r="BE18" s="71" t="str">
        <f t="shared" si="60"/>
        <v xml:space="preserve"> </v>
      </c>
      <c r="BF18" s="106">
        <f t="shared" si="60"/>
        <v>7.4109507693511851</v>
      </c>
      <c r="BG18" s="106">
        <f t="shared" si="60"/>
        <v>-0.78397309098432189</v>
      </c>
      <c r="BH18" s="106">
        <f t="shared" si="60"/>
        <v>-0.71392251161631848</v>
      </c>
      <c r="BI18" s="106">
        <f t="shared" si="60"/>
        <v>-0.39563064135444248</v>
      </c>
      <c r="BJ18" s="106">
        <f t="shared" si="60"/>
        <v>-0.48120137447627354</v>
      </c>
      <c r="BK18" s="106">
        <f t="shared" si="60"/>
        <v>0</v>
      </c>
      <c r="BL18" s="106">
        <f t="shared" si="60"/>
        <v>0</v>
      </c>
      <c r="BM18" s="106">
        <f t="shared" si="60"/>
        <v>0</v>
      </c>
      <c r="BN18" s="106">
        <f t="shared" si="60"/>
        <v>0</v>
      </c>
      <c r="BO18" s="106">
        <f t="shared" si="60"/>
        <v>0</v>
      </c>
    </row>
    <row r="19" spans="3:67" s="248" customFormat="1">
      <c r="C19" s="38" t="str">
        <f t="shared" si="36"/>
        <v>Intelligent computing cluster systems</v>
      </c>
      <c r="D19" s="38"/>
      <c r="E19" s="38"/>
      <c r="F19" s="38"/>
      <c r="G19" s="38"/>
      <c r="H19" s="71" t="str">
        <f t="shared" si="39"/>
        <v xml:space="preserve"> </v>
      </c>
      <c r="I19" s="71">
        <f t="shared" si="39"/>
        <v>11.366268152609953</v>
      </c>
      <c r="J19" s="71">
        <f t="shared" si="39"/>
        <v>-4.1614077224743751E-2</v>
      </c>
      <c r="K19" s="71">
        <f t="shared" si="39"/>
        <v>0.49656665623232277</v>
      </c>
      <c r="L19" s="71" t="str">
        <f t="shared" ref="L19:S21" si="61">IF(AND(L10&gt;0,H10&gt;0),(L10/H10-1), " ")</f>
        <v xml:space="preserve"> </v>
      </c>
      <c r="M19" s="71">
        <f t="shared" si="61"/>
        <v>3.3470475137465536</v>
      </c>
      <c r="N19" s="71">
        <f t="shared" si="61"/>
        <v>-0.10664036403104282</v>
      </c>
      <c r="O19" s="71">
        <f t="shared" si="61"/>
        <v>9.8848058779517078E-3</v>
      </c>
      <c r="P19" s="71" t="str">
        <f t="shared" si="61"/>
        <v xml:space="preserve"> </v>
      </c>
      <c r="Q19" s="71">
        <f t="shared" si="61"/>
        <v>2.5159239802116526</v>
      </c>
      <c r="R19" s="71">
        <f t="shared" si="61"/>
        <v>-0.73630570148412611</v>
      </c>
      <c r="S19" s="71">
        <f t="shared" si="61"/>
        <v>0.35938957338355704</v>
      </c>
      <c r="T19" s="71">
        <f>IF(AND(T10&gt;0,P10&gt;0),(T10/P10-1), " ")</f>
        <v>-0.99873598031563626</v>
      </c>
      <c r="U19" s="71">
        <f>IF(AND(U10&gt;0,Q10&gt;0),(U10/Q10-1), " ")</f>
        <v>-0.99873598031563626</v>
      </c>
      <c r="V19" s="71">
        <f>IF(AND(V10&gt;0,R10&gt;0),(V10/R10-1), " ")</f>
        <v>-0.96516795684173085</v>
      </c>
      <c r="W19" s="71">
        <f>IF(AND(W10&gt;0,S10&gt;0),(W10/S10-1), " ")</f>
        <v>-0.99910687068824955</v>
      </c>
      <c r="X19" s="71" t="str">
        <f t="shared" ref="X19:AU19" si="62">IF(AND(X10&gt;0,T10&gt;0),(X10/T10-1), " ")</f>
        <v xml:space="preserve"> </v>
      </c>
      <c r="Y19" s="71" t="str">
        <f t="shared" si="62"/>
        <v xml:space="preserve"> </v>
      </c>
      <c r="Z19" s="71" t="str">
        <f t="shared" si="62"/>
        <v xml:space="preserve"> </v>
      </c>
      <c r="AA19" s="71" t="str">
        <f t="shared" si="62"/>
        <v xml:space="preserve"> </v>
      </c>
      <c r="AB19" s="71" t="str">
        <f t="shared" si="62"/>
        <v xml:space="preserve"> </v>
      </c>
      <c r="AC19" s="71" t="str">
        <f t="shared" si="62"/>
        <v xml:space="preserve"> </v>
      </c>
      <c r="AD19" s="71" t="str">
        <f t="shared" si="62"/>
        <v xml:space="preserve"> </v>
      </c>
      <c r="AE19" s="71" t="str">
        <f t="shared" si="62"/>
        <v xml:space="preserve"> </v>
      </c>
      <c r="AF19" s="71" t="str">
        <f t="shared" si="62"/>
        <v xml:space="preserve"> </v>
      </c>
      <c r="AG19" s="71" t="str">
        <f t="shared" si="62"/>
        <v xml:space="preserve"> </v>
      </c>
      <c r="AH19" s="71" t="str">
        <f t="shared" si="62"/>
        <v xml:space="preserve"> </v>
      </c>
      <c r="AI19" s="71" t="str">
        <f t="shared" si="62"/>
        <v xml:space="preserve"> </v>
      </c>
      <c r="AJ19" s="71" t="str">
        <f t="shared" si="62"/>
        <v xml:space="preserve"> </v>
      </c>
      <c r="AK19" s="71" t="str">
        <f t="shared" si="62"/>
        <v xml:space="preserve"> </v>
      </c>
      <c r="AL19" s="71" t="str">
        <f t="shared" si="62"/>
        <v xml:space="preserve"> </v>
      </c>
      <c r="AM19" s="71" t="str">
        <f t="shared" si="62"/>
        <v xml:space="preserve"> </v>
      </c>
      <c r="AN19" s="71" t="str">
        <f t="shared" si="62"/>
        <v xml:space="preserve"> </v>
      </c>
      <c r="AO19" s="71" t="str">
        <f t="shared" si="62"/>
        <v xml:space="preserve"> </v>
      </c>
      <c r="AP19" s="71" t="str">
        <f t="shared" si="62"/>
        <v xml:space="preserve"> </v>
      </c>
      <c r="AQ19" s="71" t="str">
        <f t="shared" si="62"/>
        <v xml:space="preserve"> </v>
      </c>
      <c r="AR19" s="71" t="str">
        <f t="shared" si="62"/>
        <v xml:space="preserve"> </v>
      </c>
      <c r="AS19" s="71" t="str">
        <f t="shared" si="62"/>
        <v xml:space="preserve"> </v>
      </c>
      <c r="AT19" s="71" t="str">
        <f t="shared" si="62"/>
        <v xml:space="preserve"> </v>
      </c>
      <c r="AU19" s="71" t="str">
        <f t="shared" si="62"/>
        <v xml:space="preserve"> </v>
      </c>
      <c r="AV19" s="38"/>
      <c r="AW19" s="71"/>
      <c r="AX19" s="71"/>
      <c r="AY19" s="71"/>
      <c r="AZ19" s="71"/>
      <c r="BA19" s="38"/>
      <c r="BB19" s="71"/>
      <c r="BC19" s="71" t="str">
        <f t="shared" ref="BC19:BO19" si="63">IF(AND(BB10&gt;0,BC10&gt;0),(BC10/BB10-1)," ")</f>
        <v xml:space="preserve"> </v>
      </c>
      <c r="BD19" s="71" t="str">
        <f t="shared" si="63"/>
        <v xml:space="preserve"> </v>
      </c>
      <c r="BE19" s="71">
        <f t="shared" si="63"/>
        <v>9.9497360841240834E-2</v>
      </c>
      <c r="BF19" s="106">
        <f t="shared" si="63"/>
        <v>0.39905856195315037</v>
      </c>
      <c r="BG19" s="106">
        <f t="shared" si="63"/>
        <v>6.3778542031038832E-3</v>
      </c>
      <c r="BH19" s="106">
        <f t="shared" si="63"/>
        <v>0.31847149257936969</v>
      </c>
      <c r="BI19" s="106">
        <f t="shared" si="63"/>
        <v>-0.99829660443997048</v>
      </c>
      <c r="BJ19" s="106" t="str">
        <f t="shared" si="63"/>
        <v xml:space="preserve"> </v>
      </c>
      <c r="BK19" s="106" t="str">
        <f t="shared" si="63"/>
        <v xml:space="preserve"> </v>
      </c>
      <c r="BL19" s="106" t="str">
        <f t="shared" si="63"/>
        <v xml:space="preserve"> </v>
      </c>
      <c r="BM19" s="106" t="str">
        <f t="shared" si="63"/>
        <v xml:space="preserve"> </v>
      </c>
      <c r="BN19" s="106" t="str">
        <f t="shared" si="63"/>
        <v xml:space="preserve"> </v>
      </c>
      <c r="BO19" s="106" t="str">
        <f t="shared" si="63"/>
        <v xml:space="preserve"> </v>
      </c>
    </row>
    <row r="20" spans="3:67" s="237" customFormat="1">
      <c r="C20" s="38" t="str">
        <f t="shared" si="36"/>
        <v>AI processor IP &amp; basic system software</v>
      </c>
      <c r="D20" s="38"/>
      <c r="E20" s="38"/>
      <c r="F20" s="38"/>
      <c r="G20" s="38"/>
      <c r="H20" s="71">
        <f t="shared" si="39"/>
        <v>-0.10356012186258201</v>
      </c>
      <c r="I20" s="71">
        <f t="shared" si="39"/>
        <v>-0.61451682382800077</v>
      </c>
      <c r="J20" s="71">
        <f t="shared" si="39"/>
        <v>-0.98057321737198022</v>
      </c>
      <c r="K20" s="71">
        <f t="shared" si="39"/>
        <v>-0.97326623533822487</v>
      </c>
      <c r="L20" s="71">
        <f t="shared" si="61"/>
        <v>-0.83787563121549824</v>
      </c>
      <c r="M20" s="71">
        <f t="shared" si="61"/>
        <v>-0.94242527312386193</v>
      </c>
      <c r="N20" s="71">
        <f t="shared" si="61"/>
        <v>10.135142172106306</v>
      </c>
      <c r="O20" s="71">
        <f t="shared" si="61"/>
        <v>0.88806205909362856</v>
      </c>
      <c r="P20" s="71">
        <f t="shared" si="61"/>
        <v>-0.79452480810520587</v>
      </c>
      <c r="Q20" s="71">
        <f t="shared" si="61"/>
        <v>-0.79452480810520587</v>
      </c>
      <c r="R20" s="71">
        <f t="shared" si="61"/>
        <v>-0.79452480810520587</v>
      </c>
      <c r="S20" s="71">
        <f t="shared" si="61"/>
        <v>-0.79452480810520587</v>
      </c>
      <c r="T20" s="151">
        <v>0.9</v>
      </c>
      <c r="U20" s="71">
        <f>IF(AND(U11&gt;0,Q11&gt;0),(U11/Q11-1), " ")</f>
        <v>0.88501138404427193</v>
      </c>
      <c r="V20" s="151">
        <v>0.65</v>
      </c>
      <c r="W20" s="71">
        <f>IF(AND(W11&gt;0,S11&gt;0),(W11/S11-1), " ")</f>
        <v>0.620249764643926</v>
      </c>
      <c r="X20" s="151">
        <v>4</v>
      </c>
      <c r="Y20" s="151">
        <f>X20</f>
        <v>4</v>
      </c>
      <c r="Z20" s="151">
        <v>5</v>
      </c>
      <c r="AA20" s="71">
        <f t="shared" si="32"/>
        <v>5.3764564468490095</v>
      </c>
      <c r="AB20" s="251">
        <v>0.4</v>
      </c>
      <c r="AC20" s="251">
        <f t="shared" ref="AC20:AI20" si="64">AB20</f>
        <v>0.4</v>
      </c>
      <c r="AD20" s="251">
        <f t="shared" si="64"/>
        <v>0.4</v>
      </c>
      <c r="AE20" s="251">
        <f t="shared" si="64"/>
        <v>0.4</v>
      </c>
      <c r="AF20" s="251">
        <v>0.3</v>
      </c>
      <c r="AG20" s="251">
        <f t="shared" si="64"/>
        <v>0.3</v>
      </c>
      <c r="AH20" s="251">
        <f t="shared" si="64"/>
        <v>0.3</v>
      </c>
      <c r="AI20" s="251">
        <f t="shared" si="64"/>
        <v>0.3</v>
      </c>
      <c r="AJ20" s="251">
        <v>0.2</v>
      </c>
      <c r="AK20" s="251">
        <f t="shared" ref="AK20:AK21" si="65">AJ20</f>
        <v>0.2</v>
      </c>
      <c r="AL20" s="251">
        <f t="shared" ref="AL20:AL21" si="66">AK20</f>
        <v>0.2</v>
      </c>
      <c r="AM20" s="251">
        <f t="shared" ref="AM20:AM21" si="67">AL20</f>
        <v>0.2</v>
      </c>
      <c r="AN20" s="251">
        <v>0.1</v>
      </c>
      <c r="AO20" s="251">
        <f t="shared" ref="AO20:AO21" si="68">AN20</f>
        <v>0.1</v>
      </c>
      <c r="AP20" s="251">
        <f t="shared" ref="AP20:AP21" si="69">AO20</f>
        <v>0.1</v>
      </c>
      <c r="AQ20" s="251">
        <f t="shared" ref="AQ20:AQ21" si="70">AP20</f>
        <v>0.1</v>
      </c>
      <c r="AR20" s="251">
        <f t="shared" ref="AR20:AR21" si="71">AQ20</f>
        <v>0.1</v>
      </c>
      <c r="AS20" s="251">
        <f t="shared" ref="AS20:AS21" si="72">AR20</f>
        <v>0.1</v>
      </c>
      <c r="AT20" s="251">
        <f t="shared" ref="AT20:AT21" si="73">AS20</f>
        <v>0.1</v>
      </c>
      <c r="AU20" s="251">
        <f t="shared" ref="AU20:AU21" si="74">AT20</f>
        <v>0.1</v>
      </c>
      <c r="AV20" s="38"/>
      <c r="AW20" s="71"/>
      <c r="AX20" s="71"/>
      <c r="AY20" s="71"/>
      <c r="AZ20" s="71"/>
      <c r="BA20" s="38"/>
      <c r="BB20" s="71"/>
      <c r="BC20" s="71">
        <f t="shared" ref="BC20:BO20" si="75">IF(AND(BB11&gt;0,BC11&gt;0),(BC11/BB11-1)," ")</f>
        <v>14.125974042812503</v>
      </c>
      <c r="BD20" s="71">
        <f t="shared" si="75"/>
        <v>-0.4105094970860288</v>
      </c>
      <c r="BE20" s="71">
        <f t="shared" si="75"/>
        <v>-0.68408945866874504</v>
      </c>
      <c r="BF20" s="106">
        <f t="shared" si="75"/>
        <v>-0.6837034762036569</v>
      </c>
      <c r="BG20" s="106">
        <f t="shared" si="75"/>
        <v>-0.83441162795604884</v>
      </c>
      <c r="BH20" s="106">
        <f t="shared" si="75"/>
        <v>-0.79452480810520587</v>
      </c>
      <c r="BI20" s="106">
        <f t="shared" si="75"/>
        <v>0.76381528717204938</v>
      </c>
      <c r="BJ20" s="106">
        <f t="shared" si="75"/>
        <v>4.5499730133690628</v>
      </c>
      <c r="BK20" s="106">
        <f t="shared" si="75"/>
        <v>0.39999999999999991</v>
      </c>
      <c r="BL20" s="106">
        <f t="shared" si="75"/>
        <v>0.29999999999999982</v>
      </c>
      <c r="BM20" s="106">
        <f t="shared" si="75"/>
        <v>0.20000000000000018</v>
      </c>
      <c r="BN20" s="106">
        <f t="shared" si="75"/>
        <v>0.10000000000000009</v>
      </c>
      <c r="BO20" s="106">
        <f t="shared" si="75"/>
        <v>0.10000000000000031</v>
      </c>
    </row>
    <row r="21" spans="3:67">
      <c r="C21" s="38" t="str">
        <f t="shared" si="36"/>
        <v>Others</v>
      </c>
      <c r="H21" s="71">
        <f t="shared" si="39"/>
        <v>21.041953516585121</v>
      </c>
      <c r="I21" s="71">
        <f t="shared" si="39"/>
        <v>3.6406894922228368</v>
      </c>
      <c r="J21" s="71">
        <f t="shared" si="39"/>
        <v>0.41216709053827905</v>
      </c>
      <c r="K21" s="71">
        <f t="shared" si="39"/>
        <v>-0.72442965152229188</v>
      </c>
      <c r="L21" s="71">
        <f t="shared" si="61"/>
        <v>3.4112036146509057</v>
      </c>
      <c r="M21" s="71">
        <f t="shared" si="61"/>
        <v>7.187503145318022</v>
      </c>
      <c r="N21" s="71">
        <f t="shared" si="61"/>
        <v>2.138621846290885</v>
      </c>
      <c r="O21" s="71">
        <f t="shared" si="61"/>
        <v>1.5647795897160268</v>
      </c>
      <c r="P21" s="71">
        <f t="shared" si="61"/>
        <v>-0.91814633444123483</v>
      </c>
      <c r="Q21" s="71">
        <f t="shared" si="61"/>
        <v>-0.9970798994386384</v>
      </c>
      <c r="R21" s="71">
        <f t="shared" si="61"/>
        <v>-0.72695827868497154</v>
      </c>
      <c r="S21" s="71">
        <f t="shared" si="61"/>
        <v>-0.2112338511384364</v>
      </c>
      <c r="T21" s="71">
        <f>IF(AND(T12&gt;0,P12&gt;0),(T12/P12-1), " ")</f>
        <v>-0.98225002629779523</v>
      </c>
      <c r="U21" s="71">
        <f>IF(AND(U12&gt;0,Q12&gt;0),(U12/Q12-1), " ")</f>
        <v>-0.71858317982498843</v>
      </c>
      <c r="V21" s="71">
        <f>IF(AND(V12&gt;0,R12&gt;0),(V12/R12-1), " ")</f>
        <v>-0.89698590098926845</v>
      </c>
      <c r="W21" s="71">
        <f>IF(AND(W12&gt;0,S12&gt;0),(W12/S12-1), " ")</f>
        <v>-0.95341742604305824</v>
      </c>
      <c r="X21" s="71">
        <f>IF(AND(X12&gt;0,T12&gt;0),(X12/T12-1), " ")</f>
        <v>668.22337967037822</v>
      </c>
      <c r="Y21" s="151">
        <v>1500</v>
      </c>
      <c r="Z21" s="151">
        <v>50</v>
      </c>
      <c r="AA21" s="71">
        <f t="shared" si="32"/>
        <v>30.283512444716536</v>
      </c>
      <c r="AB21" s="252">
        <v>0</v>
      </c>
      <c r="AC21" s="252">
        <v>0</v>
      </c>
      <c r="AD21" s="252">
        <v>0</v>
      </c>
      <c r="AE21" s="252">
        <f t="shared" ref="AE21:AI21" si="76">AD21</f>
        <v>0</v>
      </c>
      <c r="AF21" s="252">
        <f t="shared" si="76"/>
        <v>0</v>
      </c>
      <c r="AG21" s="252">
        <f t="shared" si="76"/>
        <v>0</v>
      </c>
      <c r="AH21" s="252">
        <f t="shared" si="76"/>
        <v>0</v>
      </c>
      <c r="AI21" s="252">
        <f t="shared" si="76"/>
        <v>0</v>
      </c>
      <c r="AJ21" s="252">
        <f t="shared" ref="AJ21" si="77">AI21</f>
        <v>0</v>
      </c>
      <c r="AK21" s="252">
        <f t="shared" si="65"/>
        <v>0</v>
      </c>
      <c r="AL21" s="252">
        <f t="shared" si="66"/>
        <v>0</v>
      </c>
      <c r="AM21" s="252">
        <f t="shared" si="67"/>
        <v>0</v>
      </c>
      <c r="AN21" s="252">
        <f t="shared" ref="AN21" si="78">AM21</f>
        <v>0</v>
      </c>
      <c r="AO21" s="252">
        <f t="shared" si="68"/>
        <v>0</v>
      </c>
      <c r="AP21" s="252">
        <f t="shared" si="69"/>
        <v>0</v>
      </c>
      <c r="AQ21" s="252">
        <f t="shared" si="70"/>
        <v>0</v>
      </c>
      <c r="AR21" s="252">
        <f t="shared" si="71"/>
        <v>0</v>
      </c>
      <c r="AS21" s="252">
        <f t="shared" si="72"/>
        <v>0</v>
      </c>
      <c r="AT21" s="252">
        <f t="shared" si="73"/>
        <v>0</v>
      </c>
      <c r="AU21" s="252">
        <f t="shared" si="74"/>
        <v>0</v>
      </c>
      <c r="AW21" s="71"/>
      <c r="AX21" s="71"/>
      <c r="AY21" s="71"/>
      <c r="AZ21" s="71"/>
      <c r="BB21" s="71"/>
      <c r="BC21" s="71">
        <f t="shared" ref="BC21:BO21" si="79">IF(AND(BB12&gt;0,BC12&gt;0),(BC12/BB12-1)," ")</f>
        <v>1.7810924889110069</v>
      </c>
      <c r="BD21" s="71">
        <f t="shared" si="79"/>
        <v>-0.71535448322834427</v>
      </c>
      <c r="BE21" s="71">
        <f t="shared" si="79"/>
        <v>42.286602476515107</v>
      </c>
      <c r="BF21" s="106">
        <f t="shared" si="79"/>
        <v>-0.2882735933729359</v>
      </c>
      <c r="BG21" s="106">
        <f t="shared" si="79"/>
        <v>2.799562211122534</v>
      </c>
      <c r="BH21" s="106">
        <f t="shared" si="79"/>
        <v>-0.73301700173971907</v>
      </c>
      <c r="BI21" s="106">
        <f t="shared" si="79"/>
        <v>-0.93755249927500239</v>
      </c>
      <c r="BJ21" s="106">
        <f t="shared" si="79"/>
        <v>71.661673928398486</v>
      </c>
      <c r="BK21" s="106">
        <f t="shared" si="79"/>
        <v>0</v>
      </c>
      <c r="BL21" s="106">
        <f t="shared" si="79"/>
        <v>0</v>
      </c>
      <c r="BM21" s="106">
        <f t="shared" si="79"/>
        <v>0</v>
      </c>
      <c r="BN21" s="106">
        <f t="shared" si="79"/>
        <v>0</v>
      </c>
      <c r="BO21" s="106">
        <f t="shared" si="79"/>
        <v>0</v>
      </c>
    </row>
    <row r="22" spans="3:67">
      <c r="C22" s="237" t="s">
        <v>165</v>
      </c>
      <c r="E22" s="159">
        <f t="shared" ref="E22:AU22" si="80">IF(AND(D6&gt;0,E6&gt;0),(E6/D6-1)," ")</f>
        <v>5.5483540290393369</v>
      </c>
      <c r="F22" s="159">
        <f t="shared" si="80"/>
        <v>-7.0379348388414864E-2</v>
      </c>
      <c r="G22" s="159">
        <f t="shared" si="80"/>
        <v>3.2856851423747013</v>
      </c>
      <c r="H22" s="159">
        <f t="shared" si="80"/>
        <v>-0.88012163075499139</v>
      </c>
      <c r="I22" s="159">
        <f t="shared" si="80"/>
        <v>1.8158947090323863</v>
      </c>
      <c r="J22" s="159">
        <f t="shared" si="80"/>
        <v>-0.16900351109754586</v>
      </c>
      <c r="K22" s="159">
        <f t="shared" si="80"/>
        <v>4.8976568691030096</v>
      </c>
      <c r="L22" s="159">
        <f t="shared" si="80"/>
        <v>-0.87367152171896678</v>
      </c>
      <c r="M22" s="159">
        <f t="shared" si="80"/>
        <v>0.72712489923416435</v>
      </c>
      <c r="N22" s="159">
        <f t="shared" si="80"/>
        <v>-0.14901462729433712</v>
      </c>
      <c r="O22" s="159">
        <f t="shared" si="80"/>
        <v>4.0190559935307304</v>
      </c>
      <c r="P22" s="159">
        <f t="shared" si="80"/>
        <v>-0.83797538686057627</v>
      </c>
      <c r="Q22" s="159">
        <f t="shared" si="80"/>
        <v>-0.47959799622160115</v>
      </c>
      <c r="R22" s="159">
        <f t="shared" si="80"/>
        <v>-0.20003007089948566</v>
      </c>
      <c r="S22" s="159">
        <f t="shared" si="80"/>
        <v>16.981013977507001</v>
      </c>
      <c r="T22" s="159">
        <f t="shared" si="80"/>
        <v>-0.95445846648929344</v>
      </c>
      <c r="U22" s="159">
        <f t="shared" si="80"/>
        <v>0.52338019305590144</v>
      </c>
      <c r="V22" s="159">
        <f t="shared" si="80"/>
        <v>2.0829561480985714</v>
      </c>
      <c r="W22" s="159">
        <f t="shared" si="80"/>
        <v>7.205970415367414</v>
      </c>
      <c r="X22" s="159">
        <f t="shared" si="80"/>
        <v>0.12358101667426968</v>
      </c>
      <c r="Y22" s="159">
        <f t="shared" si="80"/>
        <v>0.59190773144266462</v>
      </c>
      <c r="Z22" s="159">
        <f t="shared" si="80"/>
        <v>-2.4001007580916944E-2</v>
      </c>
      <c r="AA22" s="159">
        <f t="shared" si="80"/>
        <v>9.4390054436737314E-2</v>
      </c>
      <c r="AB22" s="159">
        <f t="shared" si="80"/>
        <v>0.52647885496159397</v>
      </c>
      <c r="AC22" s="159">
        <f t="shared" si="80"/>
        <v>7.8406898796622881E-2</v>
      </c>
      <c r="AD22" s="159">
        <f t="shared" si="80"/>
        <v>1.6288392423481768</v>
      </c>
      <c r="AE22" s="159">
        <f t="shared" si="80"/>
        <v>0.19917873491711435</v>
      </c>
      <c r="AF22" s="159">
        <f t="shared" si="80"/>
        <v>0.44782425177183693</v>
      </c>
      <c r="AG22" s="159">
        <f t="shared" si="80"/>
        <v>0.28373721705485977</v>
      </c>
      <c r="AH22" s="159">
        <f t="shared" si="80"/>
        <v>0.32563722892112068</v>
      </c>
      <c r="AI22" s="159">
        <f t="shared" si="80"/>
        <v>0.43496759358628445</v>
      </c>
      <c r="AJ22" s="159">
        <f t="shared" si="80"/>
        <v>0.27022288722352417</v>
      </c>
      <c r="AK22" s="159">
        <f t="shared" si="80"/>
        <v>-6.2182009492194434E-2</v>
      </c>
      <c r="AL22" s="159">
        <f t="shared" si="80"/>
        <v>-9.5048369721961734E-3</v>
      </c>
      <c r="AM22" s="159">
        <f t="shared" si="80"/>
        <v>0.12958952044609773</v>
      </c>
      <c r="AN22" s="159">
        <f t="shared" si="80"/>
        <v>0.44311314753557385</v>
      </c>
      <c r="AO22" s="159">
        <f t="shared" si="80"/>
        <v>-4.9257176518720747E-2</v>
      </c>
      <c r="AP22" s="159">
        <f t="shared" si="80"/>
        <v>-5.5669089413706407E-2</v>
      </c>
      <c r="AQ22" s="159">
        <f t="shared" si="80"/>
        <v>6.1418861254956214E-2</v>
      </c>
      <c r="AR22" s="159">
        <f t="shared" si="80"/>
        <v>0.24635752167852676</v>
      </c>
      <c r="AS22" s="159">
        <f t="shared" si="80"/>
        <v>1.8647473218950994E-2</v>
      </c>
      <c r="AT22" s="159">
        <f t="shared" si="80"/>
        <v>-4.5696798787665416E-2</v>
      </c>
      <c r="AU22" s="159">
        <f t="shared" si="80"/>
        <v>7.1971212789660788E-2</v>
      </c>
      <c r="AW22" s="159"/>
      <c r="AX22" s="159"/>
      <c r="AY22" s="159"/>
      <c r="AZ22" s="159"/>
      <c r="BB22" s="237"/>
      <c r="BC22" s="159"/>
      <c r="BD22" s="159"/>
      <c r="BE22" s="159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</row>
    <row r="23" spans="3:67">
      <c r="C23" s="38" t="str">
        <f t="shared" ref="C23:C28" si="81">C7</f>
        <v>Cloud - Chips and accelerator</v>
      </c>
      <c r="E23" s="71">
        <f t="shared" ref="E23:AU23" si="82">IF(AND(D7&gt;0,E7&gt;0),(E7/D7-1)," ")</f>
        <v>5.5483540290393361</v>
      </c>
      <c r="F23" s="71">
        <f t="shared" si="82"/>
        <v>-0.91575748164787907</v>
      </c>
      <c r="G23" s="71">
        <f t="shared" si="82"/>
        <v>3.2856851423747022</v>
      </c>
      <c r="H23" s="71">
        <f t="shared" si="82"/>
        <v>-0.74753964431903941</v>
      </c>
      <c r="I23" s="71">
        <f t="shared" si="82"/>
        <v>1.8158947090323858</v>
      </c>
      <c r="J23" s="71">
        <f t="shared" si="82"/>
        <v>-0.77698220464849665</v>
      </c>
      <c r="K23" s="71">
        <f t="shared" si="82"/>
        <v>4.8976568691030078</v>
      </c>
      <c r="L23" s="71">
        <f t="shared" si="82"/>
        <v>0.64766471840297068</v>
      </c>
      <c r="M23" s="71">
        <f t="shared" si="82"/>
        <v>0.30815967011583401</v>
      </c>
      <c r="N23" s="71">
        <f t="shared" si="82"/>
        <v>-0.40457139785362262</v>
      </c>
      <c r="O23" s="71">
        <f t="shared" si="82"/>
        <v>1.1212416655434381</v>
      </c>
      <c r="P23" s="71">
        <f t="shared" si="82"/>
        <v>-6.1091279805268628E-2</v>
      </c>
      <c r="Q23" s="71">
        <f t="shared" si="82"/>
        <v>-0.75466978624755243</v>
      </c>
      <c r="R23" s="71">
        <f t="shared" si="82"/>
        <v>0.31324967721280683</v>
      </c>
      <c r="S23" s="71">
        <f t="shared" si="82"/>
        <v>0.17016754284695712</v>
      </c>
      <c r="T23" s="71">
        <f t="shared" si="82"/>
        <v>0.32924876440738848</v>
      </c>
      <c r="U23" s="71">
        <f t="shared" si="82"/>
        <v>0.61574880886201111</v>
      </c>
      <c r="V23" s="71">
        <f t="shared" si="82"/>
        <v>2.1417989666261219</v>
      </c>
      <c r="W23" s="71">
        <f t="shared" si="82"/>
        <v>7.3281793713548193</v>
      </c>
      <c r="X23" s="71">
        <f t="shared" si="82"/>
        <v>0.1216726515218538</v>
      </c>
      <c r="Y23" s="71">
        <f t="shared" si="82"/>
        <v>0.59422279582021553</v>
      </c>
      <c r="Z23" s="71">
        <f t="shared" si="82"/>
        <v>-2.5066668526091185E-2</v>
      </c>
      <c r="AA23" s="71">
        <f t="shared" si="82"/>
        <v>9.5936033860720915E-2</v>
      </c>
      <c r="AB23" s="71">
        <f t="shared" si="82"/>
        <v>0.52754674291141535</v>
      </c>
      <c r="AC23" s="71">
        <f t="shared" si="82"/>
        <v>7.8483966671668348E-2</v>
      </c>
      <c r="AD23" s="71">
        <f t="shared" si="82"/>
        <v>1.6308749239113021</v>
      </c>
      <c r="AE23" s="71">
        <f t="shared" si="82"/>
        <v>0.19959220951164447</v>
      </c>
      <c r="AF23" s="71">
        <f t="shared" si="82"/>
        <v>0.44800562449048287</v>
      </c>
      <c r="AG23" s="71">
        <f t="shared" si="82"/>
        <v>0.28382733256199177</v>
      </c>
      <c r="AH23" s="71">
        <f t="shared" si="82"/>
        <v>0.32563205124372407</v>
      </c>
      <c r="AI23" s="71">
        <f t="shared" si="82"/>
        <v>0.43517728896666075</v>
      </c>
      <c r="AJ23" s="71">
        <f t="shared" si="82"/>
        <v>0.27025347145738454</v>
      </c>
      <c r="AK23" s="71">
        <f t="shared" si="82"/>
        <v>-6.2192885009149657E-2</v>
      </c>
      <c r="AL23" s="71">
        <f t="shared" si="82"/>
        <v>-9.5496458377933857E-3</v>
      </c>
      <c r="AM23" s="71">
        <f t="shared" si="82"/>
        <v>0.12966158892297508</v>
      </c>
      <c r="AN23" s="71">
        <f t="shared" si="82"/>
        <v>0.44315892941286705</v>
      </c>
      <c r="AO23" s="71">
        <f t="shared" si="82"/>
        <v>-4.9263415647813114E-2</v>
      </c>
      <c r="AP23" s="71">
        <f t="shared" si="82"/>
        <v>-5.570241445602786E-2</v>
      </c>
      <c r="AQ23" s="71">
        <f t="shared" si="82"/>
        <v>6.1459935428933798E-2</v>
      </c>
      <c r="AR23" s="71">
        <f t="shared" si="82"/>
        <v>0.24637523054444266</v>
      </c>
      <c r="AS23" s="71">
        <f t="shared" si="82"/>
        <v>1.8646872087691113E-2</v>
      </c>
      <c r="AT23" s="71">
        <f t="shared" si="82"/>
        <v>-4.5722460501347428E-2</v>
      </c>
      <c r="AU23" s="71">
        <f t="shared" si="82"/>
        <v>7.200420748928904E-2</v>
      </c>
      <c r="AW23" s="71"/>
      <c r="AX23" s="71"/>
      <c r="AY23" s="71"/>
      <c r="AZ23" s="71"/>
      <c r="BC23" s="71"/>
      <c r="BD23" s="71"/>
      <c r="BE23" s="71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</row>
    <row r="24" spans="3:67">
      <c r="C24" s="38" t="str">
        <f t="shared" si="81"/>
        <v>Cloud - Training machine</v>
      </c>
      <c r="E24" s="71" t="str">
        <f t="shared" ref="E24:AU24" si="83">IF(AND(D8&gt;0,E8&gt;0),(E8/D8-1)," ")</f>
        <v xml:space="preserve"> </v>
      </c>
      <c r="F24" s="71" t="str">
        <f t="shared" si="83"/>
        <v xml:space="preserve"> </v>
      </c>
      <c r="G24" s="71" t="str">
        <f t="shared" si="83"/>
        <v xml:space="preserve"> </v>
      </c>
      <c r="H24" s="71" t="str">
        <f t="shared" si="83"/>
        <v xml:space="preserve"> </v>
      </c>
      <c r="I24" s="71">
        <f t="shared" si="83"/>
        <v>1.8158947090323858</v>
      </c>
      <c r="J24" s="71">
        <f t="shared" si="83"/>
        <v>-0.89350921851688581</v>
      </c>
      <c r="K24" s="71">
        <f t="shared" si="83"/>
        <v>4.8976568691030113</v>
      </c>
      <c r="L24" s="71">
        <f t="shared" si="83"/>
        <v>0.20666436627268614</v>
      </c>
      <c r="M24" s="71">
        <f t="shared" si="83"/>
        <v>2.191684198665619</v>
      </c>
      <c r="N24" s="71">
        <f t="shared" si="83"/>
        <v>-0.82917720524287131</v>
      </c>
      <c r="O24" s="71">
        <f t="shared" si="83"/>
        <v>3.2089952093027119E-2</v>
      </c>
      <c r="P24" s="71" t="str">
        <f t="shared" si="83"/>
        <v xml:space="preserve"> </v>
      </c>
      <c r="Q24" s="71" t="str">
        <f t="shared" si="83"/>
        <v xml:space="preserve"> </v>
      </c>
      <c r="R24" s="71" t="str">
        <f t="shared" si="83"/>
        <v xml:space="preserve"> </v>
      </c>
      <c r="S24" s="71" t="str">
        <f t="shared" si="83"/>
        <v xml:space="preserve"> </v>
      </c>
      <c r="T24" s="71" t="str">
        <f t="shared" si="83"/>
        <v xml:space="preserve"> </v>
      </c>
      <c r="U24" s="71" t="str">
        <f t="shared" si="83"/>
        <v xml:space="preserve"> </v>
      </c>
      <c r="V24" s="71" t="str">
        <f t="shared" si="83"/>
        <v xml:space="preserve"> </v>
      </c>
      <c r="W24" s="71" t="str">
        <f t="shared" si="83"/>
        <v xml:space="preserve"> </v>
      </c>
      <c r="X24" s="71" t="str">
        <f t="shared" si="83"/>
        <v xml:space="preserve"> </v>
      </c>
      <c r="Y24" s="71" t="str">
        <f t="shared" si="83"/>
        <v xml:space="preserve"> </v>
      </c>
      <c r="Z24" s="71" t="str">
        <f t="shared" si="83"/>
        <v xml:space="preserve"> </v>
      </c>
      <c r="AA24" s="71" t="str">
        <f t="shared" si="83"/>
        <v xml:space="preserve"> </v>
      </c>
      <c r="AB24" s="71" t="str">
        <f t="shared" si="83"/>
        <v xml:space="preserve"> </v>
      </c>
      <c r="AC24" s="71" t="str">
        <f t="shared" si="83"/>
        <v xml:space="preserve"> </v>
      </c>
      <c r="AD24" s="71" t="str">
        <f t="shared" si="83"/>
        <v xml:space="preserve"> </v>
      </c>
      <c r="AE24" s="71" t="str">
        <f t="shared" si="83"/>
        <v xml:space="preserve"> </v>
      </c>
      <c r="AF24" s="71" t="str">
        <f t="shared" si="83"/>
        <v xml:space="preserve"> </v>
      </c>
      <c r="AG24" s="71" t="str">
        <f t="shared" si="83"/>
        <v xml:space="preserve"> </v>
      </c>
      <c r="AH24" s="71" t="str">
        <f t="shared" si="83"/>
        <v xml:space="preserve"> </v>
      </c>
      <c r="AI24" s="71" t="str">
        <f t="shared" si="83"/>
        <v xml:space="preserve"> </v>
      </c>
      <c r="AJ24" s="71" t="str">
        <f t="shared" si="83"/>
        <v xml:space="preserve"> </v>
      </c>
      <c r="AK24" s="71" t="str">
        <f t="shared" si="83"/>
        <v xml:space="preserve"> </v>
      </c>
      <c r="AL24" s="71" t="str">
        <f t="shared" si="83"/>
        <v xml:space="preserve"> </v>
      </c>
      <c r="AM24" s="71" t="str">
        <f t="shared" si="83"/>
        <v xml:space="preserve"> </v>
      </c>
      <c r="AN24" s="71" t="str">
        <f t="shared" si="83"/>
        <v xml:space="preserve"> </v>
      </c>
      <c r="AO24" s="71" t="str">
        <f t="shared" si="83"/>
        <v xml:space="preserve"> </v>
      </c>
      <c r="AP24" s="71" t="str">
        <f t="shared" si="83"/>
        <v xml:space="preserve"> </v>
      </c>
      <c r="AQ24" s="71" t="str">
        <f t="shared" si="83"/>
        <v xml:space="preserve"> </v>
      </c>
      <c r="AR24" s="71" t="str">
        <f t="shared" si="83"/>
        <v xml:space="preserve"> </v>
      </c>
      <c r="AS24" s="71" t="str">
        <f t="shared" si="83"/>
        <v xml:space="preserve"> </v>
      </c>
      <c r="AT24" s="71" t="str">
        <f t="shared" si="83"/>
        <v xml:space="preserve"> </v>
      </c>
      <c r="AU24" s="71" t="str">
        <f t="shared" si="83"/>
        <v xml:space="preserve"> </v>
      </c>
      <c r="AW24" s="169"/>
      <c r="AX24" s="169"/>
      <c r="AY24" s="169"/>
      <c r="AZ24" s="169"/>
      <c r="BC24" s="71"/>
      <c r="BD24" s="71"/>
      <c r="BE24" s="71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</row>
    <row r="25" spans="3:67" s="248" customFormat="1">
      <c r="C25" s="38" t="str">
        <f t="shared" si="81"/>
        <v>Edge chips and accelerator</v>
      </c>
      <c r="D25" s="38"/>
      <c r="E25" s="71">
        <f t="shared" ref="E25:AU25" si="84">IF(AND(D9&gt;0,E9&gt;0),(E9/D9-1)," ")</f>
        <v>5.5483540290393369</v>
      </c>
      <c r="F25" s="71">
        <f t="shared" si="84"/>
        <v>-0.76280883597122617</v>
      </c>
      <c r="G25" s="71">
        <f t="shared" si="84"/>
        <v>3.2856851423747004</v>
      </c>
      <c r="H25" s="71">
        <f t="shared" si="84"/>
        <v>1.4948140085820838</v>
      </c>
      <c r="I25" s="71">
        <f t="shared" si="84"/>
        <v>1.8158947090323867</v>
      </c>
      <c r="J25" s="71">
        <f t="shared" si="84"/>
        <v>-0.68937532088175724</v>
      </c>
      <c r="K25" s="71">
        <f t="shared" si="84"/>
        <v>2.7619047619047623</v>
      </c>
      <c r="L25" s="71">
        <f t="shared" si="84"/>
        <v>-0.79103396504562817</v>
      </c>
      <c r="M25" s="71">
        <f t="shared" si="84"/>
        <v>-0.13958772779565964</v>
      </c>
      <c r="N25" s="71">
        <f t="shared" si="84"/>
        <v>-0.64701741009290581</v>
      </c>
      <c r="O25" s="71">
        <f t="shared" si="84"/>
        <v>0.1304555893334749</v>
      </c>
      <c r="P25" s="71">
        <f t="shared" si="84"/>
        <v>-0.18446116888206188</v>
      </c>
      <c r="Q25" s="71">
        <f t="shared" si="84"/>
        <v>-0.17031673751724252</v>
      </c>
      <c r="R25" s="71">
        <f t="shared" si="84"/>
        <v>-0.6077971223254508</v>
      </c>
      <c r="S25" s="71">
        <f t="shared" si="84"/>
        <v>0.25011238132656599</v>
      </c>
      <c r="T25" s="71">
        <f t="shared" si="84"/>
        <v>0.26833534196330966</v>
      </c>
      <c r="U25" s="71">
        <f t="shared" si="84"/>
        <v>-0.42917102293578002</v>
      </c>
      <c r="V25" s="71">
        <f t="shared" si="84"/>
        <v>0.10486912639968238</v>
      </c>
      <c r="W25" s="71">
        <f t="shared" si="84"/>
        <v>0.26750208384505858</v>
      </c>
      <c r="X25" s="71">
        <f t="shared" si="84"/>
        <v>-0.37453289628823261</v>
      </c>
      <c r="Y25" s="71">
        <f t="shared" si="84"/>
        <v>-0.42917102293578002</v>
      </c>
      <c r="Z25" s="71">
        <f t="shared" si="84"/>
        <v>0.10486912639968238</v>
      </c>
      <c r="AA25" s="71">
        <f t="shared" si="84"/>
        <v>0.44639538263900813</v>
      </c>
      <c r="AB25" s="71">
        <f t="shared" si="84"/>
        <v>9.6215968118948503E-2</v>
      </c>
      <c r="AC25" s="71">
        <f t="shared" si="84"/>
        <v>-0.42917102293578002</v>
      </c>
      <c r="AD25" s="71">
        <f t="shared" si="84"/>
        <v>0.10486912639968238</v>
      </c>
      <c r="AE25" s="71">
        <f t="shared" si="84"/>
        <v>0.44639538263900813</v>
      </c>
      <c r="AF25" s="71">
        <f t="shared" si="84"/>
        <v>9.6215968118948503E-2</v>
      </c>
      <c r="AG25" s="71">
        <f t="shared" si="84"/>
        <v>-0.42917102293578002</v>
      </c>
      <c r="AH25" s="71">
        <f t="shared" si="84"/>
        <v>0.10486912639968238</v>
      </c>
      <c r="AI25" s="71">
        <f t="shared" si="84"/>
        <v>0.44639538263900813</v>
      </c>
      <c r="AJ25" s="71">
        <f t="shared" si="84"/>
        <v>9.6215968118948503E-2</v>
      </c>
      <c r="AK25" s="71">
        <f t="shared" si="84"/>
        <v>-0.42917102293578002</v>
      </c>
      <c r="AL25" s="71">
        <f t="shared" si="84"/>
        <v>0.10486912639968238</v>
      </c>
      <c r="AM25" s="71">
        <f t="shared" si="84"/>
        <v>0.44639538263900813</v>
      </c>
      <c r="AN25" s="71">
        <f t="shared" si="84"/>
        <v>9.6215968118948503E-2</v>
      </c>
      <c r="AO25" s="71">
        <f t="shared" si="84"/>
        <v>-0.42917102293578002</v>
      </c>
      <c r="AP25" s="71">
        <f t="shared" si="84"/>
        <v>0.10486912639968238</v>
      </c>
      <c r="AQ25" s="71">
        <f t="shared" si="84"/>
        <v>0.44639538263900813</v>
      </c>
      <c r="AR25" s="71">
        <f t="shared" si="84"/>
        <v>9.6215968118948503E-2</v>
      </c>
      <c r="AS25" s="71">
        <f t="shared" si="84"/>
        <v>-0.42917102293578002</v>
      </c>
      <c r="AT25" s="71">
        <f t="shared" si="84"/>
        <v>0.10486912639968238</v>
      </c>
      <c r="AU25" s="71">
        <f t="shared" si="84"/>
        <v>0.44639538263900813</v>
      </c>
      <c r="AV25" s="38"/>
      <c r="AW25" s="71"/>
      <c r="AX25" s="71"/>
      <c r="AY25" s="71"/>
      <c r="AZ25" s="71"/>
      <c r="BA25" s="38"/>
      <c r="BB25" s="38"/>
      <c r="BC25" s="71"/>
      <c r="BD25" s="71"/>
      <c r="BE25" s="71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</row>
    <row r="26" spans="3:67">
      <c r="C26" s="38" t="str">
        <f t="shared" si="81"/>
        <v>Intelligent computing cluster systems</v>
      </c>
      <c r="E26" s="71" t="str">
        <f t="shared" ref="E26:AU26" si="85">IF(AND(D10&gt;0,E10&gt;0),(E10/D10-1)," ")</f>
        <v xml:space="preserve"> </v>
      </c>
      <c r="F26" s="71">
        <f t="shared" si="85"/>
        <v>480.36318922225945</v>
      </c>
      <c r="G26" s="71">
        <f t="shared" si="85"/>
        <v>3.2856851423747013</v>
      </c>
      <c r="H26" s="71" t="str">
        <f t="shared" si="85"/>
        <v xml:space="preserve"> </v>
      </c>
      <c r="I26" s="71" t="str">
        <f t="shared" si="85"/>
        <v xml:space="preserve"> </v>
      </c>
      <c r="J26" s="71">
        <f t="shared" si="85"/>
        <v>36.305652651196105</v>
      </c>
      <c r="K26" s="71">
        <f t="shared" si="85"/>
        <v>5.6923076923076916</v>
      </c>
      <c r="L26" s="71" t="str">
        <f t="shared" si="85"/>
        <v xml:space="preserve"> </v>
      </c>
      <c r="M26" s="71" t="str">
        <f t="shared" si="85"/>
        <v xml:space="preserve"> </v>
      </c>
      <c r="N26" s="71">
        <f t="shared" si="85"/>
        <v>6.666666666666667</v>
      </c>
      <c r="O26" s="71">
        <f t="shared" si="85"/>
        <v>6.5652173913043486</v>
      </c>
      <c r="P26" s="71">
        <f t="shared" si="85"/>
        <v>-0.93938062103083353</v>
      </c>
      <c r="Q26" s="71">
        <f t="shared" si="85"/>
        <v>0</v>
      </c>
      <c r="R26" s="71">
        <f t="shared" si="85"/>
        <v>-0.42500000000000004</v>
      </c>
      <c r="S26" s="71">
        <f t="shared" si="85"/>
        <v>38</v>
      </c>
      <c r="T26" s="71">
        <f t="shared" si="85"/>
        <v>-0.99994363345889126</v>
      </c>
      <c r="U26" s="71">
        <f t="shared" si="85"/>
        <v>0</v>
      </c>
      <c r="V26" s="71">
        <f t="shared" si="85"/>
        <v>14.84502604173184</v>
      </c>
      <c r="W26" s="71">
        <f t="shared" si="85"/>
        <v>0</v>
      </c>
      <c r="X26" s="71" t="str">
        <f t="shared" si="85"/>
        <v xml:space="preserve"> </v>
      </c>
      <c r="Y26" s="71" t="str">
        <f t="shared" si="85"/>
        <v xml:space="preserve"> </v>
      </c>
      <c r="Z26" s="71" t="str">
        <f t="shared" si="85"/>
        <v xml:space="preserve"> </v>
      </c>
      <c r="AA26" s="71" t="str">
        <f t="shared" si="85"/>
        <v xml:space="preserve"> </v>
      </c>
      <c r="AB26" s="71" t="str">
        <f t="shared" si="85"/>
        <v xml:space="preserve"> </v>
      </c>
      <c r="AC26" s="71" t="str">
        <f t="shared" si="85"/>
        <v xml:space="preserve"> </v>
      </c>
      <c r="AD26" s="71" t="str">
        <f t="shared" si="85"/>
        <v xml:space="preserve"> </v>
      </c>
      <c r="AE26" s="71" t="str">
        <f t="shared" si="85"/>
        <v xml:space="preserve"> </v>
      </c>
      <c r="AF26" s="71" t="str">
        <f t="shared" si="85"/>
        <v xml:space="preserve"> </v>
      </c>
      <c r="AG26" s="71" t="str">
        <f t="shared" si="85"/>
        <v xml:space="preserve"> </v>
      </c>
      <c r="AH26" s="71" t="str">
        <f t="shared" si="85"/>
        <v xml:space="preserve"> </v>
      </c>
      <c r="AI26" s="71" t="str">
        <f t="shared" si="85"/>
        <v xml:space="preserve"> </v>
      </c>
      <c r="AJ26" s="71" t="str">
        <f t="shared" si="85"/>
        <v xml:space="preserve"> </v>
      </c>
      <c r="AK26" s="71" t="str">
        <f t="shared" si="85"/>
        <v xml:space="preserve"> </v>
      </c>
      <c r="AL26" s="71" t="str">
        <f t="shared" si="85"/>
        <v xml:space="preserve"> </v>
      </c>
      <c r="AM26" s="71" t="str">
        <f t="shared" si="85"/>
        <v xml:space="preserve"> </v>
      </c>
      <c r="AN26" s="71" t="str">
        <f t="shared" si="85"/>
        <v xml:space="preserve"> </v>
      </c>
      <c r="AO26" s="71" t="str">
        <f t="shared" si="85"/>
        <v xml:space="preserve"> </v>
      </c>
      <c r="AP26" s="71" t="str">
        <f t="shared" si="85"/>
        <v xml:space="preserve"> </v>
      </c>
      <c r="AQ26" s="71" t="str">
        <f t="shared" si="85"/>
        <v xml:space="preserve"> </v>
      </c>
      <c r="AR26" s="71" t="str">
        <f t="shared" si="85"/>
        <v xml:space="preserve"> </v>
      </c>
      <c r="AS26" s="71" t="str">
        <f t="shared" si="85"/>
        <v xml:space="preserve"> </v>
      </c>
      <c r="AT26" s="71" t="str">
        <f t="shared" si="85"/>
        <v xml:space="preserve"> </v>
      </c>
      <c r="AU26" s="71" t="str">
        <f t="shared" si="85"/>
        <v xml:space="preserve"> </v>
      </c>
      <c r="AW26" s="71"/>
      <c r="AX26" s="71"/>
      <c r="AY26" s="71"/>
      <c r="AZ26" s="71"/>
      <c r="BC26" s="71"/>
      <c r="BD26" s="71"/>
      <c r="BE26" s="71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</row>
    <row r="27" spans="3:67">
      <c r="C27" s="38" t="str">
        <f t="shared" si="81"/>
        <v>AI processor IP &amp; basic system software</v>
      </c>
      <c r="E27" s="71">
        <f t="shared" ref="E27:AU27" si="86">IF(AND(D11&gt;0,E11&gt;0),(E11/D11-1)," ")</f>
        <v>5.5483540290393369</v>
      </c>
      <c r="F27" s="71">
        <f t="shared" si="86"/>
        <v>-0.89740158114116919</v>
      </c>
      <c r="G27" s="71">
        <f t="shared" si="86"/>
        <v>3.2856851423747013</v>
      </c>
      <c r="H27" s="71">
        <f t="shared" si="86"/>
        <v>-0.68866489884856341</v>
      </c>
      <c r="I27" s="71">
        <f t="shared" si="86"/>
        <v>1.8158947090323863</v>
      </c>
      <c r="J27" s="71">
        <f t="shared" si="86"/>
        <v>-0.99482945740734563</v>
      </c>
      <c r="K27" s="71">
        <f t="shared" si="86"/>
        <v>4.8976568691030096</v>
      </c>
      <c r="L27" s="71">
        <f t="shared" si="86"/>
        <v>0.88806205909362768</v>
      </c>
      <c r="M27" s="71">
        <f t="shared" si="86"/>
        <v>0</v>
      </c>
      <c r="N27" s="71">
        <f t="shared" si="86"/>
        <v>0</v>
      </c>
      <c r="O27" s="71">
        <f t="shared" si="86"/>
        <v>4.4408920985006262E-16</v>
      </c>
      <c r="P27" s="71">
        <f t="shared" si="86"/>
        <v>-0.79452480810520587</v>
      </c>
      <c r="Q27" s="71">
        <f t="shared" si="86"/>
        <v>0</v>
      </c>
      <c r="R27" s="71">
        <f t="shared" si="86"/>
        <v>0</v>
      </c>
      <c r="S27" s="71">
        <f t="shared" si="86"/>
        <v>2.2204460492503131E-16</v>
      </c>
      <c r="T27" s="71">
        <f t="shared" si="86"/>
        <v>0.89999999999999947</v>
      </c>
      <c r="U27" s="71">
        <f t="shared" si="86"/>
        <v>-7.8887452398567204E-3</v>
      </c>
      <c r="V27" s="71">
        <f t="shared" si="86"/>
        <v>-0.12467372135443433</v>
      </c>
      <c r="W27" s="71">
        <f t="shared" si="86"/>
        <v>-1.8030445670347617E-2</v>
      </c>
      <c r="X27" s="71">
        <f t="shared" si="86"/>
        <v>4.8632935534403634</v>
      </c>
      <c r="Y27" s="71">
        <f t="shared" si="86"/>
        <v>-7.8887452398567204E-3</v>
      </c>
      <c r="Z27" s="71">
        <f t="shared" si="86"/>
        <v>5.0391534374678804E-2</v>
      </c>
      <c r="AA27" s="71">
        <f t="shared" si="86"/>
        <v>4.3581015885793439E-2</v>
      </c>
      <c r="AB27" s="71">
        <f t="shared" si="86"/>
        <v>0.28733114438080687</v>
      </c>
      <c r="AC27" s="71">
        <f t="shared" si="86"/>
        <v>-7.8887452398567204E-3</v>
      </c>
      <c r="AD27" s="71">
        <f t="shared" si="86"/>
        <v>5.0391534374678804E-2</v>
      </c>
      <c r="AE27" s="71">
        <f t="shared" si="86"/>
        <v>4.3581015885793439E-2</v>
      </c>
      <c r="AF27" s="71">
        <f t="shared" si="86"/>
        <v>0.19537891978217781</v>
      </c>
      <c r="AG27" s="71">
        <f t="shared" si="86"/>
        <v>-7.8887452398569424E-3</v>
      </c>
      <c r="AH27" s="71">
        <f t="shared" si="86"/>
        <v>5.0391534374679026E-2</v>
      </c>
      <c r="AI27" s="71">
        <f t="shared" si="86"/>
        <v>4.3581015885793439E-2</v>
      </c>
      <c r="AJ27" s="71">
        <f t="shared" si="86"/>
        <v>0.10342669518354897</v>
      </c>
      <c r="AK27" s="71">
        <f t="shared" si="86"/>
        <v>-7.8887452398570534E-3</v>
      </c>
      <c r="AL27" s="71">
        <f t="shared" si="86"/>
        <v>5.0391534374679026E-2</v>
      </c>
      <c r="AM27" s="71">
        <f t="shared" si="86"/>
        <v>4.3581015885793217E-2</v>
      </c>
      <c r="AN27" s="71">
        <f t="shared" si="86"/>
        <v>1.1474470584919905E-2</v>
      </c>
      <c r="AO27" s="71">
        <f t="shared" si="86"/>
        <v>-7.8887452398571645E-3</v>
      </c>
      <c r="AP27" s="71">
        <f t="shared" si="86"/>
        <v>5.0391534374679026E-2</v>
      </c>
      <c r="AQ27" s="71">
        <f t="shared" si="86"/>
        <v>4.3581015885793439E-2</v>
      </c>
      <c r="AR27" s="71">
        <f t="shared" si="86"/>
        <v>1.1474470584919905E-2</v>
      </c>
      <c r="AS27" s="71">
        <f t="shared" si="86"/>
        <v>-7.8887452398569424E-3</v>
      </c>
      <c r="AT27" s="71">
        <f t="shared" si="86"/>
        <v>5.0391534374679026E-2</v>
      </c>
      <c r="AU27" s="71">
        <f t="shared" si="86"/>
        <v>4.3581015885793439E-2</v>
      </c>
      <c r="AW27" s="71"/>
      <c r="AX27" s="71"/>
      <c r="AY27" s="71"/>
      <c r="AZ27" s="71"/>
      <c r="BC27" s="71"/>
      <c r="BD27" s="71"/>
      <c r="BE27" s="71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</row>
    <row r="28" spans="3:67">
      <c r="C28" s="38" t="str">
        <f t="shared" si="81"/>
        <v>Others</v>
      </c>
      <c r="E28" s="71">
        <f t="shared" ref="E28:AU28" si="87">IF(AND(D12&gt;0,E12&gt;0),(E12/D12-1)," ")</f>
        <v>1.4478272021490066</v>
      </c>
      <c r="F28" s="71">
        <f t="shared" si="87"/>
        <v>9.8171187942189526</v>
      </c>
      <c r="G28" s="71">
        <f t="shared" si="87"/>
        <v>3.2856851423746898</v>
      </c>
      <c r="H28" s="71">
        <f t="shared" si="87"/>
        <v>-0.80576053872711006</v>
      </c>
      <c r="I28" s="71">
        <f t="shared" si="87"/>
        <v>-0.48463705963072801</v>
      </c>
      <c r="J28" s="71">
        <f t="shared" si="87"/>
        <v>2.2916615518532115</v>
      </c>
      <c r="K28" s="71">
        <f t="shared" si="87"/>
        <v>-0.16369121185244295</v>
      </c>
      <c r="L28" s="71">
        <f t="shared" si="87"/>
        <v>2.1092961140705917</v>
      </c>
      <c r="M28" s="71">
        <f t="shared" si="87"/>
        <v>-4.3450254429553303E-2</v>
      </c>
      <c r="N28" s="71">
        <f t="shared" si="87"/>
        <v>0.26183534514428008</v>
      </c>
      <c r="O28" s="71">
        <f t="shared" si="87"/>
        <v>-0.31659568575429875</v>
      </c>
      <c r="P28" s="71">
        <f t="shared" si="87"/>
        <v>-0.90076836026581075</v>
      </c>
      <c r="Q28" s="71">
        <f t="shared" si="87"/>
        <v>-0.96587542622626643</v>
      </c>
      <c r="R28" s="71">
        <f t="shared" si="87"/>
        <v>116.98692798911047</v>
      </c>
      <c r="S28" s="71">
        <f t="shared" si="87"/>
        <v>0.97422645325701729</v>
      </c>
      <c r="T28" s="71">
        <f t="shared" si="87"/>
        <v>-0.99776694398174837</v>
      </c>
      <c r="U28" s="71">
        <f t="shared" si="87"/>
        <v>-0.45897221019325551</v>
      </c>
      <c r="V28" s="71">
        <f t="shared" si="87"/>
        <v>42.18973213571094</v>
      </c>
      <c r="W28" s="71">
        <f t="shared" si="87"/>
        <v>-0.1072624946511892</v>
      </c>
      <c r="X28" s="71">
        <f t="shared" si="87"/>
        <v>31.08095149291276</v>
      </c>
      <c r="Y28" s="71">
        <f t="shared" si="87"/>
        <v>0.21347032570785207</v>
      </c>
      <c r="Z28" s="71">
        <f t="shared" si="87"/>
        <v>0.46747257756246352</v>
      </c>
      <c r="AA28" s="71">
        <f t="shared" si="87"/>
        <v>-0.45239284591284867</v>
      </c>
      <c r="AB28" s="71">
        <f t="shared" si="87"/>
        <v>2.5490713346381311E-2</v>
      </c>
      <c r="AC28" s="71">
        <f t="shared" si="87"/>
        <v>0.21347032570785207</v>
      </c>
      <c r="AD28" s="71">
        <f t="shared" si="87"/>
        <v>0.46747257756246352</v>
      </c>
      <c r="AE28" s="71">
        <f t="shared" si="87"/>
        <v>-0.45239284591284867</v>
      </c>
      <c r="AF28" s="71">
        <f t="shared" si="87"/>
        <v>2.5490713346381311E-2</v>
      </c>
      <c r="AG28" s="71">
        <f t="shared" si="87"/>
        <v>0.21347032570785207</v>
      </c>
      <c r="AH28" s="71">
        <f t="shared" si="87"/>
        <v>0.46747257756246352</v>
      </c>
      <c r="AI28" s="71">
        <f t="shared" si="87"/>
        <v>-0.45239284591284867</v>
      </c>
      <c r="AJ28" s="71">
        <f t="shared" si="87"/>
        <v>2.5490713346381311E-2</v>
      </c>
      <c r="AK28" s="71">
        <f t="shared" si="87"/>
        <v>0.21347032570785207</v>
      </c>
      <c r="AL28" s="71">
        <f t="shared" si="87"/>
        <v>0.46747257756246352</v>
      </c>
      <c r="AM28" s="71">
        <f t="shared" si="87"/>
        <v>-0.45239284591284867</v>
      </c>
      <c r="AN28" s="71">
        <f t="shared" si="87"/>
        <v>2.5490713346381311E-2</v>
      </c>
      <c r="AO28" s="71">
        <f t="shared" si="87"/>
        <v>0.21347032570785207</v>
      </c>
      <c r="AP28" s="71">
        <f t="shared" si="87"/>
        <v>0.46747257756246352</v>
      </c>
      <c r="AQ28" s="71">
        <f t="shared" si="87"/>
        <v>-0.45239284591284867</v>
      </c>
      <c r="AR28" s="71">
        <f t="shared" si="87"/>
        <v>2.5490713346381311E-2</v>
      </c>
      <c r="AS28" s="71">
        <f t="shared" si="87"/>
        <v>0.21347032570785207</v>
      </c>
      <c r="AT28" s="71">
        <f t="shared" si="87"/>
        <v>0.46747257756246352</v>
      </c>
      <c r="AU28" s="71">
        <f t="shared" si="87"/>
        <v>-0.45239284591284867</v>
      </c>
      <c r="AW28" s="169"/>
      <c r="AX28" s="169"/>
      <c r="AY28" s="169"/>
      <c r="AZ28" s="169"/>
      <c r="BC28" s="71"/>
      <c r="BD28" s="71"/>
      <c r="BE28" s="71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</row>
    <row r="29" spans="3:67">
      <c r="C29" s="237" t="s">
        <v>285</v>
      </c>
      <c r="D29" s="159">
        <f t="shared" ref="D29:AU29" si="88">D6/D$6</f>
        <v>1</v>
      </c>
      <c r="E29" s="159">
        <f t="shared" si="88"/>
        <v>1</v>
      </c>
      <c r="F29" s="159">
        <f t="shared" si="88"/>
        <v>1</v>
      </c>
      <c r="G29" s="159">
        <f t="shared" si="88"/>
        <v>1</v>
      </c>
      <c r="H29" s="159">
        <f t="shared" si="88"/>
        <v>1</v>
      </c>
      <c r="I29" s="159">
        <f t="shared" si="88"/>
        <v>1</v>
      </c>
      <c r="J29" s="159">
        <f t="shared" si="88"/>
        <v>1</v>
      </c>
      <c r="K29" s="159">
        <f t="shared" si="88"/>
        <v>1</v>
      </c>
      <c r="L29" s="159">
        <f t="shared" si="88"/>
        <v>1</v>
      </c>
      <c r="M29" s="159">
        <f t="shared" si="88"/>
        <v>1</v>
      </c>
      <c r="N29" s="159">
        <f t="shared" si="88"/>
        <v>1</v>
      </c>
      <c r="O29" s="159">
        <f t="shared" si="88"/>
        <v>1</v>
      </c>
      <c r="P29" s="159">
        <f t="shared" si="88"/>
        <v>1</v>
      </c>
      <c r="Q29" s="159">
        <f t="shared" si="88"/>
        <v>1</v>
      </c>
      <c r="R29" s="159">
        <f t="shared" si="88"/>
        <v>1</v>
      </c>
      <c r="S29" s="159">
        <f t="shared" si="88"/>
        <v>1</v>
      </c>
      <c r="T29" s="159">
        <f t="shared" si="88"/>
        <v>1</v>
      </c>
      <c r="U29" s="159">
        <f t="shared" si="88"/>
        <v>1</v>
      </c>
      <c r="V29" s="159">
        <f t="shared" si="88"/>
        <v>1</v>
      </c>
      <c r="W29" s="159">
        <f t="shared" si="88"/>
        <v>1</v>
      </c>
      <c r="X29" s="159">
        <f t="shared" si="88"/>
        <v>1</v>
      </c>
      <c r="Y29" s="159">
        <f t="shared" si="88"/>
        <v>1</v>
      </c>
      <c r="Z29" s="159">
        <f t="shared" si="88"/>
        <v>1</v>
      </c>
      <c r="AA29" s="159">
        <f t="shared" si="88"/>
        <v>1</v>
      </c>
      <c r="AB29" s="159">
        <f t="shared" si="88"/>
        <v>1</v>
      </c>
      <c r="AC29" s="159">
        <f t="shared" si="88"/>
        <v>1</v>
      </c>
      <c r="AD29" s="159">
        <f t="shared" si="88"/>
        <v>1</v>
      </c>
      <c r="AE29" s="159">
        <f t="shared" si="88"/>
        <v>1</v>
      </c>
      <c r="AF29" s="159">
        <f t="shared" si="88"/>
        <v>1</v>
      </c>
      <c r="AG29" s="159">
        <f t="shared" si="88"/>
        <v>1</v>
      </c>
      <c r="AH29" s="159">
        <f t="shared" si="88"/>
        <v>1</v>
      </c>
      <c r="AI29" s="159">
        <f t="shared" si="88"/>
        <v>1</v>
      </c>
      <c r="AJ29" s="159">
        <f t="shared" si="88"/>
        <v>1</v>
      </c>
      <c r="AK29" s="159">
        <f t="shared" si="88"/>
        <v>1</v>
      </c>
      <c r="AL29" s="159">
        <f t="shared" si="88"/>
        <v>1</v>
      </c>
      <c r="AM29" s="159">
        <f t="shared" si="88"/>
        <v>1</v>
      </c>
      <c r="AN29" s="159">
        <f t="shared" si="88"/>
        <v>1</v>
      </c>
      <c r="AO29" s="159">
        <f t="shared" si="88"/>
        <v>1</v>
      </c>
      <c r="AP29" s="159">
        <f t="shared" si="88"/>
        <v>1</v>
      </c>
      <c r="AQ29" s="159">
        <f t="shared" si="88"/>
        <v>1</v>
      </c>
      <c r="AR29" s="159">
        <f t="shared" si="88"/>
        <v>1</v>
      </c>
      <c r="AS29" s="159">
        <f t="shared" si="88"/>
        <v>1</v>
      </c>
      <c r="AT29" s="159">
        <f t="shared" si="88"/>
        <v>1</v>
      </c>
      <c r="AU29" s="159">
        <f t="shared" si="88"/>
        <v>1</v>
      </c>
      <c r="BB29" s="159">
        <f t="shared" ref="BB29:BO29" si="89">BB6/BB$6</f>
        <v>1</v>
      </c>
      <c r="BC29" s="159">
        <f t="shared" si="89"/>
        <v>1</v>
      </c>
      <c r="BD29" s="159">
        <f t="shared" si="89"/>
        <v>1</v>
      </c>
      <c r="BE29" s="159">
        <f t="shared" si="89"/>
        <v>1</v>
      </c>
      <c r="BF29" s="105">
        <f t="shared" si="89"/>
        <v>1</v>
      </c>
      <c r="BG29" s="105">
        <f t="shared" si="89"/>
        <v>1</v>
      </c>
      <c r="BH29" s="105">
        <f t="shared" si="89"/>
        <v>1</v>
      </c>
      <c r="BI29" s="105">
        <f t="shared" si="89"/>
        <v>1</v>
      </c>
      <c r="BJ29" s="105">
        <f t="shared" si="89"/>
        <v>1</v>
      </c>
      <c r="BK29" s="105">
        <f t="shared" si="89"/>
        <v>1</v>
      </c>
      <c r="BL29" s="105">
        <f t="shared" si="89"/>
        <v>1</v>
      </c>
      <c r="BM29" s="105">
        <f t="shared" si="89"/>
        <v>1</v>
      </c>
      <c r="BN29" s="105">
        <f t="shared" si="89"/>
        <v>1</v>
      </c>
      <c r="BO29" s="105">
        <f t="shared" si="89"/>
        <v>1</v>
      </c>
    </row>
    <row r="30" spans="3:67">
      <c r="C30" s="38" t="str">
        <f t="shared" ref="C30:C35" si="90">C23</f>
        <v>Cloud - Chips and accelerator</v>
      </c>
      <c r="D30" s="106">
        <f t="shared" ref="D30:AU30" si="91">D7/D$6</f>
        <v>0.71348216289490618</v>
      </c>
      <c r="E30" s="106">
        <f t="shared" si="91"/>
        <v>0.71348216289490607</v>
      </c>
      <c r="F30" s="106">
        <f t="shared" si="91"/>
        <v>6.46559799391144E-2</v>
      </c>
      <c r="G30" s="106">
        <f t="shared" si="91"/>
        <v>6.46559799391144E-2</v>
      </c>
      <c r="H30" s="106">
        <f t="shared" si="91"/>
        <v>0.1361636114599509</v>
      </c>
      <c r="I30" s="106">
        <f t="shared" si="91"/>
        <v>0.13616361145995087</v>
      </c>
      <c r="J30" s="106">
        <f t="shared" si="91"/>
        <v>3.6542763826841546E-2</v>
      </c>
      <c r="K30" s="106">
        <f t="shared" si="91"/>
        <v>3.6542763826841532E-2</v>
      </c>
      <c r="L30" s="106">
        <f t="shared" si="91"/>
        <v>0.47661638523400957</v>
      </c>
      <c r="M30" s="106">
        <f t="shared" si="91"/>
        <v>0.36099898366122163</v>
      </c>
      <c r="N30" s="106">
        <f t="shared" si="91"/>
        <v>0.25258850164985186</v>
      </c>
      <c r="O30" s="106">
        <f t="shared" si="91"/>
        <v>0.10675339239639282</v>
      </c>
      <c r="P30" s="106">
        <f t="shared" si="91"/>
        <v>0.61862015337813414</v>
      </c>
      <c r="Q30" s="106">
        <f t="shared" si="91"/>
        <v>0.29163264814110063</v>
      </c>
      <c r="R30" s="106">
        <f t="shared" si="91"/>
        <v>0.47875109689016204</v>
      </c>
      <c r="S30" s="106">
        <f t="shared" si="91"/>
        <v>3.115614032579261E-2</v>
      </c>
      <c r="T30" s="106">
        <f t="shared" si="91"/>
        <v>0.90937344088395344</v>
      </c>
      <c r="U30" s="106">
        <f t="shared" si="91"/>
        <v>0.96451237886422925</v>
      </c>
      <c r="V30" s="106">
        <f t="shared" si="91"/>
        <v>0.98292153687709527</v>
      </c>
      <c r="W30" s="106">
        <f t="shared" si="91"/>
        <v>0.99755988051702993</v>
      </c>
      <c r="X30" s="106">
        <f t="shared" si="91"/>
        <v>0.99586555809152144</v>
      </c>
      <c r="Y30" s="106">
        <f t="shared" si="91"/>
        <v>0.99731381594769652</v>
      </c>
      <c r="Z30" s="106">
        <f t="shared" si="91"/>
        <v>0.99622488205330395</v>
      </c>
      <c r="AA30" s="106">
        <f t="shared" si="91"/>
        <v>0.99763218940507581</v>
      </c>
      <c r="AB30" s="106">
        <f t="shared" si="91"/>
        <v>0.99833010892748308</v>
      </c>
      <c r="AC30" s="106">
        <f t="shared" si="91"/>
        <v>0.99840145414993531</v>
      </c>
      <c r="AD30" s="106">
        <f t="shared" si="91"/>
        <v>0.99917458146790505</v>
      </c>
      <c r="AE30" s="106">
        <f t="shared" si="91"/>
        <v>0.99951909500280012</v>
      </c>
      <c r="AF30" s="106">
        <f t="shared" si="91"/>
        <v>0.99964430736568</v>
      </c>
      <c r="AG30" s="106">
        <f t="shared" si="91"/>
        <v>0.99971448018026621</v>
      </c>
      <c r="AH30" s="106">
        <f t="shared" si="91"/>
        <v>0.99971057549280407</v>
      </c>
      <c r="AI30" s="106">
        <f t="shared" si="91"/>
        <v>0.99985666568350329</v>
      </c>
      <c r="AJ30" s="106">
        <f t="shared" si="91"/>
        <v>0.99988074008052275</v>
      </c>
      <c r="AK30" s="106">
        <f t="shared" si="91"/>
        <v>0.99986914484557077</v>
      </c>
      <c r="AL30" s="106">
        <f t="shared" si="91"/>
        <v>0.99982391191178321</v>
      </c>
      <c r="AM30" s="106">
        <f t="shared" si="91"/>
        <v>0.99988770126638737</v>
      </c>
      <c r="AN30" s="106">
        <f t="shared" si="91"/>
        <v>0.99991942208891926</v>
      </c>
      <c r="AO30" s="106">
        <f t="shared" si="91"/>
        <v>0.9999128602446411</v>
      </c>
      <c r="AP30" s="106">
        <f t="shared" si="91"/>
        <v>0.99987757373859554</v>
      </c>
      <c r="AQ30" s="106">
        <f t="shared" si="91"/>
        <v>0.99991626642337739</v>
      </c>
      <c r="AR30" s="106">
        <f t="shared" si="91"/>
        <v>0.99993047372969301</v>
      </c>
      <c r="AS30" s="106">
        <f t="shared" si="91"/>
        <v>0.99992988364383784</v>
      </c>
      <c r="AT30" s="106">
        <f t="shared" si="91"/>
        <v>0.99990299500473079</v>
      </c>
      <c r="AU30" s="106">
        <f t="shared" si="91"/>
        <v>0.99993377148322571</v>
      </c>
      <c r="AW30" s="71"/>
      <c r="AX30" s="71"/>
      <c r="AY30" s="71"/>
      <c r="AZ30" s="71"/>
      <c r="BB30" s="106">
        <f t="shared" ref="BB30:BO30" si="92">BB7/BB$6</f>
        <v>0</v>
      </c>
      <c r="BC30" s="106">
        <f t="shared" si="92"/>
        <v>0</v>
      </c>
      <c r="BD30" s="106">
        <f t="shared" si="92"/>
        <v>0.17768768888790948</v>
      </c>
      <c r="BE30" s="253">
        <f t="shared" si="92"/>
        <v>0.18794318094779419</v>
      </c>
      <c r="BF30" s="253">
        <f t="shared" si="92"/>
        <v>5.5591421037052155E-2</v>
      </c>
      <c r="BG30" s="253">
        <f t="shared" si="92"/>
        <v>0.19517117650402502</v>
      </c>
      <c r="BH30" s="253">
        <f t="shared" si="92"/>
        <v>0.12766674604436365</v>
      </c>
      <c r="BI30" s="253">
        <f t="shared" si="92"/>
        <v>0.99303010616783383</v>
      </c>
      <c r="BJ30" s="253">
        <f t="shared" si="92"/>
        <v>0.99686927199549047</v>
      </c>
      <c r="BK30" s="253">
        <f t="shared" si="92"/>
        <v>0.99911359224144414</v>
      </c>
      <c r="BL30" s="253">
        <f t="shared" si="92"/>
        <v>0.99975654901950128</v>
      </c>
      <c r="BM30" s="253">
        <f t="shared" si="92"/>
        <v>0.99986634838746247</v>
      </c>
      <c r="BN30" s="253">
        <f t="shared" si="92"/>
        <v>0.99990710649152936</v>
      </c>
      <c r="BO30" s="253">
        <f t="shared" si="92"/>
        <v>0.99992455312612483</v>
      </c>
    </row>
    <row r="31" spans="3:67">
      <c r="C31" s="38" t="str">
        <f t="shared" si="90"/>
        <v>Cloud - Training machine</v>
      </c>
      <c r="D31" s="106">
        <f t="shared" ref="D31:AU31" si="93">D8/D$6</f>
        <v>0</v>
      </c>
      <c r="E31" s="106">
        <f t="shared" si="93"/>
        <v>0</v>
      </c>
      <c r="F31" s="106">
        <f t="shared" si="93"/>
        <v>0</v>
      </c>
      <c r="G31" s="106">
        <f t="shared" si="93"/>
        <v>0</v>
      </c>
      <c r="H31" s="106">
        <f t="shared" si="93"/>
        <v>0.18883720054753705</v>
      </c>
      <c r="I31" s="106">
        <f t="shared" si="93"/>
        <v>0.18883720054753703</v>
      </c>
      <c r="J31" s="106">
        <f t="shared" si="93"/>
        <v>2.4199164891719915E-2</v>
      </c>
      <c r="K31" s="106">
        <f t="shared" si="93"/>
        <v>2.4199164891719922E-2</v>
      </c>
      <c r="L31" s="106">
        <f t="shared" si="93"/>
        <v>0.23114558463560272</v>
      </c>
      <c r="M31" s="106">
        <f t="shared" si="93"/>
        <v>0.42715133711517184</v>
      </c>
      <c r="N31" s="106">
        <f t="shared" si="93"/>
        <v>8.5744347118755754E-2</v>
      </c>
      <c r="O31" s="106">
        <f t="shared" si="93"/>
        <v>1.7631976854633725E-2</v>
      </c>
      <c r="P31" s="106">
        <f t="shared" si="93"/>
        <v>0</v>
      </c>
      <c r="Q31" s="106">
        <f t="shared" si="93"/>
        <v>0</v>
      </c>
      <c r="R31" s="106">
        <f t="shared" si="93"/>
        <v>0</v>
      </c>
      <c r="S31" s="106">
        <f t="shared" si="93"/>
        <v>0</v>
      </c>
      <c r="T31" s="106">
        <f t="shared" si="93"/>
        <v>0</v>
      </c>
      <c r="U31" s="106">
        <f t="shared" si="93"/>
        <v>0</v>
      </c>
      <c r="V31" s="106">
        <f t="shared" si="93"/>
        <v>0</v>
      </c>
      <c r="W31" s="106">
        <f t="shared" si="93"/>
        <v>0</v>
      </c>
      <c r="X31" s="106">
        <f t="shared" si="93"/>
        <v>0</v>
      </c>
      <c r="Y31" s="106">
        <f t="shared" si="93"/>
        <v>0</v>
      </c>
      <c r="Z31" s="106">
        <f t="shared" si="93"/>
        <v>0</v>
      </c>
      <c r="AA31" s="106">
        <f t="shared" si="93"/>
        <v>0</v>
      </c>
      <c r="AB31" s="106">
        <f t="shared" si="93"/>
        <v>0</v>
      </c>
      <c r="AC31" s="106">
        <f t="shared" si="93"/>
        <v>0</v>
      </c>
      <c r="AD31" s="106">
        <f t="shared" si="93"/>
        <v>0</v>
      </c>
      <c r="AE31" s="106">
        <f t="shared" si="93"/>
        <v>0</v>
      </c>
      <c r="AF31" s="106">
        <f t="shared" si="93"/>
        <v>0</v>
      </c>
      <c r="AG31" s="106">
        <f t="shared" si="93"/>
        <v>0</v>
      </c>
      <c r="AH31" s="106">
        <f t="shared" si="93"/>
        <v>0</v>
      </c>
      <c r="AI31" s="106">
        <f t="shared" si="93"/>
        <v>0</v>
      </c>
      <c r="AJ31" s="106">
        <f t="shared" si="93"/>
        <v>0</v>
      </c>
      <c r="AK31" s="106">
        <f t="shared" si="93"/>
        <v>0</v>
      </c>
      <c r="AL31" s="106">
        <f t="shared" si="93"/>
        <v>0</v>
      </c>
      <c r="AM31" s="106">
        <f t="shared" si="93"/>
        <v>0</v>
      </c>
      <c r="AN31" s="106">
        <f t="shared" si="93"/>
        <v>0</v>
      </c>
      <c r="AO31" s="106">
        <f t="shared" si="93"/>
        <v>0</v>
      </c>
      <c r="AP31" s="106">
        <f t="shared" si="93"/>
        <v>0</v>
      </c>
      <c r="AQ31" s="106">
        <f t="shared" si="93"/>
        <v>0</v>
      </c>
      <c r="AR31" s="106">
        <f t="shared" si="93"/>
        <v>0</v>
      </c>
      <c r="AS31" s="106">
        <f t="shared" si="93"/>
        <v>0</v>
      </c>
      <c r="AT31" s="106">
        <f t="shared" si="93"/>
        <v>0</v>
      </c>
      <c r="AU31" s="106">
        <f t="shared" si="93"/>
        <v>0</v>
      </c>
      <c r="BB31" s="106">
        <f t="shared" ref="BB31:BO31" si="94">BB8/BB$6</f>
        <v>0</v>
      </c>
      <c r="BC31" s="106">
        <f t="shared" si="94"/>
        <v>0</v>
      </c>
      <c r="BD31" s="106">
        <f t="shared" si="94"/>
        <v>0</v>
      </c>
      <c r="BE31" s="253">
        <f t="shared" si="94"/>
        <v>0</v>
      </c>
      <c r="BF31" s="253">
        <f t="shared" si="94"/>
        <v>5.5679859741055729E-2</v>
      </c>
      <c r="BG31" s="253">
        <f t="shared" si="94"/>
        <v>0.1058418917531589</v>
      </c>
      <c r="BH31" s="253">
        <f t="shared" si="94"/>
        <v>0</v>
      </c>
      <c r="BI31" s="253">
        <f t="shared" si="94"/>
        <v>0</v>
      </c>
      <c r="BJ31" s="253">
        <f t="shared" si="94"/>
        <v>0</v>
      </c>
      <c r="BK31" s="253">
        <f t="shared" si="94"/>
        <v>0</v>
      </c>
      <c r="BL31" s="253">
        <f t="shared" si="94"/>
        <v>0</v>
      </c>
      <c r="BM31" s="253">
        <f t="shared" si="94"/>
        <v>0</v>
      </c>
      <c r="BN31" s="253">
        <f t="shared" si="94"/>
        <v>0</v>
      </c>
      <c r="BO31" s="253">
        <f t="shared" si="94"/>
        <v>0</v>
      </c>
    </row>
    <row r="32" spans="3:67">
      <c r="C32" s="38" t="str">
        <f t="shared" si="90"/>
        <v>Edge chips and accelerator</v>
      </c>
      <c r="D32" s="106">
        <f t="shared" ref="D32:AU32" si="95">D9/D$6</f>
        <v>0.11438944662885754</v>
      </c>
      <c r="E32" s="106">
        <f t="shared" si="95"/>
        <v>0.11438944662885754</v>
      </c>
      <c r="F32" s="106">
        <f t="shared" si="95"/>
        <v>2.9186277167433675E-2</v>
      </c>
      <c r="G32" s="106">
        <f t="shared" si="95"/>
        <v>2.9186277167433671E-2</v>
      </c>
      <c r="H32" s="106">
        <f t="shared" si="95"/>
        <v>0.607401765591708</v>
      </c>
      <c r="I32" s="106">
        <f t="shared" si="95"/>
        <v>0.60740176559170811</v>
      </c>
      <c r="J32" s="106">
        <f t="shared" si="95"/>
        <v>0.22704545813661772</v>
      </c>
      <c r="K32" s="106">
        <f t="shared" si="95"/>
        <v>0.14482419189349963</v>
      </c>
      <c r="L32" s="106">
        <f t="shared" si="95"/>
        <v>0.23956068779781547</v>
      </c>
      <c r="M32" s="106">
        <f t="shared" si="95"/>
        <v>0.11934339885340685</v>
      </c>
      <c r="N32" s="106">
        <f t="shared" si="95"/>
        <v>4.9502780384641697E-2</v>
      </c>
      <c r="O32" s="106">
        <f t="shared" si="95"/>
        <v>1.1149645440396714E-2</v>
      </c>
      <c r="P32" s="106">
        <f t="shared" si="95"/>
        <v>5.6120910481767351E-2</v>
      </c>
      <c r="Q32" s="106">
        <f t="shared" si="95"/>
        <v>8.9474252143431618E-2</v>
      </c>
      <c r="R32" s="106">
        <f t="shared" si="95"/>
        <v>4.3866722850307099E-2</v>
      </c>
      <c r="S32" s="106">
        <f t="shared" si="95"/>
        <v>3.0497909312560923E-3</v>
      </c>
      <c r="T32" s="106">
        <f t="shared" si="95"/>
        <v>8.493692077369154E-2</v>
      </c>
      <c r="U32" s="106">
        <f t="shared" si="95"/>
        <v>3.1826891160355184E-2</v>
      </c>
      <c r="V32" s="106">
        <f t="shared" si="95"/>
        <v>1.1406114048702027E-2</v>
      </c>
      <c r="W32" s="106">
        <f t="shared" si="95"/>
        <v>1.7617993477322216E-3</v>
      </c>
      <c r="X32" s="106">
        <f t="shared" si="95"/>
        <v>9.8074595333503428E-4</v>
      </c>
      <c r="Y32" s="106">
        <f t="shared" si="95"/>
        <v>3.5167754904661351E-4</v>
      </c>
      <c r="Z32" s="106">
        <f t="shared" si="95"/>
        <v>3.9811277409871644E-4</v>
      </c>
      <c r="AA32" s="106">
        <f t="shared" si="95"/>
        <v>5.2616384431815625E-4</v>
      </c>
      <c r="AB32" s="106">
        <f t="shared" si="95"/>
        <v>3.7785600901948116E-4</v>
      </c>
      <c r="AC32" s="106">
        <f t="shared" si="95"/>
        <v>2.0000906832740538E-4</v>
      </c>
      <c r="AD32" s="106">
        <f t="shared" si="95"/>
        <v>8.4061376228362965E-5</v>
      </c>
      <c r="AE32" s="106">
        <f t="shared" si="95"/>
        <v>1.0139104613407653E-4</v>
      </c>
      <c r="AF32" s="106">
        <f t="shared" si="95"/>
        <v>7.6767938968033865E-5</v>
      </c>
      <c r="AG32" s="106">
        <f t="shared" si="95"/>
        <v>3.4135774432859303E-5</v>
      </c>
      <c r="AH32" s="106">
        <f t="shared" si="95"/>
        <v>2.8450893241211212E-5</v>
      </c>
      <c r="AI32" s="106">
        <f t="shared" si="95"/>
        <v>2.8677470348440205E-5</v>
      </c>
      <c r="AJ32" s="106">
        <f t="shared" si="95"/>
        <v>2.474896432541278E-5</v>
      </c>
      <c r="AK32" s="106">
        <f t="shared" si="95"/>
        <v>1.5064144783173325E-5</v>
      </c>
      <c r="AL32" s="106">
        <f t="shared" si="95"/>
        <v>1.680362419505913E-5</v>
      </c>
      <c r="AM32" s="106">
        <f t="shared" si="95"/>
        <v>2.1516386269001711E-5</v>
      </c>
      <c r="AN32" s="106">
        <f t="shared" si="95"/>
        <v>1.6344252870659634E-5</v>
      </c>
      <c r="AO32" s="106">
        <f t="shared" si="95"/>
        <v>9.8131407533272732E-6</v>
      </c>
      <c r="AP32" s="106">
        <f t="shared" si="95"/>
        <v>1.1481395059528823E-5</v>
      </c>
      <c r="AQ32" s="106">
        <f t="shared" si="95"/>
        <v>1.5645695970318584E-5</v>
      </c>
      <c r="AR32" s="106">
        <f t="shared" si="95"/>
        <v>1.3760948569475794E-5</v>
      </c>
      <c r="AS32" s="106">
        <f t="shared" si="95"/>
        <v>7.7113509843839783E-6</v>
      </c>
      <c r="AT32" s="106">
        <f t="shared" si="95"/>
        <v>8.928015346332188E-6</v>
      </c>
      <c r="AU32" s="106">
        <f t="shared" si="95"/>
        <v>1.2046443056488049E-5</v>
      </c>
      <c r="AW32" s="71"/>
      <c r="AX32" s="71"/>
      <c r="AY32" s="71"/>
      <c r="AZ32" s="71"/>
      <c r="BB32" s="106">
        <f t="shared" ref="BB32:BO32" si="96">BB9/BB$6</f>
        <v>0</v>
      </c>
      <c r="BC32" s="106">
        <f t="shared" si="96"/>
        <v>0</v>
      </c>
      <c r="BD32" s="106">
        <f t="shared" si="96"/>
        <v>0</v>
      </c>
      <c r="BE32" s="106">
        <f t="shared" si="96"/>
        <v>4.5376222265076108E-2</v>
      </c>
      <c r="BF32" s="106">
        <f t="shared" si="96"/>
        <v>0.24291526772105454</v>
      </c>
      <c r="BG32" s="106">
        <f t="shared" si="96"/>
        <v>5.190115791990986E-2</v>
      </c>
      <c r="BH32" s="106">
        <f t="shared" si="96"/>
        <v>1.5258994432903822E-2</v>
      </c>
      <c r="BI32" s="106">
        <f t="shared" si="96"/>
        <v>5.5702087913419287E-3</v>
      </c>
      <c r="BJ32" s="106">
        <f t="shared" si="96"/>
        <v>5.2237713410740734E-4</v>
      </c>
      <c r="BK32" s="106">
        <f t="shared" si="96"/>
        <v>1.4153142199223412E-4</v>
      </c>
      <c r="BL32" s="106">
        <f t="shared" si="96"/>
        <v>3.7189642379964129E-5</v>
      </c>
      <c r="BM32" s="106">
        <f t="shared" si="96"/>
        <v>1.9678758662520986E-5</v>
      </c>
      <c r="BN32" s="106">
        <f t="shared" si="96"/>
        <v>1.338726132657134E-5</v>
      </c>
      <c r="BO32" s="106">
        <f t="shared" si="96"/>
        <v>1.0624891478809564E-5</v>
      </c>
    </row>
    <row r="33" spans="3:67">
      <c r="C33" s="38" t="str">
        <f t="shared" si="90"/>
        <v>Intelligent computing cluster systems</v>
      </c>
      <c r="D33" s="106">
        <f t="shared" ref="D33:AU33" si="97">D10/D$6</f>
        <v>0</v>
      </c>
      <c r="E33" s="106">
        <f t="shared" si="97"/>
        <v>1.6911956739289243E-3</v>
      </c>
      <c r="F33" s="106">
        <f t="shared" si="97"/>
        <v>0.87571133643603127</v>
      </c>
      <c r="G33" s="106">
        <f t="shared" si="97"/>
        <v>0.87571133643603116</v>
      </c>
      <c r="H33" s="106">
        <f t="shared" si="97"/>
        <v>0</v>
      </c>
      <c r="I33" s="106">
        <f t="shared" si="97"/>
        <v>1.5550675392732251E-2</v>
      </c>
      <c r="J33" s="106">
        <f t="shared" si="97"/>
        <v>0.69811136682295871</v>
      </c>
      <c r="K33" s="106">
        <f t="shared" si="97"/>
        <v>0.79217495591385545</v>
      </c>
      <c r="L33" s="106">
        <f t="shared" si="97"/>
        <v>0</v>
      </c>
      <c r="M33" s="106">
        <f t="shared" si="97"/>
        <v>6.3217882198771322E-2</v>
      </c>
      <c r="N33" s="106">
        <f t="shared" si="97"/>
        <v>0.56954025972220446</v>
      </c>
      <c r="O33" s="106">
        <f t="shared" si="97"/>
        <v>0.85846738578969295</v>
      </c>
      <c r="P33" s="106">
        <f t="shared" si="97"/>
        <v>0.32118428665572113</v>
      </c>
      <c r="Q33" s="106">
        <f t="shared" si="97"/>
        <v>0.61718495379293359</v>
      </c>
      <c r="R33" s="106">
        <f t="shared" si="97"/>
        <v>0.44361836054258325</v>
      </c>
      <c r="S33" s="106">
        <f t="shared" si="97"/>
        <v>0.9621880102425393</v>
      </c>
      <c r="T33" s="106">
        <f t="shared" si="97"/>
        <v>1.1908955595650304E-3</v>
      </c>
      <c r="U33" s="106">
        <f t="shared" si="97"/>
        <v>7.8174546642627231E-4</v>
      </c>
      <c r="V33" s="106">
        <f t="shared" si="97"/>
        <v>4.0178246716774399E-3</v>
      </c>
      <c r="W33" s="106">
        <f t="shared" si="97"/>
        <v>4.8962212490471742E-4</v>
      </c>
      <c r="X33" s="106">
        <f t="shared" si="97"/>
        <v>0</v>
      </c>
      <c r="Y33" s="106">
        <f t="shared" si="97"/>
        <v>0</v>
      </c>
      <c r="Z33" s="106">
        <f t="shared" si="97"/>
        <v>0</v>
      </c>
      <c r="AA33" s="106">
        <f t="shared" si="97"/>
        <v>0</v>
      </c>
      <c r="AB33" s="106">
        <f t="shared" si="97"/>
        <v>0</v>
      </c>
      <c r="AC33" s="106">
        <f t="shared" si="97"/>
        <v>0</v>
      </c>
      <c r="AD33" s="106">
        <f t="shared" si="97"/>
        <v>0</v>
      </c>
      <c r="AE33" s="106">
        <f t="shared" si="97"/>
        <v>0</v>
      </c>
      <c r="AF33" s="106">
        <f t="shared" si="97"/>
        <v>0</v>
      </c>
      <c r="AG33" s="106">
        <f t="shared" si="97"/>
        <v>0</v>
      </c>
      <c r="AH33" s="106">
        <f t="shared" si="97"/>
        <v>0</v>
      </c>
      <c r="AI33" s="106">
        <f t="shared" si="97"/>
        <v>0</v>
      </c>
      <c r="AJ33" s="106">
        <f t="shared" si="97"/>
        <v>0</v>
      </c>
      <c r="AK33" s="106">
        <f t="shared" si="97"/>
        <v>0</v>
      </c>
      <c r="AL33" s="106">
        <f t="shared" si="97"/>
        <v>0</v>
      </c>
      <c r="AM33" s="106">
        <f t="shared" si="97"/>
        <v>0</v>
      </c>
      <c r="AN33" s="106">
        <f t="shared" si="97"/>
        <v>0</v>
      </c>
      <c r="AO33" s="106">
        <f t="shared" si="97"/>
        <v>0</v>
      </c>
      <c r="AP33" s="106">
        <f t="shared" si="97"/>
        <v>0</v>
      </c>
      <c r="AQ33" s="106">
        <f t="shared" si="97"/>
        <v>0</v>
      </c>
      <c r="AR33" s="106">
        <f t="shared" si="97"/>
        <v>0</v>
      </c>
      <c r="AS33" s="106">
        <f t="shared" si="97"/>
        <v>0</v>
      </c>
      <c r="AT33" s="106">
        <f t="shared" si="97"/>
        <v>0</v>
      </c>
      <c r="AU33" s="106">
        <f t="shared" si="97"/>
        <v>0</v>
      </c>
      <c r="AW33" s="71"/>
      <c r="AX33" s="71"/>
      <c r="AY33" s="71"/>
      <c r="AZ33" s="71"/>
      <c r="BB33" s="106">
        <f t="shared" ref="BB33:BO33" si="98">BB10/BB$6</f>
        <v>0</v>
      </c>
      <c r="BC33" s="106">
        <f t="shared" si="98"/>
        <v>0</v>
      </c>
      <c r="BD33" s="106">
        <f t="shared" si="98"/>
        <v>0.66716791358217253</v>
      </c>
      <c r="BE33" s="106">
        <f t="shared" si="98"/>
        <v>0.7095911614254351</v>
      </c>
      <c r="BF33" s="106">
        <f t="shared" si="98"/>
        <v>0.63186671054947163</v>
      </c>
      <c r="BG33" s="106">
        <f t="shared" si="98"/>
        <v>0.6289280004175517</v>
      </c>
      <c r="BH33" s="106">
        <f t="shared" si="98"/>
        <v>0.85219083192928036</v>
      </c>
      <c r="BI33" s="106">
        <f t="shared" si="98"/>
        <v>8.7678980378884657E-4</v>
      </c>
      <c r="BJ33" s="106">
        <f t="shared" si="98"/>
        <v>0</v>
      </c>
      <c r="BK33" s="106">
        <f t="shared" si="98"/>
        <v>0</v>
      </c>
      <c r="BL33" s="106">
        <f t="shared" si="98"/>
        <v>0</v>
      </c>
      <c r="BM33" s="106">
        <f t="shared" si="98"/>
        <v>0</v>
      </c>
      <c r="BN33" s="106">
        <f t="shared" si="98"/>
        <v>0</v>
      </c>
      <c r="BO33" s="106">
        <f t="shared" si="98"/>
        <v>0</v>
      </c>
    </row>
    <row r="34" spans="3:67">
      <c r="C34" s="38" t="str">
        <f t="shared" si="90"/>
        <v>AI processor IP &amp; basic system software</v>
      </c>
      <c r="D34" s="106">
        <f t="shared" ref="D34:AU34" si="99">D11/D$6</f>
        <v>0.16942762823938384</v>
      </c>
      <c r="E34" s="106">
        <f t="shared" si="99"/>
        <v>0.16942762823938382</v>
      </c>
      <c r="F34" s="106">
        <f t="shared" si="99"/>
        <v>1.8699032490540616E-2</v>
      </c>
      <c r="G34" s="106">
        <f t="shared" si="99"/>
        <v>1.8699032490540616E-2</v>
      </c>
      <c r="H34" s="106">
        <f t="shared" si="99"/>
        <v>4.8563099486097314E-2</v>
      </c>
      <c r="I34" s="106">
        <f t="shared" si="99"/>
        <v>4.8563099486097307E-2</v>
      </c>
      <c r="J34" s="106">
        <f t="shared" si="99"/>
        <v>3.0216442268705501E-4</v>
      </c>
      <c r="K34" s="106">
        <f t="shared" si="99"/>
        <v>3.0216442268705496E-4</v>
      </c>
      <c r="L34" s="106">
        <f t="shared" si="99"/>
        <v>4.5160457075577179E-3</v>
      </c>
      <c r="M34" s="106">
        <f t="shared" si="99"/>
        <v>2.614776562806898E-3</v>
      </c>
      <c r="N34" s="106">
        <f t="shared" si="99"/>
        <v>3.0726457195067343E-3</v>
      </c>
      <c r="O34" s="106">
        <f t="shared" si="99"/>
        <v>6.1219594351352052E-4</v>
      </c>
      <c r="P34" s="106">
        <f t="shared" si="99"/>
        <v>7.7637018557427889E-4</v>
      </c>
      <c r="Q34" s="106">
        <f t="shared" si="99"/>
        <v>1.4918662494329635E-3</v>
      </c>
      <c r="R34" s="106">
        <f t="shared" si="99"/>
        <v>1.8649029109261855E-3</v>
      </c>
      <c r="S34" s="106">
        <f t="shared" si="99"/>
        <v>1.0371511380053705E-4</v>
      </c>
      <c r="T34" s="106">
        <f t="shared" si="99"/>
        <v>4.3270109948030889E-3</v>
      </c>
      <c r="U34" s="106">
        <f t="shared" si="99"/>
        <v>2.8179940417917054E-3</v>
      </c>
      <c r="V34" s="106">
        <f t="shared" si="99"/>
        <v>8.0009708842866212E-4</v>
      </c>
      <c r="W34" s="106">
        <f t="shared" si="99"/>
        <v>9.574382328669024E-5</v>
      </c>
      <c r="X34" s="106">
        <f t="shared" si="99"/>
        <v>4.9962942905551846E-4</v>
      </c>
      <c r="Y34" s="106">
        <f t="shared" si="99"/>
        <v>3.1137984318107913E-4</v>
      </c>
      <c r="Z34" s="106">
        <f t="shared" si="99"/>
        <v>3.3511382060103613E-4</v>
      </c>
      <c r="AA34" s="106">
        <f t="shared" si="99"/>
        <v>3.1955555509885595E-4</v>
      </c>
      <c r="AB34" s="106">
        <f t="shared" si="99"/>
        <v>2.6949198614939496E-4</v>
      </c>
      <c r="AC34" s="106">
        <f t="shared" si="99"/>
        <v>2.4792685657410839E-4</v>
      </c>
      <c r="AD34" s="106">
        <f t="shared" si="99"/>
        <v>9.9062836210917019E-5</v>
      </c>
      <c r="AE34" s="106">
        <f t="shared" si="99"/>
        <v>8.6209079797151553E-5</v>
      </c>
      <c r="AF34" s="106">
        <f t="shared" si="99"/>
        <v>7.1177504146114178E-5</v>
      </c>
      <c r="AG34" s="106">
        <f t="shared" si="99"/>
        <v>5.5008144977757459E-5</v>
      </c>
      <c r="AH34" s="106">
        <f t="shared" si="99"/>
        <v>4.3586652928656955E-5</v>
      </c>
      <c r="AI34" s="106">
        <f t="shared" si="99"/>
        <v>3.1698418658131343E-5</v>
      </c>
      <c r="AJ34" s="106">
        <f t="shared" si="99"/>
        <v>2.7536018831261581E-5</v>
      </c>
      <c r="AK34" s="106">
        <f t="shared" si="99"/>
        <v>2.9130166482506258E-5</v>
      </c>
      <c r="AL34" s="106">
        <f t="shared" si="99"/>
        <v>3.0891700848508527E-5</v>
      </c>
      <c r="AM34" s="106">
        <f t="shared" si="99"/>
        <v>2.8539564125201087E-5</v>
      </c>
      <c r="AN34" s="106">
        <f t="shared" si="99"/>
        <v>2.000331059526332E-5</v>
      </c>
      <c r="AO34" s="106">
        <f t="shared" si="99"/>
        <v>2.0873688534777907E-5</v>
      </c>
      <c r="AP34" s="106">
        <f t="shared" si="99"/>
        <v>2.3218074810758767E-5</v>
      </c>
      <c r="AQ34" s="106">
        <f t="shared" si="99"/>
        <v>2.2827879720618489E-5</v>
      </c>
      <c r="AR34" s="106">
        <f t="shared" si="99"/>
        <v>1.8525838014675515E-5</v>
      </c>
      <c r="AS34" s="106">
        <f t="shared" si="99"/>
        <v>1.8043231717978552E-5</v>
      </c>
      <c r="AT34" s="106">
        <f t="shared" si="99"/>
        <v>1.985999609479294E-5</v>
      </c>
      <c r="AU34" s="106">
        <f t="shared" si="99"/>
        <v>1.9334021896125875E-5</v>
      </c>
      <c r="AW34" s="71"/>
      <c r="AX34" s="71"/>
      <c r="AY34" s="71"/>
      <c r="AZ34" s="71"/>
      <c r="BB34" s="106">
        <f t="shared" ref="BB34:BO34" si="100">BB11/BB$6</f>
        <v>0.98335208770351623</v>
      </c>
      <c r="BC34" s="106">
        <f t="shared" si="100"/>
        <v>0.99689691929836821</v>
      </c>
      <c r="BD34" s="106">
        <f t="shared" si="100"/>
        <v>0.15491155935985973</v>
      </c>
      <c r="BE34" s="106">
        <f t="shared" si="100"/>
        <v>4.7339841338894129E-2</v>
      </c>
      <c r="BF34" s="106">
        <f t="shared" si="100"/>
        <v>9.530212873477403E-3</v>
      </c>
      <c r="BG34" s="106">
        <f t="shared" si="100"/>
        <v>1.560798436759512E-3</v>
      </c>
      <c r="BH34" s="106">
        <f t="shared" si="100"/>
        <v>3.2958800629687E-4</v>
      </c>
      <c r="BI34" s="106">
        <f t="shared" si="100"/>
        <v>3.5112974726399113E-4</v>
      </c>
      <c r="BJ34" s="106">
        <f t="shared" si="100"/>
        <v>3.522673257835422E-4</v>
      </c>
      <c r="BK34" s="106">
        <f t="shared" si="100"/>
        <v>1.3361927465418722E-4</v>
      </c>
      <c r="BL34" s="106">
        <f t="shared" si="100"/>
        <v>4.5643779030579645E-5</v>
      </c>
      <c r="BM34" s="106">
        <f t="shared" si="100"/>
        <v>2.8982679730379687E-5</v>
      </c>
      <c r="BN34" s="106">
        <f t="shared" si="100"/>
        <v>2.1688287638653869E-5</v>
      </c>
      <c r="BO34" s="106">
        <f t="shared" si="100"/>
        <v>1.8934363540882207E-5</v>
      </c>
    </row>
    <row r="35" spans="3:67">
      <c r="C35" s="38" t="str">
        <f t="shared" si="90"/>
        <v>Others</v>
      </c>
      <c r="D35" s="106">
        <f t="shared" ref="D35:AU35" si="101">D12/D$6</f>
        <v>2.700762236852445E-3</v>
      </c>
      <c r="E35" s="106">
        <f t="shared" si="101"/>
        <v>1.0095665629236096E-3</v>
      </c>
      <c r="F35" s="106">
        <f t="shared" si="101"/>
        <v>1.1747373966880055E-2</v>
      </c>
      <c r="G35" s="106">
        <f t="shared" si="101"/>
        <v>1.1747373966880021E-2</v>
      </c>
      <c r="H35" s="106">
        <f t="shared" si="101"/>
        <v>1.9034322914706778E-2</v>
      </c>
      <c r="I35" s="106">
        <f t="shared" si="101"/>
        <v>3.4836475219744002E-3</v>
      </c>
      <c r="J35" s="106">
        <f t="shared" si="101"/>
        <v>1.3799081899175019E-2</v>
      </c>
      <c r="K35" s="106">
        <f t="shared" si="101"/>
        <v>1.9567590513964819E-3</v>
      </c>
      <c r="L35" s="106">
        <f t="shared" si="101"/>
        <v>4.8161296625014477E-2</v>
      </c>
      <c r="M35" s="106">
        <f t="shared" si="101"/>
        <v>2.667362160862137E-2</v>
      </c>
      <c r="N35" s="106">
        <f t="shared" si="101"/>
        <v>3.9551465405039503E-2</v>
      </c>
      <c r="O35" s="106">
        <f t="shared" si="101"/>
        <v>5.3854035753701955E-3</v>
      </c>
      <c r="P35" s="106">
        <f t="shared" si="101"/>
        <v>3.2982792988031466E-3</v>
      </c>
      <c r="Q35" s="106">
        <f t="shared" si="101"/>
        <v>2.1627967310117071E-4</v>
      </c>
      <c r="R35" s="106">
        <f t="shared" si="101"/>
        <v>3.1898916806021443E-2</v>
      </c>
      <c r="S35" s="106">
        <f t="shared" si="101"/>
        <v>3.5023433866115993E-3</v>
      </c>
      <c r="T35" s="106">
        <f t="shared" si="101"/>
        <v>1.7173178798685773E-4</v>
      </c>
      <c r="U35" s="106">
        <f t="shared" si="101"/>
        <v>6.0990467197626632E-5</v>
      </c>
      <c r="V35" s="106">
        <f t="shared" si="101"/>
        <v>8.5442731409656641E-4</v>
      </c>
      <c r="W35" s="106">
        <f t="shared" si="101"/>
        <v>9.2954187046542119E-5</v>
      </c>
      <c r="X35" s="106">
        <f t="shared" si="101"/>
        <v>2.654066526088138E-3</v>
      </c>
      <c r="Y35" s="106">
        <f t="shared" si="101"/>
        <v>2.0231266600758248E-3</v>
      </c>
      <c r="Z35" s="106">
        <f t="shared" si="101"/>
        <v>3.0418913519963996E-3</v>
      </c>
      <c r="AA35" s="106">
        <f t="shared" si="101"/>
        <v>1.5220911955074398E-3</v>
      </c>
      <c r="AB35" s="106">
        <f t="shared" si="101"/>
        <v>1.0225430773480597E-3</v>
      </c>
      <c r="AC35" s="106">
        <f t="shared" si="101"/>
        <v>1.1506099251631986E-3</v>
      </c>
      <c r="AD35" s="106">
        <f t="shared" si="101"/>
        <v>6.4229431965568632E-4</v>
      </c>
      <c r="AE35" s="106">
        <f t="shared" si="101"/>
        <v>2.9330487126867226E-4</v>
      </c>
      <c r="AF35" s="106">
        <f t="shared" si="101"/>
        <v>2.0774719120582839E-4</v>
      </c>
      <c r="AG35" s="106">
        <f t="shared" si="101"/>
        <v>1.9637590032310707E-4</v>
      </c>
      <c r="AH35" s="106">
        <f t="shared" si="101"/>
        <v>2.1738696102615771E-4</v>
      </c>
      <c r="AI35" s="106">
        <f t="shared" si="101"/>
        <v>8.2958427490112307E-5</v>
      </c>
      <c r="AJ35" s="106">
        <f t="shared" si="101"/>
        <v>6.6974936320729988E-5</v>
      </c>
      <c r="AK35" s="106">
        <f t="shared" si="101"/>
        <v>8.6660843163578061E-5</v>
      </c>
      <c r="AL35" s="106">
        <f t="shared" si="101"/>
        <v>1.2839276317336493E-4</v>
      </c>
      <c r="AM35" s="106">
        <f t="shared" si="101"/>
        <v>6.2242783218266411E-5</v>
      </c>
      <c r="AN35" s="106">
        <f t="shared" si="101"/>
        <v>4.4230347614923074E-5</v>
      </c>
      <c r="AO35" s="106">
        <f t="shared" si="101"/>
        <v>5.6452926070926128E-5</v>
      </c>
      <c r="AP35" s="106">
        <f t="shared" si="101"/>
        <v>8.7726791534136609E-5</v>
      </c>
      <c r="AQ35" s="106">
        <f t="shared" si="101"/>
        <v>4.5260000931588896E-5</v>
      </c>
      <c r="AR35" s="106">
        <f t="shared" si="101"/>
        <v>3.7239483722845044E-5</v>
      </c>
      <c r="AS35" s="106">
        <f t="shared" si="101"/>
        <v>4.4361773459815947E-5</v>
      </c>
      <c r="AT35" s="106">
        <f t="shared" si="101"/>
        <v>6.821698382821769E-5</v>
      </c>
      <c r="AU35" s="106">
        <f t="shared" si="101"/>
        <v>3.4848051821620545E-5</v>
      </c>
      <c r="BB35" s="106">
        <f t="shared" ref="BB35:BO35" si="102">BB12/BB$6</f>
        <v>1.6647912296483793E-2</v>
      </c>
      <c r="BC35" s="106">
        <f t="shared" si="102"/>
        <v>3.1030807016318232E-3</v>
      </c>
      <c r="BD35" s="106">
        <f t="shared" si="102"/>
        <v>2.3283817005830866E-4</v>
      </c>
      <c r="BE35" s="106">
        <f t="shared" si="102"/>
        <v>9.7495940228003661E-3</v>
      </c>
      <c r="BF35" s="106">
        <f t="shared" si="102"/>
        <v>4.4165280778886134E-3</v>
      </c>
      <c r="BG35" s="106">
        <f t="shared" si="102"/>
        <v>1.659697496859509E-2</v>
      </c>
      <c r="BH35" s="106">
        <f t="shared" si="102"/>
        <v>4.5538395871554489E-3</v>
      </c>
      <c r="BI35" s="106">
        <f t="shared" si="102"/>
        <v>1.7176548977144578E-4</v>
      </c>
      <c r="BJ35" s="106">
        <f t="shared" si="102"/>
        <v>2.2560835446185507E-3</v>
      </c>
      <c r="BK35" s="106">
        <f t="shared" si="102"/>
        <v>6.1125706190939431E-4</v>
      </c>
      <c r="BL35" s="106">
        <f t="shared" si="102"/>
        <v>1.6061755908794093E-4</v>
      </c>
      <c r="BM35" s="106">
        <f t="shared" si="102"/>
        <v>8.4990174144767953E-5</v>
      </c>
      <c r="BN35" s="106">
        <f t="shared" si="102"/>
        <v>5.7817959505432409E-5</v>
      </c>
      <c r="BO35" s="106">
        <f t="shared" si="102"/>
        <v>4.5887618855406193E-5</v>
      </c>
    </row>
    <row r="36" spans="3:67">
      <c r="BJ36" s="71"/>
    </row>
    <row r="37" spans="3:67">
      <c r="C37" s="237" t="s">
        <v>192</v>
      </c>
      <c r="D37" s="238">
        <f>PL!G6</f>
        <v>8.0077682199999991</v>
      </c>
      <c r="E37" s="238">
        <f>PL!H6</f>
        <v>59.688729220000006</v>
      </c>
      <c r="F37" s="238">
        <f>PL!I6</f>
        <v>34.239249860000015</v>
      </c>
      <c r="G37" s="238">
        <f>PL!J6</f>
        <v>198.12162232999998</v>
      </c>
      <c r="H37" s="238">
        <f>PL!K6</f>
        <v>15.939238039999996</v>
      </c>
      <c r="I37" s="238">
        <f>PL!L6</f>
        <v>57.088215540000007</v>
      </c>
      <c r="J37" s="238">
        <f>PL!M6</f>
        <v>39.852860059999998</v>
      </c>
      <c r="K37" s="238">
        <f>PL!N6</f>
        <v>337.01430154000002</v>
      </c>
      <c r="L37" s="238">
        <f>PL!O6</f>
        <v>35.640659320000005</v>
      </c>
      <c r="M37" s="238">
        <f>PL!P6</f>
        <v>58.719785270000003</v>
      </c>
      <c r="N37" s="238">
        <f>PL!Q6</f>
        <v>59.398598899999996</v>
      </c>
      <c r="O37" s="238">
        <f>PL!R6</f>
        <v>325.65322591999995</v>
      </c>
      <c r="P37" s="238">
        <f>PL!S6</f>
        <v>57.81520780000001</v>
      </c>
      <c r="Q37" s="238">
        <f>PL!T6</f>
        <v>23.294463190000009</v>
      </c>
      <c r="R37" s="238">
        <f>PL!U6</f>
        <v>20.723132769999985</v>
      </c>
      <c r="S37" s="239">
        <f>PL!V6</f>
        <v>388.75413104000006</v>
      </c>
      <c r="T37" s="239">
        <f>PL!W6</f>
        <v>14.786207569999998</v>
      </c>
      <c r="U37" s="239">
        <f>PL!X6</f>
        <v>25.83488491</v>
      </c>
      <c r="V37" s="239">
        <f>PL!Y6</f>
        <v>61.722340059999986</v>
      </c>
      <c r="W37" s="239">
        <f>PL!Z6</f>
        <v>563.71123519999992</v>
      </c>
      <c r="X37" s="239">
        <f>PL!AA6</f>
        <v>622.26906600000007</v>
      </c>
      <c r="Y37" s="239">
        <f>PL!AB6</f>
        <v>988.74099124000008</v>
      </c>
      <c r="Z37" s="239">
        <f>PL!AC6</f>
        <v>936.56775443999993</v>
      </c>
      <c r="AA37" s="239">
        <f>PL!AD6</f>
        <v>1035.7351925200001</v>
      </c>
      <c r="AB37" s="239">
        <f>PL!AE6</f>
        <v>1567.26659614</v>
      </c>
      <c r="AC37" s="239">
        <f>PL!AF6</f>
        <v>1745.3221929399995</v>
      </c>
      <c r="AD37" s="239">
        <f t="shared" ref="AD37:AI37" si="103">SUM(AD38:AD43)</f>
        <v>4089.4538877139689</v>
      </c>
      <c r="AE37" s="239">
        <f t="shared" si="103"/>
        <v>4903.9020963481698</v>
      </c>
      <c r="AF37" s="239">
        <f t="shared" si="103"/>
        <v>7241.7256769846863</v>
      </c>
      <c r="AG37" s="239">
        <f t="shared" si="103"/>
        <v>9296.3335341721049</v>
      </c>
      <c r="AH37" s="239">
        <f t="shared" si="103"/>
        <v>12323.41790529119</v>
      </c>
      <c r="AI37" s="239">
        <f t="shared" si="103"/>
        <v>17683.61988433234</v>
      </c>
      <c r="AJ37" s="239">
        <f t="shared" ref="AJ37:AM37" si="104">SUM(AJ38:AJ43)</f>
        <v>22241.870604591939</v>
      </c>
      <c r="AK37" s="239">
        <f t="shared" si="104"/>
        <v>20858.844726449595</v>
      </c>
      <c r="AL37" s="239">
        <f t="shared" si="104"/>
        <v>20660.585978921885</v>
      </c>
      <c r="AM37" s="239">
        <f t="shared" si="104"/>
        <v>23337.98765269624</v>
      </c>
      <c r="AN37" s="239">
        <f t="shared" ref="AN37:AQ37" si="105">SUM(AN38:AN43)</f>
        <v>33345.677098306849</v>
      </c>
      <c r="AO37" s="239">
        <f t="shared" si="105"/>
        <v>31703.179163942928</v>
      </c>
      <c r="AP37" s="239">
        <f t="shared" si="105"/>
        <v>29938.334145896668</v>
      </c>
      <c r="AQ37" s="239">
        <f t="shared" si="105"/>
        <v>31777.140621316092</v>
      </c>
      <c r="AR37" s="239">
        <f t="shared" ref="AR37:AU37" si="106">SUM(AR38:AR43)</f>
        <v>39605.517378728247</v>
      </c>
      <c r="AS37" s="239">
        <f t="shared" si="106"/>
        <v>40344.03211329972</v>
      </c>
      <c r="AT37" s="239">
        <f t="shared" si="106"/>
        <v>38500.481387970591</v>
      </c>
      <c r="AU37" s="239">
        <f t="shared" si="106"/>
        <v>41271.427333887652</v>
      </c>
      <c r="AW37" s="238">
        <f>D37+E37</f>
        <v>67.696497440000002</v>
      </c>
      <c r="AX37" s="238">
        <f>BE37-AW37</f>
        <v>232.36087218999998</v>
      </c>
      <c r="AY37" s="238">
        <f>H37+I37</f>
        <v>73.02745358</v>
      </c>
      <c r="AZ37" s="238">
        <f t="shared" ref="AZ37:AZ42" si="107">BF37-AY37</f>
        <v>376.86716160000003</v>
      </c>
      <c r="BB37" s="238">
        <f>PL!AZ6</f>
        <v>7.8402741399999991</v>
      </c>
      <c r="BC37" s="238">
        <f>PL!BA6</f>
        <v>116.90809687000001</v>
      </c>
      <c r="BD37" s="238">
        <f>SUM(PL!C6:F6)</f>
        <v>302.71309338000003</v>
      </c>
      <c r="BE37" s="238">
        <f>SUM(D37:G37)</f>
        <v>300.05736962999998</v>
      </c>
      <c r="BF37" s="238">
        <f>SUM(H37:K37)</f>
        <v>449.89461518000002</v>
      </c>
      <c r="BG37" s="238">
        <f>SUM(L37:O37)</f>
        <v>479.41226940999996</v>
      </c>
      <c r="BH37" s="238">
        <f t="shared" ref="BH37" si="108">SUM(P37:S37)</f>
        <v>490.58693480000005</v>
      </c>
      <c r="BI37" s="238">
        <f t="shared" ref="BI37:BI43" si="109">SUM(T37:W37)</f>
        <v>666.0546677399999</v>
      </c>
      <c r="BJ37" s="238">
        <f t="shared" ref="BJ37:BJ43" si="110">SUM(X37:AA37)</f>
        <v>3583.3130042000003</v>
      </c>
      <c r="BK37" s="238">
        <f>SUM(AB37:AE37)</f>
        <v>12305.944773142139</v>
      </c>
      <c r="BL37" s="238">
        <f t="shared" ref="BL37:BL43" si="111">SUM(AF37:AI37)</f>
        <v>46545.097000780319</v>
      </c>
      <c r="BM37" s="238">
        <f t="shared" ref="BM37:BM43" si="112">SUM(AJ37:AM37)</f>
        <v>87099.288962659659</v>
      </c>
      <c r="BN37" s="238">
        <f t="shared" ref="BN37:BN43" si="113">SUM(AN37:AQ37)</f>
        <v>126764.33102946254</v>
      </c>
      <c r="BO37" s="238">
        <f t="shared" ref="BO37:BO43" si="114">SUM(AR37:AU37)</f>
        <v>159721.45821388619</v>
      </c>
    </row>
    <row r="38" spans="3:67">
      <c r="C38" s="38" t="str">
        <f t="shared" ref="C38:C43" si="115">C7</f>
        <v>Cloud - Chips and accelerator</v>
      </c>
      <c r="D38" s="156">
        <f>D45*D7</f>
        <v>5.9758875078214659</v>
      </c>
      <c r="E38" s="156">
        <f t="shared" ref="E38:E41" si="116">AW38-D38</f>
        <v>44.861595022178534</v>
      </c>
      <c r="F38" s="156">
        <f>F45*F7</f>
        <v>2.6509189760903644</v>
      </c>
      <c r="G38" s="156">
        <f t="shared" ref="G38:G41" si="117">AX38-F38</f>
        <v>12.322153053909631</v>
      </c>
      <c r="H38" s="156">
        <f>H45*H7</f>
        <v>2.9518385539668732</v>
      </c>
      <c r="I38" s="156">
        <f t="shared" ref="I38:I41" si="118">AY38-H38</f>
        <v>9.8764481960331274</v>
      </c>
      <c r="J38" s="156">
        <f>J45*J7</f>
        <v>1.8073952913623572</v>
      </c>
      <c r="K38" s="170">
        <f>80.23163169-33.26464489-AY38-AY39-J38-J39-K39</f>
        <v>11.001414908637638</v>
      </c>
      <c r="L38" s="156">
        <f t="shared" ref="L38:N41" si="119">L45*L7</f>
        <v>22.51681125253706</v>
      </c>
      <c r="M38" s="156">
        <f t="shared" si="119"/>
        <v>25.528173129488795</v>
      </c>
      <c r="N38" s="156">
        <f t="shared" si="119"/>
        <v>15.200204441842226</v>
      </c>
      <c r="O38" s="156">
        <f>BG38-SUM(L38:N38)</f>
        <v>37.457288987550363</v>
      </c>
      <c r="P38" s="156">
        <f>P45*P7</f>
        <v>35.163860282870509</v>
      </c>
      <c r="Q38" s="156">
        <f>Q45*Q7</f>
        <v>6.8557012128936323</v>
      </c>
      <c r="R38" s="156">
        <f>R45*R7</f>
        <v>7.4276791090425087</v>
      </c>
      <c r="S38" s="156">
        <f>BH38-SUM(P38:R38)</f>
        <v>5.4594121851933437</v>
      </c>
      <c r="T38" s="156">
        <f>T45*T7</f>
        <v>13.463722263749998</v>
      </c>
      <c r="U38" s="79">
        <f>61.05177338-22.57701853-T38</f>
        <v>25.011032586249996</v>
      </c>
      <c r="V38" s="156">
        <f>V45*V7</f>
        <v>60.42611325</v>
      </c>
      <c r="W38" s="79">
        <f>1166.27848536-505.14361325-SUM(T38:V38)</f>
        <v>562.23400401000004</v>
      </c>
      <c r="X38" s="156">
        <f t="shared" ref="X38:AU38" si="120">X45*X7</f>
        <v>619.81019100000003</v>
      </c>
      <c r="Y38" s="156">
        <f t="shared" si="120"/>
        <v>986.0334349810654</v>
      </c>
      <c r="Z38" s="156">
        <f t="shared" si="120"/>
        <v>932.89813196689602</v>
      </c>
      <c r="AA38" s="156">
        <f t="shared" si="120"/>
        <v>1033.1428728593837</v>
      </c>
      <c r="AB38" s="156">
        <f t="shared" si="120"/>
        <v>1564.638596196171</v>
      </c>
      <c r="AC38" s="156">
        <f t="shared" si="120"/>
        <v>1742.4121403170368</v>
      </c>
      <c r="AD38" s="156">
        <f t="shared" si="120"/>
        <v>4085.6224662020613</v>
      </c>
      <c r="AE38" s="156">
        <f t="shared" si="120"/>
        <v>4901.0808814617449</v>
      </c>
      <c r="AF38" s="156">
        <f t="shared" si="120"/>
        <v>7238.7285360881679</v>
      </c>
      <c r="AG38" s="156">
        <f t="shared" si="120"/>
        <v>9293.2775476264433</v>
      </c>
      <c r="AH38" s="156">
        <f t="shared" si="120"/>
        <v>12319.466578237287</v>
      </c>
      <c r="AI38" s="156">
        <f t="shared" si="120"/>
        <v>17680.618645269977</v>
      </c>
      <c r="AJ38" s="156">
        <f t="shared" si="120"/>
        <v>22238.682239004927</v>
      </c>
      <c r="AK38" s="156">
        <f t="shared" si="120"/>
        <v>20855.594431759477</v>
      </c>
      <c r="AL38" s="156">
        <f t="shared" si="120"/>
        <v>20656.430891199518</v>
      </c>
      <c r="AM38" s="156">
        <f t="shared" si="120"/>
        <v>23334.776542030071</v>
      </c>
      <c r="AN38" s="156">
        <f t="shared" si="120"/>
        <v>33342.367457905544</v>
      </c>
      <c r="AO38" s="156">
        <f t="shared" si="120"/>
        <v>31699.808551144626</v>
      </c>
      <c r="AP38" s="156">
        <f t="shared" si="120"/>
        <v>29934.052677052034</v>
      </c>
      <c r="AQ38" s="156">
        <f t="shared" si="120"/>
        <v>31773.797621709957</v>
      </c>
      <c r="AR38" s="156">
        <f t="shared" si="120"/>
        <v>39602.074336031212</v>
      </c>
      <c r="AS38" s="156">
        <f t="shared" si="120"/>
        <v>40340.529150582421</v>
      </c>
      <c r="AT38" s="156">
        <f t="shared" si="120"/>
        <v>38496.060899891461</v>
      </c>
      <c r="AU38" s="156">
        <f t="shared" si="120"/>
        <v>41267.939256447549</v>
      </c>
      <c r="AW38" s="79">
        <f>AW7-AW60</f>
        <v>50.837482530000003</v>
      </c>
      <c r="AX38" s="79">
        <f>AX7-AX60</f>
        <v>14.973072029999996</v>
      </c>
      <c r="AY38" s="79">
        <f>AY7-AY60</f>
        <v>12.82828675</v>
      </c>
      <c r="AZ38" s="79">
        <f t="shared" si="107"/>
        <v>12.8088102</v>
      </c>
      <c r="BB38" s="79">
        <v>0</v>
      </c>
      <c r="BC38" s="79">
        <v>0</v>
      </c>
      <c r="BD38" s="79">
        <v>61.706499999999998</v>
      </c>
      <c r="BE38" s="79">
        <f>BE7-BE60</f>
        <v>65.81055456</v>
      </c>
      <c r="BF38" s="79">
        <f>80.23163169-33.26464489-BF39</f>
        <v>25.63709695</v>
      </c>
      <c r="BG38" s="79">
        <f>219.44894875-80.16526911-BG39</f>
        <v>100.70247781141845</v>
      </c>
      <c r="BH38" s="79">
        <f>BH7-BH60</f>
        <v>54.906652789999995</v>
      </c>
      <c r="BI38" s="156">
        <f t="shared" si="109"/>
        <v>661.13487211000006</v>
      </c>
      <c r="BJ38" s="156">
        <f t="shared" si="110"/>
        <v>3571.8846308073453</v>
      </c>
      <c r="BK38" s="156">
        <f t="shared" ref="BK38:BK41" si="121">SUM(AB38:AE38)</f>
        <v>12293.754084177013</v>
      </c>
      <c r="BL38" s="156">
        <f t="shared" si="111"/>
        <v>46532.091307221875</v>
      </c>
      <c r="BM38" s="156">
        <f t="shared" si="112"/>
        <v>87085.484103993993</v>
      </c>
      <c r="BN38" s="156">
        <f t="shared" si="113"/>
        <v>126750.02630781216</v>
      </c>
      <c r="BO38" s="156">
        <f t="shared" si="114"/>
        <v>159706.60364295263</v>
      </c>
    </row>
    <row r="39" spans="3:67">
      <c r="C39" s="38" t="str">
        <f t="shared" si="115"/>
        <v>Cloud - Training machine</v>
      </c>
      <c r="D39" s="156"/>
      <c r="E39" s="156"/>
      <c r="F39" s="156"/>
      <c r="G39" s="156">
        <f>AX39-F39</f>
        <v>0</v>
      </c>
      <c r="H39" s="156">
        <f>H46*H8</f>
        <v>3.6161273094191362</v>
      </c>
      <c r="I39" s="156">
        <f>AY39-H39</f>
        <v>10.657611660580862</v>
      </c>
      <c r="J39" s="156">
        <f>J46*J8</f>
        <v>1.0229779494551172</v>
      </c>
      <c r="K39" s="156">
        <f>K46*K8</f>
        <v>6.0331729305448851</v>
      </c>
      <c r="L39" s="156">
        <f t="shared" si="119"/>
        <v>7.280014790849469</v>
      </c>
      <c r="M39" s="156">
        <f t="shared" si="119"/>
        <v>23.235508174006242</v>
      </c>
      <c r="N39" s="156">
        <f t="shared" si="119"/>
        <v>3.9691544438858548</v>
      </c>
      <c r="O39" s="156">
        <f>O46*O8</f>
        <v>4.0965244198399775</v>
      </c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W39" s="156"/>
      <c r="AX39" s="156"/>
      <c r="AY39" s="79">
        <f>AY8-AY61</f>
        <v>14.273738969999998</v>
      </c>
      <c r="AZ39" s="79">
        <f t="shared" si="107"/>
        <v>7.0561508800000023</v>
      </c>
      <c r="BB39" s="156"/>
      <c r="BC39" s="156"/>
      <c r="BD39" s="79"/>
      <c r="BE39" s="79">
        <f>BE8-BE61</f>
        <v>0</v>
      </c>
      <c r="BF39" s="156">
        <f>SUM(H39:K39)</f>
        <v>21.329889850000001</v>
      </c>
      <c r="BG39" s="156">
        <f>SUM(L39:O39)</f>
        <v>38.581201828581548</v>
      </c>
      <c r="BH39" s="156"/>
      <c r="BI39" s="156"/>
      <c r="BJ39" s="156"/>
      <c r="BK39" s="156"/>
      <c r="BL39" s="156"/>
      <c r="BM39" s="156">
        <f t="shared" si="112"/>
        <v>0</v>
      </c>
      <c r="BN39" s="156">
        <f t="shared" si="113"/>
        <v>0</v>
      </c>
      <c r="BO39" s="156">
        <f t="shared" si="114"/>
        <v>0</v>
      </c>
    </row>
    <row r="40" spans="3:67">
      <c r="C40" s="38" t="str">
        <f t="shared" si="115"/>
        <v>Edge chips and accelerator</v>
      </c>
      <c r="D40" s="156">
        <f>D47*D9</f>
        <v>0.48293731401254114</v>
      </c>
      <c r="E40" s="156">
        <f t="shared" si="116"/>
        <v>3.1624445059874597</v>
      </c>
      <c r="F40" s="156">
        <f>F47*F9</f>
        <v>1.241333842872866</v>
      </c>
      <c r="G40" s="156">
        <f t="shared" si="117"/>
        <v>5.3199660071271335</v>
      </c>
      <c r="H40" s="156">
        <f>H47*H9</f>
        <v>7.1324658293314052</v>
      </c>
      <c r="I40" s="156">
        <f t="shared" si="118"/>
        <v>30.538513780668598</v>
      </c>
      <c r="J40" s="156">
        <f>J47*J9</f>
        <v>7.2560540277792001</v>
      </c>
      <c r="K40" s="156">
        <f>AZ40-J40</f>
        <v>27.391242272220808</v>
      </c>
      <c r="L40" s="156">
        <f t="shared" si="119"/>
        <v>4.6945310712973471</v>
      </c>
      <c r="M40" s="156">
        <f t="shared" si="119"/>
        <v>4.0392321459888265</v>
      </c>
      <c r="N40" s="156">
        <f t="shared" si="119"/>
        <v>1.425778624127126</v>
      </c>
      <c r="O40" s="156">
        <f>BG40-SUM(L40:N40)</f>
        <v>1.6121657685867028</v>
      </c>
      <c r="P40" s="156">
        <f t="shared" ref="P40:R41" si="122">P47*P9</f>
        <v>2.3609946217562738</v>
      </c>
      <c r="Q40" s="156">
        <f t="shared" si="122"/>
        <v>1.9588777204829892</v>
      </c>
      <c r="R40" s="156">
        <f t="shared" si="122"/>
        <v>0.76827747898598964</v>
      </c>
      <c r="S40" s="156">
        <f t="shared" ref="S40:S43" si="123">BH40-SUM(P40:R40)</f>
        <v>0.96043318877474615</v>
      </c>
      <c r="T40" s="156">
        <f>T47*T9</f>
        <v>1.1881000000000002</v>
      </c>
      <c r="U40" s="79">
        <f>3.42440717-1.56505318-T40</f>
        <v>0.67125398999999963</v>
      </c>
      <c r="V40" s="156">
        <f t="shared" ref="V40:AU40" si="124">V47*V9</f>
        <v>0.74244981391383635</v>
      </c>
      <c r="W40" s="156">
        <f t="shared" si="124"/>
        <v>0.94105668628616357</v>
      </c>
      <c r="X40" s="156">
        <f t="shared" si="124"/>
        <v>0.5777000000000001</v>
      </c>
      <c r="Y40" s="156">
        <f t="shared" si="124"/>
        <v>0.32976790004999995</v>
      </c>
      <c r="Z40" s="156">
        <f t="shared" si="124"/>
        <v>0.36435037164290118</v>
      </c>
      <c r="AA40" s="156">
        <f t="shared" si="124"/>
        <v>0.52699469520709885</v>
      </c>
      <c r="AB40" s="156">
        <f t="shared" si="124"/>
        <v>0.56680000000000008</v>
      </c>
      <c r="AC40" s="156">
        <f t="shared" si="124"/>
        <v>0.32354586419999992</v>
      </c>
      <c r="AD40" s="156">
        <f t="shared" si="124"/>
        <v>0.35747583632888419</v>
      </c>
      <c r="AE40" s="156">
        <f t="shared" si="124"/>
        <v>0.51705139907111586</v>
      </c>
      <c r="AF40" s="156">
        <f t="shared" si="124"/>
        <v>0.55590000000000006</v>
      </c>
      <c r="AG40" s="156">
        <f t="shared" si="124"/>
        <v>0.31732382834999995</v>
      </c>
      <c r="AH40" s="156">
        <f t="shared" si="124"/>
        <v>0.35060130101486714</v>
      </c>
      <c r="AI40" s="156">
        <f t="shared" si="124"/>
        <v>0.50710810293513287</v>
      </c>
      <c r="AJ40" s="156">
        <f t="shared" si="124"/>
        <v>0.54500000000000004</v>
      </c>
      <c r="AK40" s="156">
        <f t="shared" si="124"/>
        <v>0.31110179249999992</v>
      </c>
      <c r="AL40" s="156">
        <f t="shared" si="124"/>
        <v>0.34372676570085015</v>
      </c>
      <c r="AM40" s="156">
        <f t="shared" si="124"/>
        <v>0.49716480679914987</v>
      </c>
      <c r="AN40" s="156">
        <f t="shared" si="124"/>
        <v>0.54500000000000004</v>
      </c>
      <c r="AO40" s="156">
        <f t="shared" si="124"/>
        <v>0.31110179249999992</v>
      </c>
      <c r="AP40" s="156">
        <f t="shared" si="124"/>
        <v>0.34372676570085015</v>
      </c>
      <c r="AQ40" s="156">
        <f t="shared" si="124"/>
        <v>0.49716480679914987</v>
      </c>
      <c r="AR40" s="156">
        <f t="shared" si="124"/>
        <v>0.54500000000000004</v>
      </c>
      <c r="AS40" s="156">
        <f t="shared" si="124"/>
        <v>0.31110179249999992</v>
      </c>
      <c r="AT40" s="156">
        <f t="shared" si="124"/>
        <v>0.34372676570085015</v>
      </c>
      <c r="AU40" s="156">
        <f t="shared" si="124"/>
        <v>0.49716480679914987</v>
      </c>
      <c r="AW40" s="79">
        <f t="shared" ref="AW40:AX42" si="125">AW9-AW62</f>
        <v>3.6453818200000008</v>
      </c>
      <c r="AX40" s="79">
        <f t="shared" si="125"/>
        <v>6.5612998499999993</v>
      </c>
      <c r="AY40" s="79">
        <f>AY9-AY62</f>
        <v>37.670979610000003</v>
      </c>
      <c r="AZ40" s="79">
        <f t="shared" si="107"/>
        <v>34.647296300000008</v>
      </c>
      <c r="BB40" s="79">
        <v>0</v>
      </c>
      <c r="BC40" s="79">
        <v>0</v>
      </c>
      <c r="BD40" s="79">
        <v>0</v>
      </c>
      <c r="BE40" s="79">
        <f>BE9-BE62</f>
        <v>10.20668167</v>
      </c>
      <c r="BF40" s="79">
        <f t="shared" ref="BF40:BH42" si="126">BF9-BF62</f>
        <v>72.318275910000011</v>
      </c>
      <c r="BG40" s="79">
        <f t="shared" si="126"/>
        <v>11.771707610000004</v>
      </c>
      <c r="BH40" s="79">
        <f t="shared" si="126"/>
        <v>6.0485830099999989</v>
      </c>
      <c r="BI40" s="156">
        <f t="shared" si="109"/>
        <v>3.5428604901999998</v>
      </c>
      <c r="BJ40" s="156">
        <f t="shared" si="110"/>
        <v>1.7988129668999999</v>
      </c>
      <c r="BK40" s="156">
        <f t="shared" si="121"/>
        <v>1.7648730995999999</v>
      </c>
      <c r="BL40" s="156">
        <f t="shared" si="111"/>
        <v>1.7309332323</v>
      </c>
      <c r="BM40" s="156">
        <f t="shared" si="112"/>
        <v>1.696993365</v>
      </c>
      <c r="BN40" s="156">
        <f t="shared" si="113"/>
        <v>1.696993365</v>
      </c>
      <c r="BO40" s="156">
        <f t="shared" si="114"/>
        <v>1.696993365</v>
      </c>
    </row>
    <row r="41" spans="3:67">
      <c r="C41" s="38" t="str">
        <f t="shared" si="115"/>
        <v>Intelligent computing cluster systems</v>
      </c>
      <c r="D41" s="156">
        <f>D48*D10</f>
        <v>0</v>
      </c>
      <c r="E41" s="156">
        <f t="shared" si="116"/>
        <v>0.12794027999999999</v>
      </c>
      <c r="F41" s="156">
        <f>F48*F10</f>
        <v>28.63736966301682</v>
      </c>
      <c r="G41" s="156">
        <f t="shared" si="117"/>
        <v>172.92053712698319</v>
      </c>
      <c r="H41" s="156">
        <f>H48*H10</f>
        <v>0</v>
      </c>
      <c r="I41" s="156">
        <f t="shared" si="118"/>
        <v>0.63363614000000001</v>
      </c>
      <c r="J41" s="156">
        <f>J48*J10</f>
        <v>28.921224635849001</v>
      </c>
      <c r="K41" s="156">
        <f>AZ41-J41</f>
        <v>291.99204422415102</v>
      </c>
      <c r="L41" s="156">
        <f t="shared" si="119"/>
        <v>0</v>
      </c>
      <c r="M41" s="156">
        <f t="shared" si="119"/>
        <v>4.8432441690807302</v>
      </c>
      <c r="N41" s="156">
        <f t="shared" si="119"/>
        <v>37.13153862961893</v>
      </c>
      <c r="O41" s="156">
        <f>BG41-SUM(L41:N41)</f>
        <v>280.8986762613003</v>
      </c>
      <c r="P41" s="156">
        <f t="shared" si="122"/>
        <v>20.312300178239997</v>
      </c>
      <c r="Q41" s="156">
        <f t="shared" si="122"/>
        <v>14.508785841599998</v>
      </c>
      <c r="R41" s="156">
        <f t="shared" si="122"/>
        <v>12.513827788379999</v>
      </c>
      <c r="S41" s="156">
        <f t="shared" si="123"/>
        <v>380.56813882177994</v>
      </c>
      <c r="T41" s="156">
        <f>T48*T10</f>
        <v>2.1701612565E-2</v>
      </c>
      <c r="U41" s="156">
        <f>U48*U10</f>
        <v>2.2924238625000003E-2</v>
      </c>
      <c r="V41" s="156">
        <f t="shared" ref="V41:AU41" si="127">V48*V10</f>
        <v>0.36323515799999995</v>
      </c>
      <c r="W41" s="156">
        <f t="shared" si="127"/>
        <v>0.36323515799999995</v>
      </c>
      <c r="X41" s="156">
        <f t="shared" si="127"/>
        <v>0</v>
      </c>
      <c r="Y41" s="156">
        <f t="shared" si="127"/>
        <v>0</v>
      </c>
      <c r="Z41" s="156">
        <f t="shared" si="127"/>
        <v>0</v>
      </c>
      <c r="AA41" s="156">
        <f t="shared" si="127"/>
        <v>0</v>
      </c>
      <c r="AB41" s="156">
        <f t="shared" si="127"/>
        <v>0</v>
      </c>
      <c r="AC41" s="156">
        <f t="shared" si="127"/>
        <v>0</v>
      </c>
      <c r="AD41" s="156">
        <f t="shared" si="127"/>
        <v>0</v>
      </c>
      <c r="AE41" s="156">
        <f t="shared" si="127"/>
        <v>0</v>
      </c>
      <c r="AF41" s="156">
        <f t="shared" si="127"/>
        <v>0</v>
      </c>
      <c r="AG41" s="156">
        <f t="shared" si="127"/>
        <v>0</v>
      </c>
      <c r="AH41" s="156">
        <f t="shared" si="127"/>
        <v>0</v>
      </c>
      <c r="AI41" s="156">
        <f t="shared" si="127"/>
        <v>0</v>
      </c>
      <c r="AJ41" s="156">
        <f t="shared" si="127"/>
        <v>0</v>
      </c>
      <c r="AK41" s="156">
        <f t="shared" si="127"/>
        <v>0</v>
      </c>
      <c r="AL41" s="156">
        <f t="shared" si="127"/>
        <v>0</v>
      </c>
      <c r="AM41" s="156">
        <f t="shared" si="127"/>
        <v>0</v>
      </c>
      <c r="AN41" s="156">
        <f t="shared" si="127"/>
        <v>0</v>
      </c>
      <c r="AO41" s="156">
        <f t="shared" si="127"/>
        <v>0</v>
      </c>
      <c r="AP41" s="156">
        <f t="shared" si="127"/>
        <v>0</v>
      </c>
      <c r="AQ41" s="156">
        <f t="shared" si="127"/>
        <v>0</v>
      </c>
      <c r="AR41" s="156">
        <f t="shared" si="127"/>
        <v>0</v>
      </c>
      <c r="AS41" s="156">
        <f t="shared" si="127"/>
        <v>0</v>
      </c>
      <c r="AT41" s="156">
        <f t="shared" si="127"/>
        <v>0</v>
      </c>
      <c r="AU41" s="156">
        <f t="shared" si="127"/>
        <v>0</v>
      </c>
      <c r="AW41" s="79">
        <f t="shared" si="125"/>
        <v>0.12794027999999999</v>
      </c>
      <c r="AX41" s="79">
        <f t="shared" si="125"/>
        <v>201.55790679</v>
      </c>
      <c r="AY41" s="79">
        <f>AY10-AY63</f>
        <v>0.63363614000000001</v>
      </c>
      <c r="AZ41" s="79">
        <f t="shared" si="107"/>
        <v>320.91326886000002</v>
      </c>
      <c r="BB41" s="79"/>
      <c r="BC41" s="156"/>
      <c r="BD41" s="79">
        <v>172.4786</v>
      </c>
      <c r="BE41" s="79">
        <f>BE10-BE63</f>
        <v>201.68584707000002</v>
      </c>
      <c r="BF41" s="79">
        <f t="shared" si="126"/>
        <v>321.54690500000004</v>
      </c>
      <c r="BG41" s="79">
        <f t="shared" si="126"/>
        <v>322.87345905999996</v>
      </c>
      <c r="BH41" s="79">
        <f t="shared" si="126"/>
        <v>427.90305262999993</v>
      </c>
      <c r="BI41" s="156">
        <f t="shared" si="109"/>
        <v>0.77109616718999985</v>
      </c>
      <c r="BJ41" s="156">
        <f t="shared" si="110"/>
        <v>0</v>
      </c>
      <c r="BK41" s="156">
        <f t="shared" si="121"/>
        <v>0</v>
      </c>
      <c r="BL41" s="156">
        <f t="shared" si="111"/>
        <v>0</v>
      </c>
      <c r="BM41" s="156">
        <f t="shared" si="112"/>
        <v>0</v>
      </c>
      <c r="BN41" s="156">
        <f t="shared" si="113"/>
        <v>0</v>
      </c>
      <c r="BO41" s="156">
        <f t="shared" si="114"/>
        <v>0</v>
      </c>
    </row>
    <row r="42" spans="3:67">
      <c r="C42" s="38" t="str">
        <f t="shared" si="115"/>
        <v>AI processor IP &amp; basic system software</v>
      </c>
      <c r="D42" s="156">
        <f>D11*D49</f>
        <v>1.9573366051936942</v>
      </c>
      <c r="E42" s="156">
        <f>AW42-D42</f>
        <v>11.142731274806305</v>
      </c>
      <c r="F42" s="156">
        <f>F11*F49</f>
        <v>1.3100247562020091</v>
      </c>
      <c r="G42" s="156">
        <f>AX42-F42</f>
        <v>5.6143536337979922</v>
      </c>
      <c r="H42" s="156">
        <f>H11*H49</f>
        <v>1.7546345878337426</v>
      </c>
      <c r="I42" s="156">
        <f>AY42-H42</f>
        <v>4.9408662521662574</v>
      </c>
      <c r="J42" s="156">
        <f>J11*J49</f>
        <v>2.4116329674954081E-2</v>
      </c>
      <c r="K42" s="156">
        <f>AZ42-J42</f>
        <v>0.14270839032504606</v>
      </c>
      <c r="L42" s="156">
        <f>L11*L49</f>
        <v>0.28446902499999999</v>
      </c>
      <c r="M42" s="156">
        <f>M11*M49</f>
        <v>0.28446902499999999</v>
      </c>
      <c r="N42" s="156">
        <f>N11*N49</f>
        <v>0.28446902499999999</v>
      </c>
      <c r="O42" s="156">
        <f>BG42-SUM(L42:N42)</f>
        <v>0.28446902499999993</v>
      </c>
      <c r="P42" s="156">
        <f>P11*P49</f>
        <v>5.8451327499999962E-2</v>
      </c>
      <c r="Q42" s="156">
        <f>Q11*Q49</f>
        <v>5.8451327499999997E-2</v>
      </c>
      <c r="R42" s="156">
        <f>R11*R49</f>
        <v>5.8451327499999997E-2</v>
      </c>
      <c r="S42" s="156">
        <f t="shared" si="123"/>
        <v>5.8451327500000039E-2</v>
      </c>
      <c r="T42" s="156">
        <f t="shared" ref="T42:AU42" si="128">T11*T49</f>
        <v>0.11105752225000004</v>
      </c>
      <c r="U42" s="156">
        <f t="shared" si="128"/>
        <v>0.11018141775000007</v>
      </c>
      <c r="V42" s="156">
        <f t="shared" si="128"/>
        <v>9.6444690375000031E-2</v>
      </c>
      <c r="W42" s="156">
        <f t="shared" si="128"/>
        <v>9.4705749625000099E-2</v>
      </c>
      <c r="X42" s="156">
        <f t="shared" si="128"/>
        <v>0.55528761125000015</v>
      </c>
      <c r="Y42" s="156">
        <f t="shared" si="128"/>
        <v>0.55090708875000027</v>
      </c>
      <c r="Z42" s="156">
        <f t="shared" si="128"/>
        <v>0.57866814225000018</v>
      </c>
      <c r="AA42" s="156">
        <f t="shared" si="128"/>
        <v>0.60388708775</v>
      </c>
      <c r="AB42" s="156">
        <f t="shared" si="128"/>
        <v>0.77740265575000023</v>
      </c>
      <c r="AC42" s="156">
        <f t="shared" si="128"/>
        <v>0.7712699242500004</v>
      </c>
      <c r="AD42" s="156">
        <f t="shared" si="128"/>
        <v>0.81013539915000021</v>
      </c>
      <c r="AE42" s="156">
        <f t="shared" si="128"/>
        <v>0.84544192284999997</v>
      </c>
      <c r="AF42" s="156">
        <f t="shared" si="128"/>
        <v>1.0106234524750004</v>
      </c>
      <c r="AG42" s="156">
        <f t="shared" si="128"/>
        <v>1.0026509015250005</v>
      </c>
      <c r="AH42" s="156">
        <f t="shared" si="128"/>
        <v>1.0531760188950003</v>
      </c>
      <c r="AI42" s="156">
        <f t="shared" si="128"/>
        <v>1.0990744997049999</v>
      </c>
      <c r="AJ42" s="156">
        <f t="shared" si="128"/>
        <v>1.2127481429700004</v>
      </c>
      <c r="AK42" s="156">
        <f t="shared" si="128"/>
        <v>1.2031810818300004</v>
      </c>
      <c r="AL42" s="156">
        <f t="shared" si="128"/>
        <v>1.2638112226740006</v>
      </c>
      <c r="AM42" s="156">
        <f t="shared" si="128"/>
        <v>1.318889399646</v>
      </c>
      <c r="AN42" s="156">
        <f t="shared" si="128"/>
        <v>1.3340229572670008</v>
      </c>
      <c r="AO42" s="156">
        <f t="shared" si="128"/>
        <v>1.3234991900130006</v>
      </c>
      <c r="AP42" s="156">
        <f t="shared" si="128"/>
        <v>1.3901923449414006</v>
      </c>
      <c r="AQ42" s="156">
        <f t="shared" si="128"/>
        <v>1.4507783396106002</v>
      </c>
      <c r="AR42" s="156">
        <f t="shared" si="128"/>
        <v>1.4674252529937009</v>
      </c>
      <c r="AS42" s="156">
        <f t="shared" si="128"/>
        <v>1.4558491090143009</v>
      </c>
      <c r="AT42" s="156">
        <f t="shared" si="128"/>
        <v>1.5292115794355408</v>
      </c>
      <c r="AU42" s="156">
        <f t="shared" si="128"/>
        <v>1.5958561735716603</v>
      </c>
      <c r="AW42" s="79">
        <f t="shared" si="125"/>
        <v>13.100067879999999</v>
      </c>
      <c r="AX42" s="79">
        <f t="shared" si="125"/>
        <v>6.9243783900000011</v>
      </c>
      <c r="AY42" s="79">
        <f>AY11-AY64</f>
        <v>6.6955008400000002</v>
      </c>
      <c r="AZ42" s="79">
        <f t="shared" si="107"/>
        <v>0.16682472000000015</v>
      </c>
      <c r="BB42" s="79">
        <v>7.7126999999999999</v>
      </c>
      <c r="BC42" s="79">
        <v>116.5702</v>
      </c>
      <c r="BD42" s="79">
        <v>68.612099999999998</v>
      </c>
      <c r="BE42" s="79">
        <f>BE11-BE64</f>
        <v>20.024446270000002</v>
      </c>
      <c r="BF42" s="79">
        <f t="shared" si="126"/>
        <v>6.8623255600000004</v>
      </c>
      <c r="BG42" s="79">
        <f t="shared" si="126"/>
        <v>1.1378760999999999</v>
      </c>
      <c r="BH42" s="79">
        <f t="shared" si="126"/>
        <v>0.23380530999999999</v>
      </c>
      <c r="BI42" s="156">
        <f>SUM(T42:W42)</f>
        <v>0.41238938000000025</v>
      </c>
      <c r="BJ42" s="156">
        <f>SUM(X42:AA42)</f>
        <v>2.2887499300000007</v>
      </c>
      <c r="BK42" s="156">
        <f>SUM(AB42:AE42)</f>
        <v>3.2042499020000008</v>
      </c>
      <c r="BL42" s="156">
        <f t="shared" si="111"/>
        <v>4.1655248726000007</v>
      </c>
      <c r="BM42" s="156">
        <f t="shared" si="112"/>
        <v>4.9986298471200019</v>
      </c>
      <c r="BN42" s="156">
        <f t="shared" si="113"/>
        <v>5.498492831832003</v>
      </c>
      <c r="BO42" s="156">
        <f t="shared" si="114"/>
        <v>6.0483421150152026</v>
      </c>
    </row>
    <row r="43" spans="3:67">
      <c r="C43" s="38" t="str">
        <f t="shared" si="115"/>
        <v>Others</v>
      </c>
      <c r="D43" s="156">
        <f>D37-SUM(D38:D42)</f>
        <v>-0.40839320702770188</v>
      </c>
      <c r="E43" s="156">
        <f t="shared" ref="E43:W43" si="129">E37-SUM(E38:E42)</f>
        <v>0.39401813702770738</v>
      </c>
      <c r="F43" s="156">
        <f t="shared" si="129"/>
        <v>0.39960262181795514</v>
      </c>
      <c r="G43" s="156">
        <f t="shared" si="129"/>
        <v>1.9446125081820185</v>
      </c>
      <c r="H43" s="156">
        <f t="shared" si="129"/>
        <v>0.48417175944883972</v>
      </c>
      <c r="I43" s="156">
        <f t="shared" si="129"/>
        <v>0.44113951055116019</v>
      </c>
      <c r="J43" s="156">
        <f t="shared" si="129"/>
        <v>0.82109182587937113</v>
      </c>
      <c r="K43" s="156">
        <f t="shared" si="129"/>
        <v>0.45371881412063431</v>
      </c>
      <c r="L43" s="156">
        <f t="shared" si="129"/>
        <v>0.86483318031612555</v>
      </c>
      <c r="M43" s="156">
        <f t="shared" si="129"/>
        <v>0.78915862643541601</v>
      </c>
      <c r="N43" s="156">
        <f t="shared" si="129"/>
        <v>1.3874537355258596</v>
      </c>
      <c r="O43" s="156">
        <f t="shared" si="129"/>
        <v>1.3041014577225951</v>
      </c>
      <c r="P43" s="156">
        <f t="shared" si="129"/>
        <v>-8.03986103667782E-2</v>
      </c>
      <c r="Q43" s="156">
        <f t="shared" si="129"/>
        <v>-8.7352912476607258E-2</v>
      </c>
      <c r="R43" s="156">
        <f t="shared" si="129"/>
        <v>-4.5102933908509613E-2</v>
      </c>
      <c r="S43" s="156">
        <f t="shared" si="123"/>
        <v>1.7076955167520644</v>
      </c>
      <c r="T43" s="156">
        <f t="shared" si="129"/>
        <v>1.626171434999435E-3</v>
      </c>
      <c r="U43" s="156">
        <f t="shared" si="129"/>
        <v>1.9492677375005485E-2</v>
      </c>
      <c r="V43" s="156">
        <f t="shared" si="129"/>
        <v>9.4097147711146079E-2</v>
      </c>
      <c r="W43" s="156">
        <f t="shared" si="129"/>
        <v>7.8233596088807644E-2</v>
      </c>
      <c r="X43" s="156">
        <f t="shared" ref="X43:AC43" si="130">X37-SUM(X38:X42)</f>
        <v>1.3258873887499476</v>
      </c>
      <c r="Y43" s="156">
        <f t="shared" si="130"/>
        <v>1.8268812701346633</v>
      </c>
      <c r="Z43" s="156">
        <f t="shared" si="130"/>
        <v>2.7266039592110474</v>
      </c>
      <c r="AA43" s="156">
        <f t="shared" si="130"/>
        <v>1.4614378776591366</v>
      </c>
      <c r="AB43" s="156">
        <f t="shared" si="130"/>
        <v>1.2837972880790858</v>
      </c>
      <c r="AC43" s="156">
        <f t="shared" si="130"/>
        <v>1.8152368345126888</v>
      </c>
      <c r="AD43" s="156">
        <f t="shared" ref="AD43:AU43" si="131">AD50*AD12</f>
        <v>2.6638102764286629</v>
      </c>
      <c r="AE43" s="156">
        <f t="shared" si="131"/>
        <v>1.4587215645032081</v>
      </c>
      <c r="AF43" s="156">
        <f t="shared" si="131"/>
        <v>1.430617444043828</v>
      </c>
      <c r="AG43" s="156">
        <f t="shared" si="131"/>
        <v>1.7360118157871989</v>
      </c>
      <c r="AH43" s="156">
        <f t="shared" si="131"/>
        <v>2.5475497339921338</v>
      </c>
      <c r="AI43" s="156">
        <f t="shared" si="131"/>
        <v>1.3950564597269117</v>
      </c>
      <c r="AJ43" s="156">
        <f t="shared" si="131"/>
        <v>1.430617444043828</v>
      </c>
      <c r="AK43" s="156">
        <f t="shared" si="131"/>
        <v>1.7360118157871989</v>
      </c>
      <c r="AL43" s="156">
        <f t="shared" si="131"/>
        <v>2.5475497339921338</v>
      </c>
      <c r="AM43" s="156">
        <f t="shared" si="131"/>
        <v>1.3950564597269117</v>
      </c>
      <c r="AN43" s="156">
        <f t="shared" si="131"/>
        <v>1.430617444043828</v>
      </c>
      <c r="AO43" s="156">
        <f t="shared" si="131"/>
        <v>1.7360118157871989</v>
      </c>
      <c r="AP43" s="156">
        <f t="shared" si="131"/>
        <v>2.5475497339921338</v>
      </c>
      <c r="AQ43" s="156">
        <f t="shared" si="131"/>
        <v>1.3950564597269117</v>
      </c>
      <c r="AR43" s="156">
        <f t="shared" si="131"/>
        <v>1.430617444043828</v>
      </c>
      <c r="AS43" s="156">
        <f t="shared" si="131"/>
        <v>1.7360118157871989</v>
      </c>
      <c r="AT43" s="156">
        <f t="shared" si="131"/>
        <v>2.5475497339921338</v>
      </c>
      <c r="AU43" s="156">
        <f t="shared" si="131"/>
        <v>1.3950564597269117</v>
      </c>
      <c r="AW43" s="156">
        <f>AW37-SUM(AW38:AW42)</f>
        <v>-1.4375069999999823E-2</v>
      </c>
      <c r="AX43" s="156">
        <f>AX37-SUM(AX38:AX42)</f>
        <v>2.3442151299999807</v>
      </c>
      <c r="AY43" s="156">
        <f>AY37-SUM(AY38:AY42)</f>
        <v>0.92531127000000879</v>
      </c>
      <c r="AZ43" s="156">
        <f>AZ37-SUM(AZ38:AZ42)</f>
        <v>1.2748106399999983</v>
      </c>
      <c r="BB43" s="156">
        <f t="shared" ref="BB43:BH43" si="132">BB37-SUM(BB38:BB42)</f>
        <v>0.12757413999999923</v>
      </c>
      <c r="BC43" s="156">
        <f t="shared" si="132"/>
        <v>0.33789687000000868</v>
      </c>
      <c r="BD43" s="156">
        <f t="shared" si="132"/>
        <v>-8.4106619999943177E-2</v>
      </c>
      <c r="BE43" s="156">
        <f t="shared" si="132"/>
        <v>2.3298400599999809</v>
      </c>
      <c r="BF43" s="156">
        <f t="shared" si="132"/>
        <v>2.2001219100000071</v>
      </c>
      <c r="BG43" s="156">
        <f t="shared" si="132"/>
        <v>4.3455470000000105</v>
      </c>
      <c r="BH43" s="156">
        <f t="shared" si="132"/>
        <v>1.4948410600001694</v>
      </c>
      <c r="BI43" s="156">
        <f t="shared" si="109"/>
        <v>0.19344959260995864</v>
      </c>
      <c r="BJ43" s="156">
        <f t="shared" si="110"/>
        <v>7.3408104957547948</v>
      </c>
      <c r="BK43" s="156">
        <f>SUM(AB43:AE43)</f>
        <v>7.2215659635236458</v>
      </c>
      <c r="BL43" s="156">
        <f t="shared" si="111"/>
        <v>7.109235453550073</v>
      </c>
      <c r="BM43" s="156">
        <f t="shared" si="112"/>
        <v>7.109235453550073</v>
      </c>
      <c r="BN43" s="156">
        <f t="shared" si="113"/>
        <v>7.109235453550073</v>
      </c>
      <c r="BO43" s="156">
        <f t="shared" si="114"/>
        <v>7.109235453550073</v>
      </c>
    </row>
    <row r="44" spans="3:67" s="237" customFormat="1">
      <c r="C44" s="237" t="s">
        <v>166</v>
      </c>
      <c r="D44" s="157">
        <f t="shared" ref="D44:AU44" si="133">D37/D6</f>
        <v>0.6931547560114486</v>
      </c>
      <c r="E44" s="157">
        <f t="shared" si="133"/>
        <v>0.78900343690961905</v>
      </c>
      <c r="F44" s="157">
        <f t="shared" si="133"/>
        <v>0.48686106010875024</v>
      </c>
      <c r="G44" s="157">
        <f t="shared" si="133"/>
        <v>0.6573435611674554</v>
      </c>
      <c r="H44" s="157">
        <f t="shared" si="133"/>
        <v>0.44115099977867933</v>
      </c>
      <c r="I44" s="157">
        <f t="shared" si="133"/>
        <v>0.56111227247595974</v>
      </c>
      <c r="J44" s="157">
        <f t="shared" si="133"/>
        <v>0.47137180841105303</v>
      </c>
      <c r="K44" s="157">
        <f t="shared" si="133"/>
        <v>0.67588520565560184</v>
      </c>
      <c r="L44" s="157">
        <f t="shared" si="133"/>
        <v>0.565807987483393</v>
      </c>
      <c r="M44" s="157">
        <f t="shared" si="133"/>
        <v>0.53973932064149943</v>
      </c>
      <c r="N44" s="157">
        <f t="shared" si="133"/>
        <v>0.64158426617724862</v>
      </c>
      <c r="O44" s="157">
        <f t="shared" si="133"/>
        <v>0.7008270369693711</v>
      </c>
      <c r="P44" s="157">
        <f t="shared" si="133"/>
        <v>0.76792102982950228</v>
      </c>
      <c r="Q44" s="157">
        <f t="shared" si="133"/>
        <v>0.59454977189045954</v>
      </c>
      <c r="R44" s="157">
        <f t="shared" si="133"/>
        <v>0.66117626885861236</v>
      </c>
      <c r="S44" s="157">
        <f t="shared" si="133"/>
        <v>0.68979919987689742</v>
      </c>
      <c r="T44" s="157">
        <f t="shared" si="133"/>
        <v>0.57609859675066422</v>
      </c>
      <c r="U44" s="157">
        <f t="shared" si="133"/>
        <v>0.66075163338288445</v>
      </c>
      <c r="V44" s="157">
        <f t="shared" si="133"/>
        <v>0.5120433730565519</v>
      </c>
      <c r="W44" s="157">
        <f t="shared" si="133"/>
        <v>0.56989009750114883</v>
      </c>
      <c r="X44" s="157">
        <f t="shared" si="133"/>
        <v>0.55989712694043248</v>
      </c>
      <c r="Y44" s="157">
        <f t="shared" si="133"/>
        <v>0.55884925259825124</v>
      </c>
      <c r="Z44" s="157">
        <f t="shared" si="133"/>
        <v>0.54237787693265982</v>
      </c>
      <c r="AA44" s="157">
        <f t="shared" si="133"/>
        <v>0.54807420310031163</v>
      </c>
      <c r="AB44" s="157">
        <f t="shared" si="133"/>
        <v>0.54330376246514434</v>
      </c>
      <c r="AC44" s="157">
        <f t="shared" si="133"/>
        <v>0.56103866026595373</v>
      </c>
      <c r="AD44" s="157">
        <f t="shared" si="133"/>
        <v>0.50005579449528348</v>
      </c>
      <c r="AE44" s="157">
        <f t="shared" si="133"/>
        <v>0.5000472246708132</v>
      </c>
      <c r="AF44" s="157">
        <f t="shared" si="133"/>
        <v>0.5100296832972514</v>
      </c>
      <c r="AG44" s="157">
        <f t="shared" si="133"/>
        <v>0.51002204459353095</v>
      </c>
      <c r="AH44" s="157">
        <f t="shared" si="133"/>
        <v>0.51001592278590946</v>
      </c>
      <c r="AI44" s="157">
        <f t="shared" si="133"/>
        <v>0.51001345826445521</v>
      </c>
      <c r="AJ44" s="157">
        <f t="shared" si="133"/>
        <v>0.50501216708577334</v>
      </c>
      <c r="AK44" s="157">
        <f t="shared" si="133"/>
        <v>0.50501261089482175</v>
      </c>
      <c r="AL44" s="157">
        <f t="shared" si="133"/>
        <v>0.5050126395185357</v>
      </c>
      <c r="AM44" s="157">
        <f t="shared" si="133"/>
        <v>0.50501277464664618</v>
      </c>
      <c r="AN44" s="157">
        <f t="shared" si="133"/>
        <v>0.50000933820008342</v>
      </c>
      <c r="AO44" s="157">
        <f t="shared" si="133"/>
        <v>0.50000959005037637</v>
      </c>
      <c r="AP44" s="157">
        <f t="shared" si="133"/>
        <v>0.50001029313553236</v>
      </c>
      <c r="AQ44" s="157">
        <f t="shared" si="133"/>
        <v>0.50001073503984628</v>
      </c>
      <c r="AR44" s="157">
        <f t="shared" si="133"/>
        <v>0.50000870432675149</v>
      </c>
      <c r="AS44" s="157">
        <f t="shared" si="133"/>
        <v>0.5000083561892571</v>
      </c>
      <c r="AT44" s="157">
        <f t="shared" si="133"/>
        <v>0.50000890674329002</v>
      </c>
      <c r="AU44" s="157">
        <f t="shared" si="133"/>
        <v>0.50000914429017074</v>
      </c>
      <c r="AV44" s="38"/>
      <c r="AW44" s="157">
        <f>AW37/AW6</f>
        <v>0.77630547911253767</v>
      </c>
      <c r="AX44" s="157">
        <f>AX37/AX6</f>
        <v>0.6250899371874783</v>
      </c>
      <c r="AY44" s="157">
        <f>AY37/AY6</f>
        <v>0.52967501284368346</v>
      </c>
      <c r="AZ44" s="157">
        <f>AZ37/AZ6</f>
        <v>0.64623551430017423</v>
      </c>
      <c r="BA44" s="38"/>
      <c r="BB44" s="157">
        <f t="shared" ref="BB44:BO44" si="134">BB37/BB6</f>
        <v>0.99961750667559857</v>
      </c>
      <c r="BC44" s="157">
        <f t="shared" si="134"/>
        <v>0.9989990031958812</v>
      </c>
      <c r="BD44" s="157">
        <f t="shared" si="134"/>
        <v>0.68188074854216063</v>
      </c>
      <c r="BE44" s="254">
        <f t="shared" si="134"/>
        <v>0.65382327348414482</v>
      </c>
      <c r="BF44" s="254">
        <f t="shared" si="134"/>
        <v>0.62394779953717505</v>
      </c>
      <c r="BG44" s="254">
        <f t="shared" si="134"/>
        <v>0.65759876726337596</v>
      </c>
      <c r="BH44" s="254">
        <f t="shared" si="134"/>
        <v>0.69156500233473983</v>
      </c>
      <c r="BI44" s="255">
        <f t="shared" si="134"/>
        <v>0.56711355454291212</v>
      </c>
      <c r="BJ44" s="255">
        <f t="shared" si="134"/>
        <v>0.55151682273778369</v>
      </c>
      <c r="BK44" s="255">
        <f t="shared" si="134"/>
        <v>0.51316578444627792</v>
      </c>
      <c r="BL44" s="255">
        <f t="shared" si="134"/>
        <v>0.51001835001274765</v>
      </c>
      <c r="BM44" s="255">
        <f t="shared" si="134"/>
        <v>0.50501254822919039</v>
      </c>
      <c r="BN44" s="255">
        <f t="shared" si="134"/>
        <v>0.50000997687442672</v>
      </c>
      <c r="BO44" s="255">
        <f t="shared" si="134"/>
        <v>0.50000877886748751</v>
      </c>
    </row>
    <row r="45" spans="3:67">
      <c r="C45" s="38" t="str">
        <f t="shared" ref="C45:C50" si="135">C38</f>
        <v>Cloud - Chips and accelerator</v>
      </c>
      <c r="D45" s="256">
        <v>0.72499999999999998</v>
      </c>
      <c r="E45" s="158">
        <f>E38/E7</f>
        <v>0.83114759501737734</v>
      </c>
      <c r="F45" s="256">
        <v>0.58299999999999996</v>
      </c>
      <c r="G45" s="161">
        <f>G38/G7</f>
        <v>0.63232221258808841</v>
      </c>
      <c r="H45" s="256">
        <v>0.6</v>
      </c>
      <c r="I45" s="158">
        <f t="shared" ref="I45:I50" si="136">I38/I7</f>
        <v>0.71292365990374329</v>
      </c>
      <c r="J45" s="256">
        <v>0.58499999999999996</v>
      </c>
      <c r="K45" s="158">
        <f>K38/K7</f>
        <v>0.60377032278823262</v>
      </c>
      <c r="L45" s="256">
        <v>0.75</v>
      </c>
      <c r="M45" s="256">
        <v>0.65</v>
      </c>
      <c r="N45" s="256">
        <v>0.65</v>
      </c>
      <c r="O45" s="158">
        <f>O38/O7</f>
        <v>0.75510982331509868</v>
      </c>
      <c r="P45" s="256">
        <v>0.755</v>
      </c>
      <c r="Q45" s="256">
        <v>0.6</v>
      </c>
      <c r="R45" s="256">
        <v>0.495</v>
      </c>
      <c r="S45" s="158">
        <f>S38/S7</f>
        <v>0.31092089042382653</v>
      </c>
      <c r="T45" s="256">
        <v>0.57684999999999997</v>
      </c>
      <c r="U45" s="158">
        <f>U38/U7</f>
        <v>0.66321681760995232</v>
      </c>
      <c r="V45" s="256">
        <v>0.51</v>
      </c>
      <c r="W45" s="158">
        <f>W38/W7</f>
        <v>0.56978702273393467</v>
      </c>
      <c r="X45" s="256">
        <v>0.56000000000000005</v>
      </c>
      <c r="Y45" s="256">
        <v>0.55881999999999998</v>
      </c>
      <c r="Z45" s="256">
        <v>0.5423</v>
      </c>
      <c r="AA45" s="256">
        <v>0.54800000000000004</v>
      </c>
      <c r="AB45" s="256">
        <v>0.54330000000000001</v>
      </c>
      <c r="AC45" s="257">
        <v>0.56100000000000005</v>
      </c>
      <c r="AD45" s="257">
        <v>0.5</v>
      </c>
      <c r="AE45" s="257">
        <f t="shared" ref="AE45:AI45" si="137">AD45</f>
        <v>0.5</v>
      </c>
      <c r="AF45" s="257">
        <v>0.51</v>
      </c>
      <c r="AG45" s="257">
        <f t="shared" si="137"/>
        <v>0.51</v>
      </c>
      <c r="AH45" s="257">
        <f t="shared" si="137"/>
        <v>0.51</v>
      </c>
      <c r="AI45" s="257">
        <f t="shared" si="137"/>
        <v>0.51</v>
      </c>
      <c r="AJ45" s="257">
        <v>0.505</v>
      </c>
      <c r="AK45" s="257">
        <f t="shared" ref="AK45" si="138">AJ45</f>
        <v>0.505</v>
      </c>
      <c r="AL45" s="257">
        <f t="shared" ref="AL45" si="139">AK45</f>
        <v>0.505</v>
      </c>
      <c r="AM45" s="257">
        <f t="shared" ref="AM45" si="140">AL45</f>
        <v>0.505</v>
      </c>
      <c r="AN45" s="257">
        <v>0.5</v>
      </c>
      <c r="AO45" s="257">
        <f t="shared" ref="AO45" si="141">AN45</f>
        <v>0.5</v>
      </c>
      <c r="AP45" s="257">
        <f t="shared" ref="AP45" si="142">AO45</f>
        <v>0.5</v>
      </c>
      <c r="AQ45" s="257">
        <f t="shared" ref="AQ45" si="143">AP45</f>
        <v>0.5</v>
      </c>
      <c r="AR45" s="257">
        <v>0.5</v>
      </c>
      <c r="AS45" s="257">
        <f t="shared" ref="AS45" si="144">AR45</f>
        <v>0.5</v>
      </c>
      <c r="AT45" s="257">
        <f t="shared" ref="AT45" si="145">AS45</f>
        <v>0.5</v>
      </c>
      <c r="AU45" s="257">
        <f t="shared" ref="AU45" si="146">AT45</f>
        <v>0.5</v>
      </c>
      <c r="AW45" s="158">
        <f>AW38/+AW7</f>
        <v>0.81708524518468328</v>
      </c>
      <c r="AX45" s="158">
        <f>AX38/+AX7</f>
        <v>0.62299093173053643</v>
      </c>
      <c r="AY45" s="158">
        <f>AY38/+AY7</f>
        <v>0.68333068931248242</v>
      </c>
      <c r="AZ45" s="158">
        <f>AZ38/+AZ7</f>
        <v>0.60104906205514064</v>
      </c>
      <c r="BB45" s="158"/>
      <c r="BC45" s="158"/>
      <c r="BD45" s="158">
        <f>BD38/+BD7</f>
        <v>0.7822594140137723</v>
      </c>
      <c r="BE45" s="158">
        <f>BE38/+BE7</f>
        <v>0.76300090881036475</v>
      </c>
      <c r="BF45" s="158">
        <f t="shared" ref="BF45:BO45" si="147">BF38/BF7</f>
        <v>0.6395853866898954</v>
      </c>
      <c r="BG45" s="158">
        <f t="shared" si="147"/>
        <v>0.70774420550947859</v>
      </c>
      <c r="BH45" s="158">
        <f t="shared" si="147"/>
        <v>0.60626738991925921</v>
      </c>
      <c r="BI45" s="158">
        <f t="shared" si="147"/>
        <v>0.56687564797692791</v>
      </c>
      <c r="BJ45" s="158">
        <f t="shared" si="147"/>
        <v>0.5514844003640309</v>
      </c>
      <c r="BK45" s="158">
        <f t="shared" si="147"/>
        <v>0.51311225158371221</v>
      </c>
      <c r="BL45" s="158">
        <f t="shared" si="147"/>
        <v>0.51000000000000012</v>
      </c>
      <c r="BM45" s="158">
        <f t="shared" si="147"/>
        <v>0.505</v>
      </c>
      <c r="BN45" s="158">
        <f t="shared" si="147"/>
        <v>0.5</v>
      </c>
      <c r="BO45" s="158">
        <f t="shared" si="147"/>
        <v>0.5</v>
      </c>
    </row>
    <row r="46" spans="3:67">
      <c r="C46" s="38" t="str">
        <f t="shared" si="135"/>
        <v>Cloud - Training machine</v>
      </c>
      <c r="D46" s="158"/>
      <c r="E46" s="158"/>
      <c r="F46" s="158"/>
      <c r="G46" s="161"/>
      <c r="H46" s="256">
        <v>0.53</v>
      </c>
      <c r="I46" s="158">
        <f t="shared" si="136"/>
        <v>0.55472231590295962</v>
      </c>
      <c r="J46" s="256">
        <v>0.5</v>
      </c>
      <c r="K46" s="256">
        <v>0.5</v>
      </c>
      <c r="L46" s="256">
        <v>0.5</v>
      </c>
      <c r="M46" s="256">
        <v>0.5</v>
      </c>
      <c r="N46" s="256">
        <v>0.5</v>
      </c>
      <c r="O46" s="256">
        <v>0.5</v>
      </c>
      <c r="P46" s="258"/>
      <c r="Q46" s="258"/>
      <c r="R46" s="258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W46" s="158"/>
      <c r="AX46" s="158"/>
      <c r="AY46" s="158">
        <f t="shared" ref="AY46:AZ50" si="148">AY39/+AY8</f>
        <v>0.54824354282663734</v>
      </c>
      <c r="AZ46" s="158">
        <f t="shared" si="148"/>
        <v>0.50000000000000011</v>
      </c>
      <c r="BB46" s="158"/>
      <c r="BC46" s="158"/>
      <c r="BE46" s="158"/>
      <c r="BF46" s="158">
        <f t="shared" ref="BF46:BG50" si="149">BF39/BF8</f>
        <v>0.5312854746349106</v>
      </c>
      <c r="BG46" s="158">
        <f t="shared" si="149"/>
        <v>0.5</v>
      </c>
      <c r="BH46" s="158"/>
      <c r="BI46" s="158"/>
      <c r="BJ46" s="158"/>
      <c r="BK46" s="158"/>
      <c r="BL46" s="158"/>
      <c r="BM46" s="158"/>
      <c r="BN46" s="158"/>
      <c r="BO46" s="158"/>
    </row>
    <row r="47" spans="3:67">
      <c r="C47" s="38" t="str">
        <f t="shared" si="135"/>
        <v>Edge chips and accelerator</v>
      </c>
      <c r="D47" s="256">
        <v>0.36544625564664979</v>
      </c>
      <c r="E47" s="158">
        <f>E40/E9</f>
        <v>0.36544625564664984</v>
      </c>
      <c r="F47" s="256">
        <v>0.60477063082218196</v>
      </c>
      <c r="G47" s="161">
        <f>G40/G9</f>
        <v>0.60477063082218208</v>
      </c>
      <c r="H47" s="256">
        <v>0.32500000000000001</v>
      </c>
      <c r="I47" s="158">
        <f t="shared" si="136"/>
        <v>0.49416860057196077</v>
      </c>
      <c r="J47" s="256">
        <v>0.378</v>
      </c>
      <c r="K47" s="158">
        <f>K40/K9</f>
        <v>0.37931081424458157</v>
      </c>
      <c r="L47" s="256">
        <v>0.31109999999999999</v>
      </c>
      <c r="M47" s="256">
        <f>L47</f>
        <v>0.31109999999999999</v>
      </c>
      <c r="N47" s="256">
        <f>M47</f>
        <v>0.31109999999999999</v>
      </c>
      <c r="O47" s="158">
        <f>O40/O9</f>
        <v>0.31117457265117426</v>
      </c>
      <c r="P47" s="256">
        <f>BH47</f>
        <v>0.55878502610895853</v>
      </c>
      <c r="Q47" s="256">
        <f>P47</f>
        <v>0.55878502610895853</v>
      </c>
      <c r="R47" s="256">
        <f t="shared" ref="R47:AI48" si="150">Q47</f>
        <v>0.55878502610895853</v>
      </c>
      <c r="S47" s="158">
        <f>S40/S9</f>
        <v>0.55878502610895842</v>
      </c>
      <c r="T47" s="256">
        <v>0.54500000000000004</v>
      </c>
      <c r="U47" s="158">
        <f>U40/U9</f>
        <v>0.53941668465314274</v>
      </c>
      <c r="V47" s="256">
        <v>0.54</v>
      </c>
      <c r="W47" s="256">
        <f t="shared" si="150"/>
        <v>0.54</v>
      </c>
      <c r="X47" s="256">
        <v>0.53</v>
      </c>
      <c r="Y47" s="256">
        <v>0.53</v>
      </c>
      <c r="Z47" s="256">
        <f t="shared" si="150"/>
        <v>0.53</v>
      </c>
      <c r="AA47" s="256">
        <f t="shared" si="150"/>
        <v>0.53</v>
      </c>
      <c r="AB47" s="256">
        <v>0.52</v>
      </c>
      <c r="AC47" s="257">
        <f>AB47</f>
        <v>0.52</v>
      </c>
      <c r="AD47" s="257">
        <f>AC47</f>
        <v>0.52</v>
      </c>
      <c r="AE47" s="257">
        <f>AD47</f>
        <v>0.52</v>
      </c>
      <c r="AF47" s="257">
        <v>0.51</v>
      </c>
      <c r="AG47" s="257">
        <f t="shared" si="150"/>
        <v>0.51</v>
      </c>
      <c r="AH47" s="257">
        <f t="shared" si="150"/>
        <v>0.51</v>
      </c>
      <c r="AI47" s="257">
        <f t="shared" si="150"/>
        <v>0.51</v>
      </c>
      <c r="AJ47" s="257">
        <v>0.5</v>
      </c>
      <c r="AK47" s="257">
        <f t="shared" ref="AK47:AK50" si="151">AJ47</f>
        <v>0.5</v>
      </c>
      <c r="AL47" s="257">
        <f t="shared" ref="AL47:AL50" si="152">AK47</f>
        <v>0.5</v>
      </c>
      <c r="AM47" s="257">
        <f t="shared" ref="AM47:AM50" si="153">AL47</f>
        <v>0.5</v>
      </c>
      <c r="AN47" s="257">
        <v>0.5</v>
      </c>
      <c r="AO47" s="257">
        <f t="shared" ref="AO47:AO50" si="154">AN47</f>
        <v>0.5</v>
      </c>
      <c r="AP47" s="257">
        <f t="shared" ref="AP47:AP50" si="155">AO47</f>
        <v>0.5</v>
      </c>
      <c r="AQ47" s="257">
        <f t="shared" ref="AQ47:AQ50" si="156">AP47</f>
        <v>0.5</v>
      </c>
      <c r="AR47" s="257">
        <v>0.5</v>
      </c>
      <c r="AS47" s="257">
        <f t="shared" ref="AS47:AS50" si="157">AR47</f>
        <v>0.5</v>
      </c>
      <c r="AT47" s="257">
        <f t="shared" ref="AT47:AT50" si="158">AS47</f>
        <v>0.5</v>
      </c>
      <c r="AU47" s="257">
        <f t="shared" ref="AU47:AU50" si="159">AT47</f>
        <v>0.5</v>
      </c>
      <c r="AW47" s="158">
        <f t="shared" ref="AW47:AX50" si="160">AW40/+AW9</f>
        <v>0.36544625564664979</v>
      </c>
      <c r="AX47" s="158">
        <f t="shared" si="160"/>
        <v>0.60477063082218196</v>
      </c>
      <c r="AY47" s="158">
        <f t="shared" si="148"/>
        <v>0.44983598306772737</v>
      </c>
      <c r="AZ47" s="158">
        <f t="shared" si="148"/>
        <v>0.37903554325321948</v>
      </c>
      <c r="BB47" s="158"/>
      <c r="BC47" s="158"/>
      <c r="BD47" s="158"/>
      <c r="BE47" s="158">
        <f>BE40/+BE9</f>
        <v>0.49013115754117492</v>
      </c>
      <c r="BF47" s="158">
        <f t="shared" si="149"/>
        <v>0.41288652958673266</v>
      </c>
      <c r="BG47" s="158">
        <f t="shared" si="149"/>
        <v>0.31111021080484119</v>
      </c>
      <c r="BH47" s="158">
        <f t="shared" ref="BH47:BO50" si="161">BH40/BH9</f>
        <v>0.55878502610895853</v>
      </c>
      <c r="BI47" s="158">
        <f t="shared" si="161"/>
        <v>0.54155519716427292</v>
      </c>
      <c r="BJ47" s="158">
        <f t="shared" si="161"/>
        <v>0.53</v>
      </c>
      <c r="BK47" s="158">
        <f t="shared" si="161"/>
        <v>0.52</v>
      </c>
      <c r="BL47" s="158">
        <f t="shared" si="161"/>
        <v>0.51</v>
      </c>
      <c r="BM47" s="158">
        <f t="shared" si="161"/>
        <v>0.5</v>
      </c>
      <c r="BN47" s="158">
        <f t="shared" si="161"/>
        <v>0.5</v>
      </c>
      <c r="BO47" s="158">
        <f t="shared" si="161"/>
        <v>0.5</v>
      </c>
    </row>
    <row r="48" spans="3:67">
      <c r="C48" s="38" t="str">
        <f t="shared" si="135"/>
        <v>Intelligent computing cluster systems</v>
      </c>
      <c r="D48" s="256">
        <v>1</v>
      </c>
      <c r="E48" s="158">
        <f>E41/E10</f>
        <v>1</v>
      </c>
      <c r="F48" s="256">
        <v>0.46500000000000002</v>
      </c>
      <c r="G48" s="161">
        <f>G41/G10</f>
        <v>0.65515814066748612</v>
      </c>
      <c r="H48" s="256">
        <v>0.40049212719796945</v>
      </c>
      <c r="I48" s="158">
        <f t="shared" si="136"/>
        <v>0.40049212719796945</v>
      </c>
      <c r="J48" s="256">
        <v>0.49</v>
      </c>
      <c r="K48" s="158">
        <f>K41/K10</f>
        <v>0.73922138066508136</v>
      </c>
      <c r="L48" s="256">
        <v>0.70420000000000005</v>
      </c>
      <c r="M48" s="256">
        <f t="shared" ref="M48:AI50" si="162">L48</f>
        <v>0.70420000000000005</v>
      </c>
      <c r="N48" s="256">
        <f t="shared" si="162"/>
        <v>0.70420000000000005</v>
      </c>
      <c r="O48" s="158">
        <f>O41/O10</f>
        <v>0.7041762209790734</v>
      </c>
      <c r="P48" s="256">
        <v>0.84</v>
      </c>
      <c r="Q48" s="256">
        <v>0.6</v>
      </c>
      <c r="R48" s="256">
        <v>0.9</v>
      </c>
      <c r="S48" s="158">
        <f>S41/S10</f>
        <v>0.70181097371925183</v>
      </c>
      <c r="T48" s="256">
        <v>0.71</v>
      </c>
      <c r="U48" s="256">
        <v>0.75</v>
      </c>
      <c r="V48" s="256">
        <v>0.75</v>
      </c>
      <c r="W48" s="256">
        <f>V48</f>
        <v>0.75</v>
      </c>
      <c r="X48" s="256">
        <f t="shared" ref="X48" si="163">W48</f>
        <v>0.75</v>
      </c>
      <c r="Y48" s="256">
        <f t="shared" si="150"/>
        <v>0.75</v>
      </c>
      <c r="Z48" s="256">
        <f t="shared" si="150"/>
        <v>0.75</v>
      </c>
      <c r="AA48" s="256">
        <f t="shared" si="150"/>
        <v>0.75</v>
      </c>
      <c r="AB48" s="256">
        <f t="shared" ref="AB48:AF48" si="164">AA48</f>
        <v>0.75</v>
      </c>
      <c r="AC48" s="257">
        <f t="shared" si="164"/>
        <v>0.75</v>
      </c>
      <c r="AD48" s="257">
        <f t="shared" si="164"/>
        <v>0.75</v>
      </c>
      <c r="AE48" s="257">
        <f t="shared" si="164"/>
        <v>0.75</v>
      </c>
      <c r="AF48" s="257">
        <f t="shared" si="164"/>
        <v>0.75</v>
      </c>
      <c r="AG48" s="257">
        <f t="shared" si="150"/>
        <v>0.75</v>
      </c>
      <c r="AH48" s="257">
        <f t="shared" si="150"/>
        <v>0.75</v>
      </c>
      <c r="AI48" s="257">
        <f t="shared" si="150"/>
        <v>0.75</v>
      </c>
      <c r="AJ48" s="257">
        <f t="shared" ref="AJ48" si="165">AI48</f>
        <v>0.75</v>
      </c>
      <c r="AK48" s="257">
        <f t="shared" si="151"/>
        <v>0.75</v>
      </c>
      <c r="AL48" s="257">
        <f t="shared" si="152"/>
        <v>0.75</v>
      </c>
      <c r="AM48" s="257">
        <f t="shared" si="153"/>
        <v>0.75</v>
      </c>
      <c r="AN48" s="257">
        <f t="shared" ref="AN48" si="166">AM48</f>
        <v>0.75</v>
      </c>
      <c r="AO48" s="257">
        <f t="shared" si="154"/>
        <v>0.75</v>
      </c>
      <c r="AP48" s="257">
        <f t="shared" si="155"/>
        <v>0.75</v>
      </c>
      <c r="AQ48" s="257">
        <f t="shared" si="156"/>
        <v>0.75</v>
      </c>
      <c r="AR48" s="257">
        <f t="shared" ref="AR48" si="167">AQ48</f>
        <v>0.75</v>
      </c>
      <c r="AS48" s="257">
        <f t="shared" si="157"/>
        <v>0.75</v>
      </c>
      <c r="AT48" s="257">
        <f t="shared" si="158"/>
        <v>0.75</v>
      </c>
      <c r="AU48" s="257">
        <f t="shared" si="159"/>
        <v>0.75</v>
      </c>
      <c r="AW48" s="158">
        <f t="shared" si="160"/>
        <v>1</v>
      </c>
      <c r="AX48" s="158">
        <f t="shared" si="160"/>
        <v>0.61918207785908852</v>
      </c>
      <c r="AY48" s="158">
        <f t="shared" si="148"/>
        <v>0.40049212719796945</v>
      </c>
      <c r="AZ48" s="158">
        <f t="shared" si="148"/>
        <v>0.70682260117862084</v>
      </c>
      <c r="BB48" s="158"/>
      <c r="BC48" s="158"/>
      <c r="BD48" s="158">
        <f>BD41/+BD10</f>
        <v>0.58234089570077796</v>
      </c>
      <c r="BE48" s="158">
        <f>BE41/+BE10</f>
        <v>0.61933169197009974</v>
      </c>
      <c r="BF48" s="158">
        <f t="shared" si="149"/>
        <v>0.70575883017966079</v>
      </c>
      <c r="BG48" s="158">
        <f t="shared" si="149"/>
        <v>0.70417931225179398</v>
      </c>
      <c r="BH48" s="158">
        <f t="shared" si="161"/>
        <v>0.7078244434261689</v>
      </c>
      <c r="BI48" s="158">
        <f t="shared" si="161"/>
        <v>0.74881270590200022</v>
      </c>
      <c r="BJ48" s="158" t="e">
        <f t="shared" si="161"/>
        <v>#DIV/0!</v>
      </c>
      <c r="BK48" s="158" t="e">
        <f t="shared" si="161"/>
        <v>#DIV/0!</v>
      </c>
      <c r="BL48" s="158" t="e">
        <f t="shared" si="161"/>
        <v>#DIV/0!</v>
      </c>
      <c r="BM48" s="158" t="e">
        <f t="shared" si="161"/>
        <v>#DIV/0!</v>
      </c>
      <c r="BN48" s="158" t="e">
        <f t="shared" si="161"/>
        <v>#DIV/0!</v>
      </c>
      <c r="BO48" s="158" t="e">
        <f t="shared" si="161"/>
        <v>#DIV/0!</v>
      </c>
    </row>
    <row r="49" spans="3:67" s="237" customFormat="1">
      <c r="C49" s="38" t="str">
        <f t="shared" si="135"/>
        <v>AI processor IP &amp; basic system software</v>
      </c>
      <c r="D49" s="256">
        <v>1</v>
      </c>
      <c r="E49" s="158">
        <f>E42/E11</f>
        <v>0.86934865746672907</v>
      </c>
      <c r="F49" s="256">
        <v>0.99618767839087907</v>
      </c>
      <c r="G49" s="161">
        <f>G42/G11</f>
        <v>0.99618767839087929</v>
      </c>
      <c r="H49" s="256">
        <v>1</v>
      </c>
      <c r="I49" s="158">
        <f t="shared" si="136"/>
        <v>1</v>
      </c>
      <c r="J49" s="256">
        <v>0.94399999999999995</v>
      </c>
      <c r="K49" s="158">
        <f>K42/K11</f>
        <v>0.9471762252042859</v>
      </c>
      <c r="L49" s="256">
        <v>1</v>
      </c>
      <c r="M49" s="256">
        <f t="shared" ref="M49:W49" si="168">L49</f>
        <v>1</v>
      </c>
      <c r="N49" s="256">
        <f t="shared" si="168"/>
        <v>1</v>
      </c>
      <c r="O49" s="158">
        <f>O42/O11</f>
        <v>0.99999999999999944</v>
      </c>
      <c r="P49" s="256">
        <f>O49</f>
        <v>0.99999999999999944</v>
      </c>
      <c r="Q49" s="256">
        <v>1</v>
      </c>
      <c r="R49" s="256">
        <f t="shared" si="168"/>
        <v>1</v>
      </c>
      <c r="S49" s="158">
        <f>S42/S11</f>
        <v>1.0000000000000004</v>
      </c>
      <c r="T49" s="256">
        <f>S49</f>
        <v>1.0000000000000004</v>
      </c>
      <c r="U49" s="256">
        <f t="shared" si="168"/>
        <v>1.0000000000000004</v>
      </c>
      <c r="V49" s="256">
        <f t="shared" si="168"/>
        <v>1.0000000000000004</v>
      </c>
      <c r="W49" s="256">
        <f t="shared" si="168"/>
        <v>1.0000000000000004</v>
      </c>
      <c r="X49" s="256">
        <f>W49</f>
        <v>1.0000000000000004</v>
      </c>
      <c r="Y49" s="256">
        <f t="shared" si="162"/>
        <v>1.0000000000000004</v>
      </c>
      <c r="Z49" s="256">
        <f t="shared" si="162"/>
        <v>1.0000000000000004</v>
      </c>
      <c r="AA49" s="256">
        <f t="shared" si="162"/>
        <v>1.0000000000000004</v>
      </c>
      <c r="AB49" s="256">
        <f>AA49</f>
        <v>1.0000000000000004</v>
      </c>
      <c r="AC49" s="257">
        <f t="shared" si="162"/>
        <v>1.0000000000000004</v>
      </c>
      <c r="AD49" s="257">
        <f t="shared" si="162"/>
        <v>1.0000000000000004</v>
      </c>
      <c r="AE49" s="257">
        <f t="shared" si="162"/>
        <v>1.0000000000000004</v>
      </c>
      <c r="AF49" s="257">
        <f>AE49</f>
        <v>1.0000000000000004</v>
      </c>
      <c r="AG49" s="257">
        <f t="shared" si="162"/>
        <v>1.0000000000000004</v>
      </c>
      <c r="AH49" s="257">
        <f t="shared" si="162"/>
        <v>1.0000000000000004</v>
      </c>
      <c r="AI49" s="257">
        <f t="shared" si="162"/>
        <v>1.0000000000000004</v>
      </c>
      <c r="AJ49" s="257">
        <f>AI49</f>
        <v>1.0000000000000004</v>
      </c>
      <c r="AK49" s="257">
        <f t="shared" si="151"/>
        <v>1.0000000000000004</v>
      </c>
      <c r="AL49" s="257">
        <f t="shared" si="152"/>
        <v>1.0000000000000004</v>
      </c>
      <c r="AM49" s="257">
        <f t="shared" si="153"/>
        <v>1.0000000000000004</v>
      </c>
      <c r="AN49" s="257">
        <f>AM49</f>
        <v>1.0000000000000004</v>
      </c>
      <c r="AO49" s="257">
        <f t="shared" si="154"/>
        <v>1.0000000000000004</v>
      </c>
      <c r="AP49" s="257">
        <f t="shared" si="155"/>
        <v>1.0000000000000004</v>
      </c>
      <c r="AQ49" s="257">
        <f t="shared" si="156"/>
        <v>1.0000000000000004</v>
      </c>
      <c r="AR49" s="257">
        <f>AQ49</f>
        <v>1.0000000000000004</v>
      </c>
      <c r="AS49" s="257">
        <f t="shared" si="157"/>
        <v>1.0000000000000004</v>
      </c>
      <c r="AT49" s="257">
        <f t="shared" si="158"/>
        <v>1.0000000000000004</v>
      </c>
      <c r="AU49" s="257">
        <f t="shared" si="159"/>
        <v>1.0000000000000004</v>
      </c>
      <c r="AV49" s="38"/>
      <c r="AW49" s="158">
        <f t="shared" si="160"/>
        <v>0.88665724448194339</v>
      </c>
      <c r="AX49" s="158">
        <f t="shared" si="160"/>
        <v>0.99618767839087918</v>
      </c>
      <c r="AY49" s="158">
        <f t="shared" si="148"/>
        <v>1</v>
      </c>
      <c r="AZ49" s="158">
        <f t="shared" si="148"/>
        <v>0.94671574633956967</v>
      </c>
      <c r="BA49" s="38"/>
      <c r="BB49" s="158">
        <f>BB42/BB11</f>
        <v>1</v>
      </c>
      <c r="BC49" s="158">
        <f>BC42/+BC11</f>
        <v>0.99921225487969101</v>
      </c>
      <c r="BD49" s="158">
        <f>BD42/+BD11</f>
        <v>0.99768653157135556</v>
      </c>
      <c r="BE49" s="158">
        <f>BE42/+BE11</f>
        <v>0.92170044103220938</v>
      </c>
      <c r="BF49" s="158">
        <f t="shared" si="149"/>
        <v>0.99863361038692677</v>
      </c>
      <c r="BG49" s="158">
        <f t="shared" si="149"/>
        <v>1</v>
      </c>
      <c r="BH49" s="158">
        <f t="shared" si="161"/>
        <v>1</v>
      </c>
      <c r="BI49" s="158">
        <f t="shared" si="161"/>
        <v>1.0000000000000004</v>
      </c>
      <c r="BJ49" s="158">
        <f t="shared" si="161"/>
        <v>1.0000000000000004</v>
      </c>
      <c r="BK49" s="158">
        <f t="shared" si="161"/>
        <v>1.0000000000000004</v>
      </c>
      <c r="BL49" s="158">
        <f t="shared" si="161"/>
        <v>1.0000000000000004</v>
      </c>
      <c r="BM49" s="158">
        <f t="shared" si="161"/>
        <v>1.0000000000000004</v>
      </c>
      <c r="BN49" s="158">
        <f t="shared" si="161"/>
        <v>1.0000000000000007</v>
      </c>
      <c r="BO49" s="158">
        <f t="shared" si="161"/>
        <v>1.0000000000000002</v>
      </c>
    </row>
    <row r="50" spans="3:67">
      <c r="C50" s="38" t="str">
        <f t="shared" si="135"/>
        <v>Others</v>
      </c>
      <c r="D50" s="161">
        <f>D43/D12</f>
        <v>-13.089132690165725</v>
      </c>
      <c r="E50" s="161">
        <f>E43/E12</f>
        <v>5.1590271958102614</v>
      </c>
      <c r="F50" s="161">
        <f>F43/F12</f>
        <v>0.48369136444490629</v>
      </c>
      <c r="G50" s="161">
        <f>G43/G12</f>
        <v>0.54922818783305594</v>
      </c>
      <c r="H50" s="161">
        <f>H43/H12</f>
        <v>0.70401470906842656</v>
      </c>
      <c r="I50" s="158">
        <f t="shared" si="136"/>
        <v>1.2446437142731019</v>
      </c>
      <c r="J50" s="161">
        <f>J43/J12</f>
        <v>0.70379414105539739</v>
      </c>
      <c r="K50" s="158">
        <f>K43/K12</f>
        <v>0.4650225852474823</v>
      </c>
      <c r="L50" s="158">
        <f>L43/L12</f>
        <v>0.28507393946481341</v>
      </c>
      <c r="M50" s="158">
        <f>M43/M12</f>
        <v>0.27194552806051819</v>
      </c>
      <c r="N50" s="158">
        <f>N43/N12</f>
        <v>0.37890770413812402</v>
      </c>
      <c r="O50" s="158">
        <f>O43/O12</f>
        <v>0.5211330170965438</v>
      </c>
      <c r="P50" s="158">
        <f>P43/P12</f>
        <v>-0.32376923827208604</v>
      </c>
      <c r="Q50" s="158">
        <f>Q43/Q12</f>
        <v>-10.308540823426732</v>
      </c>
      <c r="R50" s="158">
        <f>R43/R12</f>
        <v>-4.5111857033985535E-2</v>
      </c>
      <c r="S50" s="161">
        <f>S43/S12</f>
        <v>0.8651658794966528</v>
      </c>
      <c r="T50" s="161">
        <f t="shared" ref="T50:AC50" si="169">T43/T12</f>
        <v>0.36893992511383017</v>
      </c>
      <c r="U50" s="161">
        <f t="shared" si="169"/>
        <v>8.1741245133223384</v>
      </c>
      <c r="V50" s="161">
        <f t="shared" si="169"/>
        <v>0.9136202200802197</v>
      </c>
      <c r="W50" s="161">
        <f t="shared" si="169"/>
        <v>0.85086127159279523</v>
      </c>
      <c r="X50" s="161">
        <f t="shared" si="169"/>
        <v>0.44949499687774258</v>
      </c>
      <c r="Y50" s="161">
        <f t="shared" si="169"/>
        <v>0.51038674273857731</v>
      </c>
      <c r="Z50" s="161">
        <f t="shared" si="169"/>
        <v>0.51908816639472966</v>
      </c>
      <c r="AA50" s="161">
        <f t="shared" si="169"/>
        <v>0.50807791019686133</v>
      </c>
      <c r="AB50" s="161">
        <f t="shared" si="169"/>
        <v>0.43522584413508764</v>
      </c>
      <c r="AC50" s="161">
        <f t="shared" si="169"/>
        <v>0.50713356714075075</v>
      </c>
      <c r="AD50" s="257">
        <f t="shared" si="162"/>
        <v>0.50713356714075075</v>
      </c>
      <c r="AE50" s="257">
        <f t="shared" si="162"/>
        <v>0.50713356714075075</v>
      </c>
      <c r="AF50" s="257">
        <v>0.48499999999999999</v>
      </c>
      <c r="AG50" s="257">
        <f t="shared" si="162"/>
        <v>0.48499999999999999</v>
      </c>
      <c r="AH50" s="257">
        <f t="shared" si="162"/>
        <v>0.48499999999999999</v>
      </c>
      <c r="AI50" s="257">
        <f t="shared" si="162"/>
        <v>0.48499999999999999</v>
      </c>
      <c r="AJ50" s="257">
        <f t="shared" ref="AJ50" si="170">AI50</f>
        <v>0.48499999999999999</v>
      </c>
      <c r="AK50" s="257">
        <f t="shared" si="151"/>
        <v>0.48499999999999999</v>
      </c>
      <c r="AL50" s="257">
        <f t="shared" si="152"/>
        <v>0.48499999999999999</v>
      </c>
      <c r="AM50" s="257">
        <f t="shared" si="153"/>
        <v>0.48499999999999999</v>
      </c>
      <c r="AN50" s="257">
        <f t="shared" ref="AN50" si="171">AM50</f>
        <v>0.48499999999999999</v>
      </c>
      <c r="AO50" s="257">
        <f t="shared" si="154"/>
        <v>0.48499999999999999</v>
      </c>
      <c r="AP50" s="257">
        <f t="shared" si="155"/>
        <v>0.48499999999999999</v>
      </c>
      <c r="AQ50" s="257">
        <f t="shared" si="156"/>
        <v>0.48499999999999999</v>
      </c>
      <c r="AR50" s="257">
        <f t="shared" ref="AR50" si="172">AQ50</f>
        <v>0.48499999999999999</v>
      </c>
      <c r="AS50" s="257">
        <f t="shared" si="157"/>
        <v>0.48499999999999999</v>
      </c>
      <c r="AT50" s="257">
        <f t="shared" si="158"/>
        <v>0.48499999999999999</v>
      </c>
      <c r="AU50" s="257">
        <f t="shared" si="159"/>
        <v>0.48499999999999999</v>
      </c>
      <c r="AW50" s="158">
        <f t="shared" si="160"/>
        <v>-0.13362780575195457</v>
      </c>
      <c r="AX50" s="158">
        <f t="shared" si="160"/>
        <v>0.53682926099143258</v>
      </c>
      <c r="AY50" s="158">
        <f t="shared" si="148"/>
        <v>0.88787835410603921</v>
      </c>
      <c r="AZ50" s="71">
        <f t="shared" si="148"/>
        <v>0.59505058345181505</v>
      </c>
      <c r="BB50" s="158">
        <f>BB43/+BB12</f>
        <v>0.97702454712701814</v>
      </c>
      <c r="BC50" s="158">
        <f>BC43/+BC12</f>
        <v>0.93048968388832165</v>
      </c>
      <c r="BD50" s="158">
        <f>BD43/+BD12</f>
        <v>-0.81367922200902998</v>
      </c>
      <c r="BE50" s="158">
        <f>BE43/+BE12</f>
        <v>0.52070968367204939</v>
      </c>
      <c r="BF50" s="158">
        <f t="shared" si="149"/>
        <v>0.69088094158286728</v>
      </c>
      <c r="BG50" s="158">
        <f t="shared" si="149"/>
        <v>0.35914296049240724</v>
      </c>
      <c r="BH50" s="158">
        <f t="shared" si="161"/>
        <v>0.46273709877092267</v>
      </c>
      <c r="BI50" s="158">
        <f t="shared" si="161"/>
        <v>0.95894137789482881</v>
      </c>
      <c r="BJ50" s="158">
        <f t="shared" si="161"/>
        <v>0.50079830858087637</v>
      </c>
      <c r="BK50" s="158">
        <f t="shared" si="161"/>
        <v>0.49266331312180378</v>
      </c>
      <c r="BL50" s="158">
        <f t="shared" si="161"/>
        <v>0.48500000000000004</v>
      </c>
      <c r="BM50" s="158">
        <f t="shared" si="161"/>
        <v>0.48500000000000004</v>
      </c>
      <c r="BN50" s="158">
        <f t="shared" si="161"/>
        <v>0.48500000000000004</v>
      </c>
      <c r="BO50" s="158">
        <f t="shared" si="161"/>
        <v>0.48500000000000004</v>
      </c>
    </row>
    <row r="51" spans="3:67">
      <c r="C51" s="237" t="s">
        <v>285</v>
      </c>
      <c r="D51" s="159">
        <f t="shared" ref="D51:AU51" si="173">D37/D$37</f>
        <v>1</v>
      </c>
      <c r="E51" s="159">
        <f t="shared" si="173"/>
        <v>1</v>
      </c>
      <c r="F51" s="159">
        <f t="shared" si="173"/>
        <v>1</v>
      </c>
      <c r="G51" s="159">
        <f t="shared" si="173"/>
        <v>1</v>
      </c>
      <c r="H51" s="159">
        <f t="shared" si="173"/>
        <v>1</v>
      </c>
      <c r="I51" s="159">
        <f t="shared" si="173"/>
        <v>1</v>
      </c>
      <c r="J51" s="159">
        <f t="shared" si="173"/>
        <v>1</v>
      </c>
      <c r="K51" s="159">
        <f t="shared" si="173"/>
        <v>1</v>
      </c>
      <c r="L51" s="159">
        <f t="shared" si="173"/>
        <v>1</v>
      </c>
      <c r="M51" s="159">
        <f t="shared" si="173"/>
        <v>1</v>
      </c>
      <c r="N51" s="159">
        <f t="shared" si="173"/>
        <v>1</v>
      </c>
      <c r="O51" s="159">
        <f t="shared" si="173"/>
        <v>1</v>
      </c>
      <c r="P51" s="159">
        <f t="shared" si="173"/>
        <v>1</v>
      </c>
      <c r="Q51" s="159">
        <f t="shared" si="173"/>
        <v>1</v>
      </c>
      <c r="R51" s="159">
        <f t="shared" si="173"/>
        <v>1</v>
      </c>
      <c r="S51" s="159">
        <f t="shared" si="173"/>
        <v>1</v>
      </c>
      <c r="T51" s="159">
        <f t="shared" si="173"/>
        <v>1</v>
      </c>
      <c r="U51" s="159">
        <f t="shared" si="173"/>
        <v>1</v>
      </c>
      <c r="V51" s="159">
        <f t="shared" si="173"/>
        <v>1</v>
      </c>
      <c r="W51" s="159">
        <f t="shared" si="173"/>
        <v>1</v>
      </c>
      <c r="X51" s="159">
        <f t="shared" si="173"/>
        <v>1</v>
      </c>
      <c r="Y51" s="159">
        <f t="shared" si="173"/>
        <v>1</v>
      </c>
      <c r="Z51" s="159">
        <f t="shared" si="173"/>
        <v>1</v>
      </c>
      <c r="AA51" s="159">
        <f t="shared" si="173"/>
        <v>1</v>
      </c>
      <c r="AB51" s="159">
        <f t="shared" si="173"/>
        <v>1</v>
      </c>
      <c r="AC51" s="159">
        <f t="shared" si="173"/>
        <v>1</v>
      </c>
      <c r="AD51" s="159">
        <f t="shared" si="173"/>
        <v>1</v>
      </c>
      <c r="AE51" s="159">
        <f t="shared" si="173"/>
        <v>1</v>
      </c>
      <c r="AF51" s="159">
        <f t="shared" si="173"/>
        <v>1</v>
      </c>
      <c r="AG51" s="159">
        <f t="shared" si="173"/>
        <v>1</v>
      </c>
      <c r="AH51" s="159">
        <f t="shared" si="173"/>
        <v>1</v>
      </c>
      <c r="AI51" s="159">
        <f t="shared" si="173"/>
        <v>1</v>
      </c>
      <c r="AJ51" s="159">
        <f t="shared" si="173"/>
        <v>1</v>
      </c>
      <c r="AK51" s="159">
        <f t="shared" si="173"/>
        <v>1</v>
      </c>
      <c r="AL51" s="159">
        <f t="shared" si="173"/>
        <v>1</v>
      </c>
      <c r="AM51" s="159">
        <f t="shared" si="173"/>
        <v>1</v>
      </c>
      <c r="AN51" s="159">
        <f t="shared" si="173"/>
        <v>1</v>
      </c>
      <c r="AO51" s="159">
        <f t="shared" si="173"/>
        <v>1</v>
      </c>
      <c r="AP51" s="159">
        <f t="shared" si="173"/>
        <v>1</v>
      </c>
      <c r="AQ51" s="159">
        <f t="shared" si="173"/>
        <v>1</v>
      </c>
      <c r="AR51" s="159">
        <f t="shared" si="173"/>
        <v>1</v>
      </c>
      <c r="AS51" s="159">
        <f t="shared" si="173"/>
        <v>1</v>
      </c>
      <c r="AT51" s="159">
        <f t="shared" si="173"/>
        <v>1</v>
      </c>
      <c r="AU51" s="159">
        <f t="shared" si="173"/>
        <v>1</v>
      </c>
      <c r="AW51" s="159"/>
      <c r="AX51" s="159"/>
      <c r="AY51" s="159"/>
      <c r="AZ51" s="159"/>
      <c r="BB51" s="159">
        <f t="shared" ref="BB51:BL51" si="174">SUM(BB52:BB57)</f>
        <v>1</v>
      </c>
      <c r="BC51" s="159">
        <f t="shared" si="174"/>
        <v>1</v>
      </c>
      <c r="BD51" s="159">
        <f t="shared" si="174"/>
        <v>1</v>
      </c>
      <c r="BE51" s="159">
        <f t="shared" si="174"/>
        <v>1.0000000000000002</v>
      </c>
      <c r="BF51" s="159">
        <f t="shared" si="174"/>
        <v>1.0000000000000002</v>
      </c>
      <c r="BG51" s="159">
        <f t="shared" si="174"/>
        <v>1</v>
      </c>
      <c r="BH51" s="159">
        <f t="shared" si="174"/>
        <v>1</v>
      </c>
      <c r="BI51" s="159">
        <f t="shared" si="174"/>
        <v>1.0000000000000002</v>
      </c>
      <c r="BJ51" s="159">
        <f t="shared" si="174"/>
        <v>1</v>
      </c>
      <c r="BK51" s="159">
        <f t="shared" si="174"/>
        <v>0.99999999999999989</v>
      </c>
      <c r="BL51" s="159">
        <f t="shared" si="174"/>
        <v>1.0000000000000002</v>
      </c>
      <c r="BM51" s="159">
        <f t="shared" ref="BM51:BO51" si="175">SUM(BM52:BM57)</f>
        <v>1</v>
      </c>
      <c r="BN51" s="159">
        <f t="shared" si="175"/>
        <v>1</v>
      </c>
      <c r="BO51" s="159">
        <f t="shared" si="175"/>
        <v>1.0000000000000002</v>
      </c>
    </row>
    <row r="52" spans="3:67">
      <c r="C52" s="38" t="str">
        <f t="shared" ref="C52:C57" si="176">C7</f>
        <v>Cloud - Chips and accelerator</v>
      </c>
      <c r="D52" s="71">
        <f t="shared" ref="D52:AU52" si="177">D38/D$37</f>
        <v>0.7462612982349115</v>
      </c>
      <c r="E52" s="71">
        <f t="shared" si="177"/>
        <v>0.75159239622656737</v>
      </c>
      <c r="F52" s="71">
        <f t="shared" si="177"/>
        <v>7.7423395282596397E-2</v>
      </c>
      <c r="G52" s="71">
        <f t="shared" si="177"/>
        <v>6.2194892758274091E-2</v>
      </c>
      <c r="H52" s="71">
        <f t="shared" si="177"/>
        <v>0.18519320349938598</v>
      </c>
      <c r="I52" s="71">
        <f t="shared" si="177"/>
        <v>0.17300327401393367</v>
      </c>
      <c r="J52" s="71">
        <f t="shared" si="177"/>
        <v>4.5351708475659079E-2</v>
      </c>
      <c r="K52" s="71">
        <f t="shared" si="177"/>
        <v>3.2643762767236413E-2</v>
      </c>
      <c r="L52" s="71">
        <f t="shared" si="177"/>
        <v>0.63177314006370233</v>
      </c>
      <c r="M52" s="71">
        <f t="shared" si="177"/>
        <v>0.43474568260267743</v>
      </c>
      <c r="N52" s="71">
        <f t="shared" si="177"/>
        <v>0.25590173376702707</v>
      </c>
      <c r="O52" s="71">
        <f t="shared" si="177"/>
        <v>0.1150220111645758</v>
      </c>
      <c r="P52" s="71">
        <f t="shared" si="177"/>
        <v>0.60821125826465516</v>
      </c>
      <c r="Q52" s="71">
        <f t="shared" si="177"/>
        <v>0.29430603989349235</v>
      </c>
      <c r="R52" s="71">
        <f t="shared" si="177"/>
        <v>0.35842452931611046</v>
      </c>
      <c r="S52" s="71">
        <f t="shared" si="177"/>
        <v>1.4043354782078467E-2</v>
      </c>
      <c r="T52" s="71">
        <f t="shared" si="177"/>
        <v>0.9105595332684755</v>
      </c>
      <c r="U52" s="71">
        <f t="shared" si="177"/>
        <v>0.96811085760126181</v>
      </c>
      <c r="V52" s="71">
        <f t="shared" si="177"/>
        <v>0.97899906567476325</v>
      </c>
      <c r="W52" s="71">
        <f t="shared" si="177"/>
        <v>0.99737945405775752</v>
      </c>
      <c r="X52" s="71">
        <f t="shared" si="177"/>
        <v>0.99604853409184246</v>
      </c>
      <c r="Y52" s="71">
        <f t="shared" si="177"/>
        <v>0.9972616122089375</v>
      </c>
      <c r="Z52" s="71">
        <f t="shared" si="177"/>
        <v>0.9960818398287713</v>
      </c>
      <c r="AA52" s="71">
        <f t="shared" si="177"/>
        <v>0.99749712119532297</v>
      </c>
      <c r="AB52" s="71">
        <f t="shared" si="177"/>
        <v>0.99832319533236935</v>
      </c>
      <c r="AC52" s="71">
        <f t="shared" si="177"/>
        <v>0.99833265592179243</v>
      </c>
      <c r="AD52" s="71">
        <f t="shared" si="177"/>
        <v>0.99906309702539542</v>
      </c>
      <c r="AE52" s="71">
        <f t="shared" si="177"/>
        <v>0.99942469999788008</v>
      </c>
      <c r="AF52" s="71">
        <f t="shared" si="177"/>
        <v>0.99958612891039988</v>
      </c>
      <c r="AG52" s="71">
        <f t="shared" si="177"/>
        <v>0.9996712696963348</v>
      </c>
      <c r="AH52" s="71">
        <f t="shared" si="177"/>
        <v>0.99967936435457516</v>
      </c>
      <c r="AI52" s="71">
        <f t="shared" si="177"/>
        <v>0.99983028140833186</v>
      </c>
      <c r="AJ52" s="71">
        <f t="shared" si="177"/>
        <v>0.99985665029512616</v>
      </c>
      <c r="AK52" s="71">
        <f t="shared" si="177"/>
        <v>0.99984417666784786</v>
      </c>
      <c r="AL52" s="71">
        <f t="shared" si="177"/>
        <v>0.99979888819578466</v>
      </c>
      <c r="AM52" s="71">
        <f t="shared" si="177"/>
        <v>0.99986240841695717</v>
      </c>
      <c r="AN52" s="71">
        <f t="shared" si="177"/>
        <v>0.99990074754243108</v>
      </c>
      <c r="AO52" s="71">
        <f t="shared" si="177"/>
        <v>0.99989368218307473</v>
      </c>
      <c r="AP52" s="71">
        <f t="shared" si="177"/>
        <v>0.99985699041156495</v>
      </c>
      <c r="AQ52" s="71">
        <f t="shared" si="177"/>
        <v>0.9998947986023673</v>
      </c>
      <c r="AR52" s="71">
        <f t="shared" si="177"/>
        <v>0.99991306658958368</v>
      </c>
      <c r="AS52" s="71">
        <f t="shared" si="177"/>
        <v>0.99991317271641411</v>
      </c>
      <c r="AT52" s="71">
        <f t="shared" si="177"/>
        <v>0.9998851835634317</v>
      </c>
      <c r="AU52" s="71">
        <f t="shared" si="177"/>
        <v>0.9999154844485536</v>
      </c>
      <c r="AW52" s="71"/>
      <c r="AX52" s="71"/>
      <c r="AY52" s="71"/>
      <c r="AZ52" s="71"/>
      <c r="BB52" s="71">
        <f t="shared" ref="BB52:BL52" si="178">BB38/BB$37</f>
        <v>0</v>
      </c>
      <c r="BC52" s="71">
        <f t="shared" si="178"/>
        <v>0</v>
      </c>
      <c r="BD52" s="71">
        <f t="shared" si="178"/>
        <v>0.20384483310914786</v>
      </c>
      <c r="BE52" s="71">
        <f t="shared" si="178"/>
        <v>0.21932657291887495</v>
      </c>
      <c r="BF52" s="71">
        <f t="shared" si="178"/>
        <v>5.6984671709713081E-2</v>
      </c>
      <c r="BG52" s="71">
        <f t="shared" si="178"/>
        <v>0.2100540270597378</v>
      </c>
      <c r="BH52" s="71">
        <f t="shared" si="178"/>
        <v>0.11192033235125606</v>
      </c>
      <c r="BI52" s="71">
        <f t="shared" si="178"/>
        <v>0.99261352578356177</v>
      </c>
      <c r="BJ52" s="71">
        <f t="shared" si="178"/>
        <v>0.99681066840120869</v>
      </c>
      <c r="BK52" s="71">
        <f t="shared" si="178"/>
        <v>0.99900936586423406</v>
      </c>
      <c r="BL52" s="71">
        <f t="shared" si="178"/>
        <v>0.99972057865604569</v>
      </c>
      <c r="BM52" s="71">
        <f t="shared" ref="BM52:BO52" si="179">BM38/BM$37</f>
        <v>0.99984150434716423</v>
      </c>
      <c r="BN52" s="71">
        <f t="shared" si="179"/>
        <v>0.99988715499435676</v>
      </c>
      <c r="BO52" s="71">
        <f t="shared" si="179"/>
        <v>0.99990699702407138</v>
      </c>
    </row>
    <row r="53" spans="3:67">
      <c r="C53" s="38" t="str">
        <f t="shared" si="176"/>
        <v>Cloud - Training machine</v>
      </c>
      <c r="D53" s="71"/>
      <c r="E53" s="71"/>
      <c r="F53" s="71"/>
      <c r="G53" s="71"/>
      <c r="H53" s="71"/>
      <c r="I53" s="71"/>
      <c r="J53" s="71">
        <f t="shared" ref="J53:AU53" si="180">J39/J$37</f>
        <v>2.5668871642210496E-2</v>
      </c>
      <c r="K53" s="71">
        <f t="shared" si="180"/>
        <v>1.7901830583972447E-2</v>
      </c>
      <c r="L53" s="71">
        <f t="shared" si="180"/>
        <v>0.20426150721527864</v>
      </c>
      <c r="M53" s="71">
        <f t="shared" si="180"/>
        <v>0.39570151810274562</v>
      </c>
      <c r="N53" s="71">
        <f t="shared" si="180"/>
        <v>6.6822358058783352E-2</v>
      </c>
      <c r="O53" s="71">
        <f t="shared" si="180"/>
        <v>1.2579406846859643E-2</v>
      </c>
      <c r="P53" s="71">
        <f t="shared" si="180"/>
        <v>0</v>
      </c>
      <c r="Q53" s="71">
        <f t="shared" si="180"/>
        <v>0</v>
      </c>
      <c r="R53" s="71">
        <f t="shared" si="180"/>
        <v>0</v>
      </c>
      <c r="S53" s="71">
        <f t="shared" si="180"/>
        <v>0</v>
      </c>
      <c r="T53" s="71">
        <f t="shared" si="180"/>
        <v>0</v>
      </c>
      <c r="U53" s="71">
        <f t="shared" si="180"/>
        <v>0</v>
      </c>
      <c r="V53" s="71">
        <f t="shared" si="180"/>
        <v>0</v>
      </c>
      <c r="W53" s="71">
        <f t="shared" si="180"/>
        <v>0</v>
      </c>
      <c r="X53" s="71">
        <f t="shared" si="180"/>
        <v>0</v>
      </c>
      <c r="Y53" s="71">
        <f t="shared" si="180"/>
        <v>0</v>
      </c>
      <c r="Z53" s="71">
        <f t="shared" si="180"/>
        <v>0</v>
      </c>
      <c r="AA53" s="71">
        <f t="shared" si="180"/>
        <v>0</v>
      </c>
      <c r="AB53" s="71">
        <f t="shared" si="180"/>
        <v>0</v>
      </c>
      <c r="AC53" s="71">
        <f t="shared" si="180"/>
        <v>0</v>
      </c>
      <c r="AD53" s="71">
        <f t="shared" si="180"/>
        <v>0</v>
      </c>
      <c r="AE53" s="71">
        <f t="shared" si="180"/>
        <v>0</v>
      </c>
      <c r="AF53" s="71">
        <f t="shared" si="180"/>
        <v>0</v>
      </c>
      <c r="AG53" s="71">
        <f t="shared" si="180"/>
        <v>0</v>
      </c>
      <c r="AH53" s="71">
        <f t="shared" si="180"/>
        <v>0</v>
      </c>
      <c r="AI53" s="71">
        <f t="shared" si="180"/>
        <v>0</v>
      </c>
      <c r="AJ53" s="71">
        <f t="shared" si="180"/>
        <v>0</v>
      </c>
      <c r="AK53" s="71">
        <f t="shared" si="180"/>
        <v>0</v>
      </c>
      <c r="AL53" s="71">
        <f t="shared" si="180"/>
        <v>0</v>
      </c>
      <c r="AM53" s="71">
        <f t="shared" si="180"/>
        <v>0</v>
      </c>
      <c r="AN53" s="71">
        <f t="shared" si="180"/>
        <v>0</v>
      </c>
      <c r="AO53" s="71">
        <f t="shared" si="180"/>
        <v>0</v>
      </c>
      <c r="AP53" s="71">
        <f t="shared" si="180"/>
        <v>0</v>
      </c>
      <c r="AQ53" s="71">
        <f t="shared" si="180"/>
        <v>0</v>
      </c>
      <c r="AR53" s="71">
        <f t="shared" si="180"/>
        <v>0</v>
      </c>
      <c r="AS53" s="71">
        <f t="shared" si="180"/>
        <v>0</v>
      </c>
      <c r="AT53" s="71">
        <f t="shared" si="180"/>
        <v>0</v>
      </c>
      <c r="AU53" s="71">
        <f t="shared" si="180"/>
        <v>0</v>
      </c>
      <c r="AW53" s="71"/>
      <c r="AX53" s="71"/>
      <c r="AY53" s="71"/>
      <c r="AZ53" s="71"/>
      <c r="BB53" s="71">
        <f t="shared" ref="BB53:BL53" si="181">BB39/BB$37</f>
        <v>0</v>
      </c>
      <c r="BC53" s="71">
        <f t="shared" si="181"/>
        <v>0</v>
      </c>
      <c r="BD53" s="71">
        <f t="shared" si="181"/>
        <v>0</v>
      </c>
      <c r="BE53" s="71">
        <f t="shared" si="181"/>
        <v>0</v>
      </c>
      <c r="BF53" s="71">
        <f t="shared" si="181"/>
        <v>4.7410858299484306E-2</v>
      </c>
      <c r="BG53" s="71">
        <f t="shared" si="181"/>
        <v>8.0476041791884917E-2</v>
      </c>
      <c r="BH53" s="71">
        <f t="shared" si="181"/>
        <v>0</v>
      </c>
      <c r="BI53" s="71">
        <f t="shared" si="181"/>
        <v>0</v>
      </c>
      <c r="BJ53" s="71">
        <f t="shared" si="181"/>
        <v>0</v>
      </c>
      <c r="BK53" s="71">
        <f t="shared" si="181"/>
        <v>0</v>
      </c>
      <c r="BL53" s="71">
        <f t="shared" si="181"/>
        <v>0</v>
      </c>
      <c r="BM53" s="71">
        <f t="shared" ref="BM53:BO53" si="182">BM39/BM$37</f>
        <v>0</v>
      </c>
      <c r="BN53" s="71">
        <f t="shared" si="182"/>
        <v>0</v>
      </c>
      <c r="BO53" s="71">
        <f t="shared" si="182"/>
        <v>0</v>
      </c>
    </row>
    <row r="54" spans="3:67">
      <c r="C54" s="38" t="str">
        <f t="shared" si="176"/>
        <v>Edge chips and accelerator</v>
      </c>
      <c r="D54" s="71">
        <f t="shared" ref="D54:I57" si="183">D40/D$37</f>
        <v>6.0308602939626692E-2</v>
      </c>
      <c r="E54" s="71">
        <f t="shared" si="183"/>
        <v>5.2982272320312926E-2</v>
      </c>
      <c r="F54" s="71">
        <f t="shared" si="183"/>
        <v>3.6254703241120172E-2</v>
      </c>
      <c r="G54" s="71">
        <f t="shared" si="183"/>
        <v>2.6852021220914329E-2</v>
      </c>
      <c r="H54" s="71">
        <f t="shared" si="183"/>
        <v>0.44747846863396284</v>
      </c>
      <c r="I54" s="71">
        <f t="shared" si="183"/>
        <v>0.53493551150274044</v>
      </c>
      <c r="J54" s="71">
        <f t="shared" ref="J54:AU54" si="184">J40/J$37</f>
        <v>0.18207109895889365</v>
      </c>
      <c r="K54" s="71">
        <f t="shared" si="184"/>
        <v>8.1276201475888279E-2</v>
      </c>
      <c r="L54" s="71">
        <f t="shared" si="184"/>
        <v>0.13171841264628284</v>
      </c>
      <c r="M54" s="71">
        <f t="shared" si="184"/>
        <v>6.8788264933463142E-2</v>
      </c>
      <c r="N54" s="71">
        <f t="shared" si="184"/>
        <v>2.4003573325483373E-2</v>
      </c>
      <c r="O54" s="71">
        <f t="shared" si="184"/>
        <v>4.9505597987926824E-3</v>
      </c>
      <c r="P54" s="71">
        <f t="shared" si="184"/>
        <v>4.0836913185950244E-2</v>
      </c>
      <c r="Q54" s="71">
        <f t="shared" si="184"/>
        <v>8.4091988061948911E-2</v>
      </c>
      <c r="R54" s="71">
        <f t="shared" si="184"/>
        <v>3.707342357513594E-2</v>
      </c>
      <c r="S54" s="71">
        <f t="shared" si="184"/>
        <v>2.4705414350334565E-3</v>
      </c>
      <c r="T54" s="71">
        <f t="shared" si="184"/>
        <v>8.0351908653748208E-2</v>
      </c>
      <c r="U54" s="71">
        <f t="shared" si="184"/>
        <v>2.5982464885693182E-2</v>
      </c>
      <c r="V54" s="71">
        <f t="shared" si="184"/>
        <v>1.2028866909324962E-2</v>
      </c>
      <c r="W54" s="71">
        <f t="shared" si="184"/>
        <v>1.6693949446515549E-3</v>
      </c>
      <c r="X54" s="71">
        <f t="shared" si="184"/>
        <v>9.2837653607547325E-4</v>
      </c>
      <c r="Y54" s="71">
        <f t="shared" si="184"/>
        <v>3.335230388662569E-4</v>
      </c>
      <c r="Z54" s="71">
        <f t="shared" si="184"/>
        <v>3.8902724326736666E-4</v>
      </c>
      <c r="AA54" s="71">
        <f t="shared" si="184"/>
        <v>5.0881219351530586E-4</v>
      </c>
      <c r="AB54" s="71">
        <f t="shared" si="184"/>
        <v>3.61648746547629E-4</v>
      </c>
      <c r="AC54" s="71">
        <f t="shared" si="184"/>
        <v>1.8537887474804073E-4</v>
      </c>
      <c r="AD54" s="71">
        <f t="shared" si="184"/>
        <v>8.7414076828902818E-5</v>
      </c>
      <c r="AE54" s="71">
        <f t="shared" si="184"/>
        <v>1.0543672954975036E-4</v>
      </c>
      <c r="AF54" s="71">
        <f t="shared" si="184"/>
        <v>7.6763471138755705E-5</v>
      </c>
      <c r="AG54" s="71">
        <f t="shared" si="184"/>
        <v>3.4134298988258016E-5</v>
      </c>
      <c r="AH54" s="71">
        <f t="shared" si="184"/>
        <v>2.8450004999370571E-5</v>
      </c>
      <c r="AI54" s="71">
        <f t="shared" si="184"/>
        <v>2.8676713605704104E-5</v>
      </c>
      <c r="AJ54" s="71">
        <f t="shared" si="184"/>
        <v>2.450333470996285E-5</v>
      </c>
      <c r="AK54" s="71">
        <f t="shared" si="184"/>
        <v>1.4914622385846431E-5</v>
      </c>
      <c r="AL54" s="71">
        <f t="shared" si="184"/>
        <v>1.6636835279092435E-5</v>
      </c>
      <c r="AM54" s="71">
        <f t="shared" si="184"/>
        <v>2.1302813858576723E-5</v>
      </c>
      <c r="AN54" s="71">
        <f t="shared" si="184"/>
        <v>1.6343947624553492E-5</v>
      </c>
      <c r="AO54" s="71">
        <f t="shared" si="184"/>
        <v>9.8129525399088763E-6</v>
      </c>
      <c r="AP54" s="71">
        <f t="shared" si="184"/>
        <v>1.1481158705283579E-5</v>
      </c>
      <c r="AQ54" s="71">
        <f t="shared" si="184"/>
        <v>1.5645360063191211E-5</v>
      </c>
      <c r="AR54" s="71">
        <f t="shared" si="184"/>
        <v>1.3760709014060613E-5</v>
      </c>
      <c r="AS54" s="71">
        <f t="shared" si="184"/>
        <v>7.711222111521244E-6</v>
      </c>
      <c r="AT54" s="71">
        <f t="shared" si="184"/>
        <v>8.927856310083618E-6</v>
      </c>
      <c r="AU54" s="71">
        <f t="shared" si="184"/>
        <v>1.2046222748175507E-5</v>
      </c>
      <c r="AW54" s="71"/>
      <c r="AX54" s="71"/>
      <c r="AY54" s="71"/>
      <c r="AZ54" s="71"/>
      <c r="BB54" s="71">
        <f t="shared" ref="BB54:BL54" si="185">BB40/BB$37</f>
        <v>0</v>
      </c>
      <c r="BC54" s="71">
        <f t="shared" si="185"/>
        <v>0</v>
      </c>
      <c r="BD54" s="71">
        <f t="shared" si="185"/>
        <v>0</v>
      </c>
      <c r="BE54" s="71">
        <f t="shared" si="185"/>
        <v>3.4015767326714338E-2</v>
      </c>
      <c r="BF54" s="71">
        <f t="shared" si="185"/>
        <v>0.16074492441094437</v>
      </c>
      <c r="BG54" s="71">
        <f t="shared" si="185"/>
        <v>2.4554456281411265E-2</v>
      </c>
      <c r="BH54" s="71">
        <f t="shared" si="185"/>
        <v>1.232927862717309E-2</v>
      </c>
      <c r="BI54" s="71">
        <f t="shared" si="185"/>
        <v>5.3191737282186355E-3</v>
      </c>
      <c r="BJ54" s="71">
        <f t="shared" si="185"/>
        <v>5.0199716429784715E-4</v>
      </c>
      <c r="BK54" s="71">
        <f t="shared" si="185"/>
        <v>1.4341630261919061E-4</v>
      </c>
      <c r="BL54" s="71">
        <f t="shared" si="185"/>
        <v>3.718830432926117E-5</v>
      </c>
      <c r="BM54" s="71">
        <f t="shared" ref="BM54:BO54" si="186">BM40/BM$37</f>
        <v>1.9483435343858181E-5</v>
      </c>
      <c r="BN54" s="71">
        <f t="shared" si="186"/>
        <v>1.3386994205851054E-5</v>
      </c>
      <c r="BO54" s="71">
        <f t="shared" si="186"/>
        <v>1.0624704933056161E-5</v>
      </c>
    </row>
    <row r="55" spans="3:67">
      <c r="C55" s="38" t="str">
        <f t="shared" si="176"/>
        <v>Intelligent computing cluster systems</v>
      </c>
      <c r="D55" s="71">
        <f t="shared" si="183"/>
        <v>0</v>
      </c>
      <c r="E55" s="71">
        <f t="shared" si="183"/>
        <v>2.1434579303646964E-3</v>
      </c>
      <c r="F55" s="71">
        <f t="shared" si="183"/>
        <v>0.8363901014219477</v>
      </c>
      <c r="G55" s="71">
        <f t="shared" si="183"/>
        <v>0.87279992508318571</v>
      </c>
      <c r="H55" s="71">
        <f t="shared" si="183"/>
        <v>0</v>
      </c>
      <c r="I55" s="71">
        <f t="shared" si="183"/>
        <v>1.1099245860225393E-2</v>
      </c>
      <c r="J55" s="71">
        <f t="shared" ref="J55:AU55" si="187">J41/J$37</f>
        <v>0.72570010263521856</v>
      </c>
      <c r="K55" s="71">
        <f t="shared" si="187"/>
        <v>0.86640846661367765</v>
      </c>
      <c r="L55" s="71">
        <f t="shared" si="187"/>
        <v>0</v>
      </c>
      <c r="M55" s="71">
        <f t="shared" si="187"/>
        <v>8.2480617849860369E-2</v>
      </c>
      <c r="N55" s="71">
        <f t="shared" si="187"/>
        <v>0.6251248230977875</v>
      </c>
      <c r="O55" s="71">
        <f t="shared" si="187"/>
        <v>0.86256991764087709</v>
      </c>
      <c r="P55" s="71">
        <f t="shared" si="187"/>
        <v>0.35133143944593753</v>
      </c>
      <c r="Q55" s="71">
        <f t="shared" si="187"/>
        <v>0.62284267824761119</v>
      </c>
      <c r="R55" s="71">
        <f t="shared" si="187"/>
        <v>0.60385791700836589</v>
      </c>
      <c r="S55" s="71">
        <f t="shared" si="187"/>
        <v>0.9789430090522232</v>
      </c>
      <c r="T55" s="71">
        <f t="shared" si="187"/>
        <v>1.4676929471104402E-3</v>
      </c>
      <c r="U55" s="71">
        <f t="shared" si="187"/>
        <v>8.8733658790663458E-4</v>
      </c>
      <c r="V55" s="71">
        <f t="shared" si="187"/>
        <v>5.8849868240073338E-3</v>
      </c>
      <c r="W55" s="71">
        <f t="shared" si="187"/>
        <v>6.4436387873505348E-4</v>
      </c>
      <c r="X55" s="71">
        <f t="shared" si="187"/>
        <v>0</v>
      </c>
      <c r="Y55" s="71">
        <f t="shared" si="187"/>
        <v>0</v>
      </c>
      <c r="Z55" s="71">
        <f t="shared" si="187"/>
        <v>0</v>
      </c>
      <c r="AA55" s="71">
        <f t="shared" si="187"/>
        <v>0</v>
      </c>
      <c r="AB55" s="71">
        <f t="shared" si="187"/>
        <v>0</v>
      </c>
      <c r="AC55" s="71">
        <f t="shared" si="187"/>
        <v>0</v>
      </c>
      <c r="AD55" s="71">
        <f t="shared" si="187"/>
        <v>0</v>
      </c>
      <c r="AE55" s="71">
        <f t="shared" si="187"/>
        <v>0</v>
      </c>
      <c r="AF55" s="71">
        <f t="shared" si="187"/>
        <v>0</v>
      </c>
      <c r="AG55" s="71">
        <f t="shared" si="187"/>
        <v>0</v>
      </c>
      <c r="AH55" s="71">
        <f t="shared" si="187"/>
        <v>0</v>
      </c>
      <c r="AI55" s="71">
        <f t="shared" si="187"/>
        <v>0</v>
      </c>
      <c r="AJ55" s="71">
        <f t="shared" si="187"/>
        <v>0</v>
      </c>
      <c r="AK55" s="71">
        <f t="shared" si="187"/>
        <v>0</v>
      </c>
      <c r="AL55" s="71">
        <f t="shared" si="187"/>
        <v>0</v>
      </c>
      <c r="AM55" s="71">
        <f t="shared" si="187"/>
        <v>0</v>
      </c>
      <c r="AN55" s="71">
        <f t="shared" si="187"/>
        <v>0</v>
      </c>
      <c r="AO55" s="71">
        <f t="shared" si="187"/>
        <v>0</v>
      </c>
      <c r="AP55" s="71">
        <f t="shared" si="187"/>
        <v>0</v>
      </c>
      <c r="AQ55" s="71">
        <f t="shared" si="187"/>
        <v>0</v>
      </c>
      <c r="AR55" s="71">
        <f t="shared" si="187"/>
        <v>0</v>
      </c>
      <c r="AS55" s="71">
        <f t="shared" si="187"/>
        <v>0</v>
      </c>
      <c r="AT55" s="71">
        <f t="shared" si="187"/>
        <v>0</v>
      </c>
      <c r="AU55" s="71">
        <f t="shared" si="187"/>
        <v>0</v>
      </c>
      <c r="AW55" s="71"/>
      <c r="AX55" s="71"/>
      <c r="AY55" s="71"/>
      <c r="AZ55" s="71"/>
      <c r="BB55" s="71">
        <f t="shared" ref="BB55:BL55" si="188">BB41/BB$37</f>
        <v>0</v>
      </c>
      <c r="BC55" s="71">
        <f t="shared" si="188"/>
        <v>0</v>
      </c>
      <c r="BD55" s="71">
        <f t="shared" si="188"/>
        <v>0.5697758166789475</v>
      </c>
      <c r="BE55" s="71">
        <f t="shared" si="188"/>
        <v>0.67215761878702851</v>
      </c>
      <c r="BF55" s="71">
        <f t="shared" si="188"/>
        <v>0.71471605605092903</v>
      </c>
      <c r="BG55" s="71">
        <f t="shared" si="188"/>
        <v>0.67347767185297913</v>
      </c>
      <c r="BH55" s="71">
        <f t="shared" si="188"/>
        <v>0.87222675998178634</v>
      </c>
      <c r="BI55" s="71">
        <f t="shared" si="188"/>
        <v>1.1577070239690952E-3</v>
      </c>
      <c r="BJ55" s="71">
        <f t="shared" si="188"/>
        <v>0</v>
      </c>
      <c r="BK55" s="71">
        <f t="shared" si="188"/>
        <v>0</v>
      </c>
      <c r="BL55" s="71">
        <f t="shared" si="188"/>
        <v>0</v>
      </c>
      <c r="BM55" s="71">
        <f t="shared" ref="BM55:BO55" si="189">BM41/BM$37</f>
        <v>0</v>
      </c>
      <c r="BN55" s="71">
        <f t="shared" si="189"/>
        <v>0</v>
      </c>
      <c r="BO55" s="71">
        <f t="shared" si="189"/>
        <v>0</v>
      </c>
    </row>
    <row r="56" spans="3:67">
      <c r="C56" s="38" t="str">
        <f t="shared" si="176"/>
        <v>AI processor IP &amp; basic system software</v>
      </c>
      <c r="D56" s="71">
        <f t="shared" si="183"/>
        <v>0.24442972766183466</v>
      </c>
      <c r="E56" s="71">
        <f t="shared" si="183"/>
        <v>0.18668065848305396</v>
      </c>
      <c r="F56" s="71">
        <f t="shared" si="183"/>
        <v>3.8260907045526274E-2</v>
      </c>
      <c r="G56" s="71">
        <f t="shared" si="183"/>
        <v>2.8337914699923469E-2</v>
      </c>
      <c r="H56" s="71">
        <f t="shared" si="183"/>
        <v>0.11008271433241881</v>
      </c>
      <c r="I56" s="71">
        <f t="shared" si="183"/>
        <v>8.6547918960688835E-2</v>
      </c>
      <c r="J56" s="71">
        <f t="shared" ref="J56:AU56" si="190">J42/J$37</f>
        <v>6.0513422722098314E-4</v>
      </c>
      <c r="K56" s="71">
        <f t="shared" si="190"/>
        <v>4.2344906335705783E-4</v>
      </c>
      <c r="L56" s="71">
        <f t="shared" si="190"/>
        <v>7.9815870533115583E-3</v>
      </c>
      <c r="M56" s="71">
        <f t="shared" si="190"/>
        <v>4.8445174602049423E-3</v>
      </c>
      <c r="N56" s="71">
        <f t="shared" si="190"/>
        <v>4.7891537892823938E-3</v>
      </c>
      <c r="O56" s="71">
        <f t="shared" si="190"/>
        <v>8.7353356993884852E-4</v>
      </c>
      <c r="P56" s="71">
        <f t="shared" si="190"/>
        <v>1.0110026362302542E-3</v>
      </c>
      <c r="Q56" s="71">
        <f t="shared" si="190"/>
        <v>2.5092369385482272E-3</v>
      </c>
      <c r="R56" s="71">
        <f t="shared" si="190"/>
        <v>2.8205835550413278E-3</v>
      </c>
      <c r="S56" s="71">
        <f t="shared" si="190"/>
        <v>1.5035551479190791E-4</v>
      </c>
      <c r="T56" s="71">
        <f t="shared" si="190"/>
        <v>7.5108861906772253E-3</v>
      </c>
      <c r="U56" s="71">
        <f t="shared" si="190"/>
        <v>4.2648309885581007E-3</v>
      </c>
      <c r="V56" s="71">
        <f t="shared" si="190"/>
        <v>1.5625572569226412E-3</v>
      </c>
      <c r="W56" s="71">
        <f t="shared" si="190"/>
        <v>1.6800401289039291E-4</v>
      </c>
      <c r="X56" s="71">
        <f t="shared" si="190"/>
        <v>8.9235933712636145E-4</v>
      </c>
      <c r="Y56" s="71">
        <f t="shared" si="190"/>
        <v>5.5718038761505832E-4</v>
      </c>
      <c r="Z56" s="71">
        <f t="shared" si="190"/>
        <v>6.1786041587135582E-4</v>
      </c>
      <c r="AA56" s="71">
        <f t="shared" si="190"/>
        <v>5.8305162565801196E-4</v>
      </c>
      <c r="AB56" s="71">
        <f t="shared" si="190"/>
        <v>4.9602451661041891E-4</v>
      </c>
      <c r="AC56" s="71">
        <f t="shared" si="190"/>
        <v>4.4190690255923139E-4</v>
      </c>
      <c r="AD56" s="71">
        <f t="shared" si="190"/>
        <v>1.9810356624484917E-4</v>
      </c>
      <c r="AE56" s="71">
        <f t="shared" si="190"/>
        <v>1.7240187635058667E-4</v>
      </c>
      <c r="AF56" s="71">
        <f t="shared" si="190"/>
        <v>1.3955561112828624E-4</v>
      </c>
      <c r="AG56" s="71">
        <f t="shared" si="190"/>
        <v>1.078544458241937E-4</v>
      </c>
      <c r="AH56" s="71">
        <f t="shared" si="190"/>
        <v>8.546135714855601E-5</v>
      </c>
      <c r="AI56" s="71">
        <f t="shared" si="190"/>
        <v>6.2152121957720788E-5</v>
      </c>
      <c r="AJ56" s="71">
        <f t="shared" si="190"/>
        <v>5.4525456268036323E-5</v>
      </c>
      <c r="AK56" s="71">
        <f t="shared" si="190"/>
        <v>5.7682057544842515E-5</v>
      </c>
      <c r="AL56" s="71">
        <f t="shared" si="190"/>
        <v>6.1170153836069899E-5</v>
      </c>
      <c r="AM56" s="71">
        <f t="shared" si="190"/>
        <v>5.6512558806398571E-5</v>
      </c>
      <c r="AN56" s="71">
        <f t="shared" si="190"/>
        <v>4.000587402481435E-5</v>
      </c>
      <c r="AO56" s="71">
        <f t="shared" si="190"/>
        <v>4.1746576366015051E-5</v>
      </c>
      <c r="AP56" s="71">
        <f t="shared" si="190"/>
        <v>4.643519369403323E-5</v>
      </c>
      <c r="AQ56" s="71">
        <f t="shared" si="190"/>
        <v>4.5654779229488593E-5</v>
      </c>
      <c r="AR56" s="71">
        <f t="shared" si="190"/>
        <v>3.7051031020790078E-5</v>
      </c>
      <c r="AS56" s="71">
        <f t="shared" si="190"/>
        <v>3.6085860355399849E-5</v>
      </c>
      <c r="AT56" s="71">
        <f t="shared" si="190"/>
        <v>3.9719284650641806E-5</v>
      </c>
      <c r="AU56" s="71">
        <f t="shared" si="190"/>
        <v>3.866733662155937E-5</v>
      </c>
      <c r="AW56" s="71"/>
      <c r="AX56" s="71"/>
      <c r="AY56" s="71"/>
      <c r="AZ56" s="71"/>
      <c r="BB56" s="71">
        <f t="shared" ref="BB56:BL56" si="191">BB42/BB$37</f>
        <v>0.9837283572331823</v>
      </c>
      <c r="BC56" s="71">
        <f t="shared" si="191"/>
        <v>0.99710972226007799</v>
      </c>
      <c r="BD56" s="71">
        <f t="shared" si="191"/>
        <v>0.22665719290136638</v>
      </c>
      <c r="BE56" s="71">
        <f t="shared" si="191"/>
        <v>6.6735392284122522E-2</v>
      </c>
      <c r="BF56" s="71">
        <f t="shared" si="191"/>
        <v>1.5253184475778682E-2</v>
      </c>
      <c r="BG56" s="71">
        <f t="shared" si="191"/>
        <v>2.3734813908712726E-3</v>
      </c>
      <c r="BH56" s="71">
        <f t="shared" si="191"/>
        <v>4.7658283051365104E-4</v>
      </c>
      <c r="BI56" s="71">
        <f t="shared" si="191"/>
        <v>6.1915245095314005E-4</v>
      </c>
      <c r="BJ56" s="71">
        <f t="shared" si="191"/>
        <v>6.3872453433941095E-4</v>
      </c>
      <c r="BK56" s="71">
        <f t="shared" si="191"/>
        <v>2.6038227548309107E-4</v>
      </c>
      <c r="BL56" s="71">
        <f t="shared" si="191"/>
        <v>8.9494385896975718E-5</v>
      </c>
      <c r="BM56" s="71">
        <f t="shared" ref="BM56:BO56" si="192">BM42/BM$37</f>
        <v>5.7390018984689584E-5</v>
      </c>
      <c r="BN56" s="71">
        <f t="shared" si="192"/>
        <v>4.3375709769288682E-5</v>
      </c>
      <c r="BO56" s="71">
        <f t="shared" si="192"/>
        <v>3.7868062204364222E-5</v>
      </c>
    </row>
    <row r="57" spans="3:67" s="237" customFormat="1">
      <c r="C57" s="38" t="str">
        <f t="shared" si="176"/>
        <v>Others</v>
      </c>
      <c r="D57" s="71">
        <f t="shared" si="183"/>
        <v>-5.099962883637283E-2</v>
      </c>
      <c r="E57" s="71">
        <f t="shared" si="183"/>
        <v>6.6012150397010468E-3</v>
      </c>
      <c r="F57" s="71">
        <f t="shared" si="183"/>
        <v>1.1670893008809479E-2</v>
      </c>
      <c r="G57" s="71">
        <f t="shared" si="183"/>
        <v>9.8152462377023506E-3</v>
      </c>
      <c r="H57" s="71">
        <f t="shared" si="183"/>
        <v>3.0376091895597278E-2</v>
      </c>
      <c r="I57" s="71">
        <f t="shared" si="183"/>
        <v>7.7273305248447798E-3</v>
      </c>
      <c r="J57" s="71">
        <f t="shared" ref="J57:AU57" si="193">J43/J$37</f>
        <v>2.0603084060797295E-2</v>
      </c>
      <c r="K57" s="71">
        <f t="shared" si="193"/>
        <v>1.3462894958681233E-3</v>
      </c>
      <c r="L57" s="71">
        <f t="shared" si="193"/>
        <v>2.426535302142456E-2</v>
      </c>
      <c r="M57" s="71">
        <f t="shared" si="193"/>
        <v>1.3439399051048607E-2</v>
      </c>
      <c r="N57" s="71">
        <f t="shared" si="193"/>
        <v>2.3358357961636361E-2</v>
      </c>
      <c r="O57" s="71">
        <f t="shared" si="193"/>
        <v>4.0045709789558815E-3</v>
      </c>
      <c r="P57" s="71">
        <f t="shared" si="193"/>
        <v>-1.3906135327732608E-3</v>
      </c>
      <c r="Q57" s="71">
        <f t="shared" si="193"/>
        <v>-3.7499431416005611E-3</v>
      </c>
      <c r="R57" s="71">
        <f t="shared" si="193"/>
        <v>-2.1764534546534994E-3</v>
      </c>
      <c r="S57" s="71">
        <f t="shared" si="193"/>
        <v>4.3927392158730648E-3</v>
      </c>
      <c r="T57" s="71">
        <f t="shared" si="193"/>
        <v>1.0997893998856092E-4</v>
      </c>
      <c r="U57" s="71">
        <f t="shared" si="193"/>
        <v>7.5450993658037879E-4</v>
      </c>
      <c r="V57" s="71">
        <f t="shared" si="193"/>
        <v>1.5245233349817052E-3</v>
      </c>
      <c r="W57" s="71">
        <f t="shared" si="193"/>
        <v>1.3878310596568299E-4</v>
      </c>
      <c r="X57" s="71">
        <f t="shared" si="193"/>
        <v>2.1307300349555662E-3</v>
      </c>
      <c r="Y57" s="71">
        <f t="shared" si="193"/>
        <v>1.847684364581198E-3</v>
      </c>
      <c r="Z57" s="71">
        <f t="shared" si="193"/>
        <v>2.9112725120900196E-3</v>
      </c>
      <c r="AA57" s="71">
        <f t="shared" si="193"/>
        <v>1.4110149855035617E-3</v>
      </c>
      <c r="AB57" s="71">
        <f t="shared" si="193"/>
        <v>8.1913140447255936E-4</v>
      </c>
      <c r="AC57" s="71">
        <f t="shared" si="193"/>
        <v>1.0400583009002584E-3</v>
      </c>
      <c r="AD57" s="71">
        <f t="shared" si="193"/>
        <v>6.513853315308441E-4</v>
      </c>
      <c r="AE57" s="71">
        <f t="shared" si="193"/>
        <v>2.9746139621944869E-4</v>
      </c>
      <c r="AF57" s="71">
        <f t="shared" si="193"/>
        <v>1.9755200733307938E-4</v>
      </c>
      <c r="AG57" s="71">
        <f t="shared" si="193"/>
        <v>1.8674155885283663E-4</v>
      </c>
      <c r="AH57" s="71">
        <f t="shared" si="193"/>
        <v>2.0672428327682667E-4</v>
      </c>
      <c r="AI57" s="71">
        <f t="shared" si="193"/>
        <v>7.8889756104909812E-5</v>
      </c>
      <c r="AJ57" s="71">
        <f t="shared" si="193"/>
        <v>6.4320913895995346E-5</v>
      </c>
      <c r="AK57" s="71">
        <f t="shared" si="193"/>
        <v>8.3226652221342234E-5</v>
      </c>
      <c r="AL57" s="71">
        <f t="shared" si="193"/>
        <v>1.233048151001703E-4</v>
      </c>
      <c r="AM57" s="71">
        <f t="shared" si="193"/>
        <v>5.9776210378007493E-5</v>
      </c>
      <c r="AN57" s="71">
        <f t="shared" si="193"/>
        <v>4.2902635919678735E-5</v>
      </c>
      <c r="AO57" s="71">
        <f t="shared" si="193"/>
        <v>5.4758288019317075E-5</v>
      </c>
      <c r="AP57" s="71">
        <f t="shared" si="193"/>
        <v>8.5093236035689698E-5</v>
      </c>
      <c r="AQ57" s="71">
        <f t="shared" si="193"/>
        <v>4.3901258340126064E-5</v>
      </c>
      <c r="AR57" s="71">
        <f t="shared" si="193"/>
        <v>3.6121670381516069E-5</v>
      </c>
      <c r="AS57" s="71">
        <f t="shared" si="193"/>
        <v>4.3030201119012821E-5</v>
      </c>
      <c r="AT57" s="71">
        <f t="shared" si="193"/>
        <v>6.616929560751184E-5</v>
      </c>
      <c r="AU57" s="71">
        <f t="shared" si="193"/>
        <v>3.3801992076524125E-5</v>
      </c>
      <c r="AV57" s="38"/>
      <c r="AW57" s="71"/>
      <c r="AX57" s="71"/>
      <c r="AY57" s="71"/>
      <c r="AZ57" s="71"/>
      <c r="BA57" s="38"/>
      <c r="BB57" s="71">
        <f t="shared" ref="BB57:BL57" si="194">BB43/BB$37</f>
        <v>1.6271642766817748E-2</v>
      </c>
      <c r="BC57" s="71">
        <f t="shared" si="194"/>
        <v>2.8902777399220239E-3</v>
      </c>
      <c r="BD57" s="71">
        <f t="shared" si="194"/>
        <v>-2.778426894616116E-4</v>
      </c>
      <c r="BE57" s="71">
        <f t="shared" si="194"/>
        <v>7.764648683259808E-3</v>
      </c>
      <c r="BF57" s="71">
        <f t="shared" si="194"/>
        <v>4.8903050531506186E-3</v>
      </c>
      <c r="BG57" s="71">
        <f t="shared" si="194"/>
        <v>9.0643216231156547E-3</v>
      </c>
      <c r="BH57" s="71">
        <f t="shared" si="194"/>
        <v>3.0470462092708982E-3</v>
      </c>
      <c r="BI57" s="71">
        <f t="shared" si="194"/>
        <v>2.9044101329753512E-4</v>
      </c>
      <c r="BJ57" s="71">
        <f t="shared" si="194"/>
        <v>2.0486099001540284E-3</v>
      </c>
      <c r="BK57" s="71">
        <f t="shared" si="194"/>
        <v>5.8683555766354432E-4</v>
      </c>
      <c r="BL57" s="71">
        <f t="shared" si="194"/>
        <v>1.5273865372825173E-4</v>
      </c>
      <c r="BM57" s="71">
        <f t="shared" ref="BM57:BO57" si="195">BM43/BM$37</f>
        <v>8.1622198507244685E-5</v>
      </c>
      <c r="BN57" s="71">
        <f t="shared" si="195"/>
        <v>5.6082301668106825E-5</v>
      </c>
      <c r="BO57" s="71">
        <f t="shared" si="195"/>
        <v>4.4510208791294366E-5</v>
      </c>
    </row>
    <row r="58" spans="3:67" s="237" customFormat="1"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pans="3:67">
      <c r="C59" s="259" t="s">
        <v>448</v>
      </c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  <c r="AF59" s="248"/>
      <c r="AG59" s="248"/>
      <c r="AH59" s="248"/>
      <c r="AI59" s="248"/>
      <c r="AJ59" s="248"/>
      <c r="AK59" s="248"/>
      <c r="AL59" s="248"/>
      <c r="AM59" s="248"/>
      <c r="AN59" s="248"/>
      <c r="AO59" s="248"/>
      <c r="AP59" s="248"/>
      <c r="AQ59" s="248"/>
      <c r="AR59" s="248"/>
      <c r="AS59" s="248"/>
      <c r="AT59" s="248"/>
      <c r="AU59" s="248"/>
      <c r="AV59" s="248"/>
      <c r="AW59" s="260"/>
      <c r="AX59" s="260"/>
      <c r="AY59" s="248"/>
      <c r="AZ59" s="248"/>
      <c r="BA59" s="248"/>
      <c r="BB59" s="248"/>
      <c r="BC59" s="248"/>
      <c r="BD59" s="248"/>
      <c r="BE59" s="248"/>
      <c r="BF59" s="221"/>
      <c r="BG59" s="221"/>
      <c r="BH59" s="221"/>
      <c r="BI59" s="221"/>
      <c r="BJ59" s="221"/>
      <c r="BK59" s="221"/>
      <c r="BL59" s="221"/>
      <c r="BM59" s="221"/>
      <c r="BN59" s="221"/>
      <c r="BO59" s="221"/>
    </row>
    <row r="60" spans="3:67">
      <c r="C60" s="248" t="str">
        <f>C52</f>
        <v>Cloud - Chips and accelerator</v>
      </c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8"/>
      <c r="AU60" s="248"/>
      <c r="AV60" s="248"/>
      <c r="AW60" s="261">
        <v>11.380606500000001</v>
      </c>
      <c r="AX60" s="261">
        <f>BE60-AW60</f>
        <v>9.0611012899999981</v>
      </c>
      <c r="AY60" s="261">
        <v>5.9448884499999997</v>
      </c>
      <c r="AZ60" s="261"/>
      <c r="BA60" s="262"/>
      <c r="BB60" s="220">
        <f>BB7-BB38</f>
        <v>0</v>
      </c>
      <c r="BC60" s="220">
        <f>BC7-BC38</f>
        <v>0</v>
      </c>
      <c r="BD60" s="220">
        <f>BD7-BD38</f>
        <v>17.175900000000006</v>
      </c>
      <c r="BE60" s="220">
        <v>20.441707789999999</v>
      </c>
      <c r="BF60" s="220"/>
      <c r="BG60" s="220"/>
      <c r="BH60" s="220">
        <v>35.658424109999999</v>
      </c>
      <c r="BI60" s="220"/>
      <c r="BJ60" s="220"/>
      <c r="BK60" s="220"/>
      <c r="BL60" s="220"/>
      <c r="BM60" s="220"/>
      <c r="BN60" s="220"/>
      <c r="BO60" s="220"/>
    </row>
    <row r="61" spans="3:67">
      <c r="C61" s="248" t="str">
        <f>C53</f>
        <v>Cloud - Training machine</v>
      </c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  <c r="AO61" s="248"/>
      <c r="AP61" s="248"/>
      <c r="AQ61" s="248"/>
      <c r="AR61" s="248"/>
      <c r="AS61" s="248"/>
      <c r="AT61" s="248"/>
      <c r="AU61" s="248"/>
      <c r="AV61" s="248"/>
      <c r="AW61" s="261">
        <v>0</v>
      </c>
      <c r="AX61" s="261"/>
      <c r="AY61" s="261">
        <v>11.761659270000001</v>
      </c>
      <c r="AZ61" s="261"/>
      <c r="BA61" s="262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</row>
    <row r="62" spans="3:67">
      <c r="C62" s="248" t="s">
        <v>445</v>
      </c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  <c r="AU62" s="248"/>
      <c r="AV62" s="248"/>
      <c r="AW62" s="261">
        <v>6.32976983</v>
      </c>
      <c r="AX62" s="261">
        <f>BE62-AW62</f>
        <v>4.2879370599999991</v>
      </c>
      <c r="AY62" s="261">
        <v>46.072831530000002</v>
      </c>
      <c r="AZ62" s="261"/>
      <c r="BA62" s="262"/>
      <c r="BB62" s="220">
        <f t="shared" ref="BB62:BD64" si="196">BB9-BB40</f>
        <v>0</v>
      </c>
      <c r="BC62" s="220">
        <f t="shared" si="196"/>
        <v>0</v>
      </c>
      <c r="BD62" s="220">
        <f t="shared" si="196"/>
        <v>0</v>
      </c>
      <c r="BE62" s="220">
        <v>10.617706889999999</v>
      </c>
      <c r="BF62" s="220">
        <v>102.83463107</v>
      </c>
      <c r="BG62" s="220">
        <v>26.066033489999999</v>
      </c>
      <c r="BH62" s="220">
        <v>4.7759429300000003</v>
      </c>
      <c r="BI62" s="220"/>
      <c r="BJ62" s="220"/>
      <c r="BK62" s="220"/>
      <c r="BL62" s="220"/>
      <c r="BM62" s="220"/>
      <c r="BN62" s="220"/>
      <c r="BO62" s="220"/>
    </row>
    <row r="63" spans="3:67">
      <c r="C63" s="248" t="s">
        <v>446</v>
      </c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8"/>
      <c r="AT63" s="248"/>
      <c r="AU63" s="248"/>
      <c r="AV63" s="248"/>
      <c r="AW63" s="261">
        <v>0</v>
      </c>
      <c r="AX63" s="261">
        <f>BE63-AW63</f>
        <v>123.96493051</v>
      </c>
      <c r="AY63" s="261">
        <v>0.94850767000000002</v>
      </c>
      <c r="AZ63" s="261"/>
      <c r="BA63" s="262"/>
      <c r="BB63" s="220">
        <f t="shared" si="196"/>
        <v>0</v>
      </c>
      <c r="BC63" s="220">
        <f t="shared" si="196"/>
        <v>0</v>
      </c>
      <c r="BD63" s="220">
        <f t="shared" si="196"/>
        <v>123.70290000000003</v>
      </c>
      <c r="BE63" s="220">
        <v>123.96493051</v>
      </c>
      <c r="BF63" s="220">
        <v>134.05760358000001</v>
      </c>
      <c r="BG63" s="220">
        <v>135.63682865000001</v>
      </c>
      <c r="BH63" s="220">
        <v>176.62969077</v>
      </c>
      <c r="BI63" s="220"/>
      <c r="BJ63" s="220"/>
      <c r="BK63" s="220"/>
      <c r="BL63" s="220"/>
      <c r="BM63" s="220"/>
      <c r="BN63" s="220"/>
      <c r="BO63" s="220"/>
    </row>
    <row r="64" spans="3:67" s="248" customFormat="1">
      <c r="C64" s="248" t="s">
        <v>462</v>
      </c>
      <c r="AW64" s="261">
        <v>1.67460177</v>
      </c>
      <c r="AX64" s="261">
        <f>BE64-AW64</f>
        <v>2.649897999999995E-2</v>
      </c>
      <c r="AY64" s="261">
        <v>0</v>
      </c>
      <c r="AZ64" s="261"/>
      <c r="BA64" s="262"/>
      <c r="BB64" s="220">
        <f t="shared" si="196"/>
        <v>0</v>
      </c>
      <c r="BC64" s="220">
        <f t="shared" si="196"/>
        <v>9.189999999999543E-2</v>
      </c>
      <c r="BD64" s="220">
        <f t="shared" si="196"/>
        <v>0.15909999999999513</v>
      </c>
      <c r="BE64" s="220">
        <f>0.02649898+1.67460177</f>
        <v>1.7011007499999999</v>
      </c>
      <c r="BF64" s="220">
        <v>9.3894400000000006E-3</v>
      </c>
      <c r="BG64" s="220">
        <v>0</v>
      </c>
      <c r="BH64" s="220">
        <v>0</v>
      </c>
      <c r="BI64" s="220"/>
      <c r="BJ64" s="220"/>
      <c r="BK64" s="220"/>
      <c r="BL64" s="220"/>
      <c r="BM64" s="220"/>
      <c r="BN64" s="220"/>
      <c r="BO64" s="220"/>
    </row>
    <row r="65" spans="3:67" s="248" customFormat="1"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156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pans="3:67" s="248" customFormat="1">
      <c r="C66" s="236" t="s">
        <v>286</v>
      </c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38"/>
      <c r="AW66" s="236"/>
      <c r="AX66" s="236"/>
      <c r="AY66" s="236"/>
      <c r="AZ66" s="236"/>
      <c r="BA66" s="38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</row>
    <row r="67" spans="3:67" s="248" customFormat="1">
      <c r="C67" s="38" t="s">
        <v>287</v>
      </c>
      <c r="D67" s="263">
        <v>7.0824999999999996</v>
      </c>
      <c r="E67" s="263">
        <v>7.0640000000000001</v>
      </c>
      <c r="F67" s="263">
        <v>6.7907999999999999</v>
      </c>
      <c r="G67" s="263">
        <v>6.5271999999999997</v>
      </c>
      <c r="H67" s="263">
        <v>6.5528000000000004</v>
      </c>
      <c r="I67" s="263">
        <v>6.4570999999999996</v>
      </c>
      <c r="J67" s="263">
        <v>6.4447999999999999</v>
      </c>
      <c r="K67" s="263">
        <v>6.3560999999999996</v>
      </c>
      <c r="L67" s="263">
        <v>6.34</v>
      </c>
      <c r="M67" s="263">
        <v>6.6993</v>
      </c>
      <c r="N67" s="263">
        <v>7.1159999999999997</v>
      </c>
      <c r="O67" s="263">
        <v>6.8971999999999998</v>
      </c>
      <c r="P67" s="263">
        <v>6.8735999999999997</v>
      </c>
      <c r="Q67" s="263">
        <v>7.2537000000000003</v>
      </c>
      <c r="R67" s="263">
        <v>7.298</v>
      </c>
      <c r="S67" s="263">
        <v>7.1</v>
      </c>
      <c r="T67" s="263">
        <v>7.2224000000000004</v>
      </c>
      <c r="U67" s="263">
        <v>7.2672999999999996</v>
      </c>
      <c r="V67" s="263">
        <v>7.0186999999999999</v>
      </c>
      <c r="W67" s="263">
        <v>7.2992999999999997</v>
      </c>
      <c r="X67" s="263">
        <v>7.2568999999999999</v>
      </c>
      <c r="Y67" s="263">
        <v>7.1638000000000002</v>
      </c>
      <c r="Z67" s="263">
        <v>7.0186999999999999</v>
      </c>
      <c r="AA67" s="263">
        <v>7.2992999999999997</v>
      </c>
      <c r="AB67" s="263">
        <v>7.2569999999999997</v>
      </c>
      <c r="AC67" s="263">
        <v>7.1638000000000002</v>
      </c>
      <c r="AD67" s="222">
        <v>7.15</v>
      </c>
      <c r="AE67" s="222">
        <v>7.15</v>
      </c>
      <c r="AF67" s="222">
        <v>7.15</v>
      </c>
      <c r="AG67" s="222">
        <v>7.15</v>
      </c>
      <c r="AH67" s="222">
        <v>7.15</v>
      </c>
      <c r="AI67" s="222">
        <v>7.15</v>
      </c>
      <c r="AJ67" s="222">
        <v>7.15</v>
      </c>
      <c r="AK67" s="222">
        <v>7.15</v>
      </c>
      <c r="AL67" s="222">
        <v>7.15</v>
      </c>
      <c r="AM67" s="222">
        <v>7.15</v>
      </c>
      <c r="AN67" s="222">
        <v>7.15</v>
      </c>
      <c r="AO67" s="222">
        <v>7.15</v>
      </c>
      <c r="AP67" s="222">
        <v>7.15</v>
      </c>
      <c r="AQ67" s="222">
        <v>7.15</v>
      </c>
      <c r="AR67" s="222">
        <v>7.15</v>
      </c>
      <c r="AS67" s="222">
        <v>7.15</v>
      </c>
      <c r="AT67" s="222">
        <v>7.15</v>
      </c>
      <c r="AU67" s="222">
        <v>7.15</v>
      </c>
      <c r="AV67" s="38"/>
      <c r="AW67" s="264"/>
      <c r="AX67" s="264"/>
      <c r="AY67" s="264"/>
      <c r="AZ67" s="264"/>
      <c r="BA67" s="38"/>
      <c r="BB67" s="103">
        <v>6.5067000000000004</v>
      </c>
      <c r="BC67" s="103">
        <v>6.8784999999999998</v>
      </c>
      <c r="BD67" s="103">
        <v>6.9631999999999996</v>
      </c>
      <c r="BE67" s="122">
        <f>AVERAGE(D67:G67)</f>
        <v>6.8661250000000003</v>
      </c>
      <c r="BF67" s="122">
        <f>AVERAGE(H67:K67)</f>
        <v>6.4527000000000001</v>
      </c>
      <c r="BG67" s="122">
        <f>AVERAGE(L67:O67)</f>
        <v>6.7631250000000005</v>
      </c>
      <c r="BH67" s="122">
        <f>AVERAGE(P67:S67)</f>
        <v>7.1313250000000004</v>
      </c>
      <c r="BI67" s="122">
        <f>AVERAGE(T67:W67)</f>
        <v>7.2019249999999992</v>
      </c>
      <c r="BJ67" s="122">
        <f>AVERAGE(X67:AA67)</f>
        <v>7.1846749999999995</v>
      </c>
      <c r="BK67" s="122">
        <f>AVERAGE(AB67:AE67)</f>
        <v>7.1801999999999992</v>
      </c>
      <c r="BL67" s="122">
        <f>AVERAGE(AF67:AI67)</f>
        <v>7.15</v>
      </c>
      <c r="BM67" s="122">
        <f>AVERAGE(AJ67:AM67)</f>
        <v>7.15</v>
      </c>
      <c r="BN67" s="122">
        <f>AVERAGE(AN67:AQ67)</f>
        <v>7.15</v>
      </c>
      <c r="BO67" s="122">
        <f>AVERAGE(AR67:AU67)</f>
        <v>7.15</v>
      </c>
    </row>
    <row r="68" spans="3:67" s="248" customFormat="1">
      <c r="C68" s="38"/>
      <c r="D68" s="263"/>
      <c r="E68" s="263"/>
      <c r="F68" s="263"/>
      <c r="G68" s="263"/>
      <c r="H68" s="263"/>
      <c r="I68" s="263"/>
      <c r="J68" s="263"/>
      <c r="K68" s="263"/>
      <c r="L68" s="263"/>
      <c r="M68" s="263"/>
      <c r="N68" s="263"/>
      <c r="O68" s="263"/>
      <c r="P68" s="263"/>
      <c r="Q68" s="263"/>
      <c r="R68" s="263"/>
      <c r="S68" s="263"/>
      <c r="T68" s="263"/>
      <c r="U68" s="263"/>
      <c r="V68" s="263"/>
      <c r="W68" s="263"/>
      <c r="X68" s="263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I68" s="264"/>
      <c r="AJ68" s="264"/>
      <c r="AK68" s="264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38"/>
      <c r="AW68" s="264"/>
      <c r="AX68" s="264"/>
      <c r="AY68" s="264"/>
      <c r="AZ68" s="264"/>
      <c r="BA68" s="38"/>
      <c r="BB68" s="263"/>
      <c r="BC68" s="263"/>
      <c r="BD68" s="263"/>
      <c r="BE68" s="272"/>
      <c r="BF68" s="272"/>
      <c r="BG68" s="272"/>
      <c r="BH68" s="272"/>
      <c r="BI68" s="272"/>
      <c r="BJ68" s="272"/>
      <c r="BK68" s="272"/>
      <c r="BL68" s="272"/>
      <c r="BM68" s="272"/>
      <c r="BN68" s="272"/>
      <c r="BO68" s="272"/>
    </row>
    <row r="69" spans="3:67" s="248" customFormat="1">
      <c r="C69" s="318" t="s">
        <v>721</v>
      </c>
      <c r="D69" s="318"/>
      <c r="E69" s="318"/>
      <c r="F69" s="318"/>
      <c r="G69" s="318"/>
      <c r="H69" s="318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  <c r="AJ69" s="318"/>
      <c r="AK69" s="318"/>
      <c r="AL69" s="318"/>
      <c r="AM69" s="318"/>
      <c r="AN69" s="318"/>
      <c r="AO69" s="318"/>
      <c r="AP69" s="318"/>
      <c r="AQ69" s="318"/>
      <c r="AR69" s="318"/>
      <c r="AS69" s="318"/>
      <c r="AT69" s="318"/>
      <c r="AU69" s="318"/>
      <c r="AV69" s="319"/>
      <c r="AW69" s="318"/>
      <c r="AX69" s="318"/>
      <c r="AY69" s="318"/>
      <c r="AZ69" s="318"/>
      <c r="BA69" s="319"/>
      <c r="BB69" s="318"/>
      <c r="BC69" s="318"/>
      <c r="BD69" s="318"/>
      <c r="BE69" s="318">
        <v>2020</v>
      </c>
      <c r="BF69" s="318">
        <v>2021</v>
      </c>
      <c r="BG69" s="323">
        <v>2022</v>
      </c>
      <c r="BH69" s="323">
        <v>2023</v>
      </c>
      <c r="BI69" s="323">
        <v>2024</v>
      </c>
      <c r="BJ69" s="323">
        <v>2025</v>
      </c>
      <c r="BK69" s="323" t="s">
        <v>320</v>
      </c>
      <c r="BL69" s="323" t="s">
        <v>379</v>
      </c>
      <c r="BM69" s="318"/>
      <c r="BN69" s="318"/>
      <c r="BO69" s="318"/>
    </row>
    <row r="70" spans="3:67" s="259" customFormat="1">
      <c r="C70" s="237" t="s">
        <v>348</v>
      </c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14"/>
      <c r="V70" s="314"/>
      <c r="W70" s="314"/>
      <c r="X70" s="314"/>
      <c r="Y70" s="315"/>
      <c r="Z70" s="315"/>
      <c r="AA70" s="315"/>
      <c r="AB70" s="315"/>
      <c r="AC70" s="315"/>
      <c r="AD70" s="315"/>
      <c r="AE70" s="315"/>
      <c r="AF70" s="315"/>
      <c r="AG70" s="315"/>
      <c r="AH70" s="315"/>
      <c r="AI70" s="315"/>
      <c r="AJ70" s="315"/>
      <c r="AK70" s="315"/>
      <c r="AL70" s="315"/>
      <c r="AM70" s="315"/>
      <c r="AN70" s="315"/>
      <c r="AO70" s="315"/>
      <c r="AP70" s="315"/>
      <c r="AQ70" s="315"/>
      <c r="AR70" s="315"/>
      <c r="AS70" s="315"/>
      <c r="AT70" s="315"/>
      <c r="AU70" s="315"/>
      <c r="AV70" s="237"/>
      <c r="AW70" s="315"/>
      <c r="AX70" s="315"/>
      <c r="AY70" s="315"/>
      <c r="AZ70" s="315"/>
      <c r="BA70" s="237"/>
      <c r="BB70" s="314"/>
      <c r="BC70" s="314"/>
      <c r="BD70" s="314"/>
      <c r="BE70" s="316"/>
      <c r="BF70" s="316"/>
      <c r="BG70" s="316"/>
      <c r="BH70" s="316"/>
      <c r="BI70" s="316"/>
      <c r="BJ70" s="316"/>
      <c r="BK70" s="316"/>
      <c r="BL70" s="316"/>
      <c r="BM70" s="316"/>
      <c r="BN70" s="316"/>
      <c r="BO70" s="316"/>
    </row>
    <row r="71" spans="3:67" s="248" customFormat="1">
      <c r="C71" s="38" t="s">
        <v>418</v>
      </c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72">
        <f>T117</f>
        <v>0.65174999999999994</v>
      </c>
      <c r="U71" s="272">
        <f t="shared" ref="U71:AU71" si="197">U117</f>
        <v>0.80400349221052647</v>
      </c>
      <c r="V71" s="272">
        <f t="shared" si="197"/>
        <v>2.5047999999999999</v>
      </c>
      <c r="W71" s="170">
        <f t="shared" si="197"/>
        <v>21.941289088444449</v>
      </c>
      <c r="X71" s="170">
        <f t="shared" si="197"/>
        <v>21.879000000000001</v>
      </c>
      <c r="Y71" s="170">
        <f t="shared" si="197"/>
        <v>34.880000549750498</v>
      </c>
      <c r="Z71" s="170">
        <f t="shared" si="197"/>
        <v>27.436396986163427</v>
      </c>
      <c r="AA71" s="170">
        <f t="shared" si="197"/>
        <v>31.739010324024417</v>
      </c>
      <c r="AB71" s="170">
        <f t="shared" si="197"/>
        <v>48.491209843377781</v>
      </c>
      <c r="AC71" s="170">
        <f t="shared" si="197"/>
        <v>52.950986638945871</v>
      </c>
      <c r="AD71" s="170">
        <f t="shared" si="197"/>
        <v>137.18198493081712</v>
      </c>
      <c r="AE71" s="170">
        <f t="shared" si="197"/>
        <v>166.39505162012208</v>
      </c>
      <c r="AF71" s="170">
        <f t="shared" si="197"/>
        <v>230.01044429520002</v>
      </c>
      <c r="AG71" s="170">
        <f t="shared" si="197"/>
        <v>232.93090390436328</v>
      </c>
      <c r="AH71" s="170">
        <f t="shared" si="197"/>
        <v>244.04108417735799</v>
      </c>
      <c r="AI71" s="170">
        <f t="shared" si="197"/>
        <v>325.62539796128954</v>
      </c>
      <c r="AJ71" s="170">
        <f t="shared" si="197"/>
        <v>513.82250198641611</v>
      </c>
      <c r="AK71" s="170">
        <f t="shared" si="197"/>
        <v>460.36082816889393</v>
      </c>
      <c r="AL71" s="170">
        <f t="shared" si="197"/>
        <v>418.70991300022564</v>
      </c>
      <c r="AM71" s="170">
        <f t="shared" si="197"/>
        <v>465.80085145324358</v>
      </c>
      <c r="AN71" s="170">
        <f t="shared" si="197"/>
        <v>730.62302748302011</v>
      </c>
      <c r="AO71" s="170">
        <f t="shared" si="197"/>
        <v>663.02999771111752</v>
      </c>
      <c r="AP71" s="170">
        <f t="shared" si="197"/>
        <v>587.26064125028211</v>
      </c>
      <c r="AQ71" s="170">
        <f t="shared" si="197"/>
        <v>621.25806600787155</v>
      </c>
      <c r="AR71" s="170">
        <f t="shared" si="197"/>
        <v>850.47311450615234</v>
      </c>
      <c r="AS71" s="170">
        <f t="shared" si="197"/>
        <v>799.80439208434041</v>
      </c>
      <c r="AT71" s="170">
        <f t="shared" si="197"/>
        <v>715.81611303781312</v>
      </c>
      <c r="AU71" s="170">
        <f t="shared" si="197"/>
        <v>756.5124593144435</v>
      </c>
      <c r="AV71" s="38"/>
      <c r="AW71" s="264"/>
      <c r="AX71" s="264"/>
      <c r="AY71" s="264"/>
      <c r="AZ71" s="264"/>
      <c r="BA71" s="38"/>
      <c r="BB71" s="263"/>
      <c r="BC71" s="263"/>
      <c r="BD71" s="263"/>
      <c r="BE71" s="93">
        <v>80.474999999999994</v>
      </c>
      <c r="BF71" s="93">
        <v>931.58299999999997</v>
      </c>
      <c r="BG71" s="93">
        <v>221.34200000000001</v>
      </c>
      <c r="BH71" s="93">
        <v>25.78</v>
      </c>
      <c r="BI71" s="93">
        <v>38.941000000000003</v>
      </c>
      <c r="BJ71" s="93">
        <v>117.43600000000001</v>
      </c>
      <c r="BK71" s="170">
        <f t="shared" ref="BK71:BO71" si="198">BK117</f>
        <v>405.01923303326282</v>
      </c>
      <c r="BL71" s="170">
        <f t="shared" si="198"/>
        <v>1032.607830338211</v>
      </c>
      <c r="BM71" s="170">
        <f t="shared" si="198"/>
        <v>1858.6940946087793</v>
      </c>
      <c r="BN71" s="170">
        <f t="shared" si="198"/>
        <v>2602.1717324522915</v>
      </c>
      <c r="BO71" s="170">
        <f t="shared" si="198"/>
        <v>3122.6060789427493</v>
      </c>
    </row>
    <row r="72" spans="3:67" s="248" customFormat="1">
      <c r="C72" s="38" t="s">
        <v>470</v>
      </c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I72" s="264"/>
      <c r="AJ72" s="264"/>
      <c r="AK72" s="264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38"/>
      <c r="AW72" s="264"/>
      <c r="AX72" s="264"/>
      <c r="AY72" s="264"/>
      <c r="AZ72" s="264"/>
      <c r="BA72" s="38"/>
      <c r="BB72" s="263"/>
      <c r="BC72" s="263"/>
      <c r="BD72" s="263"/>
      <c r="BE72" s="272"/>
      <c r="BF72" s="272"/>
      <c r="BG72" s="272"/>
      <c r="BH72" s="93">
        <v>1846.1920399999999</v>
      </c>
      <c r="BI72" s="93">
        <v>3919.7111434158719</v>
      </c>
      <c r="BJ72" s="93">
        <v>4599.7600743335779</v>
      </c>
      <c r="BK72" s="93">
        <v>7841.8939372999994</v>
      </c>
      <c r="BL72" s="93">
        <v>8997.23904864</v>
      </c>
      <c r="BM72" s="93">
        <v>9853.3765683647998</v>
      </c>
      <c r="BN72" s="272"/>
      <c r="BO72" s="272"/>
    </row>
    <row r="73" spans="3:67" s="248" customFormat="1">
      <c r="C73" s="38" t="s">
        <v>501</v>
      </c>
      <c r="D73" s="263"/>
      <c r="E73" s="263"/>
      <c r="F73" s="263"/>
      <c r="G73" s="263"/>
      <c r="H73" s="263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I73" s="264"/>
      <c r="AJ73" s="264"/>
      <c r="AK73" s="264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38"/>
      <c r="AW73" s="264"/>
      <c r="AX73" s="264"/>
      <c r="AY73" s="264"/>
      <c r="AZ73" s="264"/>
      <c r="BA73" s="38"/>
      <c r="BB73" s="263"/>
      <c r="BC73" s="263"/>
      <c r="BD73" s="263"/>
      <c r="BE73" s="93">
        <v>85.414918023613666</v>
      </c>
      <c r="BF73" s="93">
        <v>137.03636363636363</v>
      </c>
      <c r="BG73" s="93">
        <v>60.666666666666664</v>
      </c>
      <c r="BH73" s="93">
        <v>92.777777777777771</v>
      </c>
      <c r="BI73" s="93">
        <v>427.87463843634896</v>
      </c>
      <c r="BJ73" s="93">
        <v>392.52968754479349</v>
      </c>
      <c r="BK73" s="93">
        <v>660.36625570433853</v>
      </c>
      <c r="BL73" s="93">
        <v>1291.3821449990837</v>
      </c>
      <c r="BM73" s="93">
        <v>1413.6033713887036</v>
      </c>
      <c r="BN73" s="93">
        <v>1454.5222293315962</v>
      </c>
      <c r="BO73" s="93">
        <v>1510.8636715127584</v>
      </c>
    </row>
    <row r="74" spans="3:67" s="259" customFormat="1">
      <c r="C74" s="237" t="s">
        <v>164</v>
      </c>
      <c r="D74" s="314"/>
      <c r="E74" s="314"/>
      <c r="F74" s="314"/>
      <c r="G74" s="314"/>
      <c r="H74" s="314"/>
      <c r="I74" s="314"/>
      <c r="J74" s="314"/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314"/>
      <c r="Y74" s="315"/>
      <c r="Z74" s="315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237"/>
      <c r="AW74" s="315"/>
      <c r="AX74" s="315"/>
      <c r="AY74" s="315"/>
      <c r="AZ74" s="315"/>
      <c r="BA74" s="237"/>
      <c r="BB74" s="314"/>
      <c r="BC74" s="314"/>
      <c r="BD74" s="314"/>
      <c r="BE74" s="316"/>
      <c r="BF74" s="316"/>
      <c r="BG74" s="316"/>
      <c r="BH74" s="316"/>
      <c r="BI74" s="316"/>
      <c r="BJ74" s="316"/>
      <c r="BK74" s="316"/>
      <c r="BL74" s="316"/>
      <c r="BM74" s="316"/>
      <c r="BN74" s="316"/>
      <c r="BO74" s="316"/>
    </row>
    <row r="75" spans="3:67" s="248" customFormat="1">
      <c r="C75" s="38" t="str">
        <f>C71</f>
        <v>Cambricon</v>
      </c>
      <c r="D75" s="263"/>
      <c r="E75" s="263"/>
      <c r="F75" s="263"/>
      <c r="G75" s="263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38"/>
      <c r="AW75" s="264"/>
      <c r="AX75" s="264"/>
      <c r="AY75" s="264"/>
      <c r="AZ75" s="264"/>
      <c r="BA75" s="38"/>
      <c r="BB75" s="263"/>
      <c r="BC75" s="263"/>
      <c r="BD75" s="263"/>
      <c r="BE75" s="272"/>
      <c r="BF75" s="106">
        <f>BF71/BE71-1</f>
        <v>10.57605467536502</v>
      </c>
      <c r="BG75" s="106">
        <f t="shared" ref="BG75:BO75" si="199">BG71/BF71-1</f>
        <v>-0.76240227655506809</v>
      </c>
      <c r="BH75" s="106">
        <f t="shared" si="199"/>
        <v>-0.88352865701041827</v>
      </c>
      <c r="BI75" s="106">
        <f t="shared" si="199"/>
        <v>0.51051202482544622</v>
      </c>
      <c r="BJ75" s="106">
        <f t="shared" si="199"/>
        <v>2.0157417631801957</v>
      </c>
      <c r="BK75" s="106">
        <f t="shared" si="199"/>
        <v>2.4488507189725706</v>
      </c>
      <c r="BL75" s="106">
        <f t="shared" si="199"/>
        <v>1.5495278893420021</v>
      </c>
      <c r="BM75" s="106">
        <f t="shared" si="199"/>
        <v>0.7999999999999996</v>
      </c>
      <c r="BN75" s="106">
        <f t="shared" si="199"/>
        <v>0.40000000000000036</v>
      </c>
      <c r="BO75" s="106">
        <f t="shared" si="199"/>
        <v>0.19999999999999973</v>
      </c>
    </row>
    <row r="76" spans="3:67" s="248" customFormat="1">
      <c r="C76" s="38" t="str">
        <f>C72</f>
        <v>NVIDIA</v>
      </c>
      <c r="D76" s="263"/>
      <c r="E76" s="263"/>
      <c r="F76" s="263"/>
      <c r="G76" s="263"/>
      <c r="H76" s="263"/>
      <c r="I76" s="263"/>
      <c r="J76" s="263"/>
      <c r="K76" s="263"/>
      <c r="L76" s="263"/>
      <c r="M76" s="263"/>
      <c r="N76" s="263"/>
      <c r="O76" s="263"/>
      <c r="P76" s="263"/>
      <c r="Q76" s="263"/>
      <c r="R76" s="263"/>
      <c r="S76" s="263"/>
      <c r="T76" s="263"/>
      <c r="U76" s="263"/>
      <c r="V76" s="263"/>
      <c r="W76" s="263"/>
      <c r="X76" s="263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38"/>
      <c r="AW76" s="264"/>
      <c r="AX76" s="264"/>
      <c r="AY76" s="264"/>
      <c r="AZ76" s="264"/>
      <c r="BA76" s="38"/>
      <c r="BB76" s="263"/>
      <c r="BC76" s="263"/>
      <c r="BD76" s="263"/>
      <c r="BE76" s="272"/>
      <c r="BF76" s="106"/>
      <c r="BG76" s="106"/>
      <c r="BH76" s="106"/>
      <c r="BI76" s="106">
        <f t="shared" ref="BI76:BM76" si="200">BI72/BH72-1</f>
        <v>1.1231329452681815</v>
      </c>
      <c r="BJ76" s="106">
        <f t="shared" si="200"/>
        <v>0.1734946545895395</v>
      </c>
      <c r="BK76" s="106">
        <f t="shared" si="200"/>
        <v>0.70484847265346717</v>
      </c>
      <c r="BL76" s="106">
        <f t="shared" si="200"/>
        <v>0.14732985686590294</v>
      </c>
      <c r="BM76" s="106">
        <f t="shared" si="200"/>
        <v>9.5155582184315968E-2</v>
      </c>
      <c r="BN76" s="106"/>
      <c r="BO76" s="106"/>
    </row>
    <row r="77" spans="3:67" s="248" customFormat="1">
      <c r="C77" s="38" t="str">
        <f>C73</f>
        <v>AMD</v>
      </c>
      <c r="D77" s="263"/>
      <c r="E77" s="263"/>
      <c r="F77" s="263"/>
      <c r="G77" s="263"/>
      <c r="H77" s="263"/>
      <c r="I77" s="263"/>
      <c r="J77" s="263"/>
      <c r="K77" s="263"/>
      <c r="L77" s="263"/>
      <c r="M77" s="263"/>
      <c r="N77" s="263"/>
      <c r="O77" s="263"/>
      <c r="P77" s="263"/>
      <c r="Q77" s="263"/>
      <c r="R77" s="263"/>
      <c r="S77" s="263"/>
      <c r="T77" s="263"/>
      <c r="U77" s="263"/>
      <c r="V77" s="263"/>
      <c r="W77" s="263"/>
      <c r="X77" s="263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38"/>
      <c r="AW77" s="264"/>
      <c r="AX77" s="264"/>
      <c r="AY77" s="264"/>
      <c r="AZ77" s="264"/>
      <c r="BA77" s="38"/>
      <c r="BB77" s="263"/>
      <c r="BC77" s="263"/>
      <c r="BD77" s="263"/>
      <c r="BE77" s="272"/>
      <c r="BF77" s="106">
        <f>BF73/BE73-1</f>
        <v>0.60436100399322257</v>
      </c>
      <c r="BG77" s="106">
        <f t="shared" ref="BG77:BL77" si="201">BG73/BF73-1</f>
        <v>-0.55729512184335062</v>
      </c>
      <c r="BH77" s="106">
        <f t="shared" si="201"/>
        <v>0.5293040293040292</v>
      </c>
      <c r="BI77" s="106">
        <f t="shared" si="201"/>
        <v>3.611822450212145</v>
      </c>
      <c r="BJ77" s="106">
        <f t="shared" si="201"/>
        <v>-8.2605856287070956E-2</v>
      </c>
      <c r="BK77" s="106">
        <f t="shared" si="201"/>
        <v>0.68233455113883812</v>
      </c>
      <c r="BL77" s="106">
        <f t="shared" si="201"/>
        <v>0.95555441218254167</v>
      </c>
      <c r="BM77" s="106">
        <f t="shared" ref="BM77" si="202">BM73/BL73-1</f>
        <v>9.4643732579798634E-2</v>
      </c>
      <c r="BN77" s="106">
        <f t="shared" ref="BN77" si="203">BN73/BM73-1</f>
        <v>2.8946491477800151E-2</v>
      </c>
      <c r="BO77" s="106">
        <f t="shared" ref="BO77" si="204">BO73/BN73-1</f>
        <v>3.8735360000000219E-2</v>
      </c>
    </row>
    <row r="78" spans="3:67" s="248" customFormat="1" hidden="1">
      <c r="C78" s="38"/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63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I78" s="264"/>
      <c r="AJ78" s="264"/>
      <c r="AK78" s="264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38"/>
      <c r="AW78" s="264"/>
      <c r="AX78" s="264"/>
      <c r="AY78" s="264"/>
      <c r="AZ78" s="264"/>
      <c r="BA78" s="38"/>
      <c r="BB78" s="263"/>
      <c r="BC78" s="263"/>
      <c r="BD78" s="263"/>
      <c r="BE78" s="272"/>
      <c r="BF78" s="272"/>
      <c r="BG78" s="272"/>
      <c r="BH78" s="272"/>
      <c r="BI78" s="272"/>
      <c r="BJ78" s="272"/>
      <c r="BK78" s="272"/>
      <c r="BL78" s="272"/>
      <c r="BM78" s="272"/>
      <c r="BN78" s="272"/>
      <c r="BO78" s="272"/>
    </row>
    <row r="79" spans="3:67" s="248" customFormat="1">
      <c r="C79" s="237" t="s">
        <v>708</v>
      </c>
      <c r="D79" s="263"/>
      <c r="E79" s="263"/>
      <c r="F79" s="263"/>
      <c r="G79" s="263"/>
      <c r="H79" s="263"/>
      <c r="I79" s="263"/>
      <c r="J79" s="263"/>
      <c r="K79" s="263"/>
      <c r="L79" s="263"/>
      <c r="M79" s="263"/>
      <c r="N79" s="263"/>
      <c r="O79" s="263"/>
      <c r="P79" s="263"/>
      <c r="Q79" s="263"/>
      <c r="R79" s="263"/>
      <c r="S79" s="263"/>
      <c r="T79" s="263"/>
      <c r="U79" s="263"/>
      <c r="V79" s="263"/>
      <c r="W79" s="263"/>
      <c r="X79" s="263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I79" s="264"/>
      <c r="AJ79" s="264"/>
      <c r="AK79" s="264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38"/>
      <c r="AW79" s="264"/>
      <c r="AX79" s="264"/>
      <c r="AY79" s="264"/>
      <c r="AZ79" s="264"/>
      <c r="BA79" s="38"/>
      <c r="BB79" s="263"/>
      <c r="BC79" s="263"/>
      <c r="BD79" s="263"/>
      <c r="BE79" s="272"/>
      <c r="BF79" s="272"/>
      <c r="BG79" s="272"/>
      <c r="BH79" s="272"/>
      <c r="BI79" s="272"/>
      <c r="BJ79" s="272"/>
      <c r="BK79" s="272"/>
      <c r="BL79" s="272"/>
      <c r="BM79" s="272"/>
      <c r="BN79" s="272"/>
      <c r="BO79" s="272"/>
    </row>
    <row r="80" spans="3:67" s="248" customFormat="1">
      <c r="C80" s="38" t="str">
        <f>C71</f>
        <v>Cambricon</v>
      </c>
      <c r="D80" s="263"/>
      <c r="E80" s="263"/>
      <c r="F80" s="263"/>
      <c r="G80" s="263"/>
      <c r="H80" s="263"/>
      <c r="I80" s="263"/>
      <c r="J80" s="263"/>
      <c r="K80" s="263"/>
      <c r="L80" s="263"/>
      <c r="M80" s="263"/>
      <c r="N80" s="263"/>
      <c r="O80" s="263"/>
      <c r="P80" s="263"/>
      <c r="Q80" s="263"/>
      <c r="R80" s="263"/>
      <c r="S80" s="263"/>
      <c r="T80" s="170">
        <f t="shared" ref="T80:AS80" si="205">T6/T67/T71*1000</f>
        <v>5452.5217160981847</v>
      </c>
      <c r="U80" s="170">
        <f t="shared" si="205"/>
        <v>6691.712318826404</v>
      </c>
      <c r="V80" s="170">
        <f t="shared" si="205"/>
        <v>6856.5539693871688</v>
      </c>
      <c r="W80" s="170">
        <f t="shared" si="205"/>
        <v>6176.2124583241175</v>
      </c>
      <c r="X80" s="170">
        <f t="shared" si="205"/>
        <v>6999.892432447089</v>
      </c>
      <c r="Y80" s="170">
        <f t="shared" si="205"/>
        <v>7080.565249907535</v>
      </c>
      <c r="Z80" s="170">
        <f t="shared" si="205"/>
        <v>8967.1302166206879</v>
      </c>
      <c r="AA80" s="170">
        <f t="shared" si="205"/>
        <v>8157.081058109844</v>
      </c>
      <c r="AB80" s="170">
        <f t="shared" si="205"/>
        <v>8197.4735095753585</v>
      </c>
      <c r="AC80" s="170">
        <f t="shared" si="205"/>
        <v>8200.971692695879</v>
      </c>
      <c r="AD80" s="170">
        <f t="shared" si="205"/>
        <v>8337.6512826520775</v>
      </c>
      <c r="AE80" s="170">
        <f t="shared" si="205"/>
        <v>8242.9814279905877</v>
      </c>
      <c r="AF80" s="170">
        <f t="shared" si="205"/>
        <v>8633.6217601372355</v>
      </c>
      <c r="AG80" s="170">
        <f t="shared" si="205"/>
        <v>10944.340471698597</v>
      </c>
      <c r="AH80" s="170">
        <f t="shared" si="205"/>
        <v>13847.725744686883</v>
      </c>
      <c r="AI80" s="170">
        <f t="shared" si="205"/>
        <v>14892.41813320176</v>
      </c>
      <c r="AJ80" s="170">
        <f t="shared" si="205"/>
        <v>11988.098618516095</v>
      </c>
      <c r="AK80" s="170">
        <f t="shared" si="205"/>
        <v>12548.263317991397</v>
      </c>
      <c r="AL80" s="170">
        <f t="shared" si="205"/>
        <v>13665.360788309794</v>
      </c>
      <c r="AM80" s="170">
        <f t="shared" si="205"/>
        <v>13875.694256793962</v>
      </c>
      <c r="AN80" s="170">
        <f t="shared" si="205"/>
        <v>12766.211266802047</v>
      </c>
      <c r="AO80" s="170">
        <f t="shared" si="205"/>
        <v>13374.737324219925</v>
      </c>
      <c r="AP80" s="170">
        <f t="shared" si="205"/>
        <v>14259.744686007103</v>
      </c>
      <c r="AQ80" s="170">
        <f t="shared" si="205"/>
        <v>14307.290822303084</v>
      </c>
      <c r="AR80" s="170">
        <f t="shared" si="205"/>
        <v>13026.012642682574</v>
      </c>
      <c r="AS80" s="170">
        <f t="shared" si="205"/>
        <v>14109.519105781603</v>
      </c>
      <c r="AT80" s="170">
        <f>AT6/AT67/AT71*1000</f>
        <v>15044.609070025934</v>
      </c>
      <c r="AU80" s="170">
        <f t="shared" ref="AU80" si="206">AU6/AU67/AU71*1000</f>
        <v>15259.820150109033</v>
      </c>
      <c r="AV80" s="38"/>
      <c r="AW80" s="264"/>
      <c r="AX80" s="264"/>
      <c r="AY80" s="264"/>
      <c r="AZ80" s="264"/>
      <c r="BA80" s="38"/>
      <c r="BB80" s="263"/>
      <c r="BC80" s="263"/>
      <c r="BD80" s="263"/>
      <c r="BE80" s="170">
        <f t="shared" ref="BE80:BJ80" si="207">BE6/BE67/BE71*1000</f>
        <v>830.56042005050767</v>
      </c>
      <c r="BF80" s="170">
        <f t="shared" si="207"/>
        <v>119.94979461080449</v>
      </c>
      <c r="BG80" s="170">
        <f t="shared" si="207"/>
        <v>487.00891347900995</v>
      </c>
      <c r="BH80" s="170">
        <f t="shared" si="207"/>
        <v>3858.6006104683779</v>
      </c>
      <c r="BI80" s="170">
        <f t="shared" si="207"/>
        <v>4187.782853867544</v>
      </c>
      <c r="BJ80" s="170">
        <f t="shared" si="207"/>
        <v>7700.4765692173878</v>
      </c>
      <c r="BK80" s="170">
        <f>BK146</f>
        <v>8238.7238991638096</v>
      </c>
      <c r="BL80" s="170">
        <f>BL146</f>
        <v>12357.79366704992</v>
      </c>
      <c r="BM80" s="170">
        <f>BM146</f>
        <v>12975.987884491267</v>
      </c>
      <c r="BN80" s="170">
        <f>BN146</f>
        <v>13624.985765240634</v>
      </c>
      <c r="BO80" s="170">
        <f>BO146</f>
        <v>14306.375737059983</v>
      </c>
    </row>
    <row r="81" spans="3:67" s="248" customFormat="1">
      <c r="C81" s="38" t="str">
        <f>C72</f>
        <v>NVIDIA</v>
      </c>
      <c r="D81" s="263"/>
      <c r="E81" s="263"/>
      <c r="F81" s="263"/>
      <c r="G81" s="263"/>
      <c r="H81" s="263"/>
      <c r="I81" s="263"/>
      <c r="J81" s="263"/>
      <c r="K81" s="263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63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38"/>
      <c r="AW81" s="264"/>
      <c r="AX81" s="264"/>
      <c r="AY81" s="264"/>
      <c r="AZ81" s="264"/>
      <c r="BA81" s="38"/>
      <c r="BB81" s="263"/>
      <c r="BC81" s="263"/>
      <c r="BD81" s="263"/>
      <c r="BE81" s="272"/>
      <c r="BF81" s="272"/>
      <c r="BG81" s="272"/>
      <c r="BH81" s="93">
        <v>21126.141893667791</v>
      </c>
      <c r="BI81" s="93">
        <v>26074.835187046079</v>
      </c>
      <c r="BJ81" s="93">
        <v>35353.184268398953</v>
      </c>
      <c r="BK81" s="93">
        <v>38967.213334424596</v>
      </c>
      <c r="BL81" s="93">
        <v>45373.582122878914</v>
      </c>
      <c r="BM81" s="93">
        <v>50550.187625331972</v>
      </c>
      <c r="BN81" s="272"/>
      <c r="BO81" s="272"/>
    </row>
    <row r="82" spans="3:67" s="248" customFormat="1">
      <c r="C82" s="38" t="str">
        <f>C73</f>
        <v>AMD</v>
      </c>
      <c r="D82" s="263"/>
      <c r="E82" s="263"/>
      <c r="F82" s="263"/>
      <c r="G82" s="263"/>
      <c r="H82" s="263"/>
      <c r="I82" s="263"/>
      <c r="J82" s="263"/>
      <c r="K82" s="263"/>
      <c r="L82" s="263"/>
      <c r="M82" s="263"/>
      <c r="N82" s="263"/>
      <c r="O82" s="263"/>
      <c r="P82" s="263"/>
      <c r="Q82" s="263"/>
      <c r="R82" s="263"/>
      <c r="S82" s="263"/>
      <c r="T82" s="263"/>
      <c r="U82" s="263"/>
      <c r="V82" s="263"/>
      <c r="W82" s="263"/>
      <c r="X82" s="263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38"/>
      <c r="AW82" s="264"/>
      <c r="AX82" s="264"/>
      <c r="AY82" s="264"/>
      <c r="AZ82" s="264"/>
      <c r="BA82" s="38"/>
      <c r="BB82" s="263"/>
      <c r="BC82" s="263"/>
      <c r="BD82" s="263"/>
      <c r="BE82" s="93">
        <v>1893.3155360476926</v>
      </c>
      <c r="BF82" s="93">
        <v>3402.3263013577462</v>
      </c>
      <c r="BG82" s="93">
        <v>3479.3956043956041</v>
      </c>
      <c r="BH82" s="93">
        <v>6609.5808383233534</v>
      </c>
      <c r="BI82" s="93">
        <v>12468.613443998471</v>
      </c>
      <c r="BJ82" s="93">
        <v>18132.83550060157</v>
      </c>
      <c r="BK82" s="93">
        <v>23498.889501478967</v>
      </c>
      <c r="BL82" s="93">
        <v>32529.424467102559</v>
      </c>
      <c r="BM82" s="93">
        <v>37819.805092745162</v>
      </c>
      <c r="BN82" s="93">
        <v>44526.283996892926</v>
      </c>
      <c r="BO82" s="93">
        <v>51589.601783828999</v>
      </c>
    </row>
    <row r="83" spans="3:67" s="248" customFormat="1">
      <c r="C83" s="237" t="s">
        <v>164</v>
      </c>
      <c r="D83" s="263"/>
      <c r="E83" s="263"/>
      <c r="F83" s="263"/>
      <c r="G83" s="263"/>
      <c r="H83" s="263"/>
      <c r="I83" s="263"/>
      <c r="J83" s="263"/>
      <c r="K83" s="26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38"/>
      <c r="AW83" s="264"/>
      <c r="AX83" s="264"/>
      <c r="AY83" s="264"/>
      <c r="AZ83" s="264"/>
      <c r="BA83" s="38"/>
      <c r="BB83" s="263"/>
      <c r="BC83" s="263"/>
      <c r="BD83" s="263"/>
      <c r="BE83" s="272"/>
      <c r="BF83" s="272"/>
      <c r="BG83" s="272"/>
      <c r="BH83" s="272"/>
      <c r="BI83" s="272"/>
      <c r="BJ83" s="272"/>
      <c r="BK83" s="272"/>
      <c r="BL83" s="272"/>
      <c r="BM83" s="272"/>
      <c r="BN83" s="272"/>
      <c r="BO83" s="272"/>
    </row>
    <row r="84" spans="3:67" s="248" customFormat="1">
      <c r="C84" s="38" t="str">
        <f>C75</f>
        <v>Cambricon</v>
      </c>
      <c r="D84" s="263"/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3"/>
      <c r="Q84" s="263"/>
      <c r="R84" s="263"/>
      <c r="S84" s="263"/>
      <c r="T84" s="263"/>
      <c r="U84" s="263"/>
      <c r="V84" s="263"/>
      <c r="W84" s="263"/>
      <c r="X84" s="263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  <c r="AO84" s="264"/>
      <c r="AP84" s="264"/>
      <c r="AQ84" s="264"/>
      <c r="AR84" s="264"/>
      <c r="AS84" s="264"/>
      <c r="AT84" s="264"/>
      <c r="AU84" s="264"/>
      <c r="AV84" s="38"/>
      <c r="AW84" s="264"/>
      <c r="AX84" s="264"/>
      <c r="AY84" s="264"/>
      <c r="AZ84" s="264"/>
      <c r="BA84" s="38"/>
      <c r="BB84" s="263"/>
      <c r="BC84" s="263"/>
      <c r="BD84" s="263"/>
      <c r="BE84" s="272"/>
      <c r="BF84" s="106">
        <f>BF80/BE80-1</f>
        <v>-0.85557968846684251</v>
      </c>
      <c r="BG84" s="106">
        <f t="shared" ref="BG84:BO84" si="208">BG80/BF80-1</f>
        <v>3.0601062724549477</v>
      </c>
      <c r="BH84" s="106">
        <f t="shared" si="208"/>
        <v>6.9230595245248692</v>
      </c>
      <c r="BI84" s="106">
        <f t="shared" si="208"/>
        <v>8.5311302368556996E-2</v>
      </c>
      <c r="BJ84" s="106">
        <f t="shared" si="208"/>
        <v>0.83879557224552959</v>
      </c>
      <c r="BK84" s="106">
        <f t="shared" si="208"/>
        <v>6.9897924512628551E-2</v>
      </c>
      <c r="BL84" s="106">
        <f t="shared" si="208"/>
        <v>0.49996453556407872</v>
      </c>
      <c r="BM84" s="106">
        <f t="shared" si="208"/>
        <v>5.0024643079262798E-2</v>
      </c>
      <c r="BN84" s="106">
        <f t="shared" si="208"/>
        <v>5.0015296448067792E-2</v>
      </c>
      <c r="BO84" s="106">
        <f t="shared" si="208"/>
        <v>5.0010325409489687E-2</v>
      </c>
    </row>
    <row r="85" spans="3:67" s="248" customFormat="1">
      <c r="C85" s="38" t="str">
        <f>C76</f>
        <v>NVIDIA</v>
      </c>
      <c r="D85" s="263"/>
      <c r="E85" s="263"/>
      <c r="F85" s="263"/>
      <c r="G85" s="263"/>
      <c r="H85" s="263"/>
      <c r="I85" s="263"/>
      <c r="J85" s="263"/>
      <c r="K85" s="263"/>
      <c r="L85" s="263"/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K85" s="264"/>
      <c r="AL85" s="264"/>
      <c r="AM85" s="264"/>
      <c r="AN85" s="264"/>
      <c r="AO85" s="264"/>
      <c r="AP85" s="264"/>
      <c r="AQ85" s="264"/>
      <c r="AR85" s="264"/>
      <c r="AS85" s="264"/>
      <c r="AT85" s="264"/>
      <c r="AU85" s="264"/>
      <c r="AV85" s="38"/>
      <c r="AW85" s="264"/>
      <c r="AX85" s="264"/>
      <c r="AY85" s="264"/>
      <c r="AZ85" s="264"/>
      <c r="BA85" s="38"/>
      <c r="BB85" s="263"/>
      <c r="BC85" s="263"/>
      <c r="BD85" s="263"/>
      <c r="BE85" s="272"/>
      <c r="BF85" s="106"/>
      <c r="BG85" s="106"/>
      <c r="BH85" s="106"/>
      <c r="BI85" s="106">
        <f t="shared" ref="BI85:BM85" si="209">BI81/BH81-1</f>
        <v>0.23424500878040466</v>
      </c>
      <c r="BJ85" s="106">
        <f t="shared" si="209"/>
        <v>0.35583538744522292</v>
      </c>
      <c r="BK85" s="106">
        <f t="shared" si="209"/>
        <v>0.10222640876103783</v>
      </c>
      <c r="BL85" s="106">
        <f t="shared" si="209"/>
        <v>0.16440407820476022</v>
      </c>
      <c r="BM85" s="106">
        <f t="shared" si="209"/>
        <v>0.11408853478735681</v>
      </c>
      <c r="BN85" s="106"/>
      <c r="BO85" s="106"/>
    </row>
    <row r="86" spans="3:67" s="248" customFormat="1">
      <c r="C86" s="38" t="str">
        <f>C77</f>
        <v>AMD</v>
      </c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I86" s="264"/>
      <c r="AJ86" s="264"/>
      <c r="AK86" s="264"/>
      <c r="AL86" s="264"/>
      <c r="AM86" s="264"/>
      <c r="AN86" s="264"/>
      <c r="AO86" s="264"/>
      <c r="AP86" s="264"/>
      <c r="AQ86" s="264"/>
      <c r="AR86" s="264"/>
      <c r="AS86" s="264"/>
      <c r="AT86" s="264"/>
      <c r="AU86" s="264"/>
      <c r="AV86" s="38"/>
      <c r="AW86" s="264"/>
      <c r="AX86" s="264"/>
      <c r="AY86" s="264"/>
      <c r="AZ86" s="264"/>
      <c r="BA86" s="38"/>
      <c r="BB86" s="263"/>
      <c r="BC86" s="263"/>
      <c r="BD86" s="263"/>
      <c r="BE86" s="272"/>
      <c r="BF86" s="106">
        <f>BF82/BE82-1</f>
        <v>0.79702022012671092</v>
      </c>
      <c r="BG86" s="106">
        <f t="shared" ref="BG86:BO86" si="210">BG82/BF82-1</f>
        <v>2.2651943467944857E-2</v>
      </c>
      <c r="BH86" s="106">
        <f t="shared" si="210"/>
        <v>0.89963476127098363</v>
      </c>
      <c r="BI86" s="106">
        <f t="shared" si="210"/>
        <v>0.88644541144024691</v>
      </c>
      <c r="BJ86" s="106">
        <f t="shared" si="210"/>
        <v>0.45427842334220925</v>
      </c>
      <c r="BK86" s="106">
        <f t="shared" si="210"/>
        <v>0.29593022010812242</v>
      </c>
      <c r="BL86" s="106">
        <f t="shared" si="210"/>
        <v>0.38429624366101356</v>
      </c>
      <c r="BM86" s="106">
        <f t="shared" si="210"/>
        <v>0.16263369894517621</v>
      </c>
      <c r="BN86" s="106">
        <f t="shared" si="210"/>
        <v>0.17732716727919473</v>
      </c>
      <c r="BO86" s="106">
        <f t="shared" si="210"/>
        <v>0.15863254583357911</v>
      </c>
    </row>
    <row r="87" spans="3:67" s="248" customFormat="1">
      <c r="C87" s="38"/>
      <c r="D87" s="263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I87" s="264"/>
      <c r="AJ87" s="264"/>
      <c r="AK87" s="264"/>
      <c r="AL87" s="264"/>
      <c r="AM87" s="264"/>
      <c r="AN87" s="264"/>
      <c r="AO87" s="264"/>
      <c r="AP87" s="264"/>
      <c r="AQ87" s="264"/>
      <c r="AR87" s="264"/>
      <c r="AS87" s="264"/>
      <c r="AT87" s="264"/>
      <c r="AU87" s="264"/>
      <c r="AV87" s="38"/>
      <c r="AW87" s="264"/>
      <c r="AX87" s="264"/>
      <c r="AY87" s="264"/>
      <c r="AZ87" s="264"/>
      <c r="BA87" s="38"/>
      <c r="BB87" s="263"/>
      <c r="BC87" s="263"/>
      <c r="BD87" s="263"/>
      <c r="BE87" s="272"/>
      <c r="BF87" s="272"/>
      <c r="BG87" s="272"/>
      <c r="BH87" s="272"/>
      <c r="BI87" s="272"/>
      <c r="BJ87" s="272"/>
      <c r="BK87" s="272"/>
      <c r="BL87" s="272"/>
      <c r="BM87" s="272"/>
      <c r="BN87" s="272"/>
      <c r="BO87" s="272"/>
    </row>
    <row r="88" spans="3:67" s="248" customFormat="1">
      <c r="C88" s="318" t="s">
        <v>722</v>
      </c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  <c r="AJ88" s="318"/>
      <c r="AK88" s="318"/>
      <c r="AL88" s="318"/>
      <c r="AM88" s="318"/>
      <c r="AN88" s="318"/>
      <c r="AO88" s="318"/>
      <c r="AP88" s="318"/>
      <c r="AQ88" s="318"/>
      <c r="AR88" s="318"/>
      <c r="AS88" s="318"/>
      <c r="AT88" s="318"/>
      <c r="AU88" s="318"/>
      <c r="AV88" s="319"/>
      <c r="AW88" s="318"/>
      <c r="AX88" s="318"/>
      <c r="AY88" s="318"/>
      <c r="AZ88" s="318"/>
      <c r="BA88" s="319"/>
      <c r="BB88" s="318"/>
      <c r="BC88" s="318"/>
      <c r="BD88" s="318"/>
      <c r="BE88" s="318"/>
      <c r="BF88" s="318"/>
      <c r="BG88" s="318">
        <v>2022</v>
      </c>
      <c r="BH88" s="318">
        <v>2023</v>
      </c>
      <c r="BI88" s="323">
        <v>2024</v>
      </c>
      <c r="BJ88" s="323">
        <v>2025</v>
      </c>
      <c r="BK88" s="323" t="s">
        <v>320</v>
      </c>
      <c r="BL88" s="323" t="s">
        <v>379</v>
      </c>
      <c r="BM88" s="323" t="s">
        <v>380</v>
      </c>
      <c r="BN88" s="323" t="s">
        <v>381</v>
      </c>
      <c r="BO88" s="323" t="s">
        <v>382</v>
      </c>
    </row>
    <row r="89" spans="3:67" s="259" customFormat="1">
      <c r="C89" s="237" t="s">
        <v>723</v>
      </c>
      <c r="D89" s="314"/>
      <c r="E89" s="314"/>
      <c r="F89" s="314"/>
      <c r="G89" s="314"/>
      <c r="H89" s="314"/>
      <c r="I89" s="314"/>
      <c r="J89" s="314"/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5"/>
      <c r="Z89" s="315"/>
      <c r="AA89" s="315"/>
      <c r="AB89" s="315"/>
      <c r="AC89" s="315"/>
      <c r="AD89" s="315"/>
      <c r="AE89" s="315"/>
      <c r="AF89" s="315"/>
      <c r="AG89" s="315"/>
      <c r="AH89" s="315"/>
      <c r="AI89" s="315"/>
      <c r="AJ89" s="315"/>
      <c r="AK89" s="315"/>
      <c r="AL89" s="315"/>
      <c r="AM89" s="315"/>
      <c r="AN89" s="315"/>
      <c r="AO89" s="315"/>
      <c r="AP89" s="315"/>
      <c r="AQ89" s="315"/>
      <c r="AR89" s="315"/>
      <c r="AS89" s="315"/>
      <c r="AT89" s="315"/>
      <c r="AU89" s="315"/>
      <c r="AV89" s="237"/>
      <c r="AW89" s="315"/>
      <c r="AX89" s="315"/>
      <c r="AY89" s="315"/>
      <c r="AZ89" s="315"/>
      <c r="BA89" s="237"/>
      <c r="BB89" s="314"/>
      <c r="BC89" s="314"/>
      <c r="BD89" s="314"/>
      <c r="BE89" s="316"/>
      <c r="BF89" s="316"/>
      <c r="BG89" s="316"/>
      <c r="BH89" s="316"/>
      <c r="BI89" s="330">
        <v>2730</v>
      </c>
      <c r="BJ89" s="330">
        <v>4016</v>
      </c>
      <c r="BK89" s="331">
        <v>4998.4550201290258</v>
      </c>
      <c r="BL89" s="331">
        <v>6962.8149218673225</v>
      </c>
      <c r="BM89" s="331">
        <v>10830.547684876798</v>
      </c>
      <c r="BN89" s="331">
        <v>15890.765634058736</v>
      </c>
      <c r="BO89" s="331">
        <v>20714.613832457002</v>
      </c>
    </row>
    <row r="90" spans="3:67" s="248" customFormat="1">
      <c r="C90" s="38" t="s">
        <v>724</v>
      </c>
      <c r="D90" s="263"/>
      <c r="E90" s="263"/>
      <c r="F90" s="263"/>
      <c r="G90" s="263"/>
      <c r="H90" s="263"/>
      <c r="I90" s="263"/>
      <c r="J90" s="263"/>
      <c r="K90" s="263"/>
      <c r="L90" s="263"/>
      <c r="M90" s="263"/>
      <c r="N90" s="26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  <c r="AO90" s="264"/>
      <c r="AP90" s="264"/>
      <c r="AQ90" s="264"/>
      <c r="AR90" s="264"/>
      <c r="AS90" s="264"/>
      <c r="AT90" s="264"/>
      <c r="AU90" s="264"/>
      <c r="AV90" s="38"/>
      <c r="AW90" s="264"/>
      <c r="AX90" s="264"/>
      <c r="AY90" s="264"/>
      <c r="AZ90" s="264"/>
      <c r="BA90" s="38"/>
      <c r="BB90" s="263"/>
      <c r="BC90" s="263"/>
      <c r="BD90" s="263"/>
      <c r="BE90" s="272"/>
      <c r="BF90" s="272"/>
      <c r="BG90" s="272"/>
      <c r="BH90" s="272"/>
      <c r="BI90" s="170">
        <f>BI89*BI94</f>
        <v>1906</v>
      </c>
      <c r="BJ90" s="170">
        <f t="shared" ref="BJ90:BO90" si="211">BJ89*BJ94</f>
        <v>2406.9135201104164</v>
      </c>
      <c r="BK90" s="170">
        <f t="shared" si="211"/>
        <v>1800.0000000000007</v>
      </c>
      <c r="BL90" s="170">
        <f t="shared" si="211"/>
        <v>1469.9999999999998</v>
      </c>
      <c r="BM90" s="170">
        <f t="shared" si="211"/>
        <v>1638</v>
      </c>
      <c r="BN90" s="170">
        <f t="shared" si="211"/>
        <v>1873.2</v>
      </c>
      <c r="BO90" s="170">
        <f t="shared" si="211"/>
        <v>2202.4799999999996</v>
      </c>
    </row>
    <row r="91" spans="3:67" s="248" customFormat="1">
      <c r="C91" s="38" t="s">
        <v>725</v>
      </c>
      <c r="D91" s="263"/>
      <c r="E91" s="263"/>
      <c r="F91" s="263"/>
      <c r="G91" s="263"/>
      <c r="H91" s="263"/>
      <c r="I91" s="263"/>
      <c r="J91" s="263"/>
      <c r="K91" s="26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I91" s="264"/>
      <c r="AJ91" s="264"/>
      <c r="AK91" s="264"/>
      <c r="AL91" s="264"/>
      <c r="AM91" s="264"/>
      <c r="AN91" s="264"/>
      <c r="AO91" s="264"/>
      <c r="AP91" s="264"/>
      <c r="AQ91" s="264"/>
      <c r="AR91" s="264"/>
      <c r="AS91" s="264"/>
      <c r="AT91" s="264"/>
      <c r="AU91" s="264"/>
      <c r="AV91" s="38"/>
      <c r="AW91" s="264"/>
      <c r="AX91" s="264"/>
      <c r="AY91" s="264"/>
      <c r="AZ91" s="264"/>
      <c r="BA91" s="38"/>
      <c r="BB91" s="263"/>
      <c r="BC91" s="263"/>
      <c r="BD91" s="263"/>
      <c r="BE91" s="272"/>
      <c r="BF91" s="272"/>
      <c r="BG91" s="272"/>
      <c r="BH91" s="272"/>
      <c r="BI91" s="170">
        <f>BI89-BI90</f>
        <v>824</v>
      </c>
      <c r="BJ91" s="170">
        <f t="shared" ref="BJ91:BO91" si="212">BJ89-BJ90</f>
        <v>1609.0864798895836</v>
      </c>
      <c r="BK91" s="170">
        <f t="shared" si="212"/>
        <v>3198.4550201290249</v>
      </c>
      <c r="BL91" s="170">
        <f t="shared" si="212"/>
        <v>5492.8149218673225</v>
      </c>
      <c r="BM91" s="170">
        <f t="shared" si="212"/>
        <v>9192.5476848767976</v>
      </c>
      <c r="BN91" s="170">
        <f t="shared" si="212"/>
        <v>14017.565634058736</v>
      </c>
      <c r="BO91" s="170">
        <f t="shared" si="212"/>
        <v>18512.133832457002</v>
      </c>
    </row>
    <row r="92" spans="3:67" s="259" customFormat="1">
      <c r="C92" s="237" t="s">
        <v>164</v>
      </c>
      <c r="D92" s="314"/>
      <c r="E92" s="314"/>
      <c r="F92" s="314"/>
      <c r="G92" s="314"/>
      <c r="H92" s="314"/>
      <c r="I92" s="314"/>
      <c r="J92" s="314"/>
      <c r="K92" s="314"/>
      <c r="L92" s="314"/>
      <c r="M92" s="314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5"/>
      <c r="Z92" s="315"/>
      <c r="AA92" s="315"/>
      <c r="AB92" s="315"/>
      <c r="AC92" s="315"/>
      <c r="AD92" s="315"/>
      <c r="AE92" s="315"/>
      <c r="AF92" s="315"/>
      <c r="AG92" s="315"/>
      <c r="AH92" s="315"/>
      <c r="AI92" s="315"/>
      <c r="AJ92" s="315"/>
      <c r="AK92" s="315"/>
      <c r="AL92" s="315"/>
      <c r="AM92" s="315"/>
      <c r="AN92" s="315"/>
      <c r="AO92" s="315"/>
      <c r="AP92" s="315"/>
      <c r="AQ92" s="315"/>
      <c r="AR92" s="315"/>
      <c r="AS92" s="315"/>
      <c r="AT92" s="315"/>
      <c r="AU92" s="315"/>
      <c r="AV92" s="237"/>
      <c r="AW92" s="315"/>
      <c r="AX92" s="315"/>
      <c r="AY92" s="315"/>
      <c r="AZ92" s="315"/>
      <c r="BA92" s="237"/>
      <c r="BB92" s="314"/>
      <c r="BC92" s="314"/>
      <c r="BD92" s="314"/>
      <c r="BE92" s="316"/>
      <c r="BF92" s="316"/>
      <c r="BG92" s="316"/>
      <c r="BH92" s="316"/>
      <c r="BI92" s="316"/>
      <c r="BJ92" s="105">
        <f>BJ89/BI89-1</f>
        <v>0.47106227106227117</v>
      </c>
      <c r="BK92" s="105">
        <f t="shared" ref="BK92:BO92" si="213">BK89/BJ89-1</f>
        <v>0.24463521417555434</v>
      </c>
      <c r="BL92" s="105">
        <f t="shared" si="213"/>
        <v>0.39299341373038721</v>
      </c>
      <c r="BM92" s="105">
        <f t="shared" si="213"/>
        <v>0.55548406878696799</v>
      </c>
      <c r="BN92" s="105">
        <f t="shared" si="213"/>
        <v>0.46721718018450331</v>
      </c>
      <c r="BO92" s="105">
        <f t="shared" si="213"/>
        <v>0.30356298176466057</v>
      </c>
    </row>
    <row r="93" spans="3:67" s="259" customFormat="1">
      <c r="C93" s="237" t="s">
        <v>285</v>
      </c>
      <c r="D93" s="314"/>
      <c r="E93" s="314"/>
      <c r="F93" s="314"/>
      <c r="G93" s="314"/>
      <c r="H93" s="314"/>
      <c r="I93" s="314"/>
      <c r="J93" s="314"/>
      <c r="K93" s="314"/>
      <c r="L93" s="314"/>
      <c r="M93" s="314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5"/>
      <c r="Z93" s="315"/>
      <c r="AA93" s="315"/>
      <c r="AB93" s="315"/>
      <c r="AC93" s="315"/>
      <c r="AD93" s="315"/>
      <c r="AE93" s="315"/>
      <c r="AF93" s="315"/>
      <c r="AG93" s="315"/>
      <c r="AH93" s="315"/>
      <c r="AI93" s="315"/>
      <c r="AJ93" s="315"/>
      <c r="AK93" s="315"/>
      <c r="AL93" s="315"/>
      <c r="AM93" s="315"/>
      <c r="AN93" s="315"/>
      <c r="AO93" s="315"/>
      <c r="AP93" s="315"/>
      <c r="AQ93" s="315"/>
      <c r="AR93" s="315"/>
      <c r="AS93" s="315"/>
      <c r="AT93" s="315"/>
      <c r="AU93" s="315"/>
      <c r="AV93" s="237"/>
      <c r="AW93" s="315"/>
      <c r="AX93" s="315"/>
      <c r="AY93" s="315"/>
      <c r="AZ93" s="315"/>
      <c r="BA93" s="237"/>
      <c r="BB93" s="314"/>
      <c r="BC93" s="314"/>
      <c r="BD93" s="314"/>
      <c r="BE93" s="316"/>
      <c r="BF93" s="316"/>
      <c r="BG93" s="316"/>
      <c r="BH93" s="316"/>
      <c r="BI93" s="105">
        <f>BI89/BI$89</f>
        <v>1</v>
      </c>
      <c r="BJ93" s="105">
        <f t="shared" ref="BJ93:BO93" si="214">BJ89/BJ$89</f>
        <v>1</v>
      </c>
      <c r="BK93" s="105">
        <f t="shared" si="214"/>
        <v>1</v>
      </c>
      <c r="BL93" s="105">
        <f t="shared" si="214"/>
        <v>1</v>
      </c>
      <c r="BM93" s="105">
        <f t="shared" si="214"/>
        <v>1</v>
      </c>
      <c r="BN93" s="105">
        <f t="shared" si="214"/>
        <v>1</v>
      </c>
      <c r="BO93" s="105">
        <f t="shared" si="214"/>
        <v>1</v>
      </c>
    </row>
    <row r="94" spans="3:67" s="248" customFormat="1">
      <c r="C94" s="38" t="str">
        <f>C90</f>
        <v>Global suppliers</v>
      </c>
      <c r="D94" s="263"/>
      <c r="E94" s="263"/>
      <c r="F94" s="263"/>
      <c r="G94" s="263"/>
      <c r="H94" s="263"/>
      <c r="I94" s="263"/>
      <c r="J94" s="263"/>
      <c r="K94" s="263"/>
      <c r="L94" s="263"/>
      <c r="M94" s="263"/>
      <c r="N94" s="263"/>
      <c r="O94" s="263"/>
      <c r="P94" s="263"/>
      <c r="Q94" s="263"/>
      <c r="R94" s="263"/>
      <c r="S94" s="263"/>
      <c r="T94" s="263"/>
      <c r="U94" s="263"/>
      <c r="V94" s="263"/>
      <c r="W94" s="263"/>
      <c r="X94" s="263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I94" s="264"/>
      <c r="AJ94" s="264"/>
      <c r="AK94" s="264"/>
      <c r="AL94" s="264"/>
      <c r="AM94" s="264"/>
      <c r="AN94" s="264"/>
      <c r="AO94" s="264"/>
      <c r="AP94" s="264"/>
      <c r="AQ94" s="264"/>
      <c r="AR94" s="264"/>
      <c r="AS94" s="264"/>
      <c r="AT94" s="264"/>
      <c r="AU94" s="264"/>
      <c r="AV94" s="38"/>
      <c r="AW94" s="264"/>
      <c r="AX94" s="264"/>
      <c r="AY94" s="264"/>
      <c r="AZ94" s="264"/>
      <c r="BA94" s="38"/>
      <c r="BB94" s="263"/>
      <c r="BC94" s="263"/>
      <c r="BD94" s="263"/>
      <c r="BE94" s="272"/>
      <c r="BF94" s="272"/>
      <c r="BG94" s="272"/>
      <c r="BH94" s="272"/>
      <c r="BI94" s="106">
        <f>1-BI95</f>
        <v>0.69816849816849813</v>
      </c>
      <c r="BJ94" s="106">
        <f>1-BJ95</f>
        <v>0.5993310558043865</v>
      </c>
      <c r="BK94" s="106">
        <f t="shared" ref="BK94:BO94" si="215">1-BK95</f>
        <v>0.36011127293359879</v>
      </c>
      <c r="BL94" s="106">
        <f t="shared" si="215"/>
        <v>0.21112150997771573</v>
      </c>
      <c r="BM94" s="106">
        <f t="shared" si="215"/>
        <v>0.15123888908104033</v>
      </c>
      <c r="BN94" s="106">
        <f t="shared" si="215"/>
        <v>0.11787978270758481</v>
      </c>
      <c r="BO94" s="106">
        <f t="shared" si="215"/>
        <v>0.1063249364827169</v>
      </c>
    </row>
    <row r="95" spans="3:67" s="248" customFormat="1">
      <c r="C95" s="38" t="str">
        <f>C91</f>
        <v>Local suppliers</v>
      </c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I95" s="264"/>
      <c r="AJ95" s="264"/>
      <c r="AK95" s="264"/>
      <c r="AL95" s="264"/>
      <c r="AM95" s="264"/>
      <c r="AN95" s="264"/>
      <c r="AO95" s="264"/>
      <c r="AP95" s="264"/>
      <c r="AQ95" s="264"/>
      <c r="AR95" s="264"/>
      <c r="AS95" s="264"/>
      <c r="AT95" s="264"/>
      <c r="AU95" s="264"/>
      <c r="AV95" s="38"/>
      <c r="AW95" s="264"/>
      <c r="AX95" s="264"/>
      <c r="AY95" s="264"/>
      <c r="AZ95" s="264"/>
      <c r="BA95" s="38"/>
      <c r="BB95" s="263"/>
      <c r="BC95" s="263"/>
      <c r="BD95" s="263"/>
      <c r="BE95" s="272"/>
      <c r="BF95" s="272"/>
      <c r="BG95" s="272"/>
      <c r="BH95" s="272"/>
      <c r="BI95" s="317">
        <v>0.30183150183150181</v>
      </c>
      <c r="BJ95" s="317">
        <v>0.40066894419561344</v>
      </c>
      <c r="BK95" s="317">
        <v>0.63988872706640121</v>
      </c>
      <c r="BL95" s="317">
        <v>0.78887849002228427</v>
      </c>
      <c r="BM95" s="317">
        <v>0.84876111091895967</v>
      </c>
      <c r="BN95" s="317">
        <v>0.88212021729241519</v>
      </c>
      <c r="BO95" s="317">
        <v>0.8936750635172831</v>
      </c>
    </row>
    <row r="96" spans="3:67" s="248" customFormat="1">
      <c r="C96" s="38"/>
      <c r="D96" s="263"/>
      <c r="E96" s="263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I96" s="264"/>
      <c r="AJ96" s="264"/>
      <c r="AK96" s="264"/>
      <c r="AL96" s="264"/>
      <c r="AM96" s="264"/>
      <c r="AN96" s="264"/>
      <c r="AO96" s="264"/>
      <c r="AP96" s="264"/>
      <c r="AQ96" s="264"/>
      <c r="AR96" s="264"/>
      <c r="AS96" s="264"/>
      <c r="AT96" s="264"/>
      <c r="AU96" s="264"/>
      <c r="AV96" s="38"/>
      <c r="AW96" s="264"/>
      <c r="AX96" s="264"/>
      <c r="AY96" s="264"/>
      <c r="AZ96" s="264"/>
      <c r="BA96" s="38"/>
      <c r="BB96" s="263"/>
      <c r="BC96" s="263"/>
      <c r="BD96" s="263"/>
      <c r="BE96" s="272"/>
      <c r="BF96" s="272"/>
      <c r="BG96" s="272"/>
      <c r="BH96" s="272"/>
      <c r="BI96" s="272"/>
      <c r="BJ96" s="272"/>
      <c r="BK96" s="272"/>
      <c r="BL96" s="272"/>
      <c r="BM96" s="272"/>
      <c r="BN96" s="272"/>
      <c r="BO96" s="272"/>
    </row>
    <row r="97" spans="3:67" s="248" customFormat="1">
      <c r="C97" s="266" t="s">
        <v>726</v>
      </c>
      <c r="D97" s="324"/>
      <c r="E97" s="324"/>
      <c r="F97" s="324"/>
      <c r="G97" s="324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324"/>
      <c r="Y97" s="325"/>
      <c r="Z97" s="325"/>
      <c r="AA97" s="325"/>
      <c r="AB97" s="325"/>
      <c r="AC97" s="325"/>
      <c r="AD97" s="325"/>
      <c r="AE97" s="325"/>
      <c r="AF97" s="325"/>
      <c r="AG97" s="325"/>
      <c r="AH97" s="325"/>
      <c r="AI97" s="325"/>
      <c r="AJ97" s="325"/>
      <c r="AK97" s="325"/>
      <c r="AL97" s="325"/>
      <c r="AM97" s="325"/>
      <c r="AN97" s="325"/>
      <c r="AO97" s="325"/>
      <c r="AP97" s="325"/>
      <c r="AQ97" s="325"/>
      <c r="AR97" s="325"/>
      <c r="AS97" s="325"/>
      <c r="AT97" s="325"/>
      <c r="AU97" s="325"/>
      <c r="AV97" s="266"/>
      <c r="AW97" s="325"/>
      <c r="AX97" s="325"/>
      <c r="AY97" s="325"/>
      <c r="AZ97" s="325"/>
      <c r="BA97" s="266"/>
      <c r="BB97" s="324"/>
      <c r="BC97" s="324"/>
      <c r="BD97" s="324"/>
      <c r="BE97" s="326"/>
      <c r="BF97" s="326"/>
      <c r="BG97" s="326"/>
      <c r="BH97" s="326"/>
      <c r="BI97" s="313">
        <f>BI71/BI89</f>
        <v>1.4264102564102566E-2</v>
      </c>
      <c r="BJ97" s="313">
        <f t="shared" ref="BJ97:BO97" si="216">BJ71/BJ89</f>
        <v>2.9242031872509962E-2</v>
      </c>
      <c r="BK97" s="313">
        <f t="shared" si="216"/>
        <v>8.1028884205665619E-2</v>
      </c>
      <c r="BL97" s="313">
        <f t="shared" si="216"/>
        <v>0.1483032138474939</v>
      </c>
      <c r="BM97" s="313">
        <f t="shared" si="216"/>
        <v>0.17161589133707073</v>
      </c>
      <c r="BN97" s="313">
        <f t="shared" si="216"/>
        <v>0.16375370403015996</v>
      </c>
      <c r="BO97" s="313">
        <f t="shared" si="216"/>
        <v>0.15074411254773418</v>
      </c>
    </row>
    <row r="98" spans="3:67" s="248" customFormat="1">
      <c r="C98" s="266" t="s">
        <v>727</v>
      </c>
      <c r="D98" s="324"/>
      <c r="E98" s="324"/>
      <c r="F98" s="324"/>
      <c r="G98" s="324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  <c r="T98" s="324"/>
      <c r="U98" s="324"/>
      <c r="V98" s="324"/>
      <c r="W98" s="324"/>
      <c r="X98" s="324"/>
      <c r="Y98" s="325"/>
      <c r="Z98" s="325"/>
      <c r="AA98" s="325"/>
      <c r="AB98" s="325"/>
      <c r="AC98" s="325"/>
      <c r="AD98" s="325"/>
      <c r="AE98" s="325"/>
      <c r="AF98" s="325"/>
      <c r="AG98" s="325"/>
      <c r="AH98" s="325"/>
      <c r="AI98" s="325"/>
      <c r="AJ98" s="325"/>
      <c r="AK98" s="325"/>
      <c r="AL98" s="325"/>
      <c r="AM98" s="325"/>
      <c r="AN98" s="325"/>
      <c r="AO98" s="325"/>
      <c r="AP98" s="325"/>
      <c r="AQ98" s="325"/>
      <c r="AR98" s="325"/>
      <c r="AS98" s="325"/>
      <c r="AT98" s="325"/>
      <c r="AU98" s="325"/>
      <c r="AV98" s="266"/>
      <c r="AW98" s="325"/>
      <c r="AX98" s="325"/>
      <c r="AY98" s="325"/>
      <c r="AZ98" s="325"/>
      <c r="BA98" s="266"/>
      <c r="BB98" s="324"/>
      <c r="BC98" s="324"/>
      <c r="BD98" s="324"/>
      <c r="BE98" s="326"/>
      <c r="BF98" s="326"/>
      <c r="BG98" s="326"/>
      <c r="BH98" s="326"/>
      <c r="BI98" s="313">
        <f>BI71/BI91</f>
        <v>4.7258495145631074E-2</v>
      </c>
      <c r="BJ98" s="313">
        <f>BJ71/BJ91</f>
        <v>7.2983025752636072E-2</v>
      </c>
      <c r="BK98" s="313">
        <f t="shared" ref="BK98:BO98" si="217">BK71/BK91</f>
        <v>0.12662964790323186</v>
      </c>
      <c r="BL98" s="313">
        <f t="shared" si="217"/>
        <v>0.18799246743729142</v>
      </c>
      <c r="BM98" s="313">
        <f t="shared" si="217"/>
        <v>0.20219575229037176</v>
      </c>
      <c r="BN98" s="313">
        <f t="shared" si="217"/>
        <v>0.18563649355275694</v>
      </c>
      <c r="BO98" s="313">
        <f t="shared" si="217"/>
        <v>0.16867888419583152</v>
      </c>
    </row>
    <row r="99" spans="3:67" s="248" customFormat="1">
      <c r="C99" s="38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I99" s="264"/>
      <c r="AJ99" s="264"/>
      <c r="AK99" s="264"/>
      <c r="AL99" s="264"/>
      <c r="AM99" s="264"/>
      <c r="AN99" s="264"/>
      <c r="AO99" s="264"/>
      <c r="AP99" s="264"/>
      <c r="AQ99" s="264"/>
      <c r="AR99" s="264"/>
      <c r="AS99" s="264"/>
      <c r="AT99" s="264"/>
      <c r="AU99" s="264"/>
      <c r="AV99" s="38"/>
      <c r="AW99" s="264"/>
      <c r="AX99" s="264"/>
      <c r="AY99" s="264"/>
      <c r="AZ99" s="264"/>
      <c r="BA99" s="38"/>
      <c r="BB99" s="263"/>
      <c r="BC99" s="263"/>
      <c r="BD99" s="263"/>
      <c r="BE99" s="272"/>
      <c r="BF99" s="272"/>
      <c r="BG99" s="272"/>
      <c r="BH99" s="272"/>
      <c r="BI99" s="106"/>
      <c r="BJ99" s="106"/>
      <c r="BK99" s="106"/>
      <c r="BL99" s="106"/>
      <c r="BM99" s="106"/>
      <c r="BN99" s="106"/>
      <c r="BO99" s="106"/>
    </row>
    <row r="100" spans="3:67" s="248" customFormat="1">
      <c r="C100" s="318" t="s">
        <v>728</v>
      </c>
      <c r="D100" s="318"/>
      <c r="E100" s="318"/>
      <c r="F100" s="318"/>
      <c r="G100" s="318"/>
      <c r="H100" s="318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318"/>
      <c r="AH100" s="318"/>
      <c r="AI100" s="318"/>
      <c r="AJ100" s="318"/>
      <c r="AK100" s="318"/>
      <c r="AL100" s="318"/>
      <c r="AM100" s="318"/>
      <c r="AN100" s="318"/>
      <c r="AO100" s="318"/>
      <c r="AP100" s="318"/>
      <c r="AQ100" s="318"/>
      <c r="AR100" s="318"/>
      <c r="AS100" s="318"/>
      <c r="AT100" s="318"/>
      <c r="AU100" s="318"/>
      <c r="AV100" s="319"/>
      <c r="AW100" s="318"/>
      <c r="AX100" s="318"/>
      <c r="AY100" s="318"/>
      <c r="AZ100" s="318"/>
      <c r="BA100" s="319"/>
      <c r="BB100" s="318"/>
      <c r="BC100" s="318"/>
      <c r="BD100" s="318"/>
      <c r="BE100" s="318"/>
      <c r="BF100" s="318"/>
      <c r="BG100" s="318"/>
      <c r="BH100" s="318"/>
      <c r="BI100" s="318">
        <v>2024</v>
      </c>
      <c r="BJ100" s="323">
        <v>2025</v>
      </c>
      <c r="BK100" s="323" t="s">
        <v>320</v>
      </c>
      <c r="BL100" s="323" t="s">
        <v>379</v>
      </c>
      <c r="BM100" s="323" t="s">
        <v>380</v>
      </c>
      <c r="BN100" s="323" t="s">
        <v>381</v>
      </c>
      <c r="BO100" s="323" t="s">
        <v>382</v>
      </c>
    </row>
    <row r="101" spans="3:67" s="248" customFormat="1">
      <c r="C101" s="38" t="s">
        <v>729</v>
      </c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  <c r="N101" s="263"/>
      <c r="O101" s="263"/>
      <c r="P101" s="263"/>
      <c r="Q101" s="263"/>
      <c r="R101" s="263"/>
      <c r="S101" s="263"/>
      <c r="T101" s="263"/>
      <c r="U101" s="263"/>
      <c r="V101" s="263"/>
      <c r="W101" s="263"/>
      <c r="X101" s="263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4"/>
      <c r="AK101" s="264"/>
      <c r="AL101" s="264"/>
      <c r="AM101" s="264"/>
      <c r="AN101" s="264"/>
      <c r="AO101" s="264"/>
      <c r="AP101" s="264"/>
      <c r="AQ101" s="264"/>
      <c r="AR101" s="264"/>
      <c r="AS101" s="264"/>
      <c r="AT101" s="264"/>
      <c r="AU101" s="264"/>
      <c r="AV101" s="38"/>
      <c r="AW101" s="264"/>
      <c r="AX101" s="264"/>
      <c r="AY101" s="264"/>
      <c r="AZ101" s="264"/>
      <c r="BA101" s="38"/>
      <c r="BB101" s="263"/>
      <c r="BC101" s="263"/>
      <c r="BD101" s="263"/>
      <c r="BE101" s="272"/>
      <c r="BF101" s="272"/>
      <c r="BG101" s="272"/>
      <c r="BH101" s="272"/>
      <c r="BI101" s="106"/>
      <c r="BJ101" s="93">
        <v>50</v>
      </c>
      <c r="BK101" s="123">
        <f>BJ101+BK102</f>
        <v>80</v>
      </c>
      <c r="BL101" s="123">
        <f t="shared" ref="BL101:BO101" si="218">BK101+BL102</f>
        <v>110</v>
      </c>
      <c r="BM101" s="123">
        <f t="shared" si="218"/>
        <v>140</v>
      </c>
      <c r="BN101" s="123">
        <f t="shared" si="218"/>
        <v>170</v>
      </c>
      <c r="BO101" s="123">
        <f t="shared" si="218"/>
        <v>200</v>
      </c>
    </row>
    <row r="102" spans="3:67" s="248" customFormat="1">
      <c r="C102" s="38" t="s">
        <v>164</v>
      </c>
      <c r="D102" s="263"/>
      <c r="E102" s="263"/>
      <c r="F102" s="263"/>
      <c r="G102" s="263"/>
      <c r="H102" s="263"/>
      <c r="I102" s="263"/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  <c r="U102" s="263"/>
      <c r="V102" s="263"/>
      <c r="W102" s="263"/>
      <c r="X102" s="263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  <c r="AO102" s="264"/>
      <c r="AP102" s="264"/>
      <c r="AQ102" s="264"/>
      <c r="AR102" s="264"/>
      <c r="AS102" s="264"/>
      <c r="AT102" s="264"/>
      <c r="AU102" s="264"/>
      <c r="AV102" s="38"/>
      <c r="AW102" s="264"/>
      <c r="AX102" s="264"/>
      <c r="AY102" s="264"/>
      <c r="AZ102" s="264"/>
      <c r="BA102" s="38"/>
      <c r="BB102" s="263"/>
      <c r="BC102" s="263"/>
      <c r="BD102" s="263"/>
      <c r="BE102" s="272"/>
      <c r="BF102" s="272"/>
      <c r="BG102" s="272"/>
      <c r="BH102" s="272"/>
      <c r="BI102" s="106"/>
      <c r="BJ102" s="106"/>
      <c r="BK102" s="320">
        <v>30</v>
      </c>
      <c r="BL102" s="320">
        <f>BK102</f>
        <v>30</v>
      </c>
      <c r="BM102" s="320">
        <f t="shared" ref="BM102:BO102" si="219">BL102</f>
        <v>30</v>
      </c>
      <c r="BN102" s="320">
        <f t="shared" si="219"/>
        <v>30</v>
      </c>
      <c r="BO102" s="320">
        <f t="shared" si="219"/>
        <v>30</v>
      </c>
    </row>
    <row r="103" spans="3:67" s="248" customFormat="1">
      <c r="C103" s="38" t="s">
        <v>730</v>
      </c>
      <c r="D103" s="263"/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  <c r="U103" s="263"/>
      <c r="V103" s="263"/>
      <c r="W103" s="263"/>
      <c r="X103" s="263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I103" s="264"/>
      <c r="AJ103" s="264"/>
      <c r="AK103" s="264"/>
      <c r="AL103" s="264"/>
      <c r="AM103" s="264"/>
      <c r="AN103" s="264"/>
      <c r="AO103" s="264"/>
      <c r="AP103" s="264"/>
      <c r="AQ103" s="264"/>
      <c r="AR103" s="264"/>
      <c r="AS103" s="264"/>
      <c r="AT103" s="264"/>
      <c r="AU103" s="264"/>
      <c r="AV103" s="38"/>
      <c r="AW103" s="264"/>
      <c r="AX103" s="264"/>
      <c r="AY103" s="264"/>
      <c r="AZ103" s="264"/>
      <c r="BA103" s="38"/>
      <c r="BB103" s="263"/>
      <c r="BC103" s="263"/>
      <c r="BD103" s="263"/>
      <c r="BE103" s="272"/>
      <c r="BF103" s="272"/>
      <c r="BG103" s="272"/>
      <c r="BH103" s="272"/>
      <c r="BI103" s="106"/>
      <c r="BJ103" s="251">
        <v>0.5</v>
      </c>
      <c r="BK103" s="251">
        <v>0.5</v>
      </c>
      <c r="BL103" s="251">
        <v>0.5</v>
      </c>
      <c r="BM103" s="251">
        <v>0.5</v>
      </c>
      <c r="BN103" s="251">
        <v>0.5</v>
      </c>
      <c r="BO103" s="251">
        <v>0.5</v>
      </c>
    </row>
    <row r="104" spans="3:67" s="248" customFormat="1">
      <c r="C104" s="38" t="s">
        <v>731</v>
      </c>
      <c r="D104" s="263"/>
      <c r="E104" s="263"/>
      <c r="F104" s="263"/>
      <c r="G104" s="263"/>
      <c r="H104" s="263"/>
      <c r="I104" s="263"/>
      <c r="J104" s="263"/>
      <c r="K104" s="263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I104" s="264"/>
      <c r="AJ104" s="264"/>
      <c r="AK104" s="264"/>
      <c r="AL104" s="264"/>
      <c r="AM104" s="264"/>
      <c r="AN104" s="264"/>
      <c r="AO104" s="264"/>
      <c r="AP104" s="264"/>
      <c r="AQ104" s="264"/>
      <c r="AR104" s="264"/>
      <c r="AS104" s="264"/>
      <c r="AT104" s="264"/>
      <c r="AU104" s="264"/>
      <c r="AV104" s="38"/>
      <c r="AW104" s="264"/>
      <c r="AX104" s="264"/>
      <c r="AY104" s="264"/>
      <c r="AZ104" s="264"/>
      <c r="BA104" s="38"/>
      <c r="BB104" s="263"/>
      <c r="BC104" s="263"/>
      <c r="BD104" s="263"/>
      <c r="BE104" s="272"/>
      <c r="BF104" s="272"/>
      <c r="BG104" s="272"/>
      <c r="BH104" s="272"/>
      <c r="BI104" s="106"/>
      <c r="BJ104" s="170">
        <f>BJ101*BJ103</f>
        <v>25</v>
      </c>
      <c r="BK104" s="170">
        <f t="shared" ref="BK104:BO104" si="220">BK101*BK103</f>
        <v>40</v>
      </c>
      <c r="BL104" s="170">
        <f t="shared" si="220"/>
        <v>55</v>
      </c>
      <c r="BM104" s="170">
        <f t="shared" si="220"/>
        <v>70</v>
      </c>
      <c r="BN104" s="170">
        <f t="shared" si="220"/>
        <v>85</v>
      </c>
      <c r="BO104" s="170">
        <f t="shared" si="220"/>
        <v>100</v>
      </c>
    </row>
    <row r="105" spans="3:67" s="248" customFormat="1">
      <c r="C105" s="38" t="s">
        <v>732</v>
      </c>
      <c r="D105" s="263"/>
      <c r="E105" s="263"/>
      <c r="F105" s="263"/>
      <c r="G105" s="263"/>
      <c r="H105" s="263"/>
      <c r="I105" s="263"/>
      <c r="J105" s="263"/>
      <c r="K105" s="263"/>
      <c r="L105" s="263"/>
      <c r="M105" s="263"/>
      <c r="N105" s="263"/>
      <c r="O105" s="263"/>
      <c r="P105" s="263"/>
      <c r="Q105" s="263"/>
      <c r="R105" s="263"/>
      <c r="S105" s="263"/>
      <c r="T105" s="263"/>
      <c r="U105" s="263"/>
      <c r="V105" s="263"/>
      <c r="W105" s="263"/>
      <c r="X105" s="263"/>
      <c r="Y105" s="264"/>
      <c r="Z105" s="264"/>
      <c r="AA105" s="264"/>
      <c r="AB105" s="264"/>
      <c r="AC105" s="264"/>
      <c r="AD105" s="264"/>
      <c r="AE105" s="264"/>
      <c r="AF105" s="264"/>
      <c r="AG105" s="264"/>
      <c r="AH105" s="264"/>
      <c r="AI105" s="264"/>
      <c r="AJ105" s="264"/>
      <c r="AK105" s="264"/>
      <c r="AL105" s="264"/>
      <c r="AM105" s="264"/>
      <c r="AN105" s="264"/>
      <c r="AO105" s="264"/>
      <c r="AP105" s="264"/>
      <c r="AQ105" s="264"/>
      <c r="AR105" s="264"/>
      <c r="AS105" s="264"/>
      <c r="AT105" s="264"/>
      <c r="AU105" s="264"/>
      <c r="AV105" s="38"/>
      <c r="AW105" s="264"/>
      <c r="AX105" s="264"/>
      <c r="AY105" s="264"/>
      <c r="AZ105" s="264"/>
      <c r="BA105" s="38"/>
      <c r="BB105" s="263"/>
      <c r="BC105" s="263"/>
      <c r="BD105" s="263"/>
      <c r="BE105" s="272"/>
      <c r="BF105" s="272"/>
      <c r="BG105" s="272"/>
      <c r="BH105" s="272"/>
      <c r="BI105" s="106"/>
      <c r="BJ105" s="93">
        <v>80</v>
      </c>
      <c r="BK105" s="93">
        <v>80</v>
      </c>
      <c r="BL105" s="93">
        <v>80</v>
      </c>
      <c r="BM105" s="93">
        <v>80</v>
      </c>
      <c r="BN105" s="93">
        <v>80</v>
      </c>
      <c r="BO105" s="93">
        <v>80</v>
      </c>
    </row>
    <row r="106" spans="3:67" s="248" customFormat="1">
      <c r="C106" s="38" t="s">
        <v>733</v>
      </c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3"/>
      <c r="S106" s="263"/>
      <c r="T106" s="263"/>
      <c r="U106" s="263"/>
      <c r="V106" s="263"/>
      <c r="W106" s="263"/>
      <c r="X106" s="263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I106" s="264"/>
      <c r="AJ106" s="264"/>
      <c r="AK106" s="264"/>
      <c r="AL106" s="264"/>
      <c r="AM106" s="264"/>
      <c r="AN106" s="264"/>
      <c r="AO106" s="264"/>
      <c r="AP106" s="264"/>
      <c r="AQ106" s="264"/>
      <c r="AR106" s="264"/>
      <c r="AS106" s="264"/>
      <c r="AT106" s="264"/>
      <c r="AU106" s="264"/>
      <c r="AV106" s="38"/>
      <c r="AW106" s="264"/>
      <c r="AX106" s="264"/>
      <c r="AY106" s="264"/>
      <c r="AZ106" s="264"/>
      <c r="BA106" s="38"/>
      <c r="BB106" s="263"/>
      <c r="BC106" s="263"/>
      <c r="BD106" s="263"/>
      <c r="BE106" s="272"/>
      <c r="BF106" s="272"/>
      <c r="BG106" s="272"/>
      <c r="BH106" s="272"/>
      <c r="BI106" s="106"/>
      <c r="BJ106" s="251">
        <v>0.2</v>
      </c>
      <c r="BK106" s="251">
        <f>BJ106+5%</f>
        <v>0.25</v>
      </c>
      <c r="BL106" s="251">
        <f t="shared" ref="BL106:BO106" si="221">BK106+5%</f>
        <v>0.3</v>
      </c>
      <c r="BM106" s="251">
        <f t="shared" si="221"/>
        <v>0.35</v>
      </c>
      <c r="BN106" s="251">
        <f t="shared" si="221"/>
        <v>0.39999999999999997</v>
      </c>
      <c r="BO106" s="251">
        <f t="shared" si="221"/>
        <v>0.44999999999999996</v>
      </c>
    </row>
    <row r="107" spans="3:67" s="248" customFormat="1">
      <c r="C107" s="38" t="s">
        <v>736</v>
      </c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3"/>
      <c r="S107" s="263"/>
      <c r="T107" s="263"/>
      <c r="U107" s="263"/>
      <c r="V107" s="263"/>
      <c r="W107" s="263"/>
      <c r="X107" s="263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I107" s="264"/>
      <c r="AJ107" s="264"/>
      <c r="AK107" s="264"/>
      <c r="AL107" s="264"/>
      <c r="AM107" s="264"/>
      <c r="AN107" s="264"/>
      <c r="AO107" s="264"/>
      <c r="AP107" s="264"/>
      <c r="AQ107" s="264"/>
      <c r="AR107" s="264"/>
      <c r="AS107" s="264"/>
      <c r="AT107" s="264"/>
      <c r="AU107" s="264"/>
      <c r="AV107" s="38"/>
      <c r="AW107" s="264"/>
      <c r="AX107" s="264"/>
      <c r="AY107" s="264"/>
      <c r="AZ107" s="264"/>
      <c r="BA107" s="38"/>
      <c r="BB107" s="263"/>
      <c r="BC107" s="263"/>
      <c r="BD107" s="263"/>
      <c r="BE107" s="272"/>
      <c r="BF107" s="272"/>
      <c r="BG107" s="272"/>
      <c r="BH107" s="272"/>
      <c r="BI107" s="106"/>
      <c r="BJ107" s="170">
        <f>BJ104*12*BJ105*BJ106</f>
        <v>4800</v>
      </c>
      <c r="BK107" s="170">
        <f t="shared" ref="BK107:BO107" si="222">BK104*12*BK105*BK106</f>
        <v>9600</v>
      </c>
      <c r="BL107" s="170">
        <f t="shared" si="222"/>
        <v>15840</v>
      </c>
      <c r="BM107" s="170">
        <f t="shared" si="222"/>
        <v>23520</v>
      </c>
      <c r="BN107" s="170">
        <f t="shared" si="222"/>
        <v>32639.999999999996</v>
      </c>
      <c r="BO107" s="170">
        <f t="shared" si="222"/>
        <v>43199.999999999993</v>
      </c>
    </row>
    <row r="108" spans="3:67" s="248" customFormat="1">
      <c r="C108" s="38"/>
      <c r="D108" s="263"/>
      <c r="E108" s="263"/>
      <c r="F108" s="263"/>
      <c r="G108" s="263"/>
      <c r="H108" s="263"/>
      <c r="I108" s="263"/>
      <c r="J108" s="263"/>
      <c r="K108" s="263"/>
      <c r="L108" s="263"/>
      <c r="M108" s="263"/>
      <c r="N108" s="263"/>
      <c r="O108" s="263"/>
      <c r="P108" s="263"/>
      <c r="Q108" s="263"/>
      <c r="R108" s="263"/>
      <c r="S108" s="263"/>
      <c r="T108" s="263"/>
      <c r="U108" s="263"/>
      <c r="V108" s="263"/>
      <c r="W108" s="263"/>
      <c r="X108" s="263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I108" s="264"/>
      <c r="AJ108" s="264"/>
      <c r="AK108" s="264"/>
      <c r="AL108" s="264"/>
      <c r="AM108" s="264"/>
      <c r="AN108" s="264"/>
      <c r="AO108" s="264"/>
      <c r="AP108" s="264"/>
      <c r="AQ108" s="264"/>
      <c r="AR108" s="264"/>
      <c r="AS108" s="264"/>
      <c r="AT108" s="264"/>
      <c r="AU108" s="264"/>
      <c r="AV108" s="38"/>
      <c r="AW108" s="264"/>
      <c r="AX108" s="264"/>
      <c r="AY108" s="264"/>
      <c r="AZ108" s="264"/>
      <c r="BA108" s="38"/>
      <c r="BB108" s="263"/>
      <c r="BC108" s="263"/>
      <c r="BD108" s="263"/>
      <c r="BE108" s="272"/>
      <c r="BF108" s="272"/>
      <c r="BG108" s="272"/>
      <c r="BH108" s="272"/>
      <c r="BI108" s="106"/>
      <c r="BJ108" s="106"/>
      <c r="BK108" s="106"/>
      <c r="BL108" s="106"/>
      <c r="BM108" s="106"/>
      <c r="BN108" s="106"/>
      <c r="BO108" s="106"/>
    </row>
    <row r="109" spans="3:67" s="259" customFormat="1">
      <c r="C109" s="237" t="s">
        <v>737</v>
      </c>
      <c r="D109" s="314"/>
      <c r="E109" s="314"/>
      <c r="F109" s="314"/>
      <c r="G109" s="314"/>
      <c r="H109" s="314"/>
      <c r="I109" s="314"/>
      <c r="J109" s="314"/>
      <c r="K109" s="314"/>
      <c r="L109" s="314"/>
      <c r="M109" s="314"/>
      <c r="N109" s="314"/>
      <c r="O109" s="314"/>
      <c r="P109" s="314"/>
      <c r="Q109" s="314"/>
      <c r="R109" s="314"/>
      <c r="S109" s="314"/>
      <c r="T109" s="314"/>
      <c r="U109" s="314"/>
      <c r="V109" s="314"/>
      <c r="W109" s="314"/>
      <c r="X109" s="314"/>
      <c r="Y109" s="315"/>
      <c r="Z109" s="315"/>
      <c r="AA109" s="315"/>
      <c r="AB109" s="315"/>
      <c r="AC109" s="315"/>
      <c r="AD109" s="315"/>
      <c r="AE109" s="315"/>
      <c r="AF109" s="315"/>
      <c r="AG109" s="315"/>
      <c r="AH109" s="315"/>
      <c r="AI109" s="315"/>
      <c r="AJ109" s="315"/>
      <c r="AK109" s="315"/>
      <c r="AL109" s="315"/>
      <c r="AM109" s="315"/>
      <c r="AN109" s="315"/>
      <c r="AO109" s="315"/>
      <c r="AP109" s="315"/>
      <c r="AQ109" s="315"/>
      <c r="AR109" s="315"/>
      <c r="AS109" s="315"/>
      <c r="AT109" s="315"/>
      <c r="AU109" s="315"/>
      <c r="AV109" s="237"/>
      <c r="AW109" s="315"/>
      <c r="AX109" s="315"/>
      <c r="AY109" s="315"/>
      <c r="AZ109" s="315"/>
      <c r="BA109" s="237"/>
      <c r="BB109" s="314"/>
      <c r="BC109" s="314"/>
      <c r="BD109" s="314"/>
      <c r="BE109" s="316"/>
      <c r="BF109" s="316"/>
      <c r="BG109" s="316"/>
      <c r="BH109" s="316"/>
      <c r="BI109" s="105"/>
      <c r="BJ109" s="105"/>
      <c r="BK109" s="105"/>
      <c r="BL109" s="105"/>
      <c r="BM109" s="105"/>
      <c r="BN109" s="105"/>
      <c r="BO109" s="105"/>
    </row>
    <row r="110" spans="3:67" s="248" customFormat="1">
      <c r="C110" s="38" t="s">
        <v>734</v>
      </c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263"/>
      <c r="O110" s="263"/>
      <c r="P110" s="263"/>
      <c r="Q110" s="263"/>
      <c r="R110" s="263"/>
      <c r="S110" s="263"/>
      <c r="T110" s="263"/>
      <c r="U110" s="263"/>
      <c r="V110" s="263"/>
      <c r="W110" s="263"/>
      <c r="X110" s="263"/>
      <c r="Y110" s="264"/>
      <c r="Z110" s="264"/>
      <c r="AA110" s="264"/>
      <c r="AB110" s="264"/>
      <c r="AC110" s="264"/>
      <c r="AD110" s="264"/>
      <c r="AE110" s="264"/>
      <c r="AF110" s="264"/>
      <c r="AG110" s="264"/>
      <c r="AH110" s="264"/>
      <c r="AI110" s="264"/>
      <c r="AJ110" s="264"/>
      <c r="AK110" s="264"/>
      <c r="AL110" s="264"/>
      <c r="AM110" s="264"/>
      <c r="AN110" s="264"/>
      <c r="AO110" s="264"/>
      <c r="AP110" s="264"/>
      <c r="AQ110" s="264"/>
      <c r="AR110" s="264"/>
      <c r="AS110" s="264"/>
      <c r="AT110" s="264"/>
      <c r="AU110" s="264"/>
      <c r="AV110" s="38"/>
      <c r="AW110" s="264"/>
      <c r="AX110" s="264"/>
      <c r="AY110" s="264"/>
      <c r="AZ110" s="264"/>
      <c r="BA110" s="38"/>
      <c r="BB110" s="263"/>
      <c r="BC110" s="263"/>
      <c r="BD110" s="263"/>
      <c r="BE110" s="272"/>
      <c r="BF110" s="272"/>
      <c r="BG110" s="272"/>
      <c r="BH110" s="272"/>
      <c r="BI110" s="106"/>
      <c r="BJ110" s="93">
        <f>600*2</f>
        <v>1200</v>
      </c>
      <c r="BK110" s="93">
        <f>BJ110*2</f>
        <v>2400</v>
      </c>
      <c r="BL110" s="93">
        <f t="shared" ref="BL110" si="223">BK110*2</f>
        <v>4800</v>
      </c>
      <c r="BM110" s="93">
        <f t="shared" ref="BM110:BO111" si="224">BL110*1.5</f>
        <v>7200</v>
      </c>
      <c r="BN110" s="93">
        <f t="shared" si="224"/>
        <v>10800</v>
      </c>
      <c r="BO110" s="93">
        <f t="shared" si="224"/>
        <v>16200</v>
      </c>
    </row>
    <row r="111" spans="3:67" s="248" customFormat="1">
      <c r="C111" s="38" t="s">
        <v>735</v>
      </c>
      <c r="D111" s="263"/>
      <c r="E111" s="263"/>
      <c r="F111" s="263"/>
      <c r="G111" s="263"/>
      <c r="H111" s="263"/>
      <c r="I111" s="263"/>
      <c r="J111" s="263"/>
      <c r="K111" s="263"/>
      <c r="L111" s="263"/>
      <c r="M111" s="263"/>
      <c r="N111" s="263"/>
      <c r="O111" s="263"/>
      <c r="P111" s="263"/>
      <c r="Q111" s="263"/>
      <c r="R111" s="263"/>
      <c r="S111" s="263"/>
      <c r="T111" s="263"/>
      <c r="U111" s="263"/>
      <c r="V111" s="263"/>
      <c r="W111" s="263"/>
      <c r="X111" s="263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I111" s="264"/>
      <c r="AJ111" s="264"/>
      <c r="AK111" s="264"/>
      <c r="AL111" s="264"/>
      <c r="AM111" s="264"/>
      <c r="AN111" s="264"/>
      <c r="AO111" s="264"/>
      <c r="AP111" s="264"/>
      <c r="AQ111" s="264"/>
      <c r="AR111" s="264"/>
      <c r="AS111" s="264"/>
      <c r="AT111" s="264"/>
      <c r="AU111" s="264"/>
      <c r="AV111" s="38"/>
      <c r="AW111" s="264"/>
      <c r="AX111" s="264"/>
      <c r="AY111" s="264"/>
      <c r="AZ111" s="264"/>
      <c r="BA111" s="38"/>
      <c r="BB111" s="263"/>
      <c r="BC111" s="263"/>
      <c r="BD111" s="263"/>
      <c r="BE111" s="272"/>
      <c r="BF111" s="272"/>
      <c r="BG111" s="272"/>
      <c r="BH111" s="272"/>
      <c r="BI111" s="106"/>
      <c r="BJ111" s="93">
        <v>210</v>
      </c>
      <c r="BK111" s="93">
        <f>BJ111*2</f>
        <v>420</v>
      </c>
      <c r="BL111" s="93">
        <f t="shared" ref="BL111" si="225">BK111*2</f>
        <v>840</v>
      </c>
      <c r="BM111" s="93">
        <f t="shared" si="224"/>
        <v>1260</v>
      </c>
      <c r="BN111" s="93">
        <f t="shared" si="224"/>
        <v>1890</v>
      </c>
      <c r="BO111" s="93">
        <f t="shared" si="224"/>
        <v>2835</v>
      </c>
    </row>
    <row r="112" spans="3:67" s="248" customFormat="1">
      <c r="C112" s="38" t="s">
        <v>418</v>
      </c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  <c r="AO112" s="264"/>
      <c r="AP112" s="264"/>
      <c r="AQ112" s="264"/>
      <c r="AR112" s="264"/>
      <c r="AS112" s="264"/>
      <c r="AT112" s="264"/>
      <c r="AU112" s="264"/>
      <c r="AV112" s="38"/>
      <c r="AW112" s="264"/>
      <c r="AX112" s="264"/>
      <c r="AY112" s="264"/>
      <c r="AZ112" s="264"/>
      <c r="BA112" s="38"/>
      <c r="BB112" s="263"/>
      <c r="BC112" s="263"/>
      <c r="BD112" s="263"/>
      <c r="BE112" s="272"/>
      <c r="BF112" s="272"/>
      <c r="BG112" s="272"/>
      <c r="BH112" s="272"/>
      <c r="BI112" s="106"/>
      <c r="BJ112" s="123">
        <f>BJ71</f>
        <v>117.43600000000001</v>
      </c>
      <c r="BK112" s="123">
        <f>BK71</f>
        <v>405.01923303326282</v>
      </c>
      <c r="BL112" s="123">
        <f t="shared" ref="BL112:BO112" si="226">BL71</f>
        <v>1032.607830338211</v>
      </c>
      <c r="BM112" s="123">
        <f t="shared" si="226"/>
        <v>1858.6940946087793</v>
      </c>
      <c r="BN112" s="123">
        <f t="shared" si="226"/>
        <v>2602.1717324522915</v>
      </c>
      <c r="BO112" s="123">
        <f t="shared" si="226"/>
        <v>3122.6060789427493</v>
      </c>
    </row>
    <row r="113" spans="3:67" s="248" customFormat="1">
      <c r="C113" s="38" t="s">
        <v>738</v>
      </c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263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I113" s="264"/>
      <c r="AJ113" s="264"/>
      <c r="AK113" s="264"/>
      <c r="AL113" s="264"/>
      <c r="AM113" s="264"/>
      <c r="AN113" s="264"/>
      <c r="AO113" s="264"/>
      <c r="AP113" s="264"/>
      <c r="AQ113" s="264"/>
      <c r="AR113" s="264"/>
      <c r="AS113" s="264"/>
      <c r="AT113" s="264"/>
      <c r="AU113" s="264"/>
      <c r="AV113" s="38"/>
      <c r="AW113" s="264"/>
      <c r="AX113" s="264"/>
      <c r="AY113" s="264"/>
      <c r="AZ113" s="264"/>
      <c r="BA113" s="38"/>
      <c r="BB113" s="263"/>
      <c r="BC113" s="263"/>
      <c r="BD113" s="263"/>
      <c r="BE113" s="272"/>
      <c r="BF113" s="272"/>
      <c r="BG113" s="272"/>
      <c r="BH113" s="272"/>
      <c r="BI113" s="106"/>
      <c r="BJ113" s="106">
        <f>SUM(BJ110:BJ112)/BJ107</f>
        <v>0.31821583333333331</v>
      </c>
      <c r="BK113" s="106">
        <f>SUM(BK110:BK112)/BK107</f>
        <v>0.3359395034409649</v>
      </c>
      <c r="BL113" s="106">
        <f t="shared" ref="BL113:BO113" si="227">SUM(BL110:BL112)/BL107</f>
        <v>0.42125049433953354</v>
      </c>
      <c r="BM113" s="106">
        <f t="shared" si="227"/>
        <v>0.43871998701567944</v>
      </c>
      <c r="BN113" s="106">
        <f t="shared" si="227"/>
        <v>0.46851016337170015</v>
      </c>
      <c r="BO113" s="106">
        <f t="shared" si="227"/>
        <v>0.51290754812367489</v>
      </c>
    </row>
    <row r="114" spans="3:67" s="248" customFormat="1">
      <c r="C114" s="38" t="s">
        <v>739</v>
      </c>
      <c r="D114" s="263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3"/>
      <c r="P114" s="263"/>
      <c r="Q114" s="263"/>
      <c r="R114" s="263"/>
      <c r="S114" s="263"/>
      <c r="T114" s="263"/>
      <c r="U114" s="263"/>
      <c r="V114" s="263"/>
      <c r="W114" s="263"/>
      <c r="X114" s="263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I114" s="264"/>
      <c r="AJ114" s="264"/>
      <c r="AK114" s="264"/>
      <c r="AL114" s="264"/>
      <c r="AM114" s="264"/>
      <c r="AN114" s="264"/>
      <c r="AO114" s="264"/>
      <c r="AP114" s="264"/>
      <c r="AQ114" s="264"/>
      <c r="AR114" s="264"/>
      <c r="AS114" s="264"/>
      <c r="AT114" s="264"/>
      <c r="AU114" s="264"/>
      <c r="AV114" s="38"/>
      <c r="AW114" s="264"/>
      <c r="AX114" s="264"/>
      <c r="AY114" s="264"/>
      <c r="AZ114" s="264"/>
      <c r="BA114" s="38"/>
      <c r="BB114" s="263"/>
      <c r="BC114" s="263"/>
      <c r="BD114" s="263"/>
      <c r="BE114" s="272"/>
      <c r="BF114" s="272"/>
      <c r="BG114" s="272"/>
      <c r="BH114" s="272"/>
      <c r="BI114" s="106"/>
      <c r="BJ114" s="106">
        <f>BJ112/BJ107</f>
        <v>2.4465833333333336E-2</v>
      </c>
      <c r="BK114" s="106">
        <f>BK112/BK107</f>
        <v>4.2189503440964879E-2</v>
      </c>
      <c r="BL114" s="106">
        <f t="shared" ref="BL114:BN114" si="228">BL112/BL107</f>
        <v>6.5189888278927466E-2</v>
      </c>
      <c r="BM114" s="106">
        <f t="shared" si="228"/>
        <v>7.9026109464658989E-2</v>
      </c>
      <c r="BN114" s="106">
        <f t="shared" si="228"/>
        <v>7.9723398665817763E-2</v>
      </c>
      <c r="BO114" s="106">
        <f>BO112/BO107</f>
        <v>7.2282548123674767E-2</v>
      </c>
    </row>
    <row r="115" spans="3:67" s="248" customFormat="1">
      <c r="C115" s="38"/>
      <c r="D115" s="263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4"/>
      <c r="Z115" s="264"/>
      <c r="AA115" s="264"/>
      <c r="AB115" s="264"/>
      <c r="AC115" s="264"/>
      <c r="AD115" s="264"/>
      <c r="AE115" s="264"/>
      <c r="AF115" s="264"/>
      <c r="AG115" s="264"/>
      <c r="AH115" s="264"/>
      <c r="AI115" s="264"/>
      <c r="AJ115" s="264"/>
      <c r="AK115" s="264"/>
      <c r="AL115" s="264"/>
      <c r="AM115" s="264"/>
      <c r="AN115" s="264"/>
      <c r="AO115" s="264"/>
      <c r="AP115" s="264"/>
      <c r="AQ115" s="264"/>
      <c r="AR115" s="264"/>
      <c r="AS115" s="264"/>
      <c r="AT115" s="264"/>
      <c r="AU115" s="264"/>
      <c r="AV115" s="38"/>
      <c r="AW115" s="264"/>
      <c r="AX115" s="264"/>
      <c r="AY115" s="264"/>
      <c r="AZ115" s="264"/>
      <c r="BA115" s="38"/>
      <c r="BB115" s="263"/>
      <c r="BC115" s="263"/>
      <c r="BD115" s="263"/>
      <c r="BE115" s="272"/>
      <c r="BF115" s="272"/>
      <c r="BG115" s="272"/>
      <c r="BH115" s="272"/>
      <c r="BI115" s="272"/>
      <c r="BJ115" s="272"/>
      <c r="BK115" s="272"/>
      <c r="BL115" s="272"/>
      <c r="BM115" s="272"/>
      <c r="BN115" s="272"/>
      <c r="BO115" s="272"/>
    </row>
    <row r="116" spans="3:67" s="266" customFormat="1">
      <c r="C116" s="265" t="str">
        <f>C7</f>
        <v>Cloud - Chips and accelerator</v>
      </c>
      <c r="D116" s="265"/>
      <c r="E116" s="265"/>
      <c r="F116" s="265"/>
      <c r="G116" s="265"/>
      <c r="H116" s="265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  <c r="AJ116" s="265"/>
      <c r="AK116" s="265"/>
      <c r="AL116" s="265"/>
      <c r="AM116" s="265"/>
      <c r="AN116" s="265"/>
      <c r="AO116" s="265"/>
      <c r="AP116" s="265"/>
      <c r="AQ116" s="265"/>
      <c r="AR116" s="265"/>
      <c r="AS116" s="265"/>
      <c r="AT116" s="265"/>
      <c r="AU116" s="265"/>
      <c r="AV116" s="38"/>
      <c r="AW116" s="265"/>
      <c r="AX116" s="265"/>
      <c r="AY116" s="265"/>
      <c r="AZ116" s="265"/>
      <c r="BA116" s="38"/>
      <c r="BB116" s="265"/>
      <c r="BC116" s="265"/>
      <c r="BD116" s="265"/>
      <c r="BE116" s="265"/>
      <c r="BF116" s="265"/>
      <c r="BG116" s="265"/>
      <c r="BH116" s="265"/>
      <c r="BI116" s="333">
        <v>25.901842580654975</v>
      </c>
      <c r="BJ116" s="333">
        <v>115.93440785993835</v>
      </c>
      <c r="BK116" s="333">
        <v>404.94424719145525</v>
      </c>
      <c r="BL116" s="333">
        <v>1032.6078303382108</v>
      </c>
      <c r="BM116" s="333">
        <v>1858.6940946087793</v>
      </c>
      <c r="BN116" s="333">
        <v>2602.1717324522911</v>
      </c>
      <c r="BO116" s="333">
        <v>3122.6060789427493</v>
      </c>
    </row>
    <row r="117" spans="3:67" s="266" customFormat="1">
      <c r="C117" s="270" t="s">
        <v>348</v>
      </c>
      <c r="D117" s="271">
        <f t="shared" ref="D117:K117" si="229">SUM(D118:D121)</f>
        <v>0.93</v>
      </c>
      <c r="E117" s="271">
        <f t="shared" si="229"/>
        <v>6</v>
      </c>
      <c r="F117" s="271">
        <f t="shared" si="229"/>
        <v>0.52</v>
      </c>
      <c r="G117" s="271">
        <f t="shared" si="229"/>
        <v>2.2999999999999998</v>
      </c>
      <c r="H117" s="271">
        <f t="shared" si="229"/>
        <v>0.55600000000000005</v>
      </c>
      <c r="I117" s="271">
        <f t="shared" si="229"/>
        <v>1.74</v>
      </c>
      <c r="J117" s="271">
        <f t="shared" si="229"/>
        <v>0.38750000000000001</v>
      </c>
      <c r="K117" s="271">
        <f t="shared" si="229"/>
        <v>1.44</v>
      </c>
      <c r="L117" s="271">
        <f t="shared" ref="L117:AI117" si="230">SUM(L118:L125)</f>
        <v>2.2160000000000002</v>
      </c>
      <c r="M117" s="271">
        <f t="shared" si="230"/>
        <v>3.6859999999999999</v>
      </c>
      <c r="N117" s="271">
        <f t="shared" si="230"/>
        <v>1.7475000000000001</v>
      </c>
      <c r="O117" s="271">
        <f>SUM(O118:O125)</f>
        <v>3.3404145546209647</v>
      </c>
      <c r="P117" s="271">
        <f t="shared" si="230"/>
        <v>2.8271800000000002</v>
      </c>
      <c r="Q117" s="271">
        <f t="shared" si="230"/>
        <v>0.51659999999999995</v>
      </c>
      <c r="R117" s="271">
        <f t="shared" si="230"/>
        <v>0.43374999999999997</v>
      </c>
      <c r="S117" s="271">
        <f t="shared" si="230"/>
        <v>0.58222446989331988</v>
      </c>
      <c r="T117" s="271">
        <f t="shared" si="230"/>
        <v>0.65174999999999994</v>
      </c>
      <c r="U117" s="271">
        <f t="shared" si="230"/>
        <v>0.80400349221052647</v>
      </c>
      <c r="V117" s="271">
        <f t="shared" si="230"/>
        <v>2.5047999999999999</v>
      </c>
      <c r="W117" s="271">
        <f t="shared" si="230"/>
        <v>21.941289088444449</v>
      </c>
      <c r="X117" s="271">
        <f t="shared" si="230"/>
        <v>21.879000000000001</v>
      </c>
      <c r="Y117" s="271">
        <f t="shared" si="230"/>
        <v>34.880000549750498</v>
      </c>
      <c r="Z117" s="271">
        <f>SUM(Z118:Z125)</f>
        <v>27.436396986163427</v>
      </c>
      <c r="AA117" s="271">
        <f t="shared" si="230"/>
        <v>31.739010324024417</v>
      </c>
      <c r="AB117" s="271">
        <f t="shared" si="230"/>
        <v>48.491209843377781</v>
      </c>
      <c r="AC117" s="271">
        <f t="shared" si="230"/>
        <v>52.950986638945871</v>
      </c>
      <c r="AD117" s="271">
        <f t="shared" si="230"/>
        <v>137.18198493081712</v>
      </c>
      <c r="AE117" s="271">
        <f t="shared" si="230"/>
        <v>166.39505162012208</v>
      </c>
      <c r="AF117" s="271">
        <f t="shared" si="230"/>
        <v>230.01044429520002</v>
      </c>
      <c r="AG117" s="271">
        <f t="shared" si="230"/>
        <v>232.93090390436328</v>
      </c>
      <c r="AH117" s="271">
        <f t="shared" si="230"/>
        <v>244.04108417735799</v>
      </c>
      <c r="AI117" s="271">
        <f t="shared" si="230"/>
        <v>325.62539796128954</v>
      </c>
      <c r="AJ117" s="271">
        <f t="shared" ref="AJ117:AM117" si="231">SUM(AJ118:AJ125)</f>
        <v>513.82250198641611</v>
      </c>
      <c r="AK117" s="271">
        <f t="shared" si="231"/>
        <v>460.36082816889393</v>
      </c>
      <c r="AL117" s="271">
        <f t="shared" si="231"/>
        <v>418.70991300022564</v>
      </c>
      <c r="AM117" s="271">
        <f t="shared" si="231"/>
        <v>465.80085145324358</v>
      </c>
      <c r="AN117" s="271">
        <f t="shared" ref="AN117:AQ117" si="232">SUM(AN118:AN125)</f>
        <v>730.62302748302011</v>
      </c>
      <c r="AO117" s="271">
        <f t="shared" si="232"/>
        <v>663.02999771111752</v>
      </c>
      <c r="AP117" s="271">
        <f t="shared" si="232"/>
        <v>587.26064125028211</v>
      </c>
      <c r="AQ117" s="271">
        <f t="shared" si="232"/>
        <v>621.25806600787155</v>
      </c>
      <c r="AR117" s="271">
        <f t="shared" ref="AR117:AU117" si="233">SUM(AR118:AR125)</f>
        <v>850.47311450615234</v>
      </c>
      <c r="AS117" s="271">
        <f t="shared" si="233"/>
        <v>799.80439208434041</v>
      </c>
      <c r="AT117" s="271">
        <f t="shared" si="233"/>
        <v>715.81611303781312</v>
      </c>
      <c r="AU117" s="271">
        <f t="shared" si="233"/>
        <v>756.5124593144435</v>
      </c>
      <c r="AV117" s="170"/>
      <c r="AW117" s="271"/>
      <c r="AX117" s="271"/>
      <c r="AY117" s="271"/>
      <c r="AZ117" s="271"/>
      <c r="BA117" s="170"/>
      <c r="BB117" s="271"/>
      <c r="BC117" s="271"/>
      <c r="BD117" s="271"/>
      <c r="BE117" s="271">
        <f>SUM(D117:G117)</f>
        <v>9.75</v>
      </c>
      <c r="BF117" s="271">
        <f>SUM(H117:K117)</f>
        <v>4.1234999999999999</v>
      </c>
      <c r="BG117" s="271">
        <f>SUM(L117:O117)</f>
        <v>10.989914554620965</v>
      </c>
      <c r="BH117" s="271">
        <f>SUM(P117:S117)</f>
        <v>4.3597544698933195</v>
      </c>
      <c r="BI117" s="271">
        <f>SUM(T117:W117)</f>
        <v>25.901842580654975</v>
      </c>
      <c r="BJ117" s="271">
        <f t="shared" ref="BJ117:BJ122" si="234">SUM(X117:AA117)</f>
        <v>115.93440785993835</v>
      </c>
      <c r="BK117" s="238">
        <f t="shared" ref="BK117:BK122" si="235">SUM(AB117:AE117)</f>
        <v>405.01923303326282</v>
      </c>
      <c r="BL117" s="238">
        <f t="shared" ref="BL117:BL125" si="236">SUM(AF117:AI117)</f>
        <v>1032.607830338211</v>
      </c>
      <c r="BM117" s="238">
        <f>SUM(AJ117:AM117)</f>
        <v>1858.6940946087793</v>
      </c>
      <c r="BN117" s="238">
        <f t="shared" ref="BN117" si="237">SUM(AN117:AQ117)</f>
        <v>2602.1717324522915</v>
      </c>
      <c r="BO117" s="238">
        <f t="shared" ref="BO117" si="238">SUM(AR117:AU117)</f>
        <v>3122.6060789427493</v>
      </c>
    </row>
    <row r="118" spans="3:67" s="266" customFormat="1">
      <c r="C118" s="38" t="s">
        <v>451</v>
      </c>
      <c r="D118" s="126">
        <v>0.56000000000000005</v>
      </c>
      <c r="E118" s="126">
        <v>3</v>
      </c>
      <c r="F118" s="126">
        <v>0.25</v>
      </c>
      <c r="G118" s="126">
        <v>1.3</v>
      </c>
      <c r="H118" s="123">
        <f t="shared" ref="H118:Q119" si="239">D118*(1+H128)</f>
        <v>0.11199999999999999</v>
      </c>
      <c r="I118" s="123">
        <f t="shared" si="239"/>
        <v>0.59999999999999987</v>
      </c>
      <c r="J118" s="123">
        <f t="shared" si="239"/>
        <v>4.9999999999999989E-2</v>
      </c>
      <c r="K118" s="123">
        <f t="shared" si="239"/>
        <v>0.25999999999999995</v>
      </c>
      <c r="L118" s="123">
        <f t="shared" si="239"/>
        <v>2.2399999999999993E-2</v>
      </c>
      <c r="M118" s="123">
        <f t="shared" si="239"/>
        <v>0.11999999999999994</v>
      </c>
      <c r="N118" s="123">
        <f t="shared" si="239"/>
        <v>9.999999999999995E-3</v>
      </c>
      <c r="O118" s="123">
        <f t="shared" si="239"/>
        <v>5.1999999999999977E-2</v>
      </c>
      <c r="P118" s="123">
        <f t="shared" si="239"/>
        <v>2.2399999999999989E-3</v>
      </c>
      <c r="Q118" s="123">
        <f t="shared" si="239"/>
        <v>0</v>
      </c>
      <c r="R118" s="123">
        <f t="shared" ref="R118:AA119" si="240">N118*(1+R128)</f>
        <v>0</v>
      </c>
      <c r="S118" s="123">
        <f t="shared" si="240"/>
        <v>0</v>
      </c>
      <c r="T118" s="123">
        <f t="shared" si="240"/>
        <v>0</v>
      </c>
      <c r="U118" s="123">
        <f t="shared" si="240"/>
        <v>0</v>
      </c>
      <c r="V118" s="123">
        <f t="shared" si="240"/>
        <v>0</v>
      </c>
      <c r="W118" s="123">
        <f t="shared" si="240"/>
        <v>0</v>
      </c>
      <c r="X118" s="123">
        <f t="shared" si="240"/>
        <v>0</v>
      </c>
      <c r="Y118" s="123">
        <f t="shared" si="240"/>
        <v>0</v>
      </c>
      <c r="Z118" s="123">
        <f t="shared" si="240"/>
        <v>0</v>
      </c>
      <c r="AA118" s="123">
        <f t="shared" si="240"/>
        <v>0</v>
      </c>
      <c r="AB118" s="123">
        <f t="shared" ref="AB118:AI119" si="241">X118*(1+AB128)</f>
        <v>0</v>
      </c>
      <c r="AC118" s="123">
        <f t="shared" si="241"/>
        <v>0</v>
      </c>
      <c r="AD118" s="123">
        <f t="shared" si="241"/>
        <v>0</v>
      </c>
      <c r="AE118" s="123">
        <f t="shared" si="241"/>
        <v>0</v>
      </c>
      <c r="AF118" s="123">
        <f t="shared" si="241"/>
        <v>0</v>
      </c>
      <c r="AG118" s="123">
        <f t="shared" si="241"/>
        <v>0</v>
      </c>
      <c r="AH118" s="123">
        <f t="shared" si="241"/>
        <v>0</v>
      </c>
      <c r="AI118" s="123">
        <f t="shared" si="241"/>
        <v>0</v>
      </c>
      <c r="AJ118" s="123">
        <f t="shared" ref="AJ118:AJ121" si="242">AF118*(1+AJ128)</f>
        <v>0</v>
      </c>
      <c r="AK118" s="123">
        <f t="shared" ref="AK118:AK121" si="243">AG118*(1+AK128)</f>
        <v>0</v>
      </c>
      <c r="AL118" s="123">
        <f t="shared" ref="AL118:AL121" si="244">AH118*(1+AL128)</f>
        <v>0</v>
      </c>
      <c r="AM118" s="123">
        <f t="shared" ref="AM118:AM120" si="245">AI118*(1+AM128)</f>
        <v>0</v>
      </c>
      <c r="AN118" s="123">
        <f t="shared" ref="AN118:AN121" si="246">AJ118*(1+AN128)</f>
        <v>0</v>
      </c>
      <c r="AO118" s="123">
        <f t="shared" ref="AO118:AO121" si="247">AK118*(1+AO128)</f>
        <v>0</v>
      </c>
      <c r="AP118" s="123">
        <f t="shared" ref="AP118:AP121" si="248">AL118*(1+AP128)</f>
        <v>0</v>
      </c>
      <c r="AQ118" s="123">
        <f t="shared" ref="AQ118:AQ120" si="249">AM118*(1+AQ128)</f>
        <v>0</v>
      </c>
      <c r="AR118" s="123">
        <f t="shared" ref="AR118:AR121" si="250">AN118*(1+AR128)</f>
        <v>0</v>
      </c>
      <c r="AS118" s="123">
        <f t="shared" ref="AS118:AS121" si="251">AO118*(1+AS128)</f>
        <v>0</v>
      </c>
      <c r="AT118" s="123">
        <f t="shared" ref="AT118:AT121" si="252">AP118*(1+AT128)</f>
        <v>0</v>
      </c>
      <c r="AU118" s="123">
        <f t="shared" ref="AU118:AU120" si="253">AQ118*(1+AU128)</f>
        <v>0</v>
      </c>
      <c r="AV118" s="38"/>
      <c r="AW118" s="38"/>
      <c r="AX118" s="38"/>
      <c r="AY118" s="38"/>
      <c r="AZ118" s="38"/>
      <c r="BA118" s="38"/>
      <c r="BB118" s="106"/>
      <c r="BC118" s="106"/>
      <c r="BD118" s="38"/>
      <c r="BE118" s="123">
        <f>SUM(D118:G118)</f>
        <v>5.1100000000000003</v>
      </c>
      <c r="BF118" s="123">
        <f>SUM(H118:K118)</f>
        <v>1.0219999999999998</v>
      </c>
      <c r="BG118" s="123">
        <f>SUM(L118:O118)</f>
        <v>0.20439999999999992</v>
      </c>
      <c r="BH118" s="123">
        <f>SUM(P118:S118)</f>
        <v>2.2399999999999989E-3</v>
      </c>
      <c r="BI118" s="229">
        <f>SUM(T118:W118)</f>
        <v>0</v>
      </c>
      <c r="BJ118" s="229">
        <f t="shared" si="234"/>
        <v>0</v>
      </c>
      <c r="BK118" s="229">
        <f t="shared" si="235"/>
        <v>0</v>
      </c>
      <c r="BL118" s="229">
        <f t="shared" si="236"/>
        <v>0</v>
      </c>
      <c r="BM118" s="156">
        <f>SUM(AJ118:AM118)</f>
        <v>0</v>
      </c>
      <c r="BN118" s="156">
        <f t="shared" ref="BN118:BN125" si="254">SUM(AN118:AQ118)</f>
        <v>0</v>
      </c>
      <c r="BO118" s="156">
        <f t="shared" ref="BO118:BO125" si="255">SUM(AR118:AU118)</f>
        <v>0</v>
      </c>
    </row>
    <row r="119" spans="3:67" s="266" customFormat="1">
      <c r="C119" s="38" t="s">
        <v>452</v>
      </c>
      <c r="D119" s="126">
        <v>0.37</v>
      </c>
      <c r="E119" s="126">
        <v>3</v>
      </c>
      <c r="F119" s="126">
        <v>0.27</v>
      </c>
      <c r="G119" s="126">
        <v>1</v>
      </c>
      <c r="H119" s="123">
        <f t="shared" si="239"/>
        <v>0.44400000000000001</v>
      </c>
      <c r="I119" s="123">
        <f t="shared" si="239"/>
        <v>1.1400000000000001</v>
      </c>
      <c r="J119" s="123">
        <f t="shared" si="239"/>
        <v>0.33750000000000002</v>
      </c>
      <c r="K119" s="123">
        <f t="shared" si="239"/>
        <v>0.48</v>
      </c>
      <c r="L119" s="123">
        <f t="shared" si="239"/>
        <v>0.84360000000000002</v>
      </c>
      <c r="M119" s="123">
        <f t="shared" si="239"/>
        <v>2.1659999999999999</v>
      </c>
      <c r="N119" s="123">
        <f t="shared" si="239"/>
        <v>0.33750000000000002</v>
      </c>
      <c r="O119" s="123">
        <f t="shared" si="239"/>
        <v>1.056</v>
      </c>
      <c r="P119" s="124">
        <f t="shared" si="239"/>
        <v>0.33744000000000002</v>
      </c>
      <c r="Q119" s="124">
        <f t="shared" si="239"/>
        <v>0.21659999999999993</v>
      </c>
      <c r="R119" s="124">
        <f t="shared" si="240"/>
        <v>3.3749999999999995E-2</v>
      </c>
      <c r="S119" s="124">
        <f t="shared" si="240"/>
        <v>0.10559999999999999</v>
      </c>
      <c r="T119" s="123">
        <f t="shared" si="240"/>
        <v>0</v>
      </c>
      <c r="U119" s="123">
        <f t="shared" si="240"/>
        <v>0</v>
      </c>
      <c r="V119" s="123">
        <f t="shared" si="240"/>
        <v>0</v>
      </c>
      <c r="W119" s="123">
        <f t="shared" si="240"/>
        <v>0</v>
      </c>
      <c r="X119" s="123">
        <f t="shared" si="240"/>
        <v>0</v>
      </c>
      <c r="Y119" s="123">
        <f t="shared" si="240"/>
        <v>0</v>
      </c>
      <c r="Z119" s="123">
        <f t="shared" si="240"/>
        <v>0</v>
      </c>
      <c r="AA119" s="123">
        <f t="shared" si="240"/>
        <v>0</v>
      </c>
      <c r="AB119" s="123">
        <f t="shared" si="241"/>
        <v>0</v>
      </c>
      <c r="AC119" s="123">
        <f t="shared" si="241"/>
        <v>0</v>
      </c>
      <c r="AD119" s="123">
        <f t="shared" si="241"/>
        <v>0</v>
      </c>
      <c r="AE119" s="123">
        <f t="shared" si="241"/>
        <v>0</v>
      </c>
      <c r="AF119" s="123">
        <f t="shared" si="241"/>
        <v>0</v>
      </c>
      <c r="AG119" s="123">
        <f t="shared" si="241"/>
        <v>0</v>
      </c>
      <c r="AH119" s="123">
        <f t="shared" si="241"/>
        <v>0</v>
      </c>
      <c r="AI119" s="123">
        <f t="shared" si="241"/>
        <v>0</v>
      </c>
      <c r="AJ119" s="123">
        <f t="shared" si="242"/>
        <v>0</v>
      </c>
      <c r="AK119" s="123">
        <f t="shared" si="243"/>
        <v>0</v>
      </c>
      <c r="AL119" s="123">
        <f t="shared" si="244"/>
        <v>0</v>
      </c>
      <c r="AM119" s="123">
        <f t="shared" si="245"/>
        <v>0</v>
      </c>
      <c r="AN119" s="123">
        <f t="shared" si="246"/>
        <v>0</v>
      </c>
      <c r="AO119" s="123">
        <f t="shared" si="247"/>
        <v>0</v>
      </c>
      <c r="AP119" s="123">
        <f t="shared" si="248"/>
        <v>0</v>
      </c>
      <c r="AQ119" s="123">
        <f t="shared" si="249"/>
        <v>0</v>
      </c>
      <c r="AR119" s="123">
        <f t="shared" si="250"/>
        <v>0</v>
      </c>
      <c r="AS119" s="123">
        <f t="shared" si="251"/>
        <v>0</v>
      </c>
      <c r="AT119" s="123">
        <f t="shared" si="252"/>
        <v>0</v>
      </c>
      <c r="AU119" s="123">
        <f t="shared" si="253"/>
        <v>0</v>
      </c>
      <c r="AV119" s="38"/>
      <c r="AW119" s="237"/>
      <c r="AX119" s="237"/>
      <c r="AY119" s="237"/>
      <c r="AZ119" s="237"/>
      <c r="BA119" s="38"/>
      <c r="BB119" s="106"/>
      <c r="BC119" s="106"/>
      <c r="BD119" s="38"/>
      <c r="BE119" s="123">
        <f>SUM(D119:G119)</f>
        <v>4.6400000000000006</v>
      </c>
      <c r="BF119" s="123">
        <f>SUM(H119:K119)</f>
        <v>2.4015</v>
      </c>
      <c r="BG119" s="123">
        <f>SUM(L119:O119)</f>
        <v>4.4031000000000002</v>
      </c>
      <c r="BH119" s="123">
        <f>SUM(P119:S119)</f>
        <v>0.69338999999999995</v>
      </c>
      <c r="BI119" s="229">
        <f>SUM(T119:W119)</f>
        <v>0</v>
      </c>
      <c r="BJ119" s="229">
        <f t="shared" si="234"/>
        <v>0</v>
      </c>
      <c r="BK119" s="229">
        <f t="shared" si="235"/>
        <v>0</v>
      </c>
      <c r="BL119" s="229">
        <f t="shared" si="236"/>
        <v>0</v>
      </c>
      <c r="BM119" s="156">
        <f t="shared" ref="BM119:BM125" si="256">SUM(AJ119:AM119)</f>
        <v>0</v>
      </c>
      <c r="BN119" s="156">
        <f t="shared" si="254"/>
        <v>0</v>
      </c>
      <c r="BO119" s="156">
        <f t="shared" si="255"/>
        <v>0</v>
      </c>
    </row>
    <row r="120" spans="3:67" s="266" customFormat="1">
      <c r="C120" s="38" t="s">
        <v>453</v>
      </c>
      <c r="D120" s="123"/>
      <c r="E120" s="123"/>
      <c r="F120" s="123"/>
      <c r="G120" s="123"/>
      <c r="H120" s="123"/>
      <c r="I120" s="123"/>
      <c r="J120" s="123"/>
      <c r="K120" s="126">
        <v>0.7</v>
      </c>
      <c r="L120" s="126">
        <v>1.35</v>
      </c>
      <c r="M120" s="126">
        <v>1.4</v>
      </c>
      <c r="N120" s="150">
        <v>1.4</v>
      </c>
      <c r="O120" s="124">
        <f>K120*(1+O130)</f>
        <v>1.9599999999999997</v>
      </c>
      <c r="P120" s="124">
        <f t="shared" ref="P120:AI120" si="257">L120*(1+P130)</f>
        <v>2.2275</v>
      </c>
      <c r="Q120" s="124">
        <f t="shared" si="257"/>
        <v>0.13999999999999996</v>
      </c>
      <c r="R120" s="124">
        <f>N120*(1+R130)</f>
        <v>0.13999999999999996</v>
      </c>
      <c r="S120" s="124">
        <f t="shared" si="257"/>
        <v>0.19599999999999992</v>
      </c>
      <c r="T120" s="123">
        <f t="shared" si="257"/>
        <v>0.22274999999999995</v>
      </c>
      <c r="U120" s="123">
        <f t="shared" si="257"/>
        <v>1.3999999999999993E-2</v>
      </c>
      <c r="V120" s="123">
        <f t="shared" si="257"/>
        <v>1.3999999999999993E-2</v>
      </c>
      <c r="W120" s="123">
        <f t="shared" si="257"/>
        <v>1.9599999999999989E-2</v>
      </c>
      <c r="X120" s="123">
        <f>T120*(1+X130)</f>
        <v>0</v>
      </c>
      <c r="Y120" s="123">
        <f t="shared" si="257"/>
        <v>0</v>
      </c>
      <c r="Z120" s="123">
        <f t="shared" si="257"/>
        <v>0</v>
      </c>
      <c r="AA120" s="123">
        <f t="shared" si="257"/>
        <v>0</v>
      </c>
      <c r="AB120" s="123">
        <f t="shared" si="257"/>
        <v>0</v>
      </c>
      <c r="AC120" s="123">
        <f t="shared" si="257"/>
        <v>0</v>
      </c>
      <c r="AD120" s="123">
        <f t="shared" si="257"/>
        <v>0</v>
      </c>
      <c r="AE120" s="123">
        <f t="shared" si="257"/>
        <v>0</v>
      </c>
      <c r="AF120" s="123">
        <f t="shared" si="257"/>
        <v>0</v>
      </c>
      <c r="AG120" s="123">
        <f t="shared" si="257"/>
        <v>0</v>
      </c>
      <c r="AH120" s="123">
        <f t="shared" si="257"/>
        <v>0</v>
      </c>
      <c r="AI120" s="123">
        <f t="shared" si="257"/>
        <v>0</v>
      </c>
      <c r="AJ120" s="123">
        <f t="shared" si="242"/>
        <v>0</v>
      </c>
      <c r="AK120" s="123">
        <f t="shared" si="243"/>
        <v>0</v>
      </c>
      <c r="AL120" s="123">
        <f t="shared" si="244"/>
        <v>0</v>
      </c>
      <c r="AM120" s="123">
        <f t="shared" si="245"/>
        <v>0</v>
      </c>
      <c r="AN120" s="123">
        <f t="shared" si="246"/>
        <v>0</v>
      </c>
      <c r="AO120" s="123">
        <f t="shared" si="247"/>
        <v>0</v>
      </c>
      <c r="AP120" s="123">
        <f t="shared" si="248"/>
        <v>0</v>
      </c>
      <c r="AQ120" s="123">
        <f t="shared" si="249"/>
        <v>0</v>
      </c>
      <c r="AR120" s="123">
        <f t="shared" si="250"/>
        <v>0</v>
      </c>
      <c r="AS120" s="123">
        <f t="shared" si="251"/>
        <v>0</v>
      </c>
      <c r="AT120" s="123">
        <f t="shared" si="252"/>
        <v>0</v>
      </c>
      <c r="AU120" s="123">
        <f t="shared" si="253"/>
        <v>0</v>
      </c>
      <c r="AV120" s="237"/>
      <c r="AW120" s="237"/>
      <c r="AX120" s="237"/>
      <c r="AY120" s="237"/>
      <c r="AZ120" s="237"/>
      <c r="BA120" s="237"/>
      <c r="BB120" s="239"/>
      <c r="BC120" s="239"/>
      <c r="BD120" s="38"/>
      <c r="BE120" s="123">
        <f>SUM(D120:G120)</f>
        <v>0</v>
      </c>
      <c r="BF120" s="123">
        <f>SUM(H120:K120)</f>
        <v>0.7</v>
      </c>
      <c r="BG120" s="123">
        <f>SUM(L120:O120)</f>
        <v>6.11</v>
      </c>
      <c r="BH120" s="123">
        <f>SUM(P120:S120)</f>
        <v>2.7035</v>
      </c>
      <c r="BI120" s="229">
        <f>SUM(T120:W120)</f>
        <v>0.27034999999999992</v>
      </c>
      <c r="BJ120" s="229">
        <f t="shared" si="234"/>
        <v>0</v>
      </c>
      <c r="BK120" s="229">
        <f t="shared" si="235"/>
        <v>0</v>
      </c>
      <c r="BL120" s="229">
        <f t="shared" si="236"/>
        <v>0</v>
      </c>
      <c r="BM120" s="156">
        <f t="shared" si="256"/>
        <v>0</v>
      </c>
      <c r="BN120" s="156">
        <f t="shared" si="254"/>
        <v>0</v>
      </c>
      <c r="BO120" s="156">
        <f t="shared" si="255"/>
        <v>0</v>
      </c>
    </row>
    <row r="121" spans="3:67" s="267" customFormat="1">
      <c r="C121" s="38" t="s">
        <v>479</v>
      </c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272">
        <f>O162*10^3/O141</f>
        <v>0.27241455462096509</v>
      </c>
      <c r="P121" s="150">
        <v>0.26</v>
      </c>
      <c r="Q121" s="150">
        <v>0.16</v>
      </c>
      <c r="R121" s="150">
        <v>0.26</v>
      </c>
      <c r="S121" s="272">
        <f>S162*10^3/S141</f>
        <v>0.28062446989331991</v>
      </c>
      <c r="T121" s="124">
        <f>P121*(1+T131)</f>
        <v>0.42899999999999999</v>
      </c>
      <c r="U121" s="124">
        <f>U162/U141*1000</f>
        <v>0.79000349221052646</v>
      </c>
      <c r="V121" s="124">
        <f>R121*(1+V131)</f>
        <v>2.4908000000000001</v>
      </c>
      <c r="W121" s="170">
        <f>W162/W141*1000</f>
        <v>21.921689088444449</v>
      </c>
      <c r="X121" s="170">
        <f>T121*(1+X131)</f>
        <v>21.879000000000001</v>
      </c>
      <c r="Y121" s="170">
        <f>Y162/Y141*1000</f>
        <v>34.880000549750498</v>
      </c>
      <c r="Z121" s="170">
        <f>Z162/Z141*1000</f>
        <v>27.436396986163427</v>
      </c>
      <c r="AA121" s="170">
        <f>AA162/AA141*1000</f>
        <v>31.739010324024417</v>
      </c>
      <c r="AB121" s="170">
        <f>AB162/AB141*1000</f>
        <v>48.491209843377781</v>
      </c>
      <c r="AC121" s="170">
        <f>AC162/AC141*1000</f>
        <v>52.950986638945871</v>
      </c>
      <c r="AD121" s="170">
        <f>Z121*(1+AD131)</f>
        <v>137.18198493081712</v>
      </c>
      <c r="AE121" s="170">
        <f t="shared" ref="AE121:AH121" si="258">AA121*(1+AE131)</f>
        <v>158.69505162012209</v>
      </c>
      <c r="AF121" s="170">
        <f t="shared" si="258"/>
        <v>218.21044429520001</v>
      </c>
      <c r="AG121" s="170">
        <f t="shared" si="258"/>
        <v>182.68090390436328</v>
      </c>
      <c r="AH121" s="170">
        <f t="shared" si="258"/>
        <v>144.04108417735799</v>
      </c>
      <c r="AI121" s="170">
        <f>BL121-SUM(AF121:AH121)</f>
        <v>163.92539796128949</v>
      </c>
      <c r="AJ121" s="170">
        <f t="shared" si="242"/>
        <v>344.77250198641605</v>
      </c>
      <c r="AK121" s="170">
        <f t="shared" si="243"/>
        <v>288.63582816889397</v>
      </c>
      <c r="AL121" s="170">
        <f t="shared" si="244"/>
        <v>227.58491300022564</v>
      </c>
      <c r="AM121" s="170">
        <f>BM121-SUM(AJ121:AL121)</f>
        <v>249.24985145324354</v>
      </c>
      <c r="AN121" s="170">
        <f t="shared" si="246"/>
        <v>430.96562748302006</v>
      </c>
      <c r="AO121" s="170">
        <f t="shared" si="247"/>
        <v>360.79478521111747</v>
      </c>
      <c r="AP121" s="170">
        <f t="shared" si="248"/>
        <v>284.48114125028206</v>
      </c>
      <c r="AQ121" s="170">
        <f>BN121-SUM(AN121:AP121)</f>
        <v>317.66126650787146</v>
      </c>
      <c r="AR121" s="170">
        <f t="shared" si="250"/>
        <v>478.37184650615228</v>
      </c>
      <c r="AS121" s="170">
        <f t="shared" si="251"/>
        <v>400.4822115843404</v>
      </c>
      <c r="AT121" s="170">
        <f t="shared" si="252"/>
        <v>315.77406678781313</v>
      </c>
      <c r="AU121" s="170">
        <f>BO121-SUM(AR121:AT121)</f>
        <v>355.39118397444349</v>
      </c>
      <c r="AV121" s="237"/>
      <c r="AW121" s="237"/>
      <c r="AX121" s="237"/>
      <c r="AY121" s="237"/>
      <c r="AZ121" s="237"/>
      <c r="BA121" s="237"/>
      <c r="BB121" s="239"/>
      <c r="BC121" s="239"/>
      <c r="BD121" s="38"/>
      <c r="BE121" s="123"/>
      <c r="BF121" s="123"/>
      <c r="BG121" s="123"/>
      <c r="BH121" s="123">
        <f>SUM(P121:S121)</f>
        <v>0.96062446989331995</v>
      </c>
      <c r="BI121" s="229">
        <f>SUM(T121:W121)</f>
        <v>25.631492580654974</v>
      </c>
      <c r="BJ121" s="229">
        <f>SUM(X121:AA121)</f>
        <v>115.93440785993835</v>
      </c>
      <c r="BK121" s="229">
        <f>SUM(AB121:AE121)</f>
        <v>397.31923303326289</v>
      </c>
      <c r="BL121" s="229">
        <f>BL116-BL122</f>
        <v>708.85783033821076</v>
      </c>
      <c r="BM121" s="156">
        <f>BM116-BM122-BM123</f>
        <v>1110.2430946087793</v>
      </c>
      <c r="BN121" s="156">
        <f>BN116-BN122-BN123</f>
        <v>1393.9028204522911</v>
      </c>
      <c r="BO121" s="156">
        <f>BO116-BO122-BO123</f>
        <v>1550.0193088527492</v>
      </c>
    </row>
    <row r="122" spans="3:67" s="156" customFormat="1">
      <c r="C122" s="38" t="s">
        <v>776</v>
      </c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237"/>
      <c r="Q122" s="237"/>
      <c r="R122" s="237"/>
      <c r="S122" s="237"/>
      <c r="T122" s="237"/>
      <c r="U122" s="237"/>
      <c r="V122" s="237"/>
      <c r="W122" s="238"/>
      <c r="X122" s="238"/>
      <c r="Y122" s="238"/>
      <c r="Z122" s="238"/>
      <c r="AA122" s="238"/>
      <c r="AB122" s="238"/>
      <c r="AC122" s="238"/>
      <c r="AD122" s="238"/>
      <c r="AE122" s="75">
        <v>7.7</v>
      </c>
      <c r="AF122" s="75">
        <v>11.8</v>
      </c>
      <c r="AG122" s="75">
        <v>50.25</v>
      </c>
      <c r="AH122" s="75">
        <v>100</v>
      </c>
      <c r="AI122" s="170">
        <f>AE122*(1+AI132)</f>
        <v>161.70000000000002</v>
      </c>
      <c r="AJ122" s="170">
        <f t="shared" ref="AJ122:AU122" si="259">AF122*(1+AJ132)</f>
        <v>165.20000000000002</v>
      </c>
      <c r="AK122" s="170">
        <f t="shared" si="259"/>
        <v>165.82499999999999</v>
      </c>
      <c r="AL122" s="170">
        <f t="shared" si="259"/>
        <v>166</v>
      </c>
      <c r="AM122" s="170">
        <f t="shared" si="259"/>
        <v>166.55100000000002</v>
      </c>
      <c r="AN122" s="170">
        <f t="shared" si="259"/>
        <v>218.80740000000003</v>
      </c>
      <c r="AO122" s="170">
        <f t="shared" si="259"/>
        <v>219.63521249999999</v>
      </c>
      <c r="AP122" s="170">
        <f t="shared" si="259"/>
        <v>219.86699999999999</v>
      </c>
      <c r="AQ122" s="170">
        <f t="shared" si="259"/>
        <v>220.59679950000003</v>
      </c>
      <c r="AR122" s="170">
        <f t="shared" si="259"/>
        <v>288.82576800000004</v>
      </c>
      <c r="AS122" s="170">
        <f t="shared" si="259"/>
        <v>289.91848049999999</v>
      </c>
      <c r="AT122" s="170">
        <f t="shared" si="259"/>
        <v>290.22444000000002</v>
      </c>
      <c r="AU122" s="170">
        <f t="shared" si="259"/>
        <v>291.18777534000003</v>
      </c>
      <c r="AV122" s="237"/>
      <c r="AW122" s="237"/>
      <c r="AX122" s="237"/>
      <c r="AY122" s="237"/>
      <c r="AZ122" s="237"/>
      <c r="BA122" s="237"/>
      <c r="BB122" s="239"/>
      <c r="BC122" s="239"/>
      <c r="BD122" s="38"/>
      <c r="BE122" s="123"/>
      <c r="BF122" s="123"/>
      <c r="BG122" s="123"/>
      <c r="BH122" s="123"/>
      <c r="BI122" s="229"/>
      <c r="BJ122" s="229">
        <f t="shared" si="234"/>
        <v>0</v>
      </c>
      <c r="BK122" s="229">
        <f t="shared" si="235"/>
        <v>7.7</v>
      </c>
      <c r="BL122" s="229">
        <f t="shared" si="236"/>
        <v>323.75</v>
      </c>
      <c r="BM122" s="156">
        <f t="shared" si="256"/>
        <v>663.57600000000002</v>
      </c>
      <c r="BN122" s="156">
        <f t="shared" si="254"/>
        <v>878.90641200000005</v>
      </c>
      <c r="BO122" s="156">
        <f t="shared" si="255"/>
        <v>1160.15646384</v>
      </c>
    </row>
    <row r="123" spans="3:67" s="267" customFormat="1">
      <c r="C123" s="38" t="s">
        <v>777</v>
      </c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237"/>
      <c r="Q123" s="237"/>
      <c r="R123" s="237"/>
      <c r="S123" s="237"/>
      <c r="T123" s="237"/>
      <c r="U123" s="237"/>
      <c r="V123" s="237"/>
      <c r="W123" s="238"/>
      <c r="X123" s="238"/>
      <c r="Y123" s="238"/>
      <c r="Z123" s="238"/>
      <c r="AA123" s="238"/>
      <c r="AB123" s="238"/>
      <c r="AC123" s="238"/>
      <c r="AD123" s="238"/>
      <c r="AE123" s="170"/>
      <c r="AF123" s="170"/>
      <c r="AG123" s="170"/>
      <c r="AH123" s="170"/>
      <c r="AI123" s="170"/>
      <c r="AJ123" s="75">
        <f>AE122/2</f>
        <v>3.85</v>
      </c>
      <c r="AK123" s="75">
        <f t="shared" ref="AK123:AM123" si="260">AF122/2</f>
        <v>5.9</v>
      </c>
      <c r="AL123" s="75">
        <f t="shared" si="260"/>
        <v>25.125</v>
      </c>
      <c r="AM123" s="75">
        <f t="shared" si="260"/>
        <v>50</v>
      </c>
      <c r="AN123" s="170">
        <f t="shared" ref="AN123:AU123" si="261">AJ123*(1+AN133)</f>
        <v>80.850000000000009</v>
      </c>
      <c r="AO123" s="170">
        <f t="shared" si="261"/>
        <v>82.600000000000009</v>
      </c>
      <c r="AP123" s="170">
        <f t="shared" si="261"/>
        <v>82.912499999999994</v>
      </c>
      <c r="AQ123" s="170">
        <f t="shared" si="261"/>
        <v>83</v>
      </c>
      <c r="AR123" s="170">
        <f t="shared" si="261"/>
        <v>83.275500000000008</v>
      </c>
      <c r="AS123" s="170">
        <f t="shared" si="261"/>
        <v>109.40370000000001</v>
      </c>
      <c r="AT123" s="170">
        <f t="shared" si="261"/>
        <v>109.81760625</v>
      </c>
      <c r="AU123" s="170">
        <f t="shared" si="261"/>
        <v>109.9335</v>
      </c>
      <c r="AV123" s="237"/>
      <c r="AW123" s="237"/>
      <c r="AX123" s="237"/>
      <c r="AY123" s="237"/>
      <c r="AZ123" s="237"/>
      <c r="BA123" s="237"/>
      <c r="BB123" s="239"/>
      <c r="BC123" s="239"/>
      <c r="BD123" s="38"/>
      <c r="BE123" s="123"/>
      <c r="BF123" s="123"/>
      <c r="BG123" s="123"/>
      <c r="BH123" s="123"/>
      <c r="BI123" s="229"/>
      <c r="BJ123" s="229"/>
      <c r="BK123" s="229"/>
      <c r="BL123" s="229">
        <f t="shared" si="236"/>
        <v>0</v>
      </c>
      <c r="BM123" s="156">
        <f t="shared" si="256"/>
        <v>84.875</v>
      </c>
      <c r="BN123" s="156">
        <f t="shared" si="254"/>
        <v>329.36250000000001</v>
      </c>
      <c r="BO123" s="156">
        <f t="shared" si="255"/>
        <v>412.43030625</v>
      </c>
    </row>
    <row r="124" spans="3:67">
      <c r="C124" s="38" t="s">
        <v>460</v>
      </c>
      <c r="D124" s="123"/>
      <c r="E124" s="123"/>
      <c r="F124" s="123"/>
      <c r="G124" s="123"/>
      <c r="H124" s="123"/>
      <c r="I124" s="123"/>
      <c r="J124" s="123"/>
      <c r="K124" s="123"/>
      <c r="L124" s="239"/>
      <c r="M124" s="239"/>
      <c r="N124" s="239"/>
      <c r="O124" s="239"/>
      <c r="P124" s="239"/>
      <c r="Q124" s="239"/>
      <c r="R124" s="239"/>
      <c r="S124" s="239"/>
      <c r="T124" s="264"/>
      <c r="U124" s="264"/>
      <c r="V124" s="264"/>
      <c r="W124" s="264"/>
      <c r="X124" s="124"/>
      <c r="Y124" s="124"/>
      <c r="Z124" s="273">
        <v>0</v>
      </c>
      <c r="AA124" s="273">
        <v>0</v>
      </c>
      <c r="AB124" s="274">
        <v>0</v>
      </c>
      <c r="AC124" s="274">
        <v>0</v>
      </c>
      <c r="AD124" s="123">
        <f>Z124*(1+AD134)</f>
        <v>0</v>
      </c>
      <c r="AE124" s="123">
        <f t="shared" ref="AE124:AI124" si="262">AA124*(1+AE134)</f>
        <v>0</v>
      </c>
      <c r="AF124" s="170">
        <f t="shared" si="262"/>
        <v>0</v>
      </c>
      <c r="AG124" s="170">
        <f t="shared" si="262"/>
        <v>0</v>
      </c>
      <c r="AH124" s="170">
        <f t="shared" si="262"/>
        <v>0</v>
      </c>
      <c r="AI124" s="170">
        <f t="shared" si="262"/>
        <v>0</v>
      </c>
      <c r="AJ124" s="170">
        <f t="shared" ref="AJ124:AJ125" si="263">AF124*(1+AJ134)</f>
        <v>0</v>
      </c>
      <c r="AK124" s="170">
        <f t="shared" ref="AK124:AK125" si="264">AG124*(1+AK134)</f>
        <v>0</v>
      </c>
      <c r="AL124" s="170">
        <f t="shared" ref="AL124:AL125" si="265">AH124*(1+AL134)</f>
        <v>0</v>
      </c>
      <c r="AM124" s="170">
        <f t="shared" ref="AM124:AM125" si="266">AI124*(1+AM134)</f>
        <v>0</v>
      </c>
      <c r="AN124" s="170">
        <f t="shared" ref="AN124:AN125" si="267">AJ124*(1+AN134)</f>
        <v>0</v>
      </c>
      <c r="AO124" s="170">
        <f t="shared" ref="AO124:AO125" si="268">AK124*(1+AO134)</f>
        <v>0</v>
      </c>
      <c r="AP124" s="170">
        <f t="shared" ref="AP124:AP125" si="269">AL124*(1+AP134)</f>
        <v>0</v>
      </c>
      <c r="AQ124" s="170">
        <f t="shared" ref="AQ124:AQ125" si="270">AM124*(1+AQ134)</f>
        <v>0</v>
      </c>
      <c r="AR124" s="170">
        <f t="shared" ref="AR124:AR125" si="271">AN124*(1+AR134)</f>
        <v>0</v>
      </c>
      <c r="AS124" s="170">
        <f t="shared" ref="AS124:AS125" si="272">AO124*(1+AS134)</f>
        <v>0</v>
      </c>
      <c r="AT124" s="170">
        <f t="shared" ref="AT124:AT125" si="273">AP124*(1+AT134)</f>
        <v>0</v>
      </c>
      <c r="AU124" s="170">
        <f t="shared" ref="AU124:AU125" si="274">AQ124*(1+AU134)</f>
        <v>0</v>
      </c>
      <c r="AV124" s="237"/>
      <c r="AW124" s="237"/>
      <c r="AX124" s="237"/>
      <c r="AY124" s="237"/>
      <c r="AZ124" s="237"/>
      <c r="BA124" s="237"/>
      <c r="BB124" s="239"/>
      <c r="BC124" s="239"/>
      <c r="BE124" s="123">
        <f>SUM(D124:G124)</f>
        <v>0</v>
      </c>
      <c r="BF124" s="123">
        <f>SUM(H124:K124)</f>
        <v>0</v>
      </c>
      <c r="BG124" s="123">
        <f>SUM(L124:O124)</f>
        <v>0</v>
      </c>
      <c r="BH124" s="123">
        <f>SUM(P124:S124)</f>
        <v>0</v>
      </c>
      <c r="BI124" s="229">
        <f>SUM(T124:W124)</f>
        <v>0</v>
      </c>
      <c r="BJ124" s="229">
        <f>SUM(X124:AA124)</f>
        <v>0</v>
      </c>
      <c r="BK124" s="229">
        <f>SUM(AB124:AE124)</f>
        <v>0</v>
      </c>
      <c r="BL124" s="229">
        <f t="shared" si="236"/>
        <v>0</v>
      </c>
      <c r="BM124" s="156">
        <f t="shared" si="256"/>
        <v>0</v>
      </c>
      <c r="BN124" s="156">
        <f t="shared" si="254"/>
        <v>0</v>
      </c>
      <c r="BO124" s="156">
        <f t="shared" si="255"/>
        <v>0</v>
      </c>
    </row>
    <row r="125" spans="3:67" s="237" customFormat="1" ht="12" customHeight="1">
      <c r="C125" s="38" t="s">
        <v>461</v>
      </c>
      <c r="D125" s="123"/>
      <c r="E125" s="123"/>
      <c r="F125" s="123"/>
      <c r="G125" s="123"/>
      <c r="H125" s="123"/>
      <c r="I125" s="123"/>
      <c r="J125" s="123"/>
      <c r="K125" s="123"/>
      <c r="L125" s="239"/>
      <c r="M125" s="239"/>
      <c r="N125" s="239"/>
      <c r="O125" s="239"/>
      <c r="P125" s="239"/>
      <c r="Q125" s="239"/>
      <c r="R125" s="239"/>
      <c r="S125" s="291"/>
      <c r="T125" s="291"/>
      <c r="U125" s="264"/>
      <c r="V125" s="264"/>
      <c r="W125" s="264"/>
      <c r="X125" s="264"/>
      <c r="Y125" s="124"/>
      <c r="Z125" s="124"/>
      <c r="AA125" s="124"/>
      <c r="AB125" s="274">
        <v>0</v>
      </c>
      <c r="AC125" s="274">
        <v>0</v>
      </c>
      <c r="AD125" s="274">
        <v>0</v>
      </c>
      <c r="AE125" s="274">
        <v>0</v>
      </c>
      <c r="AF125" s="123">
        <f t="shared" ref="AF125:AI125" si="275">AB125*(1+AF135)</f>
        <v>0</v>
      </c>
      <c r="AG125" s="123">
        <f t="shared" si="275"/>
        <v>0</v>
      </c>
      <c r="AH125" s="123">
        <f t="shared" si="275"/>
        <v>0</v>
      </c>
      <c r="AI125" s="123">
        <f t="shared" si="275"/>
        <v>0</v>
      </c>
      <c r="AJ125" s="123">
        <f t="shared" si="263"/>
        <v>0</v>
      </c>
      <c r="AK125" s="123">
        <f t="shared" si="264"/>
        <v>0</v>
      </c>
      <c r="AL125" s="123">
        <f t="shared" si="265"/>
        <v>0</v>
      </c>
      <c r="AM125" s="123">
        <f t="shared" si="266"/>
        <v>0</v>
      </c>
      <c r="AN125" s="123">
        <f t="shared" si="267"/>
        <v>0</v>
      </c>
      <c r="AO125" s="123">
        <f t="shared" si="268"/>
        <v>0</v>
      </c>
      <c r="AP125" s="123">
        <f t="shared" si="269"/>
        <v>0</v>
      </c>
      <c r="AQ125" s="123">
        <f t="shared" si="270"/>
        <v>0</v>
      </c>
      <c r="AR125" s="123">
        <f t="shared" si="271"/>
        <v>0</v>
      </c>
      <c r="AS125" s="123">
        <f t="shared" si="272"/>
        <v>0</v>
      </c>
      <c r="AT125" s="123">
        <f t="shared" si="273"/>
        <v>0</v>
      </c>
      <c r="AU125" s="123">
        <f t="shared" si="274"/>
        <v>0</v>
      </c>
      <c r="BB125" s="239"/>
      <c r="BC125" s="239"/>
      <c r="BD125" s="38"/>
      <c r="BE125" s="123">
        <f>SUM(D125:G125)</f>
        <v>0</v>
      </c>
      <c r="BF125" s="123">
        <f>SUM(H125:K125)</f>
        <v>0</v>
      </c>
      <c r="BG125" s="123">
        <f>SUM(L125:O125)</f>
        <v>0</v>
      </c>
      <c r="BH125" s="123">
        <f>SUM(P125:S125)</f>
        <v>0</v>
      </c>
      <c r="BI125" s="123">
        <f>SUM(T125:W125)</f>
        <v>0</v>
      </c>
      <c r="BJ125" s="123">
        <f>SUM(X125:AA125)</f>
        <v>0</v>
      </c>
      <c r="BK125" s="123">
        <f>SUM(AB125:AE125)</f>
        <v>0</v>
      </c>
      <c r="BL125" s="123">
        <f t="shared" si="236"/>
        <v>0</v>
      </c>
      <c r="BM125" s="156">
        <f t="shared" si="256"/>
        <v>0</v>
      </c>
      <c r="BN125" s="156">
        <f t="shared" si="254"/>
        <v>0</v>
      </c>
      <c r="BO125" s="156">
        <f t="shared" si="255"/>
        <v>0</v>
      </c>
    </row>
    <row r="126" spans="3:67" s="237" customFormat="1" ht="12" customHeight="1">
      <c r="C126" s="38"/>
      <c r="D126" s="123"/>
      <c r="E126" s="123"/>
      <c r="F126" s="123"/>
      <c r="G126" s="123"/>
      <c r="H126" s="123"/>
      <c r="I126" s="123"/>
      <c r="J126" s="123"/>
      <c r="K126" s="123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BB126" s="239"/>
      <c r="BC126" s="239"/>
      <c r="BD126" s="239"/>
      <c r="BE126" s="239"/>
      <c r="BF126" s="271"/>
      <c r="BG126" s="271"/>
      <c r="BH126" s="271"/>
      <c r="BI126" s="271"/>
      <c r="BJ126" s="271"/>
      <c r="BK126" s="271"/>
      <c r="BL126" s="271"/>
      <c r="BM126" s="271"/>
      <c r="BN126" s="271"/>
      <c r="BO126" s="271"/>
    </row>
    <row r="127" spans="3:67" s="237" customFormat="1" ht="12" customHeight="1">
      <c r="C127" s="270" t="s">
        <v>164</v>
      </c>
      <c r="D127" s="38"/>
      <c r="E127" s="38"/>
      <c r="F127" s="38"/>
      <c r="G127" s="38"/>
      <c r="H127" s="275"/>
      <c r="I127" s="275"/>
      <c r="J127" s="275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38"/>
      <c r="AW127" s="38"/>
      <c r="AX127" s="38"/>
      <c r="AY127" s="38"/>
      <c r="AZ127" s="38"/>
      <c r="BA127" s="38"/>
      <c r="BB127" s="106"/>
      <c r="BC127" s="106"/>
      <c r="BD127" s="106"/>
      <c r="BE127" s="106"/>
      <c r="BF127" s="159">
        <f t="shared" ref="BF127:BO129" si="276">BF117/BE117-1</f>
        <v>-0.57707692307692304</v>
      </c>
      <c r="BG127" s="159">
        <f t="shared" si="276"/>
        <v>1.6651908705276988</v>
      </c>
      <c r="BH127" s="159">
        <f t="shared" si="276"/>
        <v>-0.60329496210139699</v>
      </c>
      <c r="BI127" s="159">
        <f t="shared" si="276"/>
        <v>4.9411241526380678</v>
      </c>
      <c r="BJ127" s="159">
        <f t="shared" si="276"/>
        <v>3.4759135377698964</v>
      </c>
      <c r="BK127" s="159">
        <f t="shared" si="276"/>
        <v>2.4935205217295895</v>
      </c>
      <c r="BL127" s="159">
        <f t="shared" si="276"/>
        <v>1.5495278893420021</v>
      </c>
      <c r="BM127" s="159">
        <f t="shared" si="276"/>
        <v>0.7999999999999996</v>
      </c>
      <c r="BN127" s="159">
        <f t="shared" si="276"/>
        <v>0.40000000000000036</v>
      </c>
      <c r="BO127" s="159">
        <f t="shared" si="276"/>
        <v>0.19999999999999973</v>
      </c>
    </row>
    <row r="128" spans="3:67" s="237" customFormat="1" ht="12" customHeight="1">
      <c r="C128" s="38" t="str">
        <f t="shared" ref="C128:C135" si="277">C118</f>
        <v>MLU100 (2018 launched, 16nm)</v>
      </c>
      <c r="D128" s="38"/>
      <c r="E128" s="38"/>
      <c r="F128" s="38"/>
      <c r="G128" s="38"/>
      <c r="H128" s="276">
        <v>-0.8</v>
      </c>
      <c r="I128" s="276">
        <f>H128</f>
        <v>-0.8</v>
      </c>
      <c r="J128" s="276">
        <f>I128</f>
        <v>-0.8</v>
      </c>
      <c r="K128" s="276">
        <f>J128</f>
        <v>-0.8</v>
      </c>
      <c r="L128" s="276">
        <v>-0.8</v>
      </c>
      <c r="M128" s="276">
        <f>L128</f>
        <v>-0.8</v>
      </c>
      <c r="N128" s="276">
        <f>M128</f>
        <v>-0.8</v>
      </c>
      <c r="O128" s="276">
        <f>N128</f>
        <v>-0.8</v>
      </c>
      <c r="P128" s="276">
        <v>-0.9</v>
      </c>
      <c r="Q128" s="276">
        <v>-1</v>
      </c>
      <c r="R128" s="276">
        <f t="shared" ref="R128:AG128" si="278">Q128</f>
        <v>-1</v>
      </c>
      <c r="S128" s="276">
        <f t="shared" si="278"/>
        <v>-1</v>
      </c>
      <c r="T128" s="276">
        <v>-1</v>
      </c>
      <c r="U128" s="276">
        <f t="shared" si="278"/>
        <v>-1</v>
      </c>
      <c r="V128" s="276">
        <f t="shared" si="278"/>
        <v>-1</v>
      </c>
      <c r="W128" s="276">
        <f t="shared" si="278"/>
        <v>-1</v>
      </c>
      <c r="X128" s="276">
        <f t="shared" si="278"/>
        <v>-1</v>
      </c>
      <c r="Y128" s="276">
        <f t="shared" si="278"/>
        <v>-1</v>
      </c>
      <c r="Z128" s="276">
        <f t="shared" si="278"/>
        <v>-1</v>
      </c>
      <c r="AA128" s="276">
        <f t="shared" si="278"/>
        <v>-1</v>
      </c>
      <c r="AB128" s="223">
        <f t="shared" si="278"/>
        <v>-1</v>
      </c>
      <c r="AC128" s="223">
        <f>AB128</f>
        <v>-1</v>
      </c>
      <c r="AD128" s="223">
        <f t="shared" si="278"/>
        <v>-1</v>
      </c>
      <c r="AE128" s="223">
        <f t="shared" si="278"/>
        <v>-1</v>
      </c>
      <c r="AF128" s="223">
        <f t="shared" si="278"/>
        <v>-1</v>
      </c>
      <c r="AG128" s="223">
        <f t="shared" si="278"/>
        <v>-1</v>
      </c>
      <c r="AH128" s="223">
        <f t="shared" ref="AC128:AI130" si="279">AG128</f>
        <v>-1</v>
      </c>
      <c r="AI128" s="223">
        <f t="shared" si="279"/>
        <v>-1</v>
      </c>
      <c r="AJ128" s="223">
        <f t="shared" ref="AJ128:AJ130" si="280">AI128</f>
        <v>-1</v>
      </c>
      <c r="AK128" s="223">
        <f t="shared" ref="AK128:AK130" si="281">AJ128</f>
        <v>-1</v>
      </c>
      <c r="AL128" s="223">
        <f t="shared" ref="AL128:AL130" si="282">AK128</f>
        <v>-1</v>
      </c>
      <c r="AM128" s="223">
        <f t="shared" ref="AM128:AM130" si="283">AL128</f>
        <v>-1</v>
      </c>
      <c r="AN128" s="223">
        <f t="shared" ref="AN128:AN130" si="284">AM128</f>
        <v>-1</v>
      </c>
      <c r="AO128" s="223">
        <f t="shared" ref="AO128:AO131" si="285">AN128</f>
        <v>-1</v>
      </c>
      <c r="AP128" s="223">
        <f t="shared" ref="AP128:AP132" si="286">AO128</f>
        <v>-1</v>
      </c>
      <c r="AQ128" s="223">
        <f t="shared" ref="AQ128:AQ132" si="287">AP128</f>
        <v>-1</v>
      </c>
      <c r="AR128" s="223">
        <f t="shared" ref="AR128:AR130" si="288">AQ128</f>
        <v>-1</v>
      </c>
      <c r="AS128" s="223">
        <f t="shared" ref="AS128:AS132" si="289">AR128</f>
        <v>-1</v>
      </c>
      <c r="AT128" s="223">
        <f t="shared" ref="AT128:AT132" si="290">AS128</f>
        <v>-1</v>
      </c>
      <c r="AU128" s="223">
        <f t="shared" ref="AU128:AU132" si="291">AT128</f>
        <v>-1</v>
      </c>
      <c r="AV128" s="38"/>
      <c r="AW128" s="38"/>
      <c r="AX128" s="38"/>
      <c r="AY128" s="38"/>
      <c r="AZ128" s="38"/>
      <c r="BA128" s="38"/>
      <c r="BB128" s="106"/>
      <c r="BC128" s="106"/>
      <c r="BD128" s="106"/>
      <c r="BE128" s="106"/>
      <c r="BF128" s="71">
        <f t="shared" si="276"/>
        <v>-0.8</v>
      </c>
      <c r="BG128" s="71">
        <f t="shared" si="276"/>
        <v>-0.8</v>
      </c>
      <c r="BH128" s="71">
        <f t="shared" si="276"/>
        <v>-0.989041095890411</v>
      </c>
      <c r="BI128" s="71">
        <f t="shared" si="276"/>
        <v>-1</v>
      </c>
      <c r="BJ128" s="71" t="e">
        <f t="shared" si="276"/>
        <v>#DIV/0!</v>
      </c>
      <c r="BK128" s="71" t="e">
        <f t="shared" si="276"/>
        <v>#DIV/0!</v>
      </c>
      <c r="BL128" s="71" t="e">
        <f t="shared" si="276"/>
        <v>#DIV/0!</v>
      </c>
      <c r="BM128" s="71" t="e">
        <f t="shared" si="276"/>
        <v>#DIV/0!</v>
      </c>
      <c r="BN128" s="71" t="e">
        <f t="shared" si="276"/>
        <v>#DIV/0!</v>
      </c>
      <c r="BO128" s="71" t="e">
        <f t="shared" si="276"/>
        <v>#DIV/0!</v>
      </c>
    </row>
    <row r="129" spans="3:67" s="237" customFormat="1">
      <c r="C129" s="38" t="str">
        <f t="shared" si="277"/>
        <v>MLU270 (2019 launched, 16nm)</v>
      </c>
      <c r="D129" s="38"/>
      <c r="E129" s="38"/>
      <c r="F129" s="38"/>
      <c r="G129" s="38"/>
      <c r="H129" s="276">
        <v>0.2</v>
      </c>
      <c r="I129" s="276">
        <v>-0.62</v>
      </c>
      <c r="J129" s="276">
        <v>0.25</v>
      </c>
      <c r="K129" s="276">
        <v>-0.52</v>
      </c>
      <c r="L129" s="276">
        <v>0.9</v>
      </c>
      <c r="M129" s="276">
        <f>L129</f>
        <v>0.9</v>
      </c>
      <c r="N129" s="276">
        <v>0</v>
      </c>
      <c r="O129" s="276">
        <v>1.2</v>
      </c>
      <c r="P129" s="276">
        <v>-0.6</v>
      </c>
      <c r="Q129" s="276">
        <v>-0.9</v>
      </c>
      <c r="R129" s="276">
        <v>-0.9</v>
      </c>
      <c r="S129" s="276">
        <f>R129</f>
        <v>-0.9</v>
      </c>
      <c r="T129" s="276">
        <v>-1</v>
      </c>
      <c r="U129" s="276">
        <f t="shared" ref="U129:W130" si="292">T129</f>
        <v>-1</v>
      </c>
      <c r="V129" s="276">
        <f t="shared" si="292"/>
        <v>-1</v>
      </c>
      <c r="W129" s="276">
        <f t="shared" si="292"/>
        <v>-1</v>
      </c>
      <c r="X129" s="276">
        <v>-1</v>
      </c>
      <c r="Y129" s="276">
        <f t="shared" ref="Y129:AA130" si="293">X129</f>
        <v>-1</v>
      </c>
      <c r="Z129" s="276">
        <f t="shared" si="293"/>
        <v>-1</v>
      </c>
      <c r="AA129" s="276">
        <f t="shared" si="293"/>
        <v>-1</v>
      </c>
      <c r="AB129" s="223">
        <v>-1</v>
      </c>
      <c r="AC129" s="223">
        <f t="shared" si="279"/>
        <v>-1</v>
      </c>
      <c r="AD129" s="223">
        <f t="shared" si="279"/>
        <v>-1</v>
      </c>
      <c r="AE129" s="223">
        <f t="shared" si="279"/>
        <v>-1</v>
      </c>
      <c r="AF129" s="223">
        <f t="shared" si="279"/>
        <v>-1</v>
      </c>
      <c r="AG129" s="223">
        <f t="shared" si="279"/>
        <v>-1</v>
      </c>
      <c r="AH129" s="223">
        <f t="shared" si="279"/>
        <v>-1</v>
      </c>
      <c r="AI129" s="223">
        <f t="shared" si="279"/>
        <v>-1</v>
      </c>
      <c r="AJ129" s="223">
        <f t="shared" si="280"/>
        <v>-1</v>
      </c>
      <c r="AK129" s="223">
        <f t="shared" si="281"/>
        <v>-1</v>
      </c>
      <c r="AL129" s="223">
        <f t="shared" si="282"/>
        <v>-1</v>
      </c>
      <c r="AM129" s="223">
        <f t="shared" si="283"/>
        <v>-1</v>
      </c>
      <c r="AN129" s="223">
        <f t="shared" si="284"/>
        <v>-1</v>
      </c>
      <c r="AO129" s="223">
        <f t="shared" si="285"/>
        <v>-1</v>
      </c>
      <c r="AP129" s="223">
        <f t="shared" si="286"/>
        <v>-1</v>
      </c>
      <c r="AQ129" s="223">
        <f t="shared" si="287"/>
        <v>-1</v>
      </c>
      <c r="AR129" s="223">
        <f t="shared" si="288"/>
        <v>-1</v>
      </c>
      <c r="AS129" s="223">
        <f t="shared" si="289"/>
        <v>-1</v>
      </c>
      <c r="AT129" s="223">
        <f t="shared" si="290"/>
        <v>-1</v>
      </c>
      <c r="AU129" s="223">
        <f t="shared" si="291"/>
        <v>-1</v>
      </c>
      <c r="AV129" s="38"/>
      <c r="AW129" s="38"/>
      <c r="AX129" s="38"/>
      <c r="AY129" s="38"/>
      <c r="AZ129" s="38"/>
      <c r="BA129" s="38"/>
      <c r="BB129" s="106"/>
      <c r="BC129" s="106"/>
      <c r="BD129" s="106"/>
      <c r="BE129" s="106"/>
      <c r="BF129" s="71">
        <f t="shared" si="276"/>
        <v>-0.48243534482758632</v>
      </c>
      <c r="BG129" s="71">
        <f t="shared" si="276"/>
        <v>0.83347907557776413</v>
      </c>
      <c r="BH129" s="71">
        <f t="shared" si="276"/>
        <v>-0.84252231382435105</v>
      </c>
      <c r="BI129" s="71">
        <f t="shared" si="276"/>
        <v>-1</v>
      </c>
      <c r="BJ129" s="71" t="e">
        <f t="shared" si="276"/>
        <v>#DIV/0!</v>
      </c>
      <c r="BK129" s="71" t="e">
        <f t="shared" si="276"/>
        <v>#DIV/0!</v>
      </c>
      <c r="BL129" s="71" t="e">
        <f t="shared" si="276"/>
        <v>#DIV/0!</v>
      </c>
      <c r="BM129" s="71" t="e">
        <f t="shared" si="276"/>
        <v>#DIV/0!</v>
      </c>
      <c r="BN129" s="71" t="e">
        <f t="shared" si="276"/>
        <v>#DIV/0!</v>
      </c>
      <c r="BO129" s="71" t="e">
        <f t="shared" si="276"/>
        <v>#DIV/0!</v>
      </c>
    </row>
    <row r="130" spans="3:67" s="237" customFormat="1">
      <c r="C130" s="38" t="str">
        <f t="shared" si="277"/>
        <v>MLU370 (2021 launched, 7nm)</v>
      </c>
      <c r="D130" s="38"/>
      <c r="E130" s="38"/>
      <c r="F130" s="38"/>
      <c r="G130" s="38"/>
      <c r="H130" s="275"/>
      <c r="I130" s="275"/>
      <c r="J130" s="275"/>
      <c r="K130" s="169"/>
      <c r="L130" s="169"/>
      <c r="M130" s="169"/>
      <c r="N130" s="169"/>
      <c r="O130" s="276">
        <v>1.8</v>
      </c>
      <c r="P130" s="276">
        <v>0.65</v>
      </c>
      <c r="Q130" s="276">
        <v>-0.9</v>
      </c>
      <c r="R130" s="276">
        <v>-0.9</v>
      </c>
      <c r="S130" s="276">
        <v>-0.9</v>
      </c>
      <c r="T130" s="276">
        <v>-0.9</v>
      </c>
      <c r="U130" s="276">
        <f t="shared" si="292"/>
        <v>-0.9</v>
      </c>
      <c r="V130" s="276">
        <f t="shared" si="292"/>
        <v>-0.9</v>
      </c>
      <c r="W130" s="276">
        <f t="shared" si="292"/>
        <v>-0.9</v>
      </c>
      <c r="X130" s="276">
        <v>-1</v>
      </c>
      <c r="Y130" s="276">
        <f t="shared" si="293"/>
        <v>-1</v>
      </c>
      <c r="Z130" s="276">
        <f t="shared" si="293"/>
        <v>-1</v>
      </c>
      <c r="AA130" s="276">
        <f t="shared" si="293"/>
        <v>-1</v>
      </c>
      <c r="AB130" s="223">
        <v>-1</v>
      </c>
      <c r="AC130" s="223">
        <f t="shared" si="279"/>
        <v>-1</v>
      </c>
      <c r="AD130" s="223">
        <f t="shared" si="279"/>
        <v>-1</v>
      </c>
      <c r="AE130" s="223">
        <f t="shared" si="279"/>
        <v>-1</v>
      </c>
      <c r="AF130" s="223">
        <f t="shared" si="279"/>
        <v>-1</v>
      </c>
      <c r="AG130" s="223">
        <f t="shared" si="279"/>
        <v>-1</v>
      </c>
      <c r="AH130" s="223">
        <f t="shared" si="279"/>
        <v>-1</v>
      </c>
      <c r="AI130" s="223">
        <f t="shared" si="279"/>
        <v>-1</v>
      </c>
      <c r="AJ130" s="223">
        <f t="shared" si="280"/>
        <v>-1</v>
      </c>
      <c r="AK130" s="223">
        <f t="shared" si="281"/>
        <v>-1</v>
      </c>
      <c r="AL130" s="223">
        <f t="shared" si="282"/>
        <v>-1</v>
      </c>
      <c r="AM130" s="223">
        <f t="shared" si="283"/>
        <v>-1</v>
      </c>
      <c r="AN130" s="223">
        <f t="shared" si="284"/>
        <v>-1</v>
      </c>
      <c r="AO130" s="223">
        <f t="shared" si="285"/>
        <v>-1</v>
      </c>
      <c r="AP130" s="223">
        <f t="shared" si="286"/>
        <v>-1</v>
      </c>
      <c r="AQ130" s="223">
        <f t="shared" si="287"/>
        <v>-1</v>
      </c>
      <c r="AR130" s="223">
        <f t="shared" si="288"/>
        <v>-1</v>
      </c>
      <c r="AS130" s="223">
        <f t="shared" si="289"/>
        <v>-1</v>
      </c>
      <c r="AT130" s="223">
        <f t="shared" si="290"/>
        <v>-1</v>
      </c>
      <c r="AU130" s="223">
        <f t="shared" si="291"/>
        <v>-1</v>
      </c>
      <c r="AV130" s="38"/>
      <c r="AW130" s="38"/>
      <c r="AX130" s="38"/>
      <c r="AY130" s="38"/>
      <c r="AZ130" s="38"/>
      <c r="BA130" s="38"/>
      <c r="BB130" s="106"/>
      <c r="BC130" s="106"/>
      <c r="BD130" s="106"/>
      <c r="BE130" s="106"/>
      <c r="BF130" s="71"/>
      <c r="BG130" s="71">
        <f t="shared" ref="BG130:BO130" si="294">BG120/BF120-1</f>
        <v>7.7285714285714295</v>
      </c>
      <c r="BH130" s="71">
        <f t="shared" si="294"/>
        <v>-0.55752864157119486</v>
      </c>
      <c r="BI130" s="71">
        <f t="shared" si="294"/>
        <v>-0.9</v>
      </c>
      <c r="BJ130" s="71">
        <f t="shared" si="294"/>
        <v>-1</v>
      </c>
      <c r="BK130" s="71" t="e">
        <f t="shared" si="294"/>
        <v>#DIV/0!</v>
      </c>
      <c r="BL130" s="71" t="e">
        <f t="shared" si="294"/>
        <v>#DIV/0!</v>
      </c>
      <c r="BM130" s="71" t="e">
        <f t="shared" si="294"/>
        <v>#DIV/0!</v>
      </c>
      <c r="BN130" s="71" t="e">
        <f t="shared" si="294"/>
        <v>#DIV/0!</v>
      </c>
      <c r="BO130" s="71" t="e">
        <f t="shared" si="294"/>
        <v>#DIV/0!</v>
      </c>
    </row>
    <row r="131" spans="3:67" s="237" customFormat="1">
      <c r="C131" s="38" t="str">
        <f t="shared" si="277"/>
        <v>MLU-590 (4Q22 launched, 5nm)</v>
      </c>
      <c r="D131" s="38"/>
      <c r="E131" s="38"/>
      <c r="F131" s="38"/>
      <c r="G131" s="38"/>
      <c r="H131" s="275"/>
      <c r="I131" s="275"/>
      <c r="J131" s="275"/>
      <c r="K131" s="169"/>
      <c r="L131" s="169"/>
      <c r="M131" s="169"/>
      <c r="N131" s="169"/>
      <c r="O131" s="169"/>
      <c r="P131" s="169"/>
      <c r="Q131" s="169"/>
      <c r="R131" s="169"/>
      <c r="S131" s="169"/>
      <c r="T131" s="276">
        <v>0.65</v>
      </c>
      <c r="U131" s="226">
        <f>U121/Q121-1</f>
        <v>3.9375218263157903</v>
      </c>
      <c r="V131" s="276">
        <v>8.58</v>
      </c>
      <c r="W131" s="226">
        <f>W121/S121-1</f>
        <v>77.117525163710894</v>
      </c>
      <c r="X131" s="276">
        <v>50</v>
      </c>
      <c r="Y131" s="226">
        <f>Y121/U121-1</f>
        <v>43.151704256587507</v>
      </c>
      <c r="Z131" s="276">
        <v>15</v>
      </c>
      <c r="AA131" s="226">
        <f>AA121/W121-1</f>
        <v>0.44783598544671266</v>
      </c>
      <c r="AB131" s="226">
        <f>AB121/X121-1</f>
        <v>1.2163357485889565</v>
      </c>
      <c r="AC131" s="226">
        <f>AC121/Y121-1</f>
        <v>0.51809018934561446</v>
      </c>
      <c r="AD131" s="223">
        <v>4</v>
      </c>
      <c r="AE131" s="223">
        <v>4</v>
      </c>
      <c r="AF131" s="223">
        <v>3.5</v>
      </c>
      <c r="AG131" s="223">
        <v>2.4500000000000002</v>
      </c>
      <c r="AH131" s="223">
        <v>0.05</v>
      </c>
      <c r="AI131" s="226">
        <f>AI121/AE121-1</f>
        <v>3.2958471532481104E-2</v>
      </c>
      <c r="AJ131" s="223">
        <v>0.57999999999999996</v>
      </c>
      <c r="AK131" s="223">
        <f>AJ131</f>
        <v>0.57999999999999996</v>
      </c>
      <c r="AL131" s="223">
        <f>AK131</f>
        <v>0.57999999999999996</v>
      </c>
      <c r="AM131" s="226">
        <f>AM121/AI121-1</f>
        <v>0.52050783193525119</v>
      </c>
      <c r="AN131" s="223">
        <v>0.25</v>
      </c>
      <c r="AO131" s="223">
        <f t="shared" si="285"/>
        <v>0.25</v>
      </c>
      <c r="AP131" s="223">
        <f t="shared" si="286"/>
        <v>0.25</v>
      </c>
      <c r="AQ131" s="226">
        <f>AQ121/AM121-1</f>
        <v>0.27446923099756049</v>
      </c>
      <c r="AR131" s="223">
        <v>0.11</v>
      </c>
      <c r="AS131" s="223">
        <f t="shared" si="289"/>
        <v>0.11</v>
      </c>
      <c r="AT131" s="223">
        <f>AS131</f>
        <v>0.11</v>
      </c>
      <c r="AU131" s="226">
        <f>AU121/AQ121-1</f>
        <v>0.11877405728859025</v>
      </c>
      <c r="AV131" s="38"/>
      <c r="AW131" s="38"/>
      <c r="AX131" s="38"/>
      <c r="AY131" s="38"/>
      <c r="AZ131" s="38"/>
      <c r="BA131" s="38"/>
      <c r="BB131" s="106"/>
      <c r="BC131" s="106"/>
      <c r="BD131" s="106"/>
      <c r="BE131" s="106"/>
      <c r="BF131" s="71"/>
      <c r="BG131" s="71"/>
      <c r="BH131" s="71"/>
      <c r="BI131" s="71">
        <f t="shared" ref="BI131:BO131" si="295">BI121/BH121-1</f>
        <v>25.682115003276383</v>
      </c>
      <c r="BJ131" s="71">
        <f t="shared" si="295"/>
        <v>3.5231235557245029</v>
      </c>
      <c r="BK131" s="71">
        <f t="shared" si="295"/>
        <v>2.4271036560023553</v>
      </c>
      <c r="BL131" s="71">
        <f t="shared" si="295"/>
        <v>0.78410147660500096</v>
      </c>
      <c r="BM131" s="71">
        <f t="shared" si="295"/>
        <v>0.5662422662088098</v>
      </c>
      <c r="BN131" s="71">
        <f t="shared" si="295"/>
        <v>0.25549334845758809</v>
      </c>
      <c r="BO131" s="71">
        <f t="shared" si="295"/>
        <v>0.11199954983217686</v>
      </c>
    </row>
    <row r="132" spans="3:67">
      <c r="C132" s="38" t="str">
        <f t="shared" si="277"/>
        <v>MLU-690</v>
      </c>
      <c r="H132" s="275"/>
      <c r="I132" s="275"/>
      <c r="J132" s="275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  <c r="Y132" s="169"/>
      <c r="Z132" s="169"/>
      <c r="AA132" s="169"/>
      <c r="AB132" s="169"/>
      <c r="AC132" s="169"/>
      <c r="AD132" s="169"/>
      <c r="AE132" s="169"/>
      <c r="AF132" s="169"/>
      <c r="AG132" s="169"/>
      <c r="AH132" s="223">
        <v>1</v>
      </c>
      <c r="AI132" s="223">
        <v>20</v>
      </c>
      <c r="AJ132" s="223">
        <v>13</v>
      </c>
      <c r="AK132" s="223">
        <v>2.2999999999999998</v>
      </c>
      <c r="AL132" s="223">
        <v>0.66</v>
      </c>
      <c r="AM132" s="223">
        <v>0.03</v>
      </c>
      <c r="AN132" s="223">
        <v>0.32450000000000001</v>
      </c>
      <c r="AO132" s="223">
        <f>AN132</f>
        <v>0.32450000000000001</v>
      </c>
      <c r="AP132" s="223">
        <f t="shared" si="286"/>
        <v>0.32450000000000001</v>
      </c>
      <c r="AQ132" s="223">
        <f t="shared" si="287"/>
        <v>0.32450000000000001</v>
      </c>
      <c r="AR132" s="223">
        <v>0.32</v>
      </c>
      <c r="AS132" s="223">
        <f t="shared" si="289"/>
        <v>0.32</v>
      </c>
      <c r="AT132" s="223">
        <f t="shared" si="290"/>
        <v>0.32</v>
      </c>
      <c r="AU132" s="223">
        <f t="shared" si="291"/>
        <v>0.32</v>
      </c>
      <c r="BB132" s="106"/>
      <c r="BC132" s="106"/>
      <c r="BD132" s="106"/>
      <c r="BE132" s="106"/>
      <c r="BF132" s="71"/>
      <c r="BG132" s="71"/>
      <c r="BH132" s="71"/>
      <c r="BI132" s="71"/>
      <c r="BJ132" s="71"/>
      <c r="BK132" s="71" t="e">
        <f t="shared" ref="BK132:BO135" si="296">BK122/BJ122-1</f>
        <v>#DIV/0!</v>
      </c>
      <c r="BL132" s="71">
        <f t="shared" si="296"/>
        <v>41.045454545454547</v>
      </c>
      <c r="BM132" s="71">
        <f t="shared" si="296"/>
        <v>1.0496555984555984</v>
      </c>
      <c r="BN132" s="71">
        <f t="shared" si="296"/>
        <v>0.32450000000000001</v>
      </c>
      <c r="BO132" s="71">
        <f t="shared" si="296"/>
        <v>0.31999999999999984</v>
      </c>
    </row>
    <row r="133" spans="3:67">
      <c r="C133" s="38" t="str">
        <f t="shared" si="277"/>
        <v>MLU-790</v>
      </c>
      <c r="H133" s="275"/>
      <c r="I133" s="275"/>
      <c r="J133" s="275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223">
        <f>AH132</f>
        <v>1</v>
      </c>
      <c r="AN133" s="223">
        <f t="shared" ref="AN133:AU133" si="297">AI132</f>
        <v>20</v>
      </c>
      <c r="AO133" s="223">
        <f t="shared" si="297"/>
        <v>13</v>
      </c>
      <c r="AP133" s="223">
        <f t="shared" si="297"/>
        <v>2.2999999999999998</v>
      </c>
      <c r="AQ133" s="223">
        <f t="shared" si="297"/>
        <v>0.66</v>
      </c>
      <c r="AR133" s="223">
        <f t="shared" si="297"/>
        <v>0.03</v>
      </c>
      <c r="AS133" s="223">
        <f t="shared" si="297"/>
        <v>0.32450000000000001</v>
      </c>
      <c r="AT133" s="223">
        <f t="shared" si="297"/>
        <v>0.32450000000000001</v>
      </c>
      <c r="AU133" s="223">
        <f t="shared" si="297"/>
        <v>0.32450000000000001</v>
      </c>
      <c r="BB133" s="106"/>
      <c r="BC133" s="106"/>
      <c r="BD133" s="106"/>
      <c r="BE133" s="106"/>
      <c r="BF133" s="71"/>
      <c r="BG133" s="71"/>
      <c r="BH133" s="71"/>
      <c r="BI133" s="71"/>
      <c r="BJ133" s="71"/>
      <c r="BK133" s="71" t="e">
        <f t="shared" si="296"/>
        <v>#DIV/0!</v>
      </c>
      <c r="BL133" s="71" t="e">
        <f t="shared" si="296"/>
        <v>#DIV/0!</v>
      </c>
      <c r="BM133" s="71" t="e">
        <f t="shared" si="296"/>
        <v>#DIV/0!</v>
      </c>
      <c r="BN133" s="71">
        <f t="shared" si="296"/>
        <v>2.880559646539028</v>
      </c>
      <c r="BO133" s="71">
        <f t="shared" si="296"/>
        <v>0.25220784469998847</v>
      </c>
    </row>
    <row r="134" spans="3:67">
      <c r="C134" s="38" t="str">
        <f t="shared" si="277"/>
        <v>SD 5223 (L2+ AV chips)</v>
      </c>
      <c r="H134" s="275"/>
      <c r="I134" s="275"/>
      <c r="J134" s="275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277"/>
      <c r="Y134" s="277"/>
      <c r="Z134" s="277"/>
      <c r="AA134" s="277"/>
      <c r="AB134" s="277"/>
      <c r="AC134" s="277"/>
      <c r="AD134" s="223">
        <v>6</v>
      </c>
      <c r="AE134" s="223">
        <v>5</v>
      </c>
      <c r="AF134" s="223">
        <v>2</v>
      </c>
      <c r="AG134" s="223">
        <f t="shared" ref="AG134:AH134" si="298">AF134</f>
        <v>2</v>
      </c>
      <c r="AH134" s="223">
        <f t="shared" si="298"/>
        <v>2</v>
      </c>
      <c r="AI134" s="223">
        <v>1</v>
      </c>
      <c r="AJ134" s="223">
        <v>2</v>
      </c>
      <c r="AK134" s="223">
        <f t="shared" ref="AK134" si="299">AJ134</f>
        <v>2</v>
      </c>
      <c r="AL134" s="223">
        <f t="shared" ref="AL134" si="300">AK134</f>
        <v>2</v>
      </c>
      <c r="AM134" s="223">
        <v>1</v>
      </c>
      <c r="AN134" s="223">
        <v>2</v>
      </c>
      <c r="AO134" s="223">
        <f t="shared" ref="AO134" si="301">AN134</f>
        <v>2</v>
      </c>
      <c r="AP134" s="223">
        <f t="shared" ref="AP134" si="302">AO134</f>
        <v>2</v>
      </c>
      <c r="AQ134" s="223">
        <v>1</v>
      </c>
      <c r="AR134" s="223">
        <v>2</v>
      </c>
      <c r="AS134" s="223">
        <f t="shared" ref="AS134" si="303">AR134</f>
        <v>2</v>
      </c>
      <c r="AT134" s="223">
        <f t="shared" ref="AT134" si="304">AS134</f>
        <v>2</v>
      </c>
      <c r="AU134" s="223">
        <v>1</v>
      </c>
      <c r="BB134" s="106"/>
      <c r="BC134" s="106"/>
      <c r="BD134" s="106"/>
      <c r="BE134" s="106"/>
      <c r="BF134" s="71"/>
      <c r="BG134" s="71"/>
      <c r="BH134" s="71"/>
      <c r="BI134" s="71" t="e">
        <f>BI124/BH124-1</f>
        <v>#DIV/0!</v>
      </c>
      <c r="BJ134" s="71" t="e">
        <f>BJ124/BI124-1</f>
        <v>#DIV/0!</v>
      </c>
      <c r="BK134" s="71" t="e">
        <f t="shared" si="296"/>
        <v>#DIV/0!</v>
      </c>
      <c r="BL134" s="71" t="e">
        <f t="shared" si="296"/>
        <v>#DIV/0!</v>
      </c>
      <c r="BM134" s="71" t="e">
        <f t="shared" si="296"/>
        <v>#DIV/0!</v>
      </c>
      <c r="BN134" s="71" t="e">
        <f t="shared" si="296"/>
        <v>#DIV/0!</v>
      </c>
      <c r="BO134" s="71" t="e">
        <f t="shared" si="296"/>
        <v>#DIV/0!</v>
      </c>
    </row>
    <row r="135" spans="3:67">
      <c r="C135" s="38" t="str">
        <f t="shared" si="277"/>
        <v>SD 5226 (L4 AV chips)</v>
      </c>
      <c r="H135" s="275"/>
      <c r="I135" s="275"/>
      <c r="J135" s="275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  <c r="Y135" s="277"/>
      <c r="Z135" s="277"/>
      <c r="AA135" s="277"/>
      <c r="AB135" s="277"/>
      <c r="AC135" s="277"/>
      <c r="AD135" s="277"/>
      <c r="AE135" s="277"/>
      <c r="AF135" s="223">
        <v>6</v>
      </c>
      <c r="AG135" s="223">
        <v>5</v>
      </c>
      <c r="AH135" s="223">
        <v>1.5</v>
      </c>
      <c r="AI135" s="223">
        <v>1</v>
      </c>
      <c r="AJ135" s="223">
        <v>6</v>
      </c>
      <c r="AK135" s="223">
        <v>5</v>
      </c>
      <c r="AL135" s="223">
        <v>1.5</v>
      </c>
      <c r="AM135" s="223">
        <v>1</v>
      </c>
      <c r="AN135" s="223">
        <v>6</v>
      </c>
      <c r="AO135" s="223">
        <v>5</v>
      </c>
      <c r="AP135" s="223">
        <v>1.5</v>
      </c>
      <c r="AQ135" s="223">
        <v>1</v>
      </c>
      <c r="AR135" s="223">
        <v>6</v>
      </c>
      <c r="AS135" s="223">
        <v>5</v>
      </c>
      <c r="AT135" s="223">
        <v>1.5</v>
      </c>
      <c r="AU135" s="223">
        <v>1</v>
      </c>
      <c r="BB135" s="106"/>
      <c r="BC135" s="106"/>
      <c r="BD135" s="106"/>
      <c r="BE135" s="106"/>
      <c r="BF135" s="71"/>
      <c r="BG135" s="71"/>
      <c r="BH135" s="71"/>
      <c r="BI135" s="71"/>
      <c r="BJ135" s="71" t="e">
        <f>BJ125/BI125-1</f>
        <v>#DIV/0!</v>
      </c>
      <c r="BK135" s="71" t="e">
        <f t="shared" si="296"/>
        <v>#DIV/0!</v>
      </c>
      <c r="BL135" s="71" t="e">
        <f t="shared" si="296"/>
        <v>#DIV/0!</v>
      </c>
      <c r="BM135" s="71" t="e">
        <f t="shared" si="296"/>
        <v>#DIV/0!</v>
      </c>
      <c r="BN135" s="71" t="e">
        <f t="shared" si="296"/>
        <v>#DIV/0!</v>
      </c>
      <c r="BO135" s="71" t="e">
        <f t="shared" si="296"/>
        <v>#DIV/0!</v>
      </c>
    </row>
    <row r="136" spans="3:67">
      <c r="H136" s="275"/>
      <c r="I136" s="275"/>
      <c r="J136" s="275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N136" s="169"/>
      <c r="AO136" s="169"/>
      <c r="AP136" s="169"/>
      <c r="AQ136" s="169"/>
      <c r="AR136" s="169"/>
      <c r="AS136" s="169"/>
      <c r="AT136" s="169"/>
      <c r="AU136" s="169"/>
      <c r="BB136" s="106"/>
      <c r="BC136" s="106"/>
      <c r="BD136" s="106"/>
      <c r="BE136" s="106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</row>
    <row r="137" spans="3:67">
      <c r="C137" s="270" t="s">
        <v>349</v>
      </c>
      <c r="H137" s="275"/>
      <c r="I137" s="275"/>
      <c r="J137" s="275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69"/>
      <c r="AU137" s="169"/>
      <c r="BB137" s="106"/>
      <c r="BC137" s="106"/>
      <c r="BD137" s="106"/>
      <c r="BE137" s="106"/>
      <c r="BF137" s="106"/>
      <c r="BG137" s="71"/>
      <c r="BH137" s="71"/>
      <c r="BI137" s="71"/>
      <c r="BJ137" s="71"/>
      <c r="BK137" s="71"/>
      <c r="BL137" s="71"/>
      <c r="BM137" s="71"/>
      <c r="BN137" s="71"/>
      <c r="BO137" s="71"/>
    </row>
    <row r="138" spans="3:67">
      <c r="C138" s="38" t="str">
        <f t="shared" ref="C138:C145" si="305">C118</f>
        <v>MLU100 (2018 launched, 16nm)</v>
      </c>
      <c r="D138" s="126">
        <v>8000</v>
      </c>
      <c r="E138" s="126">
        <f>D138</f>
        <v>8000</v>
      </c>
      <c r="F138" s="126">
        <v>8000</v>
      </c>
      <c r="G138" s="126">
        <f>F138</f>
        <v>8000</v>
      </c>
      <c r="H138" s="123">
        <f t="shared" ref="H138:AI138" si="306">D138*(1+H149)</f>
        <v>7200</v>
      </c>
      <c r="I138" s="123">
        <f t="shared" si="306"/>
        <v>7200</v>
      </c>
      <c r="J138" s="123">
        <f t="shared" si="306"/>
        <v>7200</v>
      </c>
      <c r="K138" s="123">
        <f t="shared" si="306"/>
        <v>7200</v>
      </c>
      <c r="L138" s="123">
        <f t="shared" si="306"/>
        <v>6480</v>
      </c>
      <c r="M138" s="123">
        <f t="shared" si="306"/>
        <v>6480</v>
      </c>
      <c r="N138" s="123">
        <f t="shared" si="306"/>
        <v>6480</v>
      </c>
      <c r="O138" s="123">
        <f t="shared" si="306"/>
        <v>6480</v>
      </c>
      <c r="P138" s="123">
        <f t="shared" si="306"/>
        <v>6156</v>
      </c>
      <c r="Q138" s="123">
        <f t="shared" si="306"/>
        <v>6156</v>
      </c>
      <c r="R138" s="123">
        <f t="shared" si="306"/>
        <v>6156</v>
      </c>
      <c r="S138" s="123">
        <f t="shared" si="306"/>
        <v>6156</v>
      </c>
      <c r="T138" s="123">
        <f t="shared" si="306"/>
        <v>5848.2</v>
      </c>
      <c r="U138" s="123">
        <f t="shared" si="306"/>
        <v>5848.2</v>
      </c>
      <c r="V138" s="123">
        <f t="shared" si="306"/>
        <v>5848.2</v>
      </c>
      <c r="W138" s="123">
        <f t="shared" si="306"/>
        <v>5848.2</v>
      </c>
      <c r="X138" s="123">
        <f t="shared" si="306"/>
        <v>5555.79</v>
      </c>
      <c r="Y138" s="123">
        <f t="shared" si="306"/>
        <v>5555.79</v>
      </c>
      <c r="Z138" s="123">
        <f t="shared" si="306"/>
        <v>5555.79</v>
      </c>
      <c r="AA138" s="123">
        <f t="shared" si="306"/>
        <v>5555.79</v>
      </c>
      <c r="AB138" s="123">
        <f t="shared" si="306"/>
        <v>5278.0005000000001</v>
      </c>
      <c r="AC138" s="123">
        <f t="shared" si="306"/>
        <v>5278.0005000000001</v>
      </c>
      <c r="AD138" s="123">
        <f t="shared" si="306"/>
        <v>5278.0005000000001</v>
      </c>
      <c r="AE138" s="123">
        <f t="shared" si="306"/>
        <v>5278.0005000000001</v>
      </c>
      <c r="AF138" s="123">
        <f t="shared" si="306"/>
        <v>5014.1004750000002</v>
      </c>
      <c r="AG138" s="123">
        <f t="shared" si="306"/>
        <v>5014.1004750000002</v>
      </c>
      <c r="AH138" s="123">
        <f t="shared" si="306"/>
        <v>5014.1004750000002</v>
      </c>
      <c r="AI138" s="123">
        <f t="shared" si="306"/>
        <v>5014.1004750000002</v>
      </c>
      <c r="AJ138" s="123">
        <f t="shared" ref="AJ138:AU142" si="307">AF138*(1+AJ149)</f>
        <v>4763.3954512500004</v>
      </c>
      <c r="AK138" s="123">
        <f t="shared" si="307"/>
        <v>4763.3954512500004</v>
      </c>
      <c r="AL138" s="123">
        <f t="shared" si="307"/>
        <v>4763.3954512500004</v>
      </c>
      <c r="AM138" s="123">
        <f t="shared" si="307"/>
        <v>4763.3954512500004</v>
      </c>
      <c r="AN138" s="123">
        <f t="shared" si="307"/>
        <v>4525.2256786875005</v>
      </c>
      <c r="AO138" s="123">
        <f t="shared" si="307"/>
        <v>4525.2256786875005</v>
      </c>
      <c r="AP138" s="123">
        <f t="shared" si="307"/>
        <v>4525.2256786875005</v>
      </c>
      <c r="AQ138" s="123">
        <f t="shared" si="307"/>
        <v>4525.2256786875005</v>
      </c>
      <c r="AR138" s="123">
        <f t="shared" si="307"/>
        <v>4298.9643947531249</v>
      </c>
      <c r="AS138" s="123">
        <f t="shared" si="307"/>
        <v>4298.9643947531249</v>
      </c>
      <c r="AT138" s="123">
        <f t="shared" si="307"/>
        <v>4298.9643947531249</v>
      </c>
      <c r="AU138" s="123">
        <f t="shared" si="307"/>
        <v>4298.9643947531249</v>
      </c>
      <c r="BB138" s="106"/>
      <c r="BC138" s="106"/>
      <c r="BD138" s="106"/>
      <c r="BE138" s="170">
        <f t="shared" ref="BE138:BL139" si="308">BE159*10^3/BE118</f>
        <v>7999.9999999999991</v>
      </c>
      <c r="BF138" s="170">
        <f t="shared" si="308"/>
        <v>7200.0000000000009</v>
      </c>
      <c r="BG138" s="170">
        <f t="shared" si="308"/>
        <v>6479.9999999999991</v>
      </c>
      <c r="BH138" s="170">
        <f t="shared" si="308"/>
        <v>6156</v>
      </c>
      <c r="BI138" s="170" t="e">
        <f t="shared" si="308"/>
        <v>#DIV/0!</v>
      </c>
      <c r="BJ138" s="170" t="e">
        <f t="shared" si="308"/>
        <v>#DIV/0!</v>
      </c>
      <c r="BK138" s="170" t="e">
        <f t="shared" si="308"/>
        <v>#DIV/0!</v>
      </c>
      <c r="BL138" s="170" t="e">
        <f t="shared" si="308"/>
        <v>#DIV/0!</v>
      </c>
      <c r="BM138" s="170" t="e">
        <f t="shared" ref="BM138:BO138" si="309">BM159*10^3/BM118</f>
        <v>#DIV/0!</v>
      </c>
      <c r="BN138" s="170" t="e">
        <f t="shared" si="309"/>
        <v>#DIV/0!</v>
      </c>
      <c r="BO138" s="170" t="e">
        <f t="shared" si="309"/>
        <v>#DIV/0!</v>
      </c>
    </row>
    <row r="139" spans="3:67">
      <c r="C139" s="38" t="str">
        <f t="shared" si="305"/>
        <v>MLU270 (2019 launched, 16nm)</v>
      </c>
      <c r="D139" s="123">
        <f t="shared" ref="D139:K139" si="310">D160*10^3/D119</f>
        <v>10169.198538011055</v>
      </c>
      <c r="E139" s="123">
        <f t="shared" si="310"/>
        <v>9991.828523645303</v>
      </c>
      <c r="F139" s="123">
        <f t="shared" si="310"/>
        <v>9433.4475324970736</v>
      </c>
      <c r="G139" s="123">
        <f t="shared" si="310"/>
        <v>9087.1424862257845</v>
      </c>
      <c r="H139" s="123">
        <f t="shared" si="310"/>
        <v>9264.2588362119859</v>
      </c>
      <c r="I139" s="123">
        <f t="shared" si="310"/>
        <v>8362.6704181770874</v>
      </c>
      <c r="J139" s="123">
        <f t="shared" si="310"/>
        <v>8087.5988166501174</v>
      </c>
      <c r="K139" s="123">
        <f t="shared" si="310"/>
        <v>7810.8164362095449</v>
      </c>
      <c r="L139" s="123">
        <f t="shared" ref="L139:AI139" si="311">H139*(1+L150)</f>
        <v>7411.4070689695891</v>
      </c>
      <c r="M139" s="123">
        <f t="shared" si="311"/>
        <v>7108.2698554505241</v>
      </c>
      <c r="N139" s="123">
        <f t="shared" si="311"/>
        <v>6874.4589941526001</v>
      </c>
      <c r="O139" s="123">
        <f t="shared" si="311"/>
        <v>7029.7347925885906</v>
      </c>
      <c r="P139" s="123">
        <f t="shared" si="311"/>
        <v>7040.836715521109</v>
      </c>
      <c r="Q139" s="123">
        <f t="shared" si="311"/>
        <v>6752.8563626779978</v>
      </c>
      <c r="R139" s="123">
        <f t="shared" si="311"/>
        <v>6530.7360444449696</v>
      </c>
      <c r="S139" s="123">
        <f t="shared" si="311"/>
        <v>6678.2480529591612</v>
      </c>
      <c r="T139" s="123">
        <f t="shared" si="311"/>
        <v>6688.7948797450535</v>
      </c>
      <c r="U139" s="123">
        <f t="shared" si="311"/>
        <v>6415.2135445440972</v>
      </c>
      <c r="V139" s="123">
        <f t="shared" si="311"/>
        <v>6204.1992422227204</v>
      </c>
      <c r="W139" s="123">
        <f t="shared" si="311"/>
        <v>6344.3356503112027</v>
      </c>
      <c r="X139" s="123">
        <f t="shared" si="311"/>
        <v>6354.3551357578008</v>
      </c>
      <c r="Y139" s="123">
        <f t="shared" si="311"/>
        <v>6094.4528673168925</v>
      </c>
      <c r="Z139" s="123">
        <f t="shared" si="311"/>
        <v>5893.9892801115839</v>
      </c>
      <c r="AA139" s="123">
        <f t="shared" si="311"/>
        <v>6027.1188677956425</v>
      </c>
      <c r="AB139" s="123">
        <f t="shared" si="311"/>
        <v>6036.6373789699101</v>
      </c>
      <c r="AC139" s="123">
        <f t="shared" si="311"/>
        <v>5789.7302239510473</v>
      </c>
      <c r="AD139" s="123">
        <f t="shared" si="311"/>
        <v>5599.2898161060048</v>
      </c>
      <c r="AE139" s="123">
        <f t="shared" si="311"/>
        <v>5725.7629244058598</v>
      </c>
      <c r="AF139" s="123">
        <f t="shared" si="311"/>
        <v>5734.8055100214142</v>
      </c>
      <c r="AG139" s="123">
        <f t="shared" si="311"/>
        <v>5500.2437127534949</v>
      </c>
      <c r="AH139" s="123">
        <f t="shared" si="311"/>
        <v>5319.3253253007042</v>
      </c>
      <c r="AI139" s="123">
        <f t="shared" si="311"/>
        <v>5439.4747781855667</v>
      </c>
      <c r="AJ139" s="123">
        <f t="shared" si="307"/>
        <v>5448.0652345203434</v>
      </c>
      <c r="AK139" s="123">
        <f t="shared" si="307"/>
        <v>5225.2315271158195</v>
      </c>
      <c r="AL139" s="123">
        <f t="shared" si="307"/>
        <v>5053.3590590356689</v>
      </c>
      <c r="AM139" s="123">
        <f t="shared" si="307"/>
        <v>5167.5010392762879</v>
      </c>
      <c r="AN139" s="123">
        <f t="shared" si="307"/>
        <v>5175.6619727943262</v>
      </c>
      <c r="AO139" s="123">
        <f t="shared" si="307"/>
        <v>4963.969950760028</v>
      </c>
      <c r="AP139" s="123">
        <f t="shared" si="307"/>
        <v>4800.6911060838856</v>
      </c>
      <c r="AQ139" s="123">
        <f t="shared" si="307"/>
        <v>4909.1259873124736</v>
      </c>
      <c r="AR139" s="123">
        <f t="shared" si="307"/>
        <v>4916.8788741546095</v>
      </c>
      <c r="AS139" s="123">
        <f t="shared" si="307"/>
        <v>4715.7714532220261</v>
      </c>
      <c r="AT139" s="123">
        <f t="shared" si="307"/>
        <v>4560.6565507796913</v>
      </c>
      <c r="AU139" s="123">
        <f t="shared" si="307"/>
        <v>4663.66968794685</v>
      </c>
      <c r="BB139" s="106"/>
      <c r="BC139" s="106"/>
      <c r="BD139" s="106"/>
      <c r="BE139" s="170">
        <f t="shared" si="308"/>
        <v>9778.5048168103422</v>
      </c>
      <c r="BF139" s="170">
        <f t="shared" si="308"/>
        <v>8380.4004538829886</v>
      </c>
      <c r="BG139" s="170">
        <f t="shared" si="308"/>
        <v>7129.5917335033573</v>
      </c>
      <c r="BH139" s="170">
        <f t="shared" si="308"/>
        <v>6870.8287764951929</v>
      </c>
      <c r="BI139" s="170" t="e">
        <f t="shared" si="308"/>
        <v>#DIV/0!</v>
      </c>
      <c r="BJ139" s="170" t="e">
        <f t="shared" si="308"/>
        <v>#DIV/0!</v>
      </c>
      <c r="BK139" s="170" t="e">
        <f t="shared" si="308"/>
        <v>#DIV/0!</v>
      </c>
      <c r="BL139" s="170" t="e">
        <f t="shared" si="308"/>
        <v>#DIV/0!</v>
      </c>
      <c r="BM139" s="170" t="e">
        <f t="shared" ref="BM139:BO139" si="312">BM160*10^3/BM119</f>
        <v>#DIV/0!</v>
      </c>
      <c r="BN139" s="170" t="e">
        <f t="shared" si="312"/>
        <v>#DIV/0!</v>
      </c>
      <c r="BO139" s="170" t="e">
        <f t="shared" si="312"/>
        <v>#DIV/0!</v>
      </c>
    </row>
    <row r="140" spans="3:67">
      <c r="C140" s="38" t="str">
        <f t="shared" si="305"/>
        <v>MLU370 (2021 launched, 7nm)</v>
      </c>
      <c r="H140" s="275"/>
      <c r="I140" s="275"/>
      <c r="J140" s="275"/>
      <c r="K140" s="126">
        <v>18000</v>
      </c>
      <c r="L140" s="126">
        <v>17500</v>
      </c>
      <c r="M140" s="126">
        <v>16500</v>
      </c>
      <c r="N140" s="126">
        <v>15000</v>
      </c>
      <c r="O140" s="123">
        <f>K140*(1+O151)</f>
        <v>14400</v>
      </c>
      <c r="P140" s="123">
        <f t="shared" ref="P140:AI140" si="313">L140*(1+P151)</f>
        <v>14000</v>
      </c>
      <c r="Q140" s="123">
        <f t="shared" si="313"/>
        <v>14025</v>
      </c>
      <c r="R140" s="123">
        <f t="shared" si="313"/>
        <v>12750</v>
      </c>
      <c r="S140" s="123">
        <f t="shared" si="313"/>
        <v>14400</v>
      </c>
      <c r="T140" s="123">
        <f t="shared" si="313"/>
        <v>13300</v>
      </c>
      <c r="U140" s="123">
        <f t="shared" si="313"/>
        <v>13323.75</v>
      </c>
      <c r="V140" s="123">
        <f t="shared" si="313"/>
        <v>12112.5</v>
      </c>
      <c r="W140" s="123">
        <f t="shared" si="313"/>
        <v>13680</v>
      </c>
      <c r="X140" s="123">
        <f t="shared" si="313"/>
        <v>12635</v>
      </c>
      <c r="Y140" s="123">
        <f t="shared" si="313"/>
        <v>12657.5625</v>
      </c>
      <c r="Z140" s="123">
        <f t="shared" si="313"/>
        <v>11506.875</v>
      </c>
      <c r="AA140" s="123">
        <f t="shared" si="313"/>
        <v>12996</v>
      </c>
      <c r="AB140" s="123">
        <f t="shared" si="313"/>
        <v>12003.25</v>
      </c>
      <c r="AC140" s="123">
        <f t="shared" si="313"/>
        <v>12024.684374999999</v>
      </c>
      <c r="AD140" s="123">
        <f t="shared" si="313"/>
        <v>10931.53125</v>
      </c>
      <c r="AE140" s="123">
        <f t="shared" si="313"/>
        <v>12346.199999999999</v>
      </c>
      <c r="AF140" s="123">
        <f t="shared" si="313"/>
        <v>11403.0875</v>
      </c>
      <c r="AG140" s="123">
        <f t="shared" si="313"/>
        <v>11423.450156249999</v>
      </c>
      <c r="AH140" s="123">
        <f t="shared" si="313"/>
        <v>10384.9546875</v>
      </c>
      <c r="AI140" s="123">
        <f t="shared" si="313"/>
        <v>11728.889999999998</v>
      </c>
      <c r="AJ140" s="123">
        <f t="shared" si="307"/>
        <v>10832.933125</v>
      </c>
      <c r="AK140" s="123">
        <f t="shared" si="307"/>
        <v>10852.277648437499</v>
      </c>
      <c r="AL140" s="123">
        <f t="shared" si="307"/>
        <v>9865.7069531249999</v>
      </c>
      <c r="AM140" s="123">
        <f t="shared" si="307"/>
        <v>11142.445499999998</v>
      </c>
      <c r="AN140" s="123">
        <f t="shared" si="307"/>
        <v>10291.286468749999</v>
      </c>
      <c r="AO140" s="123">
        <f t="shared" si="307"/>
        <v>10309.663766015623</v>
      </c>
      <c r="AP140" s="123">
        <f t="shared" si="307"/>
        <v>9372.4216054687495</v>
      </c>
      <c r="AQ140" s="123">
        <f t="shared" si="307"/>
        <v>10585.323224999998</v>
      </c>
      <c r="AR140" s="123">
        <f t="shared" si="307"/>
        <v>9776.7221453124985</v>
      </c>
      <c r="AS140" s="123">
        <f t="shared" si="307"/>
        <v>9794.180577714842</v>
      </c>
      <c r="AT140" s="123">
        <f t="shared" si="307"/>
        <v>8903.8005251953109</v>
      </c>
      <c r="AU140" s="123">
        <f t="shared" si="307"/>
        <v>10056.057063749999</v>
      </c>
      <c r="BB140" s="106"/>
      <c r="BC140" s="106"/>
      <c r="BD140" s="106"/>
      <c r="BE140" s="170"/>
      <c r="BF140" s="170">
        <f t="shared" ref="BF140:BL140" si="314">BF161*10^3/BF120</f>
        <v>18000</v>
      </c>
      <c r="BG140" s="170">
        <f t="shared" si="314"/>
        <v>15703.600654664482</v>
      </c>
      <c r="BH140" s="170">
        <f t="shared" si="314"/>
        <v>13965.563158868132</v>
      </c>
      <c r="BI140" s="170">
        <f t="shared" si="314"/>
        <v>13267.285000924729</v>
      </c>
      <c r="BJ140" s="170" t="e">
        <f t="shared" si="314"/>
        <v>#DIV/0!</v>
      </c>
      <c r="BK140" s="170" t="e">
        <f t="shared" si="314"/>
        <v>#DIV/0!</v>
      </c>
      <c r="BL140" s="170" t="e">
        <f t="shared" si="314"/>
        <v>#DIV/0!</v>
      </c>
      <c r="BM140" s="170" t="e">
        <f t="shared" ref="BM140:BO140" si="315">BM161*10^3/BM120</f>
        <v>#DIV/0!</v>
      </c>
      <c r="BN140" s="170" t="e">
        <f t="shared" si="315"/>
        <v>#DIV/0!</v>
      </c>
      <c r="BO140" s="170" t="e">
        <f t="shared" si="315"/>
        <v>#DIV/0!</v>
      </c>
    </row>
    <row r="141" spans="3:67">
      <c r="C141" s="38" t="str">
        <f t="shared" si="305"/>
        <v>MLU-590 (4Q22 launched, 5nm)</v>
      </c>
      <c r="H141" s="275"/>
      <c r="I141" s="275"/>
      <c r="J141" s="275"/>
      <c r="K141" s="275"/>
      <c r="L141" s="275"/>
      <c r="M141" s="275"/>
      <c r="N141" s="275"/>
      <c r="O141" s="126">
        <v>50000</v>
      </c>
      <c r="P141" s="126">
        <v>50000</v>
      </c>
      <c r="Q141" s="126">
        <v>50000</v>
      </c>
      <c r="R141" s="126">
        <v>50000</v>
      </c>
      <c r="S141" s="123">
        <f>O141*(1+S152)</f>
        <v>50000</v>
      </c>
      <c r="T141" s="123">
        <f>P141*(1+T152)</f>
        <v>47500</v>
      </c>
      <c r="U141" s="123">
        <f>Q141*(1+U152)</f>
        <v>47500</v>
      </c>
      <c r="V141" s="123">
        <f>R141*(1+V152)</f>
        <v>47500</v>
      </c>
      <c r="W141" s="123">
        <f t="shared" ref="W141:AI141" si="316">S141*(1+W152)</f>
        <v>45000</v>
      </c>
      <c r="X141" s="123">
        <f t="shared" si="316"/>
        <v>50587.5</v>
      </c>
      <c r="Y141" s="123">
        <f t="shared" si="316"/>
        <v>50587.5</v>
      </c>
      <c r="Z141" s="123">
        <f t="shared" si="316"/>
        <v>62700</v>
      </c>
      <c r="AA141" s="123">
        <f t="shared" si="316"/>
        <v>59400</v>
      </c>
      <c r="AB141" s="123">
        <f t="shared" si="316"/>
        <v>59389.724999999999</v>
      </c>
      <c r="AC141" s="123">
        <f t="shared" si="316"/>
        <v>58656.206249999996</v>
      </c>
      <c r="AD141" s="123">
        <f t="shared" si="316"/>
        <v>59565</v>
      </c>
      <c r="AE141" s="123">
        <f t="shared" si="316"/>
        <v>56430</v>
      </c>
      <c r="AF141" s="123">
        <f t="shared" si="316"/>
        <v>56420.238749999997</v>
      </c>
      <c r="AG141" s="123">
        <f t="shared" si="316"/>
        <v>55723.39593749999</v>
      </c>
      <c r="AH141" s="123">
        <f t="shared" si="316"/>
        <v>56586.75</v>
      </c>
      <c r="AI141" s="123">
        <f t="shared" si="316"/>
        <v>53608.5</v>
      </c>
      <c r="AJ141" s="123">
        <f t="shared" si="307"/>
        <v>53599.226812499997</v>
      </c>
      <c r="AK141" s="123">
        <f t="shared" si="307"/>
        <v>52937.226140624989</v>
      </c>
      <c r="AL141" s="123">
        <f t="shared" si="307"/>
        <v>53757.412499999999</v>
      </c>
      <c r="AM141" s="123">
        <f t="shared" si="307"/>
        <v>50928.074999999997</v>
      </c>
      <c r="AN141" s="123">
        <f t="shared" si="307"/>
        <v>50919.265471874998</v>
      </c>
      <c r="AO141" s="123">
        <f t="shared" si="307"/>
        <v>50290.36483359374</v>
      </c>
      <c r="AP141" s="123">
        <f t="shared" si="307"/>
        <v>51069.541874999995</v>
      </c>
      <c r="AQ141" s="123">
        <f t="shared" si="307"/>
        <v>48381.671249999992</v>
      </c>
      <c r="AR141" s="123">
        <f t="shared" si="307"/>
        <v>48373.302198281242</v>
      </c>
      <c r="AS141" s="123">
        <f t="shared" si="307"/>
        <v>47775.846591914051</v>
      </c>
      <c r="AT141" s="123">
        <f t="shared" si="307"/>
        <v>48516.064781249996</v>
      </c>
      <c r="AU141" s="123">
        <f t="shared" si="307"/>
        <v>45962.587687499989</v>
      </c>
      <c r="BB141" s="106"/>
      <c r="BC141" s="106"/>
      <c r="BD141" s="106"/>
      <c r="BE141" s="170"/>
      <c r="BF141" s="170"/>
      <c r="BG141" s="170"/>
      <c r="BH141" s="170">
        <f>BH162*10^3/BH121</f>
        <v>50000</v>
      </c>
      <c r="BI141" s="170">
        <f>BI162*10^3/BI121</f>
        <v>45361.840368887693</v>
      </c>
      <c r="BJ141" s="170">
        <f>BJ162*10^3/BJ121</f>
        <v>55866.548716190984</v>
      </c>
      <c r="BK141" s="170">
        <f>BK162*10^3/BK121</f>
        <v>58170.328503435929</v>
      </c>
      <c r="BL141" s="170">
        <f>BL162*10^3/BL121</f>
        <v>55624.267000380256</v>
      </c>
      <c r="BM141" s="170">
        <f t="shared" ref="BM141:BO141" si="317">BM162*10^3/BM121</f>
        <v>52859.874653762745</v>
      </c>
      <c r="BN141" s="170">
        <f t="shared" si="317"/>
        <v>50208.851052793478</v>
      </c>
      <c r="BO141" s="170">
        <f t="shared" si="317"/>
        <v>47695.287221718791</v>
      </c>
    </row>
    <row r="142" spans="3:67">
      <c r="C142" s="38" t="str">
        <f t="shared" si="305"/>
        <v>MLU-690</v>
      </c>
      <c r="H142" s="275"/>
      <c r="I142" s="275"/>
      <c r="J142" s="275"/>
      <c r="K142" s="275"/>
      <c r="L142" s="275"/>
      <c r="M142" s="275"/>
      <c r="N142" s="275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75">
        <v>110000</v>
      </c>
      <c r="AB142" s="75">
        <f>AA142</f>
        <v>110000</v>
      </c>
      <c r="AC142" s="75">
        <f>AB142</f>
        <v>110000</v>
      </c>
      <c r="AD142" s="75">
        <f>AC142</f>
        <v>110000</v>
      </c>
      <c r="AE142" s="123">
        <f>AA142*(1+AE153)</f>
        <v>110000</v>
      </c>
      <c r="AF142" s="123">
        <f>AB142*(1+AF153)</f>
        <v>159500</v>
      </c>
      <c r="AG142" s="123">
        <f>AC142*(1+AG153)</f>
        <v>160050</v>
      </c>
      <c r="AH142" s="123">
        <f>AD142*(1+AH153)</f>
        <v>160050</v>
      </c>
      <c r="AI142" s="123">
        <f>AE142*(1+AI153)</f>
        <v>160050</v>
      </c>
      <c r="AJ142" s="123">
        <f t="shared" si="307"/>
        <v>151525</v>
      </c>
      <c r="AK142" s="123">
        <f t="shared" si="307"/>
        <v>152047.5</v>
      </c>
      <c r="AL142" s="123">
        <f t="shared" si="307"/>
        <v>152047.5</v>
      </c>
      <c r="AM142" s="123">
        <f t="shared" si="307"/>
        <v>152047.5</v>
      </c>
      <c r="AN142" s="123">
        <f t="shared" si="307"/>
        <v>143948.75</v>
      </c>
      <c r="AO142" s="123">
        <f t="shared" si="307"/>
        <v>144445.125</v>
      </c>
      <c r="AP142" s="123">
        <f t="shared" si="307"/>
        <v>144445.125</v>
      </c>
      <c r="AQ142" s="123">
        <f t="shared" si="307"/>
        <v>144445.125</v>
      </c>
      <c r="AR142" s="123">
        <f t="shared" si="307"/>
        <v>136751.3125</v>
      </c>
      <c r="AS142" s="123">
        <f t="shared" si="307"/>
        <v>137222.86874999999</v>
      </c>
      <c r="AT142" s="123">
        <f t="shared" si="307"/>
        <v>137222.86874999999</v>
      </c>
      <c r="AU142" s="123">
        <f t="shared" si="307"/>
        <v>137222.86874999999</v>
      </c>
      <c r="BB142" s="106"/>
      <c r="BC142" s="106"/>
      <c r="BD142" s="106"/>
      <c r="BE142" s="170"/>
      <c r="BF142" s="170"/>
      <c r="BG142" s="170"/>
      <c r="BH142" s="170"/>
      <c r="BI142" s="170"/>
      <c r="BJ142" s="170" t="e">
        <f t="shared" ref="BJ142:BL145" si="318">BJ163*10^3/BJ122</f>
        <v>#DIV/0!</v>
      </c>
      <c r="BK142" s="170">
        <f t="shared" si="318"/>
        <v>110000</v>
      </c>
      <c r="BL142" s="170">
        <f t="shared" si="318"/>
        <v>160029.95366795367</v>
      </c>
      <c r="BM142" s="170">
        <f t="shared" ref="BM142:BO142" si="319">BM163*10^3/BM122</f>
        <v>151917.42145586939</v>
      </c>
      <c r="BN142" s="170">
        <f t="shared" si="319"/>
        <v>144321.55038307596</v>
      </c>
      <c r="BO142" s="170">
        <f t="shared" si="319"/>
        <v>137105.47286392216</v>
      </c>
    </row>
    <row r="143" spans="3:67">
      <c r="C143" s="38" t="str">
        <f t="shared" si="305"/>
        <v>MLU-790</v>
      </c>
      <c r="H143" s="275"/>
      <c r="I143" s="275"/>
      <c r="J143" s="275"/>
      <c r="K143" s="275"/>
      <c r="L143" s="275"/>
      <c r="M143" s="275"/>
      <c r="N143" s="275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75">
        <v>136500</v>
      </c>
      <c r="AJ143" s="75">
        <f>AI143</f>
        <v>136500</v>
      </c>
      <c r="AK143" s="75">
        <f>AJ143</f>
        <v>136500</v>
      </c>
      <c r="AL143" s="75">
        <f>AK143</f>
        <v>136500</v>
      </c>
      <c r="AM143" s="123">
        <f t="shared" ref="AM143:AU145" si="320">AI143*(1+AM154)</f>
        <v>163800</v>
      </c>
      <c r="AN143" s="123">
        <f t="shared" si="320"/>
        <v>163800</v>
      </c>
      <c r="AO143" s="123">
        <f t="shared" si="320"/>
        <v>163800</v>
      </c>
      <c r="AP143" s="123">
        <f t="shared" si="320"/>
        <v>163800</v>
      </c>
      <c r="AQ143" s="123">
        <f t="shared" si="320"/>
        <v>196560</v>
      </c>
      <c r="AR143" s="123">
        <f t="shared" si="320"/>
        <v>198935.09999999998</v>
      </c>
      <c r="AS143" s="123">
        <f t="shared" si="320"/>
        <v>198935.09999999998</v>
      </c>
      <c r="AT143" s="123">
        <f t="shared" si="320"/>
        <v>198935.09999999998</v>
      </c>
      <c r="AU143" s="123">
        <f t="shared" si="320"/>
        <v>238722.12</v>
      </c>
      <c r="BB143" s="106"/>
      <c r="BC143" s="106"/>
      <c r="BD143" s="106"/>
      <c r="BE143" s="170"/>
      <c r="BF143" s="170"/>
      <c r="BG143" s="170"/>
      <c r="BH143" s="170"/>
      <c r="BI143" s="170"/>
      <c r="BJ143" s="170" t="e">
        <f t="shared" si="318"/>
        <v>#DIV/0!</v>
      </c>
      <c r="BK143" s="170" t="e">
        <f t="shared" si="318"/>
        <v>#DIV/0!</v>
      </c>
      <c r="BL143" s="170" t="e">
        <f t="shared" si="318"/>
        <v>#DIV/0!</v>
      </c>
      <c r="BM143" s="170">
        <f t="shared" ref="BM143:BO143" si="321">BM164*10^3/BM123</f>
        <v>152582.47422680413</v>
      </c>
      <c r="BN143" s="170">
        <f t="shared" si="321"/>
        <v>172055.58465216897</v>
      </c>
      <c r="BO143" s="170">
        <f t="shared" si="321"/>
        <v>209540.34965524403</v>
      </c>
    </row>
    <row r="144" spans="3:67">
      <c r="C144" s="38" t="str">
        <f t="shared" si="305"/>
        <v>SD 5223 (L2+ AV chips)</v>
      </c>
      <c r="H144" s="123"/>
      <c r="I144" s="123"/>
      <c r="J144" s="123"/>
      <c r="K144" s="123"/>
      <c r="L144" s="123"/>
      <c r="M144" s="123"/>
      <c r="N144" s="123"/>
      <c r="O144" s="123"/>
      <c r="R144" s="278"/>
      <c r="S144" s="278"/>
      <c r="T144" s="278"/>
      <c r="U144" s="278"/>
      <c r="V144" s="123"/>
      <c r="W144" s="123"/>
      <c r="X144" s="123"/>
      <c r="Y144" s="123"/>
      <c r="Z144" s="274">
        <f>50*Z67</f>
        <v>350.935</v>
      </c>
      <c r="AA144" s="274">
        <f>Z144</f>
        <v>350.935</v>
      </c>
      <c r="AB144" s="274">
        <f>AA144</f>
        <v>350.935</v>
      </c>
      <c r="AC144" s="274">
        <f>AB144</f>
        <v>350.935</v>
      </c>
      <c r="AD144" s="123">
        <f t="shared" ref="AD144:AI144" si="322">Z144*(1+AD155)</f>
        <v>333.38824999999997</v>
      </c>
      <c r="AE144" s="123">
        <f t="shared" si="322"/>
        <v>333.38824999999997</v>
      </c>
      <c r="AF144" s="123">
        <f t="shared" si="322"/>
        <v>333.38824999999997</v>
      </c>
      <c r="AG144" s="123">
        <f t="shared" si="322"/>
        <v>333.38824999999997</v>
      </c>
      <c r="AH144" s="123">
        <f t="shared" si="322"/>
        <v>316.71883749999995</v>
      </c>
      <c r="AI144" s="123">
        <f t="shared" si="322"/>
        <v>316.71883749999995</v>
      </c>
      <c r="AJ144" s="123">
        <f t="shared" ref="AJ144:AL145" si="323">AF144*(1+AJ155)</f>
        <v>316.71883749999995</v>
      </c>
      <c r="AK144" s="123">
        <f t="shared" si="323"/>
        <v>316.71883749999995</v>
      </c>
      <c r="AL144" s="123">
        <f t="shared" si="323"/>
        <v>300.88289562499995</v>
      </c>
      <c r="AM144" s="123">
        <f t="shared" si="320"/>
        <v>300.88289562499995</v>
      </c>
      <c r="AN144" s="123">
        <f t="shared" si="320"/>
        <v>300.88289562499995</v>
      </c>
      <c r="AO144" s="123">
        <f t="shared" si="320"/>
        <v>300.88289562499995</v>
      </c>
      <c r="AP144" s="123">
        <f t="shared" si="320"/>
        <v>285.83875084374995</v>
      </c>
      <c r="AQ144" s="123">
        <f t="shared" si="320"/>
        <v>285.83875084374995</v>
      </c>
      <c r="AR144" s="123">
        <f t="shared" si="320"/>
        <v>285.83875084374995</v>
      </c>
      <c r="AS144" s="123">
        <f t="shared" si="320"/>
        <v>285.83875084374995</v>
      </c>
      <c r="AT144" s="123">
        <f t="shared" si="320"/>
        <v>271.54681330156245</v>
      </c>
      <c r="AU144" s="123">
        <f t="shared" si="320"/>
        <v>271.54681330156245</v>
      </c>
      <c r="BB144" s="106"/>
      <c r="BC144" s="106"/>
      <c r="BD144" s="106"/>
      <c r="BE144" s="170"/>
      <c r="BF144" s="170"/>
      <c r="BG144" s="170"/>
      <c r="BH144" s="170" t="e">
        <f>BH165*10^3/BH124</f>
        <v>#DIV/0!</v>
      </c>
      <c r="BI144" s="170" t="e">
        <f>BI165*10^3/BI124</f>
        <v>#DIV/0!</v>
      </c>
      <c r="BJ144" s="170" t="e">
        <f t="shared" si="318"/>
        <v>#DIV/0!</v>
      </c>
      <c r="BK144" s="170" t="e">
        <f t="shared" si="318"/>
        <v>#DIV/0!</v>
      </c>
      <c r="BL144" s="170" t="e">
        <f t="shared" si="318"/>
        <v>#DIV/0!</v>
      </c>
      <c r="BM144" s="170" t="e">
        <f t="shared" ref="BM144:BO144" si="324">BM165*10^3/BM124</f>
        <v>#DIV/0!</v>
      </c>
      <c r="BN144" s="170" t="e">
        <f t="shared" si="324"/>
        <v>#DIV/0!</v>
      </c>
      <c r="BO144" s="170" t="e">
        <f t="shared" si="324"/>
        <v>#DIV/0!</v>
      </c>
    </row>
    <row r="145" spans="3:67">
      <c r="C145" s="38" t="str">
        <f t="shared" si="305"/>
        <v>SD 5226 (L4 AV chips)</v>
      </c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U145" s="278"/>
      <c r="V145" s="278"/>
      <c r="W145" s="278"/>
      <c r="X145" s="278"/>
      <c r="Y145" s="123"/>
      <c r="Z145" s="123"/>
      <c r="AA145" s="123"/>
      <c r="AB145" s="274">
        <f>200*AB67</f>
        <v>1451.3999999999999</v>
      </c>
      <c r="AC145" s="274">
        <f>AB145</f>
        <v>1451.3999999999999</v>
      </c>
      <c r="AD145" s="274">
        <f>AC145</f>
        <v>1451.3999999999999</v>
      </c>
      <c r="AE145" s="274">
        <f>AD145</f>
        <v>1451.3999999999999</v>
      </c>
      <c r="AF145" s="123">
        <f t="shared" ref="AF145:AI145" si="325">AB145*(1+AF156)</f>
        <v>1378.8299999999997</v>
      </c>
      <c r="AG145" s="123">
        <f t="shared" si="325"/>
        <v>1378.8299999999997</v>
      </c>
      <c r="AH145" s="123">
        <f t="shared" si="325"/>
        <v>1378.8299999999997</v>
      </c>
      <c r="AI145" s="123">
        <f t="shared" si="325"/>
        <v>1378.8299999999997</v>
      </c>
      <c r="AJ145" s="123">
        <f t="shared" si="323"/>
        <v>1309.8884999999996</v>
      </c>
      <c r="AK145" s="123">
        <f t="shared" si="323"/>
        <v>1309.8884999999996</v>
      </c>
      <c r="AL145" s="123">
        <f t="shared" si="323"/>
        <v>1309.8884999999996</v>
      </c>
      <c r="AM145" s="123">
        <f t="shared" si="320"/>
        <v>1309.8884999999996</v>
      </c>
      <c r="AN145" s="123">
        <f t="shared" si="320"/>
        <v>1244.3940749999995</v>
      </c>
      <c r="AO145" s="123">
        <f t="shared" si="320"/>
        <v>1244.3940749999995</v>
      </c>
      <c r="AP145" s="123">
        <f t="shared" si="320"/>
        <v>1244.3940749999995</v>
      </c>
      <c r="AQ145" s="123">
        <f t="shared" si="320"/>
        <v>1244.3940749999995</v>
      </c>
      <c r="AR145" s="123">
        <f t="shared" si="320"/>
        <v>1182.1743712499995</v>
      </c>
      <c r="AS145" s="123">
        <f t="shared" si="320"/>
        <v>1182.1743712499995</v>
      </c>
      <c r="AT145" s="123">
        <f t="shared" si="320"/>
        <v>1182.1743712499995</v>
      </c>
      <c r="AU145" s="123">
        <f t="shared" si="320"/>
        <v>1182.1743712499995</v>
      </c>
      <c r="BB145" s="106"/>
      <c r="BC145" s="106"/>
      <c r="BD145" s="106"/>
      <c r="BE145" s="170"/>
      <c r="BF145" s="170"/>
      <c r="BG145" s="170"/>
      <c r="BH145" s="170"/>
      <c r="BI145" s="170" t="e">
        <f>BI166*10^3/BI125</f>
        <v>#DIV/0!</v>
      </c>
      <c r="BJ145" s="170" t="e">
        <f t="shared" si="318"/>
        <v>#DIV/0!</v>
      </c>
      <c r="BK145" s="170" t="e">
        <f t="shared" si="318"/>
        <v>#DIV/0!</v>
      </c>
      <c r="BL145" s="170" t="e">
        <f t="shared" si="318"/>
        <v>#DIV/0!</v>
      </c>
      <c r="BM145" s="170" t="e">
        <f t="shared" ref="BM145:BO145" si="326">BM166*10^3/BM125</f>
        <v>#DIV/0!</v>
      </c>
      <c r="BN145" s="170" t="e">
        <f t="shared" si="326"/>
        <v>#DIV/0!</v>
      </c>
      <c r="BO145" s="170" t="e">
        <f t="shared" si="326"/>
        <v>#DIV/0!</v>
      </c>
    </row>
    <row r="146" spans="3:67" s="242" customFormat="1">
      <c r="C146" s="242" t="s">
        <v>708</v>
      </c>
      <c r="H146" s="293"/>
      <c r="I146" s="293"/>
      <c r="J146" s="293"/>
      <c r="K146" s="293"/>
      <c r="L146" s="293"/>
      <c r="M146" s="293"/>
      <c r="N146" s="293"/>
      <c r="O146" s="293"/>
      <c r="P146" s="293"/>
      <c r="Q146" s="293"/>
      <c r="R146" s="293"/>
      <c r="S146" s="293"/>
      <c r="U146" s="294"/>
      <c r="V146" s="294"/>
      <c r="W146" s="294"/>
      <c r="X146" s="294"/>
      <c r="Y146" s="293"/>
      <c r="Z146" s="293"/>
      <c r="AA146" s="293"/>
      <c r="AB146" s="293"/>
      <c r="AC146" s="293"/>
      <c r="AD146" s="293"/>
      <c r="AE146" s="293"/>
      <c r="AF146" s="293"/>
      <c r="AG146" s="293"/>
      <c r="AH146" s="293"/>
      <c r="AI146" s="293"/>
      <c r="AJ146" s="293"/>
      <c r="AK146" s="293"/>
      <c r="AL146" s="293"/>
      <c r="AM146" s="293"/>
      <c r="AN146" s="293"/>
      <c r="AO146" s="293"/>
      <c r="AP146" s="293"/>
      <c r="AQ146" s="293"/>
      <c r="AR146" s="293"/>
      <c r="AS146" s="293"/>
      <c r="AT146" s="293"/>
      <c r="AU146" s="293"/>
      <c r="BB146" s="295"/>
      <c r="BC146" s="295"/>
      <c r="BD146" s="295"/>
      <c r="BE146" s="294">
        <f t="shared" ref="BE146:BO146" si="327">BE7*1000000/(BE117*1000)/BE67</f>
        <v>1288.4102579040261</v>
      </c>
      <c r="BF146" s="294">
        <f t="shared" si="327"/>
        <v>1506.4781608428966</v>
      </c>
      <c r="BG146" s="294">
        <f t="shared" si="327"/>
        <v>1914.3533562251978</v>
      </c>
      <c r="BH146" s="294">
        <f t="shared" si="327"/>
        <v>2912.9196107200146</v>
      </c>
      <c r="BI146" s="294">
        <f t="shared" si="327"/>
        <v>6252.0581711685682</v>
      </c>
      <c r="BJ146" s="294">
        <f t="shared" si="327"/>
        <v>7775.7934375863879</v>
      </c>
      <c r="BK146" s="294">
        <f t="shared" si="327"/>
        <v>8238.7238991638096</v>
      </c>
      <c r="BL146" s="294">
        <f t="shared" si="327"/>
        <v>12357.79366704992</v>
      </c>
      <c r="BM146" s="294">
        <f t="shared" si="327"/>
        <v>12975.987884491267</v>
      </c>
      <c r="BN146" s="294">
        <f t="shared" si="327"/>
        <v>13624.985765240634</v>
      </c>
      <c r="BO146" s="294">
        <f t="shared" si="327"/>
        <v>14306.375737059983</v>
      </c>
    </row>
    <row r="147" spans="3:67">
      <c r="H147" s="275"/>
      <c r="I147" s="275"/>
      <c r="J147" s="275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69"/>
      <c r="X147" s="169"/>
      <c r="Y147" s="169"/>
      <c r="Z147" s="169"/>
      <c r="AA147" s="169"/>
      <c r="AB147" s="169"/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N147" s="169"/>
      <c r="AO147" s="169"/>
      <c r="AP147" s="169"/>
      <c r="AQ147" s="169"/>
      <c r="AR147" s="169"/>
      <c r="AS147" s="169"/>
      <c r="AT147" s="169"/>
      <c r="AU147" s="169"/>
      <c r="BB147" s="106"/>
      <c r="BC147" s="106"/>
      <c r="BD147" s="106"/>
      <c r="BE147" s="170"/>
      <c r="BF147" s="106"/>
      <c r="BG147" s="106"/>
      <c r="BH147" s="239" t="e">
        <f t="shared" ref="BH147:BO147" si="328">BH144/BH67</f>
        <v>#DIV/0!</v>
      </c>
      <c r="BI147" s="239" t="e">
        <f t="shared" si="328"/>
        <v>#DIV/0!</v>
      </c>
      <c r="BJ147" s="239" t="e">
        <f t="shared" si="328"/>
        <v>#DIV/0!</v>
      </c>
      <c r="BK147" s="239" t="e">
        <f t="shared" si="328"/>
        <v>#DIV/0!</v>
      </c>
      <c r="BL147" s="239" t="e">
        <f t="shared" si="328"/>
        <v>#DIV/0!</v>
      </c>
      <c r="BM147" s="239" t="e">
        <f t="shared" si="328"/>
        <v>#DIV/0!</v>
      </c>
      <c r="BN147" s="239" t="e">
        <f t="shared" si="328"/>
        <v>#DIV/0!</v>
      </c>
      <c r="BO147" s="239" t="e">
        <f t="shared" si="328"/>
        <v>#DIV/0!</v>
      </c>
    </row>
    <row r="148" spans="3:67">
      <c r="C148" s="237" t="s">
        <v>164</v>
      </c>
      <c r="D148" s="292"/>
      <c r="E148" s="292"/>
      <c r="F148" s="292"/>
      <c r="G148" s="239"/>
      <c r="H148" s="239"/>
      <c r="I148" s="239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7"/>
      <c r="AW148" s="237"/>
      <c r="AX148" s="237"/>
      <c r="AY148" s="237"/>
      <c r="AZ148" s="237"/>
      <c r="BA148" s="237"/>
      <c r="BB148" s="239"/>
      <c r="BC148" s="239"/>
      <c r="BD148" s="239"/>
      <c r="BE148" s="239"/>
      <c r="BF148" s="239"/>
      <c r="BG148" s="239"/>
      <c r="BH148" s="239"/>
      <c r="BI148" s="239" t="e">
        <f t="shared" ref="BI148:BO148" si="329">BI145/BI67</f>
        <v>#DIV/0!</v>
      </c>
      <c r="BJ148" s="239" t="e">
        <f t="shared" si="329"/>
        <v>#DIV/0!</v>
      </c>
      <c r="BK148" s="239" t="e">
        <f t="shared" si="329"/>
        <v>#DIV/0!</v>
      </c>
      <c r="BL148" s="239" t="e">
        <f t="shared" si="329"/>
        <v>#DIV/0!</v>
      </c>
      <c r="BM148" s="239" t="e">
        <f t="shared" si="329"/>
        <v>#DIV/0!</v>
      </c>
      <c r="BN148" s="239" t="e">
        <f t="shared" si="329"/>
        <v>#DIV/0!</v>
      </c>
      <c r="BO148" s="239" t="e">
        <f t="shared" si="329"/>
        <v>#DIV/0!</v>
      </c>
    </row>
    <row r="149" spans="3:67">
      <c r="C149" s="38" t="str">
        <f t="shared" ref="C149:C156" si="330">C138</f>
        <v>MLU100 (2018 launched, 16nm)</v>
      </c>
      <c r="D149" s="170"/>
      <c r="E149" s="170"/>
      <c r="F149" s="170"/>
      <c r="G149" s="170"/>
      <c r="H149" s="276">
        <v>-0.1</v>
      </c>
      <c r="I149" s="276">
        <f>H149</f>
        <v>-0.1</v>
      </c>
      <c r="J149" s="276">
        <f>I149</f>
        <v>-0.1</v>
      </c>
      <c r="K149" s="276">
        <f>J149</f>
        <v>-0.1</v>
      </c>
      <c r="L149" s="276">
        <v>-0.1</v>
      </c>
      <c r="M149" s="276">
        <f>L149</f>
        <v>-0.1</v>
      </c>
      <c r="N149" s="276">
        <f t="shared" ref="N149:W149" si="331">M149</f>
        <v>-0.1</v>
      </c>
      <c r="O149" s="276">
        <f t="shared" si="331"/>
        <v>-0.1</v>
      </c>
      <c r="P149" s="276">
        <v>-0.05</v>
      </c>
      <c r="Q149" s="276">
        <f t="shared" si="331"/>
        <v>-0.05</v>
      </c>
      <c r="R149" s="276">
        <f t="shared" si="331"/>
        <v>-0.05</v>
      </c>
      <c r="S149" s="276">
        <f t="shared" si="331"/>
        <v>-0.05</v>
      </c>
      <c r="T149" s="276">
        <f t="shared" si="331"/>
        <v>-0.05</v>
      </c>
      <c r="U149" s="276">
        <f t="shared" si="331"/>
        <v>-0.05</v>
      </c>
      <c r="V149" s="276">
        <f t="shared" si="331"/>
        <v>-0.05</v>
      </c>
      <c r="W149" s="276">
        <f t="shared" si="331"/>
        <v>-0.05</v>
      </c>
      <c r="X149" s="276">
        <f t="shared" ref="X149:AI149" si="332">W149</f>
        <v>-0.05</v>
      </c>
      <c r="Y149" s="276">
        <f t="shared" si="332"/>
        <v>-0.05</v>
      </c>
      <c r="Z149" s="276">
        <f t="shared" si="332"/>
        <v>-0.05</v>
      </c>
      <c r="AA149" s="276">
        <f t="shared" si="332"/>
        <v>-0.05</v>
      </c>
      <c r="AB149" s="223">
        <f t="shared" si="332"/>
        <v>-0.05</v>
      </c>
      <c r="AC149" s="223">
        <f t="shared" si="332"/>
        <v>-0.05</v>
      </c>
      <c r="AD149" s="223">
        <f t="shared" si="332"/>
        <v>-0.05</v>
      </c>
      <c r="AE149" s="223">
        <f t="shared" si="332"/>
        <v>-0.05</v>
      </c>
      <c r="AF149" s="223">
        <f t="shared" si="332"/>
        <v>-0.05</v>
      </c>
      <c r="AG149" s="223">
        <f t="shared" si="332"/>
        <v>-0.05</v>
      </c>
      <c r="AH149" s="223">
        <f t="shared" si="332"/>
        <v>-0.05</v>
      </c>
      <c r="AI149" s="223">
        <f t="shared" si="332"/>
        <v>-0.05</v>
      </c>
      <c r="AJ149" s="223">
        <f t="shared" ref="AJ149" si="333">AI149</f>
        <v>-0.05</v>
      </c>
      <c r="AK149" s="223">
        <f t="shared" ref="AK149" si="334">AJ149</f>
        <v>-0.05</v>
      </c>
      <c r="AL149" s="223">
        <f t="shared" ref="AL149" si="335">AK149</f>
        <v>-0.05</v>
      </c>
      <c r="AM149" s="223">
        <f t="shared" ref="AM149" si="336">AL149</f>
        <v>-0.05</v>
      </c>
      <c r="AN149" s="223">
        <f t="shared" ref="AN149" si="337">AM149</f>
        <v>-0.05</v>
      </c>
      <c r="AO149" s="223">
        <f t="shared" ref="AO149" si="338">AN149</f>
        <v>-0.05</v>
      </c>
      <c r="AP149" s="223">
        <f t="shared" ref="AP149" si="339">AO149</f>
        <v>-0.05</v>
      </c>
      <c r="AQ149" s="223">
        <f t="shared" ref="AQ149" si="340">AP149</f>
        <v>-0.05</v>
      </c>
      <c r="AR149" s="223">
        <f t="shared" ref="AR149" si="341">AQ149</f>
        <v>-0.05</v>
      </c>
      <c r="AS149" s="223">
        <f t="shared" ref="AS149" si="342">AR149</f>
        <v>-0.05</v>
      </c>
      <c r="AT149" s="223">
        <f t="shared" ref="AT149" si="343">AS149</f>
        <v>-0.05</v>
      </c>
      <c r="AU149" s="223">
        <f t="shared" ref="AU149" si="344">AT149</f>
        <v>-0.05</v>
      </c>
      <c r="BB149" s="275"/>
      <c r="BC149" s="275"/>
      <c r="BD149" s="275"/>
      <c r="BE149" s="275"/>
      <c r="BF149" s="71">
        <f t="shared" ref="BF149:BL150" si="345">BF138/BE138-1</f>
        <v>-9.9999999999999756E-2</v>
      </c>
      <c r="BG149" s="71">
        <f t="shared" si="345"/>
        <v>-0.1000000000000002</v>
      </c>
      <c r="BH149" s="71">
        <f t="shared" si="345"/>
        <v>-4.9999999999999822E-2</v>
      </c>
      <c r="BI149" s="71" t="e">
        <f t="shared" si="345"/>
        <v>#DIV/0!</v>
      </c>
      <c r="BJ149" s="71" t="e">
        <f t="shared" si="345"/>
        <v>#DIV/0!</v>
      </c>
      <c r="BK149" s="71" t="e">
        <f t="shared" si="345"/>
        <v>#DIV/0!</v>
      </c>
      <c r="BL149" s="71" t="e">
        <f t="shared" si="345"/>
        <v>#DIV/0!</v>
      </c>
      <c r="BM149" s="71" t="e">
        <f t="shared" ref="BM149:BM157" si="346">BM138/BL138-1</f>
        <v>#DIV/0!</v>
      </c>
      <c r="BN149" s="71" t="e">
        <f t="shared" ref="BN149:BN157" si="347">BN138/BM138-1</f>
        <v>#DIV/0!</v>
      </c>
      <c r="BO149" s="71" t="e">
        <f t="shared" ref="BO149:BO157" si="348">BO138/BN138-1</f>
        <v>#DIV/0!</v>
      </c>
    </row>
    <row r="150" spans="3:67">
      <c r="C150" s="38" t="str">
        <f t="shared" si="330"/>
        <v>MLU270 (2019 launched, 16nm)</v>
      </c>
      <c r="D150" s="170"/>
      <c r="E150" s="170"/>
      <c r="F150" s="170"/>
      <c r="G150" s="170"/>
      <c r="H150" s="106">
        <f>H139/D139-1</f>
        <v>-8.8988301134699022E-2</v>
      </c>
      <c r="I150" s="106">
        <f>I139/E139-1</f>
        <v>-0.16304904568897194</v>
      </c>
      <c r="J150" s="106">
        <f>J139/F139-1</f>
        <v>-0.14266774805400373</v>
      </c>
      <c r="K150" s="106">
        <f>K139/G139-1</f>
        <v>-0.14045405934273447</v>
      </c>
      <c r="L150" s="276">
        <v>-0.2</v>
      </c>
      <c r="M150" s="276">
        <v>-0.15</v>
      </c>
      <c r="N150" s="276">
        <f>M150</f>
        <v>-0.15</v>
      </c>
      <c r="O150" s="276">
        <v>-0.1</v>
      </c>
      <c r="P150" s="276">
        <v>-0.05</v>
      </c>
      <c r="Q150" s="276">
        <v>-0.05</v>
      </c>
      <c r="R150" s="276">
        <v>-0.05</v>
      </c>
      <c r="S150" s="276">
        <v>-0.05</v>
      </c>
      <c r="T150" s="276">
        <v>-0.05</v>
      </c>
      <c r="U150" s="276">
        <v>-0.05</v>
      </c>
      <c r="V150" s="276">
        <v>-0.05</v>
      </c>
      <c r="W150" s="276">
        <v>-0.05</v>
      </c>
      <c r="X150" s="276">
        <v>-0.05</v>
      </c>
      <c r="Y150" s="276">
        <v>-0.05</v>
      </c>
      <c r="Z150" s="276">
        <v>-0.05</v>
      </c>
      <c r="AA150" s="276">
        <v>-0.05</v>
      </c>
      <c r="AB150" s="223">
        <v>-0.05</v>
      </c>
      <c r="AC150" s="223">
        <v>-0.05</v>
      </c>
      <c r="AD150" s="223">
        <v>-0.05</v>
      </c>
      <c r="AE150" s="223">
        <v>-0.05</v>
      </c>
      <c r="AF150" s="223">
        <v>-0.05</v>
      </c>
      <c r="AG150" s="223">
        <v>-0.05</v>
      </c>
      <c r="AH150" s="223">
        <v>-0.05</v>
      </c>
      <c r="AI150" s="223">
        <v>-0.05</v>
      </c>
      <c r="AJ150" s="223">
        <v>-0.05</v>
      </c>
      <c r="AK150" s="223">
        <v>-0.05</v>
      </c>
      <c r="AL150" s="223">
        <v>-0.05</v>
      </c>
      <c r="AM150" s="223">
        <v>-0.05</v>
      </c>
      <c r="AN150" s="223">
        <v>-0.05</v>
      </c>
      <c r="AO150" s="223">
        <v>-0.05</v>
      </c>
      <c r="AP150" s="223">
        <v>-0.05</v>
      </c>
      <c r="AQ150" s="223">
        <v>-0.05</v>
      </c>
      <c r="AR150" s="223">
        <v>-0.05</v>
      </c>
      <c r="AS150" s="223">
        <v>-0.05</v>
      </c>
      <c r="AT150" s="223">
        <v>-0.05</v>
      </c>
      <c r="AU150" s="223">
        <v>-0.05</v>
      </c>
      <c r="AV150" s="170"/>
      <c r="BB150" s="275"/>
      <c r="BC150" s="275"/>
      <c r="BD150" s="275"/>
      <c r="BE150" s="275"/>
      <c r="BF150" s="71">
        <f t="shared" si="345"/>
        <v>-0.14297731494940369</v>
      </c>
      <c r="BG150" s="71">
        <f t="shared" si="345"/>
        <v>-0.14925405143379267</v>
      </c>
      <c r="BH150" s="71">
        <f t="shared" si="345"/>
        <v>-3.6294218053494753E-2</v>
      </c>
      <c r="BI150" s="71" t="e">
        <f t="shared" si="345"/>
        <v>#DIV/0!</v>
      </c>
      <c r="BJ150" s="71" t="e">
        <f t="shared" si="345"/>
        <v>#DIV/0!</v>
      </c>
      <c r="BK150" s="71" t="e">
        <f t="shared" si="345"/>
        <v>#DIV/0!</v>
      </c>
      <c r="BL150" s="71" t="e">
        <f t="shared" si="345"/>
        <v>#DIV/0!</v>
      </c>
      <c r="BM150" s="71" t="e">
        <f t="shared" si="346"/>
        <v>#DIV/0!</v>
      </c>
      <c r="BN150" s="71" t="e">
        <f t="shared" si="347"/>
        <v>#DIV/0!</v>
      </c>
      <c r="BO150" s="71" t="e">
        <f t="shared" si="348"/>
        <v>#DIV/0!</v>
      </c>
    </row>
    <row r="151" spans="3:67">
      <c r="C151" s="38" t="str">
        <f t="shared" si="330"/>
        <v>MLU370 (2021 launched, 7nm)</v>
      </c>
      <c r="D151" s="170"/>
      <c r="E151" s="170"/>
      <c r="F151" s="170"/>
      <c r="G151" s="170"/>
      <c r="H151" s="275"/>
      <c r="I151" s="275"/>
      <c r="J151" s="275"/>
      <c r="K151" s="169"/>
      <c r="L151" s="169"/>
      <c r="M151" s="169"/>
      <c r="N151" s="169"/>
      <c r="O151" s="276">
        <v>-0.2</v>
      </c>
      <c r="P151" s="276">
        <f>O151</f>
        <v>-0.2</v>
      </c>
      <c r="Q151" s="276">
        <v>-0.15</v>
      </c>
      <c r="R151" s="276">
        <f t="shared" ref="R151:AA152" si="349">Q151</f>
        <v>-0.15</v>
      </c>
      <c r="S151" s="276">
        <v>0</v>
      </c>
      <c r="T151" s="276">
        <v>-0.05</v>
      </c>
      <c r="U151" s="276">
        <f t="shared" si="349"/>
        <v>-0.05</v>
      </c>
      <c r="V151" s="276">
        <f t="shared" si="349"/>
        <v>-0.05</v>
      </c>
      <c r="W151" s="276">
        <f t="shared" si="349"/>
        <v>-0.05</v>
      </c>
      <c r="X151" s="276">
        <v>-0.05</v>
      </c>
      <c r="Y151" s="276">
        <f t="shared" si="349"/>
        <v>-0.05</v>
      </c>
      <c r="Z151" s="276">
        <f t="shared" si="349"/>
        <v>-0.05</v>
      </c>
      <c r="AA151" s="276">
        <f t="shared" si="349"/>
        <v>-0.05</v>
      </c>
      <c r="AB151" s="223">
        <f t="shared" ref="AB151:AI153" si="350">AA151</f>
        <v>-0.05</v>
      </c>
      <c r="AC151" s="223">
        <f t="shared" si="350"/>
        <v>-0.05</v>
      </c>
      <c r="AD151" s="223">
        <f t="shared" si="350"/>
        <v>-0.05</v>
      </c>
      <c r="AE151" s="223">
        <f t="shared" si="350"/>
        <v>-0.05</v>
      </c>
      <c r="AF151" s="223">
        <f t="shared" si="350"/>
        <v>-0.05</v>
      </c>
      <c r="AG151" s="223">
        <f t="shared" si="350"/>
        <v>-0.05</v>
      </c>
      <c r="AH151" s="223">
        <f t="shared" si="350"/>
        <v>-0.05</v>
      </c>
      <c r="AI151" s="223">
        <f t="shared" si="350"/>
        <v>-0.05</v>
      </c>
      <c r="AJ151" s="223">
        <f t="shared" ref="AJ151" si="351">AI151</f>
        <v>-0.05</v>
      </c>
      <c r="AK151" s="223">
        <f t="shared" ref="AK151:AK153" si="352">AJ151</f>
        <v>-0.05</v>
      </c>
      <c r="AL151" s="223">
        <f t="shared" ref="AL151:AL153" si="353">AK151</f>
        <v>-0.05</v>
      </c>
      <c r="AM151" s="223">
        <f t="shared" ref="AM151" si="354">AL151</f>
        <v>-0.05</v>
      </c>
      <c r="AN151" s="223">
        <f t="shared" ref="AN151:AN153" si="355">AM151</f>
        <v>-0.05</v>
      </c>
      <c r="AO151" s="223">
        <f t="shared" ref="AO151:AO154" si="356">AN151</f>
        <v>-0.05</v>
      </c>
      <c r="AP151" s="223">
        <f t="shared" ref="AP151:AP154" si="357">AO151</f>
        <v>-0.05</v>
      </c>
      <c r="AQ151" s="223">
        <f t="shared" ref="AQ151:AQ154" si="358">AP151</f>
        <v>-0.05</v>
      </c>
      <c r="AR151" s="223">
        <f t="shared" ref="AR151:AR153" si="359">AQ151</f>
        <v>-0.05</v>
      </c>
      <c r="AS151" s="223">
        <f t="shared" ref="AS151:AS154" si="360">AR151</f>
        <v>-0.05</v>
      </c>
      <c r="AT151" s="223">
        <f t="shared" ref="AT151:AT154" si="361">AS151</f>
        <v>-0.05</v>
      </c>
      <c r="AU151" s="223">
        <f t="shared" ref="AU151:AU154" si="362">AT151</f>
        <v>-0.05</v>
      </c>
      <c r="BB151" s="275"/>
      <c r="BC151" s="275"/>
      <c r="BD151" s="275"/>
      <c r="BE151" s="275"/>
      <c r="BF151" s="71"/>
      <c r="BG151" s="71">
        <f t="shared" ref="BG151:BL151" si="363">BG140/BF140-1</f>
        <v>-0.12757774140752876</v>
      </c>
      <c r="BH151" s="71">
        <f t="shared" si="363"/>
        <v>-0.11067764228200083</v>
      </c>
      <c r="BI151" s="71">
        <f t="shared" si="363"/>
        <v>-4.9999999999999711E-2</v>
      </c>
      <c r="BJ151" s="71" t="e">
        <f>BJ140/BI140-1</f>
        <v>#DIV/0!</v>
      </c>
      <c r="BK151" s="71" t="e">
        <f t="shared" si="363"/>
        <v>#DIV/0!</v>
      </c>
      <c r="BL151" s="71" t="e">
        <f t="shared" si="363"/>
        <v>#DIV/0!</v>
      </c>
      <c r="BM151" s="71" t="e">
        <f t="shared" si="346"/>
        <v>#DIV/0!</v>
      </c>
      <c r="BN151" s="71" t="e">
        <f t="shared" si="347"/>
        <v>#DIV/0!</v>
      </c>
      <c r="BO151" s="71" t="e">
        <f t="shared" si="348"/>
        <v>#DIV/0!</v>
      </c>
    </row>
    <row r="152" spans="3:67">
      <c r="C152" s="38" t="str">
        <f t="shared" si="330"/>
        <v>MLU-590 (4Q22 launched, 5nm)</v>
      </c>
      <c r="D152" s="170"/>
      <c r="E152" s="170"/>
      <c r="F152" s="170"/>
      <c r="G152" s="170"/>
      <c r="H152" s="275"/>
      <c r="I152" s="275"/>
      <c r="J152" s="275"/>
      <c r="K152" s="169"/>
      <c r="L152" s="169"/>
      <c r="M152" s="169"/>
      <c r="N152" s="169"/>
      <c r="O152" s="169"/>
      <c r="P152" s="169"/>
      <c r="Q152" s="169"/>
      <c r="R152" s="169"/>
      <c r="S152" s="276">
        <v>0</v>
      </c>
      <c r="T152" s="276">
        <v>-0.05</v>
      </c>
      <c r="U152" s="276">
        <f t="shared" si="349"/>
        <v>-0.05</v>
      </c>
      <c r="V152" s="276">
        <f t="shared" si="349"/>
        <v>-0.05</v>
      </c>
      <c r="W152" s="276">
        <v>-0.1</v>
      </c>
      <c r="X152" s="276">
        <v>6.5000000000000002E-2</v>
      </c>
      <c r="Y152" s="276">
        <f>X152</f>
        <v>6.5000000000000002E-2</v>
      </c>
      <c r="Z152" s="276">
        <v>0.32</v>
      </c>
      <c r="AA152" s="276">
        <f>Z152</f>
        <v>0.32</v>
      </c>
      <c r="AB152" s="223">
        <v>0.17399999999999999</v>
      </c>
      <c r="AC152" s="223">
        <v>0.1595</v>
      </c>
      <c r="AD152" s="223">
        <v>-0.05</v>
      </c>
      <c r="AE152" s="223">
        <f>AD152</f>
        <v>-0.05</v>
      </c>
      <c r="AF152" s="223">
        <f t="shared" si="350"/>
        <v>-0.05</v>
      </c>
      <c r="AG152" s="223">
        <f t="shared" si="350"/>
        <v>-0.05</v>
      </c>
      <c r="AH152" s="223">
        <f t="shared" si="350"/>
        <v>-0.05</v>
      </c>
      <c r="AI152" s="223">
        <f t="shared" si="350"/>
        <v>-0.05</v>
      </c>
      <c r="AJ152" s="223">
        <v>-0.05</v>
      </c>
      <c r="AK152" s="223">
        <f t="shared" si="352"/>
        <v>-0.05</v>
      </c>
      <c r="AL152" s="223">
        <f t="shared" si="353"/>
        <v>-0.05</v>
      </c>
      <c r="AM152" s="223">
        <v>-0.05</v>
      </c>
      <c r="AN152" s="223">
        <f t="shared" si="355"/>
        <v>-0.05</v>
      </c>
      <c r="AO152" s="223">
        <f t="shared" si="356"/>
        <v>-0.05</v>
      </c>
      <c r="AP152" s="223">
        <f t="shared" si="357"/>
        <v>-0.05</v>
      </c>
      <c r="AQ152" s="223">
        <f t="shared" si="358"/>
        <v>-0.05</v>
      </c>
      <c r="AR152" s="223">
        <f t="shared" si="359"/>
        <v>-0.05</v>
      </c>
      <c r="AS152" s="223">
        <f t="shared" si="360"/>
        <v>-0.05</v>
      </c>
      <c r="AT152" s="223">
        <f t="shared" si="361"/>
        <v>-0.05</v>
      </c>
      <c r="AU152" s="223">
        <f t="shared" si="362"/>
        <v>-0.05</v>
      </c>
      <c r="BB152" s="275"/>
      <c r="BC152" s="275"/>
      <c r="BD152" s="275"/>
      <c r="BE152" s="275"/>
      <c r="BF152" s="71"/>
      <c r="BG152" s="71"/>
      <c r="BH152" s="71"/>
      <c r="BI152" s="71">
        <f t="shared" ref="BI152:BL155" si="364">BI141/BH141-1</f>
        <v>-9.2763192622246082E-2</v>
      </c>
      <c r="BJ152" s="71">
        <f t="shared" si="364"/>
        <v>0.23157588541112517</v>
      </c>
      <c r="BK152" s="71">
        <f t="shared" si="364"/>
        <v>4.1237195427060058E-2</v>
      </c>
      <c r="BL152" s="71">
        <f>BL141/BK141-1</f>
        <v>-4.376907555035181E-2</v>
      </c>
      <c r="BM152" s="71">
        <f t="shared" si="346"/>
        <v>-4.9697595953913654E-2</v>
      </c>
      <c r="BN152" s="71">
        <f t="shared" si="347"/>
        <v>-5.0151908575904236E-2</v>
      </c>
      <c r="BO152" s="71">
        <f t="shared" si="348"/>
        <v>-5.0062165900425226E-2</v>
      </c>
    </row>
    <row r="153" spans="3:67" s="237" customFormat="1">
      <c r="C153" s="38" t="str">
        <f t="shared" si="330"/>
        <v>MLU-690</v>
      </c>
      <c r="D153" s="170"/>
      <c r="E153" s="170"/>
      <c r="F153" s="170"/>
      <c r="G153" s="170"/>
      <c r="H153" s="275"/>
      <c r="I153" s="275"/>
      <c r="J153" s="275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223">
        <v>0</v>
      </c>
      <c r="AF153" s="223">
        <v>0.45</v>
      </c>
      <c r="AG153" s="223">
        <v>0.45500000000000002</v>
      </c>
      <c r="AH153" s="223">
        <f>AG153</f>
        <v>0.45500000000000002</v>
      </c>
      <c r="AI153" s="223">
        <f t="shared" si="350"/>
        <v>0.45500000000000002</v>
      </c>
      <c r="AJ153" s="223">
        <v>-0.05</v>
      </c>
      <c r="AK153" s="223">
        <f t="shared" si="352"/>
        <v>-0.05</v>
      </c>
      <c r="AL153" s="223">
        <f t="shared" si="353"/>
        <v>-0.05</v>
      </c>
      <c r="AM153" s="223">
        <v>-0.05</v>
      </c>
      <c r="AN153" s="223">
        <f t="shared" si="355"/>
        <v>-0.05</v>
      </c>
      <c r="AO153" s="223">
        <f t="shared" si="356"/>
        <v>-0.05</v>
      </c>
      <c r="AP153" s="223">
        <f t="shared" si="357"/>
        <v>-0.05</v>
      </c>
      <c r="AQ153" s="223">
        <f t="shared" si="358"/>
        <v>-0.05</v>
      </c>
      <c r="AR153" s="223">
        <f t="shared" si="359"/>
        <v>-0.05</v>
      </c>
      <c r="AS153" s="223">
        <f t="shared" si="360"/>
        <v>-0.05</v>
      </c>
      <c r="AT153" s="223">
        <f t="shared" si="361"/>
        <v>-0.05</v>
      </c>
      <c r="AU153" s="223">
        <f t="shared" si="362"/>
        <v>-0.05</v>
      </c>
      <c r="AV153" s="38"/>
      <c r="AW153" s="38"/>
      <c r="AX153" s="38"/>
      <c r="AY153" s="38"/>
      <c r="AZ153" s="38"/>
      <c r="BA153" s="38"/>
      <c r="BB153" s="275"/>
      <c r="BC153" s="275"/>
      <c r="BD153" s="275"/>
      <c r="BE153" s="275"/>
      <c r="BF153" s="71"/>
      <c r="BG153" s="71"/>
      <c r="BH153" s="71"/>
      <c r="BI153" s="71" t="e">
        <f t="shared" si="364"/>
        <v>#DIV/0!</v>
      </c>
      <c r="BJ153" s="71" t="e">
        <f t="shared" si="364"/>
        <v>#DIV/0!</v>
      </c>
      <c r="BK153" s="71" t="e">
        <f t="shared" si="364"/>
        <v>#DIV/0!</v>
      </c>
      <c r="BL153" s="71">
        <f t="shared" si="364"/>
        <v>0.45481776061776058</v>
      </c>
      <c r="BM153" s="71">
        <f t="shared" si="346"/>
        <v>-5.0693835910975649E-2</v>
      </c>
      <c r="BN153" s="71">
        <f t="shared" si="347"/>
        <v>-4.9999999999999822E-2</v>
      </c>
      <c r="BO153" s="71">
        <f t="shared" si="348"/>
        <v>-5.0000000000000044E-2</v>
      </c>
    </row>
    <row r="154" spans="3:67">
      <c r="C154" s="38" t="str">
        <f t="shared" si="330"/>
        <v>MLU-790</v>
      </c>
      <c r="D154" s="170"/>
      <c r="E154" s="170"/>
      <c r="F154" s="170"/>
      <c r="G154" s="170"/>
      <c r="H154" s="275"/>
      <c r="I154" s="275"/>
      <c r="J154" s="275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223">
        <v>0.2</v>
      </c>
      <c r="AN154" s="223">
        <f>AM154</f>
        <v>0.2</v>
      </c>
      <c r="AO154" s="223">
        <f t="shared" si="356"/>
        <v>0.2</v>
      </c>
      <c r="AP154" s="223">
        <f t="shared" si="357"/>
        <v>0.2</v>
      </c>
      <c r="AQ154" s="223">
        <f t="shared" si="358"/>
        <v>0.2</v>
      </c>
      <c r="AR154" s="223">
        <v>0.2145</v>
      </c>
      <c r="AS154" s="223">
        <f t="shared" si="360"/>
        <v>0.2145</v>
      </c>
      <c r="AT154" s="223">
        <f t="shared" si="361"/>
        <v>0.2145</v>
      </c>
      <c r="AU154" s="223">
        <f t="shared" si="362"/>
        <v>0.2145</v>
      </c>
      <c r="BB154" s="275"/>
      <c r="BC154" s="275"/>
      <c r="BD154" s="275"/>
      <c r="BE154" s="275"/>
      <c r="BF154" s="71"/>
      <c r="BG154" s="71"/>
      <c r="BH154" s="71"/>
      <c r="BI154" s="71" t="e">
        <f t="shared" si="364"/>
        <v>#DIV/0!</v>
      </c>
      <c r="BJ154" s="71" t="e">
        <f t="shared" si="364"/>
        <v>#DIV/0!</v>
      </c>
      <c r="BK154" s="71" t="e">
        <f t="shared" si="364"/>
        <v>#DIV/0!</v>
      </c>
      <c r="BL154" s="71" t="e">
        <f t="shared" si="364"/>
        <v>#DIV/0!</v>
      </c>
      <c r="BM154" s="71" t="e">
        <f t="shared" si="346"/>
        <v>#DIV/0!</v>
      </c>
      <c r="BN154" s="71">
        <f t="shared" si="347"/>
        <v>0.12762350672344769</v>
      </c>
      <c r="BO154" s="71">
        <f t="shared" si="348"/>
        <v>0.21786427379765105</v>
      </c>
    </row>
    <row r="155" spans="3:67">
      <c r="C155" s="38" t="str">
        <f t="shared" si="330"/>
        <v>SD 5223 (L2+ AV chips)</v>
      </c>
      <c r="D155" s="170"/>
      <c r="E155" s="170"/>
      <c r="F155" s="170"/>
      <c r="G155" s="170"/>
      <c r="H155" s="275"/>
      <c r="I155" s="275"/>
      <c r="J155" s="275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277"/>
      <c r="W155" s="277"/>
      <c r="X155" s="277"/>
      <c r="Y155" s="277"/>
      <c r="Z155" s="277"/>
      <c r="AA155" s="277"/>
      <c r="AB155" s="277"/>
      <c r="AC155" s="277"/>
      <c r="AD155" s="223">
        <v>-0.05</v>
      </c>
      <c r="AE155" s="223">
        <f>AD155</f>
        <v>-0.05</v>
      </c>
      <c r="AF155" s="223">
        <v>-0.05</v>
      </c>
      <c r="AG155" s="223">
        <f t="shared" ref="AG155:AI156" si="365">AF155</f>
        <v>-0.05</v>
      </c>
      <c r="AH155" s="223">
        <f t="shared" si="365"/>
        <v>-0.05</v>
      </c>
      <c r="AI155" s="223">
        <f t="shared" si="365"/>
        <v>-0.05</v>
      </c>
      <c r="AJ155" s="223">
        <v>-0.05</v>
      </c>
      <c r="AK155" s="223">
        <f t="shared" ref="AK155:AK156" si="366">AJ155</f>
        <v>-0.05</v>
      </c>
      <c r="AL155" s="223">
        <f t="shared" ref="AL155:AL156" si="367">AK155</f>
        <v>-0.05</v>
      </c>
      <c r="AM155" s="223">
        <f t="shared" ref="AM155:AM156" si="368">AL155</f>
        <v>-0.05</v>
      </c>
      <c r="AN155" s="223">
        <v>-0.05</v>
      </c>
      <c r="AO155" s="223">
        <f t="shared" ref="AO155:AO156" si="369">AN155</f>
        <v>-0.05</v>
      </c>
      <c r="AP155" s="223">
        <f t="shared" ref="AP155:AP156" si="370">AO155</f>
        <v>-0.05</v>
      </c>
      <c r="AQ155" s="223">
        <f t="shared" ref="AQ155:AQ156" si="371">AP155</f>
        <v>-0.05</v>
      </c>
      <c r="AR155" s="223">
        <v>-0.05</v>
      </c>
      <c r="AS155" s="223">
        <f t="shared" ref="AS155:AS156" si="372">AR155</f>
        <v>-0.05</v>
      </c>
      <c r="AT155" s="223">
        <f t="shared" ref="AT155:AT156" si="373">AS155</f>
        <v>-0.05</v>
      </c>
      <c r="AU155" s="223">
        <f t="shared" ref="AU155:AU156" si="374">AT155</f>
        <v>-0.05</v>
      </c>
      <c r="BB155" s="275"/>
      <c r="BC155" s="275"/>
      <c r="BD155" s="275"/>
      <c r="BE155" s="275"/>
      <c r="BF155" s="71"/>
      <c r="BG155" s="71"/>
      <c r="BH155" s="71"/>
      <c r="BI155" s="71" t="e">
        <f t="shared" si="364"/>
        <v>#DIV/0!</v>
      </c>
      <c r="BJ155" s="71" t="e">
        <f t="shared" si="364"/>
        <v>#DIV/0!</v>
      </c>
      <c r="BK155" s="71" t="e">
        <f t="shared" si="364"/>
        <v>#DIV/0!</v>
      </c>
      <c r="BL155" s="71" t="e">
        <f t="shared" si="364"/>
        <v>#DIV/0!</v>
      </c>
      <c r="BM155" s="71" t="e">
        <f t="shared" si="346"/>
        <v>#DIV/0!</v>
      </c>
      <c r="BN155" s="71" t="e">
        <f t="shared" si="347"/>
        <v>#DIV/0!</v>
      </c>
      <c r="BO155" s="71" t="e">
        <f t="shared" si="348"/>
        <v>#DIV/0!</v>
      </c>
    </row>
    <row r="156" spans="3:67">
      <c r="C156" s="38" t="str">
        <f t="shared" si="330"/>
        <v>SD 5226 (L4 AV chips)</v>
      </c>
      <c r="D156" s="170"/>
      <c r="E156" s="170"/>
      <c r="F156" s="170"/>
      <c r="G156" s="170"/>
      <c r="H156" s="275"/>
      <c r="I156" s="275"/>
      <c r="J156" s="275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277"/>
      <c r="Z156" s="277"/>
      <c r="AA156" s="277"/>
      <c r="AB156" s="277"/>
      <c r="AC156" s="277"/>
      <c r="AD156" s="277"/>
      <c r="AE156" s="277"/>
      <c r="AF156" s="223">
        <v>-0.05</v>
      </c>
      <c r="AG156" s="223">
        <f t="shared" si="365"/>
        <v>-0.05</v>
      </c>
      <c r="AH156" s="223">
        <f t="shared" si="365"/>
        <v>-0.05</v>
      </c>
      <c r="AI156" s="223">
        <f t="shared" si="365"/>
        <v>-0.05</v>
      </c>
      <c r="AJ156" s="223">
        <v>-0.05</v>
      </c>
      <c r="AK156" s="223">
        <f t="shared" si="366"/>
        <v>-0.05</v>
      </c>
      <c r="AL156" s="223">
        <f t="shared" si="367"/>
        <v>-0.05</v>
      </c>
      <c r="AM156" s="223">
        <f t="shared" si="368"/>
        <v>-0.05</v>
      </c>
      <c r="AN156" s="223">
        <v>-0.05</v>
      </c>
      <c r="AO156" s="223">
        <f t="shared" si="369"/>
        <v>-0.05</v>
      </c>
      <c r="AP156" s="223">
        <f t="shared" si="370"/>
        <v>-0.05</v>
      </c>
      <c r="AQ156" s="223">
        <f t="shared" si="371"/>
        <v>-0.05</v>
      </c>
      <c r="AR156" s="223">
        <v>-0.05</v>
      </c>
      <c r="AS156" s="223">
        <f t="shared" si="372"/>
        <v>-0.05</v>
      </c>
      <c r="AT156" s="223">
        <f t="shared" si="373"/>
        <v>-0.05</v>
      </c>
      <c r="AU156" s="223">
        <f t="shared" si="374"/>
        <v>-0.05</v>
      </c>
      <c r="BB156" s="275"/>
      <c r="BC156" s="275"/>
      <c r="BD156" s="275"/>
      <c r="BE156" s="275"/>
      <c r="BF156" s="71"/>
      <c r="BG156" s="71"/>
      <c r="BH156" s="71"/>
      <c r="BI156" s="71"/>
      <c r="BJ156" s="71" t="e">
        <f>BJ145/BI145-1</f>
        <v>#DIV/0!</v>
      </c>
      <c r="BK156" s="71" t="e">
        <f>BK145/BJ145-1</f>
        <v>#DIV/0!</v>
      </c>
      <c r="BL156" s="71" t="e">
        <f>BL145/BK145-1</f>
        <v>#DIV/0!</v>
      </c>
      <c r="BM156" s="71" t="e">
        <f t="shared" si="346"/>
        <v>#DIV/0!</v>
      </c>
      <c r="BN156" s="71" t="e">
        <f t="shared" si="347"/>
        <v>#DIV/0!</v>
      </c>
      <c r="BO156" s="71" t="e">
        <f t="shared" si="348"/>
        <v>#DIV/0!</v>
      </c>
    </row>
    <row r="157" spans="3:67">
      <c r="D157" s="170"/>
      <c r="E157" s="170"/>
      <c r="F157" s="170"/>
      <c r="G157" s="170"/>
      <c r="H157" s="275"/>
      <c r="I157" s="275"/>
      <c r="J157" s="275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69"/>
      <c r="AU157" s="169"/>
      <c r="BB157" s="275"/>
      <c r="BC157" s="275"/>
      <c r="BD157" s="275"/>
      <c r="BE157" s="275"/>
      <c r="BF157" s="106"/>
      <c r="BG157" s="71"/>
      <c r="BH157" s="241">
        <f>BH146/BG146-1</f>
        <v>0.52162065652489131</v>
      </c>
      <c r="BI157" s="241">
        <f t="shared" ref="BI157:BL157" si="375">BI146/BH146-1</f>
        <v>1.1463201895994604</v>
      </c>
      <c r="BJ157" s="241">
        <f t="shared" si="375"/>
        <v>0.24371738469173887</v>
      </c>
      <c r="BK157" s="241">
        <f t="shared" si="375"/>
        <v>5.9534819860276089E-2</v>
      </c>
      <c r="BL157" s="241">
        <f t="shared" si="375"/>
        <v>0.49996453556407872</v>
      </c>
      <c r="BM157" s="241">
        <f t="shared" si="346"/>
        <v>5.0024643079262798E-2</v>
      </c>
      <c r="BN157" s="241">
        <f t="shared" si="347"/>
        <v>5.0015296448067792E-2</v>
      </c>
      <c r="BO157" s="241">
        <f t="shared" si="348"/>
        <v>5.0010325409489687E-2</v>
      </c>
    </row>
    <row r="158" spans="3:67">
      <c r="C158" s="270" t="s">
        <v>304</v>
      </c>
      <c r="D158" s="271">
        <f t="shared" ref="D158:K158" si="376">D7</f>
        <v>8.2426034590640906</v>
      </c>
      <c r="E158" s="271">
        <f t="shared" si="376"/>
        <v>53.975485570935909</v>
      </c>
      <c r="F158" s="271">
        <f t="shared" si="376"/>
        <v>4.54703083377421</v>
      </c>
      <c r="G158" s="271">
        <f t="shared" si="376"/>
        <v>19.487142486225785</v>
      </c>
      <c r="H158" s="271">
        <f t="shared" si="376"/>
        <v>4.9197309232781219</v>
      </c>
      <c r="I158" s="271">
        <f t="shared" si="376"/>
        <v>13.853444276721879</v>
      </c>
      <c r="J158" s="271">
        <f t="shared" si="376"/>
        <v>3.0895646006194144</v>
      </c>
      <c r="K158" s="271">
        <f t="shared" si="376"/>
        <v>18.221191889380581</v>
      </c>
      <c r="L158" s="271">
        <f t="shared" ref="L158:AH158" si="377">SUM(L159:L166)</f>
        <v>30.022415003382747</v>
      </c>
      <c r="M158" s="271">
        <f t="shared" si="377"/>
        <v>39.274112506905837</v>
      </c>
      <c r="N158" s="271">
        <f>SUM(N159:N166)</f>
        <v>23.384929910526502</v>
      </c>
      <c r="O158" s="271">
        <f>O7</f>
        <v>49.605087672021803</v>
      </c>
      <c r="P158" s="271">
        <f t="shared" si="377"/>
        <v>46.57464938128544</v>
      </c>
      <c r="Q158" s="271">
        <f t="shared" si="377"/>
        <v>11.426168688156054</v>
      </c>
      <c r="R158" s="271">
        <f t="shared" si="377"/>
        <v>15.005412341500017</v>
      </c>
      <c r="S158" s="271">
        <f>S7</f>
        <v>17.558846489058482</v>
      </c>
      <c r="T158" s="271">
        <f t="shared" si="377"/>
        <v>23.340074999999999</v>
      </c>
      <c r="U158" s="271">
        <f>U7</f>
        <v>37.711698380000001</v>
      </c>
      <c r="V158" s="271">
        <f t="shared" si="377"/>
        <v>118.482575</v>
      </c>
      <c r="W158" s="271">
        <f>W7</f>
        <v>986.74413698000012</v>
      </c>
      <c r="X158" s="271">
        <f t="shared" si="377"/>
        <v>1106.8039125</v>
      </c>
      <c r="Y158" s="271">
        <f>Y7</f>
        <v>1764.4920278105033</v>
      </c>
      <c r="Z158" s="271">
        <f>Z7</f>
        <v>1720.262091032447</v>
      </c>
      <c r="AA158" s="271">
        <f>AA7</f>
        <v>1885.2972132470504</v>
      </c>
      <c r="AB158" s="271">
        <f>AB7</f>
        <v>2879.8796175154998</v>
      </c>
      <c r="AC158" s="271">
        <f>AC7</f>
        <v>3105.903993435003</v>
      </c>
      <c r="AD158" s="271">
        <f t="shared" si="377"/>
        <v>8171.2449324041227</v>
      </c>
      <c r="AE158" s="271">
        <f t="shared" si="377"/>
        <v>9802.1617629234897</v>
      </c>
      <c r="AF158" s="271">
        <f t="shared" si="377"/>
        <v>14193.58536487876</v>
      </c>
      <c r="AG158" s="271">
        <f t="shared" si="377"/>
        <v>18222.112838483223</v>
      </c>
      <c r="AH158" s="271">
        <f t="shared" si="377"/>
        <v>24155.816820073112</v>
      </c>
      <c r="AI158" s="271">
        <f>SUM(AI159:AI166)</f>
        <v>34667.879696607793</v>
      </c>
      <c r="AJ158" s="271">
        <f t="shared" ref="AJ158:AL158" si="378">SUM(AJ159:AJ166)</f>
        <v>44036.994532683028</v>
      </c>
      <c r="AK158" s="271">
        <f t="shared" si="378"/>
        <v>41298.206795563317</v>
      </c>
      <c r="AL158" s="271">
        <f t="shared" si="378"/>
        <v>40903.823546929736</v>
      </c>
      <c r="AM158" s="271">
        <f>SUM(AM159:AM166)</f>
        <v>46207.478301049647</v>
      </c>
      <c r="AN158" s="271">
        <f t="shared" ref="AN158:AP158" si="379">SUM(AN159:AN166)</f>
        <v>66684.734915811088</v>
      </c>
      <c r="AO158" s="271">
        <f t="shared" si="379"/>
        <v>63399.617102289252</v>
      </c>
      <c r="AP158" s="271">
        <f t="shared" si="379"/>
        <v>59868.105354104067</v>
      </c>
      <c r="AQ158" s="271">
        <f>SUM(AQ159:AQ166)</f>
        <v>63547.595243419913</v>
      </c>
      <c r="AR158" s="271">
        <f t="shared" ref="AR158:AT158" si="380">SUM(AR159:AR166)</f>
        <v>79204.148672062423</v>
      </c>
      <c r="AS158" s="271">
        <f t="shared" si="380"/>
        <v>80681.058301164841</v>
      </c>
      <c r="AT158" s="271">
        <f t="shared" si="380"/>
        <v>76992.121799782923</v>
      </c>
      <c r="AU158" s="271">
        <f>SUM(AU159:AU166)</f>
        <v>82535.878512895099</v>
      </c>
      <c r="AV158" s="237"/>
      <c r="AW158" s="271">
        <f>AW7</f>
        <v>62.218089030000002</v>
      </c>
      <c r="AX158" s="271">
        <f>AX7</f>
        <v>24.034173319999994</v>
      </c>
      <c r="AY158" s="271">
        <f>AY7</f>
        <v>18.773175200000001</v>
      </c>
      <c r="AZ158" s="271">
        <f>BF158-AY158</f>
        <v>21.310756489999992</v>
      </c>
      <c r="BA158" s="237"/>
      <c r="BB158" s="271">
        <f>BB7</f>
        <v>0</v>
      </c>
      <c r="BC158" s="271">
        <f>BC7</f>
        <v>0</v>
      </c>
      <c r="BD158" s="271">
        <f>BD7</f>
        <v>78.882400000000004</v>
      </c>
      <c r="BE158" s="271">
        <f>BE7</f>
        <v>86.252262349999995</v>
      </c>
      <c r="BF158" s="279">
        <f>SUM(BF159:BF162)</f>
        <v>40.083931689999993</v>
      </c>
      <c r="BG158" s="279">
        <f t="shared" ref="BG158:BL158" si="381">SUM(BG159:BG166)</f>
        <v>142.28654509283686</v>
      </c>
      <c r="BH158" s="279">
        <f t="shared" si="381"/>
        <v>90.565076899999994</v>
      </c>
      <c r="BI158" s="279">
        <f t="shared" si="381"/>
        <v>1166.2784853600001</v>
      </c>
      <c r="BJ158" s="279">
        <f t="shared" si="381"/>
        <v>6476.8552445900004</v>
      </c>
      <c r="BK158" s="279">
        <f t="shared" si="381"/>
        <v>23959.190306278113</v>
      </c>
      <c r="BL158" s="279">
        <f t="shared" si="381"/>
        <v>91239.394720042881</v>
      </c>
      <c r="BM158" s="238">
        <f>SUM(AJ158:AM158)</f>
        <v>172446.50317622573</v>
      </c>
      <c r="BN158" s="238">
        <f t="shared" ref="BN158:BN166" si="382">SUM(AN158:AQ158)</f>
        <v>253500.05261562433</v>
      </c>
      <c r="BO158" s="238">
        <f t="shared" ref="BO158:BO166" si="383">SUM(AR158:AU158)</f>
        <v>319413.20728590526</v>
      </c>
    </row>
    <row r="159" spans="3:67">
      <c r="C159" s="38" t="str">
        <f t="shared" ref="C159:C166" si="384">C138</f>
        <v>MLU100 (2018 launched, 16nm)</v>
      </c>
      <c r="D159" s="170">
        <f t="shared" ref="D159:AI159" si="385">D118*D138/10^3</f>
        <v>4.4800000000000004</v>
      </c>
      <c r="E159" s="170">
        <f t="shared" si="385"/>
        <v>24</v>
      </c>
      <c r="F159" s="170">
        <f t="shared" si="385"/>
        <v>2</v>
      </c>
      <c r="G159" s="170">
        <f t="shared" si="385"/>
        <v>10.4</v>
      </c>
      <c r="H159" s="170">
        <f t="shared" si="385"/>
        <v>0.80639999999999989</v>
      </c>
      <c r="I159" s="170">
        <f t="shared" si="385"/>
        <v>4.3199999999999994</v>
      </c>
      <c r="J159" s="170">
        <f t="shared" si="385"/>
        <v>0.35999999999999993</v>
      </c>
      <c r="K159" s="170">
        <f t="shared" si="385"/>
        <v>1.8719999999999997</v>
      </c>
      <c r="L159" s="170">
        <f t="shared" si="385"/>
        <v>0.14515199999999995</v>
      </c>
      <c r="M159" s="170">
        <f t="shared" si="385"/>
        <v>0.77759999999999951</v>
      </c>
      <c r="N159" s="170">
        <f t="shared" si="385"/>
        <v>6.4799999999999969E-2</v>
      </c>
      <c r="O159" s="170">
        <f t="shared" si="385"/>
        <v>0.33695999999999987</v>
      </c>
      <c r="P159" s="170">
        <f t="shared" si="385"/>
        <v>1.3789439999999993E-2</v>
      </c>
      <c r="Q159" s="170">
        <f t="shared" si="385"/>
        <v>0</v>
      </c>
      <c r="R159" s="170">
        <f t="shared" si="385"/>
        <v>0</v>
      </c>
      <c r="S159" s="170">
        <f t="shared" si="385"/>
        <v>0</v>
      </c>
      <c r="T159" s="170">
        <f t="shared" si="385"/>
        <v>0</v>
      </c>
      <c r="U159" s="170">
        <f t="shared" si="385"/>
        <v>0</v>
      </c>
      <c r="V159" s="170">
        <f t="shared" si="385"/>
        <v>0</v>
      </c>
      <c r="W159" s="170">
        <f t="shared" si="385"/>
        <v>0</v>
      </c>
      <c r="X159" s="170">
        <f t="shared" si="385"/>
        <v>0</v>
      </c>
      <c r="Y159" s="170">
        <f t="shared" si="385"/>
        <v>0</v>
      </c>
      <c r="Z159" s="170">
        <f t="shared" si="385"/>
        <v>0</v>
      </c>
      <c r="AA159" s="170">
        <f t="shared" si="385"/>
        <v>0</v>
      </c>
      <c r="AB159" s="170">
        <f t="shared" si="385"/>
        <v>0</v>
      </c>
      <c r="AC159" s="170">
        <f t="shared" si="385"/>
        <v>0</v>
      </c>
      <c r="AD159" s="170">
        <f t="shared" si="385"/>
        <v>0</v>
      </c>
      <c r="AE159" s="170">
        <f t="shared" si="385"/>
        <v>0</v>
      </c>
      <c r="AF159" s="170">
        <f t="shared" si="385"/>
        <v>0</v>
      </c>
      <c r="AG159" s="170">
        <f t="shared" si="385"/>
        <v>0</v>
      </c>
      <c r="AH159" s="170">
        <f t="shared" si="385"/>
        <v>0</v>
      </c>
      <c r="AI159" s="170">
        <f t="shared" si="385"/>
        <v>0</v>
      </c>
      <c r="AJ159" s="170">
        <f t="shared" ref="AJ159:AM159" si="386">AJ118*AJ138/10^3</f>
        <v>0</v>
      </c>
      <c r="AK159" s="170">
        <f t="shared" si="386"/>
        <v>0</v>
      </c>
      <c r="AL159" s="170">
        <f t="shared" si="386"/>
        <v>0</v>
      </c>
      <c r="AM159" s="170">
        <f t="shared" si="386"/>
        <v>0</v>
      </c>
      <c r="AN159" s="170">
        <f t="shared" ref="AN159:AQ159" si="387">AN118*AN138/10^3</f>
        <v>0</v>
      </c>
      <c r="AO159" s="170">
        <f t="shared" si="387"/>
        <v>0</v>
      </c>
      <c r="AP159" s="170">
        <f t="shared" si="387"/>
        <v>0</v>
      </c>
      <c r="AQ159" s="170">
        <f t="shared" si="387"/>
        <v>0</v>
      </c>
      <c r="AR159" s="170">
        <f t="shared" ref="AR159:AU159" si="388">AR118*AR138/10^3</f>
        <v>0</v>
      </c>
      <c r="AS159" s="170">
        <f t="shared" si="388"/>
        <v>0</v>
      </c>
      <c r="AT159" s="170">
        <f t="shared" si="388"/>
        <v>0</v>
      </c>
      <c r="AU159" s="170">
        <f t="shared" si="388"/>
        <v>0</v>
      </c>
      <c r="AW159" s="170"/>
      <c r="AX159" s="170"/>
      <c r="AY159" s="170"/>
      <c r="AZ159" s="170"/>
      <c r="BA159" s="170"/>
      <c r="BB159" s="280"/>
      <c r="BC159" s="280"/>
      <c r="BD159" s="280"/>
      <c r="BE159" s="123">
        <f>SUM(D159:G159)</f>
        <v>40.880000000000003</v>
      </c>
      <c r="BF159" s="123">
        <f>SUM(H159:K159)</f>
        <v>7.3583999999999996</v>
      </c>
      <c r="BG159" s="123">
        <f>SUM(L159:O159)</f>
        <v>1.3245119999999992</v>
      </c>
      <c r="BH159" s="123">
        <f>SUM(P159:S159)</f>
        <v>1.3789439999999993E-2</v>
      </c>
      <c r="BI159" s="229">
        <f>SUM(T159:W159)</f>
        <v>0</v>
      </c>
      <c r="BJ159" s="229">
        <f t="shared" ref="BJ159:BJ166" si="389">SUM(X159:AA159)</f>
        <v>0</v>
      </c>
      <c r="BK159" s="229">
        <f t="shared" ref="BK159:BK166" si="390">SUM(AB159:AE159)</f>
        <v>0</v>
      </c>
      <c r="BL159" s="229">
        <f t="shared" ref="BL159:BL166" si="391">SUM(AF159:AI159)</f>
        <v>0</v>
      </c>
      <c r="BM159" s="156">
        <f>SUM(AJ159:AM159)</f>
        <v>0</v>
      </c>
      <c r="BN159" s="156">
        <f t="shared" si="382"/>
        <v>0</v>
      </c>
      <c r="BO159" s="156">
        <f t="shared" si="383"/>
        <v>0</v>
      </c>
    </row>
    <row r="160" spans="3:67">
      <c r="C160" s="38" t="str">
        <f t="shared" si="384"/>
        <v>MLU270 (2019 launched, 16nm)</v>
      </c>
      <c r="D160" s="170">
        <f t="shared" ref="D160:J160" si="392">D158-D159</f>
        <v>3.7626034590640902</v>
      </c>
      <c r="E160" s="170">
        <f t="shared" si="392"/>
        <v>29.975485570935909</v>
      </c>
      <c r="F160" s="170">
        <f t="shared" si="392"/>
        <v>2.54703083377421</v>
      </c>
      <c r="G160" s="170">
        <f t="shared" si="392"/>
        <v>9.087142486225785</v>
      </c>
      <c r="H160" s="170">
        <f t="shared" si="392"/>
        <v>4.1133309232781219</v>
      </c>
      <c r="I160" s="170">
        <f t="shared" si="392"/>
        <v>9.5334442767218803</v>
      </c>
      <c r="J160" s="170">
        <f t="shared" si="392"/>
        <v>2.7295646006194145</v>
      </c>
      <c r="K160" s="170">
        <f>K158-K159-K161</f>
        <v>3.7491918893805813</v>
      </c>
      <c r="L160" s="170">
        <f t="shared" ref="L160:AV160" si="393">L119*L139/10^3</f>
        <v>6.2522630033827458</v>
      </c>
      <c r="M160" s="170">
        <f t="shared" si="393"/>
        <v>15.396512506905834</v>
      </c>
      <c r="N160" s="170">
        <f t="shared" si="393"/>
        <v>2.3201299105265023</v>
      </c>
      <c r="O160" s="170">
        <f t="shared" si="393"/>
        <v>7.4233999409735523</v>
      </c>
      <c r="P160" s="170">
        <f t="shared" si="393"/>
        <v>2.3758599412854431</v>
      </c>
      <c r="Q160" s="170">
        <f t="shared" si="393"/>
        <v>1.4626686881560538</v>
      </c>
      <c r="R160" s="170">
        <f t="shared" si="393"/>
        <v>0.22041234150001771</v>
      </c>
      <c r="S160" s="170">
        <f t="shared" si="393"/>
        <v>0.70522299439248726</v>
      </c>
      <c r="T160" s="170">
        <f t="shared" si="393"/>
        <v>0</v>
      </c>
      <c r="U160" s="170">
        <f t="shared" si="393"/>
        <v>0</v>
      </c>
      <c r="V160" s="170">
        <f t="shared" si="393"/>
        <v>0</v>
      </c>
      <c r="W160" s="170">
        <f t="shared" si="393"/>
        <v>0</v>
      </c>
      <c r="X160" s="170">
        <f t="shared" si="393"/>
        <v>0</v>
      </c>
      <c r="Y160" s="170">
        <f t="shared" si="393"/>
        <v>0</v>
      </c>
      <c r="Z160" s="170">
        <f t="shared" si="393"/>
        <v>0</v>
      </c>
      <c r="AA160" s="170">
        <f t="shared" si="393"/>
        <v>0</v>
      </c>
      <c r="AB160" s="170">
        <f t="shared" si="393"/>
        <v>0</v>
      </c>
      <c r="AC160" s="170">
        <f t="shared" si="393"/>
        <v>0</v>
      </c>
      <c r="AD160" s="170">
        <f t="shared" si="393"/>
        <v>0</v>
      </c>
      <c r="AE160" s="170">
        <f t="shared" si="393"/>
        <v>0</v>
      </c>
      <c r="AF160" s="170">
        <f t="shared" si="393"/>
        <v>0</v>
      </c>
      <c r="AG160" s="170">
        <f t="shared" si="393"/>
        <v>0</v>
      </c>
      <c r="AH160" s="170">
        <f t="shared" si="393"/>
        <v>0</v>
      </c>
      <c r="AI160" s="170">
        <f t="shared" si="393"/>
        <v>0</v>
      </c>
      <c r="AJ160" s="170">
        <f t="shared" ref="AJ160:AM160" si="394">AJ119*AJ139/10^3</f>
        <v>0</v>
      </c>
      <c r="AK160" s="170">
        <f t="shared" si="394"/>
        <v>0</v>
      </c>
      <c r="AL160" s="170">
        <f t="shared" si="394"/>
        <v>0</v>
      </c>
      <c r="AM160" s="170">
        <f t="shared" si="394"/>
        <v>0</v>
      </c>
      <c r="AN160" s="170">
        <f t="shared" ref="AN160:AQ160" si="395">AN119*AN139/10^3</f>
        <v>0</v>
      </c>
      <c r="AO160" s="170">
        <f t="shared" si="395"/>
        <v>0</v>
      </c>
      <c r="AP160" s="170">
        <f t="shared" si="395"/>
        <v>0</v>
      </c>
      <c r="AQ160" s="170">
        <f t="shared" si="395"/>
        <v>0</v>
      </c>
      <c r="AR160" s="170">
        <f t="shared" ref="AR160:AU160" si="396">AR119*AR139/10^3</f>
        <v>0</v>
      </c>
      <c r="AS160" s="170">
        <f t="shared" si="396"/>
        <v>0</v>
      </c>
      <c r="AT160" s="170">
        <f t="shared" si="396"/>
        <v>0</v>
      </c>
      <c r="AU160" s="170">
        <f t="shared" si="396"/>
        <v>0</v>
      </c>
      <c r="AV160" s="170">
        <f t="shared" si="393"/>
        <v>0</v>
      </c>
      <c r="AW160" s="170"/>
      <c r="AX160" s="170"/>
      <c r="AY160" s="170"/>
      <c r="AZ160" s="170"/>
      <c r="BA160" s="170"/>
      <c r="BB160" s="280"/>
      <c r="BC160" s="280"/>
      <c r="BD160" s="280"/>
      <c r="BE160" s="123">
        <f>SUM(D160:G160)</f>
        <v>45.372262349999993</v>
      </c>
      <c r="BF160" s="123">
        <f>SUM(H160:K160)</f>
        <v>20.125531689999995</v>
      </c>
      <c r="BG160" s="123">
        <f>SUM(L160:O160)</f>
        <v>31.392305361788637</v>
      </c>
      <c r="BH160" s="123">
        <f>SUM(P160:S160)</f>
        <v>4.764163965334002</v>
      </c>
      <c r="BI160" s="229">
        <f>SUM(T160:W160)</f>
        <v>0</v>
      </c>
      <c r="BJ160" s="229">
        <f t="shared" si="389"/>
        <v>0</v>
      </c>
      <c r="BK160" s="229">
        <f t="shared" si="390"/>
        <v>0</v>
      </c>
      <c r="BL160" s="229">
        <f t="shared" si="391"/>
        <v>0</v>
      </c>
      <c r="BM160" s="156">
        <f t="shared" ref="BM160:BM166" si="397">SUM(AJ160:AM160)</f>
        <v>0</v>
      </c>
      <c r="BN160" s="156">
        <f t="shared" si="382"/>
        <v>0</v>
      </c>
      <c r="BO160" s="156">
        <f t="shared" si="383"/>
        <v>0</v>
      </c>
    </row>
    <row r="161" spans="3:67">
      <c r="C161" s="38" t="str">
        <f t="shared" si="384"/>
        <v>MLU370 (2021 launched, 7nm)</v>
      </c>
      <c r="D161" s="170"/>
      <c r="E161" s="170"/>
      <c r="F161" s="170"/>
      <c r="G161" s="170"/>
      <c r="H161" s="170"/>
      <c r="I161" s="170"/>
      <c r="J161" s="170"/>
      <c r="K161" s="170">
        <f t="shared" ref="K161:AI161" si="398">K120*K140/10^3</f>
        <v>12.6</v>
      </c>
      <c r="L161" s="170">
        <f t="shared" si="398"/>
        <v>23.625</v>
      </c>
      <c r="M161" s="170">
        <f t="shared" si="398"/>
        <v>23.1</v>
      </c>
      <c r="N161" s="170">
        <f t="shared" si="398"/>
        <v>21</v>
      </c>
      <c r="O161" s="170">
        <f t="shared" si="398"/>
        <v>28.223999999999997</v>
      </c>
      <c r="P161" s="170">
        <f t="shared" si="398"/>
        <v>31.184999999999999</v>
      </c>
      <c r="Q161" s="170">
        <f t="shared" si="398"/>
        <v>1.9634999999999994</v>
      </c>
      <c r="R161" s="170">
        <f t="shared" si="398"/>
        <v>1.7849999999999995</v>
      </c>
      <c r="S161" s="170">
        <f t="shared" si="398"/>
        <v>2.8223999999999987</v>
      </c>
      <c r="T161" s="170">
        <f t="shared" si="398"/>
        <v>2.9625749999999993</v>
      </c>
      <c r="U161" s="170">
        <f t="shared" si="398"/>
        <v>0.18653249999999991</v>
      </c>
      <c r="V161" s="170">
        <f t="shared" si="398"/>
        <v>0.16957499999999992</v>
      </c>
      <c r="W161" s="170">
        <f t="shared" si="398"/>
        <v>0.26812799999999987</v>
      </c>
      <c r="X161" s="170">
        <f t="shared" si="398"/>
        <v>0</v>
      </c>
      <c r="Y161" s="170">
        <f t="shared" si="398"/>
        <v>0</v>
      </c>
      <c r="Z161" s="170">
        <f t="shared" si="398"/>
        <v>0</v>
      </c>
      <c r="AA161" s="170">
        <f t="shared" si="398"/>
        <v>0</v>
      </c>
      <c r="AB161" s="170">
        <f t="shared" si="398"/>
        <v>0</v>
      </c>
      <c r="AC161" s="170">
        <f t="shared" si="398"/>
        <v>0</v>
      </c>
      <c r="AD161" s="170">
        <f t="shared" si="398"/>
        <v>0</v>
      </c>
      <c r="AE161" s="170">
        <f t="shared" si="398"/>
        <v>0</v>
      </c>
      <c r="AF161" s="170">
        <f t="shared" si="398"/>
        <v>0</v>
      </c>
      <c r="AG161" s="170">
        <f t="shared" si="398"/>
        <v>0</v>
      </c>
      <c r="AH161" s="170">
        <f t="shared" si="398"/>
        <v>0</v>
      </c>
      <c r="AI161" s="170">
        <f t="shared" si="398"/>
        <v>0</v>
      </c>
      <c r="AJ161" s="170">
        <f t="shared" ref="AJ161:AM161" si="399">AJ120*AJ140/10^3</f>
        <v>0</v>
      </c>
      <c r="AK161" s="170">
        <f t="shared" si="399"/>
        <v>0</v>
      </c>
      <c r="AL161" s="170">
        <f t="shared" si="399"/>
        <v>0</v>
      </c>
      <c r="AM161" s="170">
        <f t="shared" si="399"/>
        <v>0</v>
      </c>
      <c r="AN161" s="170">
        <f t="shared" ref="AN161:AQ161" si="400">AN120*AN140/10^3</f>
        <v>0</v>
      </c>
      <c r="AO161" s="170">
        <f t="shared" si="400"/>
        <v>0</v>
      </c>
      <c r="AP161" s="170">
        <f t="shared" si="400"/>
        <v>0</v>
      </c>
      <c r="AQ161" s="170">
        <f t="shared" si="400"/>
        <v>0</v>
      </c>
      <c r="AR161" s="170">
        <f t="shared" ref="AR161:AU161" si="401">AR120*AR140/10^3</f>
        <v>0</v>
      </c>
      <c r="AS161" s="170">
        <f t="shared" si="401"/>
        <v>0</v>
      </c>
      <c r="AT161" s="170">
        <f t="shared" si="401"/>
        <v>0</v>
      </c>
      <c r="AU161" s="170">
        <f t="shared" si="401"/>
        <v>0</v>
      </c>
      <c r="AW161" s="170"/>
      <c r="AX161" s="170"/>
      <c r="AY161" s="170"/>
      <c r="AZ161" s="170"/>
      <c r="BA161" s="170"/>
      <c r="BB161" s="280"/>
      <c r="BC161" s="280"/>
      <c r="BD161" s="280"/>
      <c r="BE161" s="123">
        <f>SUM(D161:G161)</f>
        <v>0</v>
      </c>
      <c r="BF161" s="123">
        <f>SUM(H161:K161)</f>
        <v>12.6</v>
      </c>
      <c r="BG161" s="123">
        <f>SUM(L161:O161)</f>
        <v>95.948999999999984</v>
      </c>
      <c r="BH161" s="123">
        <f>SUM(P161:S161)</f>
        <v>37.755899999999997</v>
      </c>
      <c r="BI161" s="229">
        <f>SUM(T161:W161)</f>
        <v>3.586810499999999</v>
      </c>
      <c r="BJ161" s="229">
        <f t="shared" si="389"/>
        <v>0</v>
      </c>
      <c r="BK161" s="229">
        <f t="shared" si="390"/>
        <v>0</v>
      </c>
      <c r="BL161" s="229">
        <f t="shared" si="391"/>
        <v>0</v>
      </c>
      <c r="BM161" s="156">
        <f t="shared" si="397"/>
        <v>0</v>
      </c>
      <c r="BN161" s="156">
        <f t="shared" si="382"/>
        <v>0</v>
      </c>
      <c r="BO161" s="156">
        <f t="shared" si="383"/>
        <v>0</v>
      </c>
    </row>
    <row r="162" spans="3:67">
      <c r="C162" s="38" t="str">
        <f t="shared" si="384"/>
        <v>MLU-590 (4Q22 launched, 5nm)</v>
      </c>
      <c r="D162" s="170"/>
      <c r="E162" s="170"/>
      <c r="F162" s="170"/>
      <c r="G162" s="170"/>
      <c r="H162" s="170"/>
      <c r="I162" s="170"/>
      <c r="J162" s="170"/>
      <c r="K162" s="170"/>
      <c r="L162" s="170">
        <f t="shared" ref="L162:AI162" si="402">L121*L141/10^3</f>
        <v>0</v>
      </c>
      <c r="M162" s="170">
        <f t="shared" si="402"/>
        <v>0</v>
      </c>
      <c r="N162" s="170">
        <f t="shared" si="402"/>
        <v>0</v>
      </c>
      <c r="O162" s="170">
        <f>O158-SUM(O159:O161)</f>
        <v>13.620727731048255</v>
      </c>
      <c r="P162" s="170">
        <f t="shared" si="402"/>
        <v>13</v>
      </c>
      <c r="Q162" s="170">
        <f>Q121*Q141/10^3</f>
        <v>8</v>
      </c>
      <c r="R162" s="170">
        <f t="shared" si="402"/>
        <v>13</v>
      </c>
      <c r="S162" s="170">
        <f>S158-SUM(S159:S161)</f>
        <v>14.031223494665996</v>
      </c>
      <c r="T162" s="170">
        <f t="shared" si="402"/>
        <v>20.377500000000001</v>
      </c>
      <c r="U162" s="170">
        <f>U158-SUM(U159:U161,U163:U166)</f>
        <v>37.525165880000003</v>
      </c>
      <c r="V162" s="170">
        <f t="shared" si="402"/>
        <v>118.313</v>
      </c>
      <c r="W162" s="170">
        <f>W158-SUM(W159:W161,W163:W166)</f>
        <v>986.47600898000007</v>
      </c>
      <c r="X162" s="170">
        <f t="shared" si="402"/>
        <v>1106.8039125</v>
      </c>
      <c r="Y162" s="170">
        <f>Y158</f>
        <v>1764.4920278105033</v>
      </c>
      <c r="Z162" s="170">
        <f>Z158</f>
        <v>1720.262091032447</v>
      </c>
      <c r="AA162" s="170">
        <f>AA158</f>
        <v>1885.2972132470504</v>
      </c>
      <c r="AB162" s="170">
        <f>AB158</f>
        <v>2879.8796175154998</v>
      </c>
      <c r="AC162" s="170">
        <f>AC158</f>
        <v>3105.903993435003</v>
      </c>
      <c r="AD162" s="170">
        <f t="shared" si="402"/>
        <v>8171.2449324041227</v>
      </c>
      <c r="AE162" s="170">
        <f t="shared" si="402"/>
        <v>8955.1617629234897</v>
      </c>
      <c r="AF162" s="170">
        <f t="shared" si="402"/>
        <v>12311.485364878759</v>
      </c>
      <c r="AG162" s="170">
        <f t="shared" si="402"/>
        <v>10179.600338483222</v>
      </c>
      <c r="AH162" s="170">
        <f t="shared" si="402"/>
        <v>8150.8168200731116</v>
      </c>
      <c r="AI162" s="170">
        <f t="shared" si="402"/>
        <v>8787.794696607787</v>
      </c>
      <c r="AJ162" s="170">
        <f t="shared" ref="AJ162:AM162" si="403">AJ121*AJ141/10^3</f>
        <v>18479.539532683018</v>
      </c>
      <c r="AK162" s="170">
        <f t="shared" si="403"/>
        <v>15279.580108063315</v>
      </c>
      <c r="AL162" s="170">
        <f t="shared" si="403"/>
        <v>12234.376046929741</v>
      </c>
      <c r="AM162" s="170">
        <f t="shared" si="403"/>
        <v>12693.815128549644</v>
      </c>
      <c r="AN162" s="170">
        <f t="shared" ref="AN162:AQ162" si="404">AN121*AN141/10^3</f>
        <v>21944.453195061087</v>
      </c>
      <c r="AO162" s="170">
        <f t="shared" si="404"/>
        <v>18144.501378325189</v>
      </c>
      <c r="AP162" s="170">
        <f t="shared" si="404"/>
        <v>14528.32155572907</v>
      </c>
      <c r="AQ162" s="170">
        <f t="shared" si="404"/>
        <v>15368.982965042471</v>
      </c>
      <c r="AR162" s="170">
        <f t="shared" ref="AR162:AU162" si="405">AR121*AR141/10^3</f>
        <v>23140.425894191914</v>
      </c>
      <c r="AS162" s="170">
        <f t="shared" si="405"/>
        <v>19133.376703443912</v>
      </c>
      <c r="AT162" s="170">
        <f t="shared" si="405"/>
        <v>15320.115080516305</v>
      </c>
      <c r="AU162" s="170">
        <f t="shared" si="405"/>
        <v>16334.6984567898</v>
      </c>
      <c r="AW162" s="170"/>
      <c r="AX162" s="170"/>
      <c r="AY162" s="170"/>
      <c r="AZ162" s="170"/>
      <c r="BA162" s="170"/>
      <c r="BB162" s="280"/>
      <c r="BC162" s="280"/>
      <c r="BD162" s="280"/>
      <c r="BE162" s="123">
        <f>SUM(D162:G162)</f>
        <v>0</v>
      </c>
      <c r="BF162" s="123">
        <f>SUM(H162:K162)</f>
        <v>0</v>
      </c>
      <c r="BG162" s="123">
        <f>SUM(L162:O162)</f>
        <v>13.620727731048255</v>
      </c>
      <c r="BH162" s="123">
        <f>SUM(P162:S162)</f>
        <v>48.031223494665994</v>
      </c>
      <c r="BI162" s="229">
        <f>SUM(T162:W162)</f>
        <v>1162.6916748600001</v>
      </c>
      <c r="BJ162" s="229">
        <f t="shared" si="389"/>
        <v>6476.8552445900004</v>
      </c>
      <c r="BK162" s="229">
        <f t="shared" si="390"/>
        <v>23112.190306278113</v>
      </c>
      <c r="BL162" s="229">
        <f>SUM(AF162:AI162)</f>
        <v>39429.697220042886</v>
      </c>
      <c r="BM162" s="156">
        <f t="shared" si="397"/>
        <v>58687.310816225719</v>
      </c>
      <c r="BN162" s="156">
        <f t="shared" si="382"/>
        <v>69986.259094157809</v>
      </c>
      <c r="BO162" s="156">
        <f t="shared" si="383"/>
        <v>73928.616134941927</v>
      </c>
    </row>
    <row r="163" spans="3:67" s="237" customFormat="1">
      <c r="C163" s="38" t="str">
        <f t="shared" si="384"/>
        <v>MLU-690</v>
      </c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>
        <f t="shared" ref="W163:AI163" si="406">W122*W142/10^3</f>
        <v>0</v>
      </c>
      <c r="X163" s="170">
        <f t="shared" si="406"/>
        <v>0</v>
      </c>
      <c r="Y163" s="170">
        <f t="shared" si="406"/>
        <v>0</v>
      </c>
      <c r="Z163" s="170">
        <f t="shared" si="406"/>
        <v>0</v>
      </c>
      <c r="AA163" s="170">
        <f t="shared" si="406"/>
        <v>0</v>
      </c>
      <c r="AB163" s="170">
        <f t="shared" si="406"/>
        <v>0</v>
      </c>
      <c r="AC163" s="170">
        <f t="shared" si="406"/>
        <v>0</v>
      </c>
      <c r="AD163" s="170">
        <f t="shared" si="406"/>
        <v>0</v>
      </c>
      <c r="AE163" s="170">
        <f t="shared" si="406"/>
        <v>847</v>
      </c>
      <c r="AF163" s="170">
        <f t="shared" si="406"/>
        <v>1882.1</v>
      </c>
      <c r="AG163" s="170">
        <f t="shared" si="406"/>
        <v>8042.5124999999998</v>
      </c>
      <c r="AH163" s="170">
        <f t="shared" si="406"/>
        <v>16005</v>
      </c>
      <c r="AI163" s="170">
        <f t="shared" si="406"/>
        <v>25880.085000000003</v>
      </c>
      <c r="AJ163" s="170">
        <f t="shared" ref="AJ163:AM163" si="407">AJ122*AJ142/10^3</f>
        <v>25031.930000000004</v>
      </c>
      <c r="AK163" s="170">
        <f t="shared" si="407"/>
        <v>25213.276687500002</v>
      </c>
      <c r="AL163" s="170">
        <f t="shared" si="407"/>
        <v>25239.884999999998</v>
      </c>
      <c r="AM163" s="170">
        <f t="shared" si="407"/>
        <v>25323.663172500004</v>
      </c>
      <c r="AN163" s="170">
        <f t="shared" ref="AN163:AQ163" si="408">AN122*AN142/10^3</f>
        <v>31497.051720750005</v>
      </c>
      <c r="AO163" s="170">
        <f t="shared" si="408"/>
        <v>31725.235723964062</v>
      </c>
      <c r="AP163" s="170">
        <f t="shared" si="408"/>
        <v>31758.716298374999</v>
      </c>
      <c r="AQ163" s="170">
        <f t="shared" si="408"/>
        <v>31864.132278377445</v>
      </c>
      <c r="AR163" s="170">
        <f t="shared" ref="AR163:AU163" si="409">AR122*AR142/10^3</f>
        <v>39497.302857820505</v>
      </c>
      <c r="AS163" s="170">
        <f t="shared" si="409"/>
        <v>39783.445597850936</v>
      </c>
      <c r="AT163" s="170">
        <f t="shared" si="409"/>
        <v>39825.430238162247</v>
      </c>
      <c r="AU163" s="170">
        <f t="shared" si="409"/>
        <v>39957.621877085308</v>
      </c>
      <c r="AV163" s="38"/>
      <c r="AW163" s="170"/>
      <c r="AX163" s="170"/>
      <c r="AY163" s="170"/>
      <c r="AZ163" s="170"/>
      <c r="BA163" s="170"/>
      <c r="BB163" s="280"/>
      <c r="BC163" s="280"/>
      <c r="BD163" s="280"/>
      <c r="BE163" s="123">
        <f>SUM(D163:G163)</f>
        <v>0</v>
      </c>
      <c r="BF163" s="123">
        <f>SUM(H163:K163)</f>
        <v>0</v>
      </c>
      <c r="BG163" s="123">
        <f>SUM(L163:O163)</f>
        <v>0</v>
      </c>
      <c r="BH163" s="123">
        <f>SUM(P163:S163)</f>
        <v>0</v>
      </c>
      <c r="BI163" s="229">
        <f>SUM(T163:W163)</f>
        <v>0</v>
      </c>
      <c r="BJ163" s="229">
        <f t="shared" si="389"/>
        <v>0</v>
      </c>
      <c r="BK163" s="229">
        <f t="shared" si="390"/>
        <v>847</v>
      </c>
      <c r="BL163" s="229">
        <f>SUM(AF163:AI163)</f>
        <v>51809.697500000002</v>
      </c>
      <c r="BM163" s="156">
        <f t="shared" si="397"/>
        <v>100808.75486</v>
      </c>
      <c r="BN163" s="156">
        <f t="shared" si="382"/>
        <v>126845.13602146652</v>
      </c>
      <c r="BO163" s="156">
        <f t="shared" si="383"/>
        <v>159063.800570919</v>
      </c>
    </row>
    <row r="164" spans="3:67">
      <c r="C164" s="38" t="str">
        <f t="shared" si="384"/>
        <v>MLU-790</v>
      </c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  <c r="Y164" s="170"/>
      <c r="Z164" s="170"/>
      <c r="AA164" s="170">
        <f t="shared" ref="AA164:AI164" si="410">AA123*AA143/10^3</f>
        <v>0</v>
      </c>
      <c r="AB164" s="170">
        <f t="shared" si="410"/>
        <v>0</v>
      </c>
      <c r="AC164" s="170">
        <f t="shared" si="410"/>
        <v>0</v>
      </c>
      <c r="AD164" s="170">
        <f t="shared" si="410"/>
        <v>0</v>
      </c>
      <c r="AE164" s="170">
        <f t="shared" si="410"/>
        <v>0</v>
      </c>
      <c r="AF164" s="170">
        <f t="shared" si="410"/>
        <v>0</v>
      </c>
      <c r="AG164" s="170">
        <f t="shared" si="410"/>
        <v>0</v>
      </c>
      <c r="AH164" s="170">
        <f t="shared" si="410"/>
        <v>0</v>
      </c>
      <c r="AI164" s="170">
        <f t="shared" si="410"/>
        <v>0</v>
      </c>
      <c r="AJ164" s="170">
        <f t="shared" ref="AJ164:AM164" si="411">AJ123*AJ143/10^3</f>
        <v>525.52499999999998</v>
      </c>
      <c r="AK164" s="170">
        <f t="shared" si="411"/>
        <v>805.35</v>
      </c>
      <c r="AL164" s="170">
        <f t="shared" si="411"/>
        <v>3429.5625</v>
      </c>
      <c r="AM164" s="170">
        <f t="shared" si="411"/>
        <v>8190</v>
      </c>
      <c r="AN164" s="170">
        <f t="shared" ref="AN164:AQ164" si="412">AN123*AN143/10^3</f>
        <v>13243.230000000001</v>
      </c>
      <c r="AO164" s="170">
        <f t="shared" si="412"/>
        <v>13529.880000000001</v>
      </c>
      <c r="AP164" s="170">
        <f t="shared" si="412"/>
        <v>13581.067499999999</v>
      </c>
      <c r="AQ164" s="170">
        <f t="shared" si="412"/>
        <v>16314.48</v>
      </c>
      <c r="AR164" s="170">
        <f t="shared" ref="AR164:AU164" si="413">AR123*AR143/10^3</f>
        <v>16566.419920050001</v>
      </c>
      <c r="AS164" s="170">
        <f t="shared" si="413"/>
        <v>21764.235999869998</v>
      </c>
      <c r="AT164" s="170">
        <f t="shared" si="413"/>
        <v>21846.57648110437</v>
      </c>
      <c r="AU164" s="170">
        <f t="shared" si="413"/>
        <v>26243.558179019998</v>
      </c>
      <c r="AW164" s="170"/>
      <c r="AX164" s="170"/>
      <c r="AY164" s="170"/>
      <c r="AZ164" s="170"/>
      <c r="BA164" s="170"/>
      <c r="BB164" s="280"/>
      <c r="BC164" s="280"/>
      <c r="BD164" s="280"/>
      <c r="BE164" s="123"/>
      <c r="BF164" s="123"/>
      <c r="BG164" s="123"/>
      <c r="BH164" s="123"/>
      <c r="BI164" s="229"/>
      <c r="BJ164" s="229">
        <f t="shared" si="389"/>
        <v>0</v>
      </c>
      <c r="BK164" s="229">
        <f t="shared" si="390"/>
        <v>0</v>
      </c>
      <c r="BL164" s="229">
        <f t="shared" si="391"/>
        <v>0</v>
      </c>
      <c r="BM164" s="156">
        <f t="shared" si="397"/>
        <v>12950.4375</v>
      </c>
      <c r="BN164" s="156">
        <f t="shared" si="382"/>
        <v>56668.657500000001</v>
      </c>
      <c r="BO164" s="156">
        <f t="shared" si="383"/>
        <v>86420.79058004437</v>
      </c>
    </row>
    <row r="165" spans="3:67">
      <c r="C165" s="38" t="str">
        <f t="shared" si="384"/>
        <v>SD 5223 (L2+ AV chips)</v>
      </c>
      <c r="D165" s="170"/>
      <c r="E165" s="170"/>
      <c r="F165" s="170"/>
      <c r="G165" s="170"/>
      <c r="H165" s="170"/>
      <c r="I165" s="170"/>
      <c r="J165" s="170"/>
      <c r="K165" s="170"/>
      <c r="L165" s="170">
        <f>L124*L144/10^3</f>
        <v>0</v>
      </c>
      <c r="M165" s="170">
        <f>M124*M144/10^3</f>
        <v>0</v>
      </c>
      <c r="N165" s="170">
        <f>N124*N144/10^3</f>
        <v>0</v>
      </c>
      <c r="O165" s="170">
        <f>O124*O144/10^3</f>
        <v>0</v>
      </c>
      <c r="P165" s="170">
        <f>P124*R144/10^3</f>
        <v>0</v>
      </c>
      <c r="Q165" s="170">
        <f>Q124*S144/10^3</f>
        <v>0</v>
      </c>
      <c r="R165" s="170">
        <f t="shared" ref="R165:Z165" si="414">R124*R144/10^3</f>
        <v>0</v>
      </c>
      <c r="S165" s="170">
        <f t="shared" si="414"/>
        <v>0</v>
      </c>
      <c r="T165" s="170">
        <f t="shared" si="414"/>
        <v>0</v>
      </c>
      <c r="U165" s="170">
        <f t="shared" si="414"/>
        <v>0</v>
      </c>
      <c r="V165" s="170">
        <f>V124*V144/10^3</f>
        <v>0</v>
      </c>
      <c r="W165" s="170">
        <f t="shared" si="414"/>
        <v>0</v>
      </c>
      <c r="X165" s="170">
        <f t="shared" si="414"/>
        <v>0</v>
      </c>
      <c r="Y165" s="170">
        <f t="shared" si="414"/>
        <v>0</v>
      </c>
      <c r="Z165" s="170">
        <f t="shared" si="414"/>
        <v>0</v>
      </c>
      <c r="AA165" s="170">
        <f t="shared" ref="AA165:AI165" si="415">AA124*AA144/10^3</f>
        <v>0</v>
      </c>
      <c r="AB165" s="170">
        <f t="shared" si="415"/>
        <v>0</v>
      </c>
      <c r="AC165" s="170">
        <f t="shared" si="415"/>
        <v>0</v>
      </c>
      <c r="AD165" s="170">
        <f t="shared" si="415"/>
        <v>0</v>
      </c>
      <c r="AE165" s="170">
        <f t="shared" si="415"/>
        <v>0</v>
      </c>
      <c r="AF165" s="170">
        <f t="shared" si="415"/>
        <v>0</v>
      </c>
      <c r="AG165" s="170">
        <f t="shared" si="415"/>
        <v>0</v>
      </c>
      <c r="AH165" s="170">
        <f t="shared" si="415"/>
        <v>0</v>
      </c>
      <c r="AI165" s="170">
        <f t="shared" si="415"/>
        <v>0</v>
      </c>
      <c r="AJ165" s="170">
        <f t="shared" ref="AJ165:AM165" si="416">AJ124*AJ144/10^3</f>
        <v>0</v>
      </c>
      <c r="AK165" s="170">
        <f t="shared" si="416"/>
        <v>0</v>
      </c>
      <c r="AL165" s="170">
        <f t="shared" si="416"/>
        <v>0</v>
      </c>
      <c r="AM165" s="170">
        <f t="shared" si="416"/>
        <v>0</v>
      </c>
      <c r="AN165" s="170">
        <f t="shared" ref="AN165:AQ165" si="417">AN124*AN144/10^3</f>
        <v>0</v>
      </c>
      <c r="AO165" s="170">
        <f t="shared" si="417"/>
        <v>0</v>
      </c>
      <c r="AP165" s="170">
        <f t="shared" si="417"/>
        <v>0</v>
      </c>
      <c r="AQ165" s="170">
        <f t="shared" si="417"/>
        <v>0</v>
      </c>
      <c r="AR165" s="170">
        <f t="shared" ref="AR165:AU165" si="418">AR124*AR144/10^3</f>
        <v>0</v>
      </c>
      <c r="AS165" s="170">
        <f t="shared" si="418"/>
        <v>0</v>
      </c>
      <c r="AT165" s="170">
        <f t="shared" si="418"/>
        <v>0</v>
      </c>
      <c r="AU165" s="170">
        <f t="shared" si="418"/>
        <v>0</v>
      </c>
      <c r="AW165" s="170"/>
      <c r="AX165" s="170"/>
      <c r="AY165" s="170"/>
      <c r="AZ165" s="170"/>
      <c r="BA165" s="170"/>
      <c r="BB165" s="280"/>
      <c r="BC165" s="280"/>
      <c r="BD165" s="280"/>
      <c r="BE165" s="123">
        <f>SUM(D165:G165)</f>
        <v>0</v>
      </c>
      <c r="BF165" s="123">
        <f>SUM(H165:K165)</f>
        <v>0</v>
      </c>
      <c r="BG165" s="123">
        <f>SUM(L165:O165)</f>
        <v>0</v>
      </c>
      <c r="BH165" s="123">
        <f>SUM(P165:S165)</f>
        <v>0</v>
      </c>
      <c r="BI165" s="229">
        <f>SUM(T165:W165)</f>
        <v>0</v>
      </c>
      <c r="BJ165" s="229">
        <f t="shared" si="389"/>
        <v>0</v>
      </c>
      <c r="BK165" s="229">
        <f t="shared" si="390"/>
        <v>0</v>
      </c>
      <c r="BL165" s="229">
        <f t="shared" si="391"/>
        <v>0</v>
      </c>
      <c r="BM165" s="156">
        <f t="shared" si="397"/>
        <v>0</v>
      </c>
      <c r="BN165" s="156">
        <f t="shared" si="382"/>
        <v>0</v>
      </c>
      <c r="BO165" s="156">
        <f t="shared" si="383"/>
        <v>0</v>
      </c>
    </row>
    <row r="166" spans="3:67">
      <c r="C166" s="38" t="str">
        <f t="shared" si="384"/>
        <v>SD 5226 (L4 AV chips)</v>
      </c>
      <c r="D166" s="17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>
        <f>P125*P145/10^3</f>
        <v>0</v>
      </c>
      <c r="Q166" s="170">
        <f>Q125*Q145/10^3</f>
        <v>0</v>
      </c>
      <c r="R166" s="170">
        <f>R125*R145/10^3</f>
        <v>0</v>
      </c>
      <c r="S166" s="170">
        <f>S125*S145/10^3</f>
        <v>0</v>
      </c>
      <c r="T166" s="170">
        <f>T125*U145/10^3</f>
        <v>0</v>
      </c>
      <c r="U166" s="170">
        <f t="shared" ref="U166:Z166" si="419">U125*U145/10^3</f>
        <v>0</v>
      </c>
      <c r="V166" s="170">
        <f t="shared" si="419"/>
        <v>0</v>
      </c>
      <c r="W166" s="170">
        <f t="shared" si="419"/>
        <v>0</v>
      </c>
      <c r="X166" s="170">
        <f t="shared" si="419"/>
        <v>0</v>
      </c>
      <c r="Y166" s="170">
        <f t="shared" si="419"/>
        <v>0</v>
      </c>
      <c r="Z166" s="170">
        <f t="shared" si="419"/>
        <v>0</v>
      </c>
      <c r="AA166" s="170">
        <f t="shared" ref="AA166:AI166" si="420">AA125*AA145/10^3</f>
        <v>0</v>
      </c>
      <c r="AB166" s="170">
        <f t="shared" si="420"/>
        <v>0</v>
      </c>
      <c r="AC166" s="170">
        <f t="shared" si="420"/>
        <v>0</v>
      </c>
      <c r="AD166" s="170">
        <f t="shared" si="420"/>
        <v>0</v>
      </c>
      <c r="AE166" s="170">
        <f t="shared" si="420"/>
        <v>0</v>
      </c>
      <c r="AF166" s="170">
        <f t="shared" si="420"/>
        <v>0</v>
      </c>
      <c r="AG166" s="170">
        <f t="shared" si="420"/>
        <v>0</v>
      </c>
      <c r="AH166" s="170">
        <f t="shared" si="420"/>
        <v>0</v>
      </c>
      <c r="AI166" s="170">
        <f t="shared" si="420"/>
        <v>0</v>
      </c>
      <c r="AJ166" s="170">
        <f t="shared" ref="AJ166:AM166" si="421">AJ125*AJ145/10^3</f>
        <v>0</v>
      </c>
      <c r="AK166" s="170">
        <f t="shared" si="421"/>
        <v>0</v>
      </c>
      <c r="AL166" s="170">
        <f t="shared" si="421"/>
        <v>0</v>
      </c>
      <c r="AM166" s="170">
        <f t="shared" si="421"/>
        <v>0</v>
      </c>
      <c r="AN166" s="170">
        <f t="shared" ref="AN166:AQ166" si="422">AN125*AN145/10^3</f>
        <v>0</v>
      </c>
      <c r="AO166" s="170">
        <f t="shared" si="422"/>
        <v>0</v>
      </c>
      <c r="AP166" s="170">
        <f t="shared" si="422"/>
        <v>0</v>
      </c>
      <c r="AQ166" s="170">
        <f t="shared" si="422"/>
        <v>0</v>
      </c>
      <c r="AR166" s="170">
        <f t="shared" ref="AR166:AU166" si="423">AR125*AR145/10^3</f>
        <v>0</v>
      </c>
      <c r="AS166" s="170">
        <f t="shared" si="423"/>
        <v>0</v>
      </c>
      <c r="AT166" s="170">
        <f t="shared" si="423"/>
        <v>0</v>
      </c>
      <c r="AU166" s="170">
        <f t="shared" si="423"/>
        <v>0</v>
      </c>
      <c r="AW166" s="170"/>
      <c r="AX166" s="170"/>
      <c r="AY166" s="170"/>
      <c r="AZ166" s="170"/>
      <c r="BA166" s="170"/>
      <c r="BB166" s="280"/>
      <c r="BC166" s="280"/>
      <c r="BD166" s="280"/>
      <c r="BE166" s="123">
        <f>SUM(D166:G166)</f>
        <v>0</v>
      </c>
      <c r="BF166" s="123">
        <f>SUM(H166:K166)</f>
        <v>0</v>
      </c>
      <c r="BG166" s="123">
        <f>SUM(L166:O166)</f>
        <v>0</v>
      </c>
      <c r="BH166" s="123">
        <f>SUM(P166:S166)</f>
        <v>0</v>
      </c>
      <c r="BI166" s="229">
        <f>SUM(T166:W166)</f>
        <v>0</v>
      </c>
      <c r="BJ166" s="229">
        <f t="shared" si="389"/>
        <v>0</v>
      </c>
      <c r="BK166" s="229">
        <f t="shared" si="390"/>
        <v>0</v>
      </c>
      <c r="BL166" s="229">
        <f t="shared" si="391"/>
        <v>0</v>
      </c>
      <c r="BM166" s="156">
        <f t="shared" si="397"/>
        <v>0</v>
      </c>
      <c r="BN166" s="156">
        <f t="shared" si="382"/>
        <v>0</v>
      </c>
      <c r="BO166" s="156">
        <f t="shared" si="383"/>
        <v>0</v>
      </c>
    </row>
    <row r="167" spans="3:67" s="289" customFormat="1">
      <c r="C167" s="289" t="s">
        <v>0</v>
      </c>
      <c r="D167" s="290">
        <f t="shared" ref="D167:AU167" si="424">SUMPRODUCT(D118:D125,D138:D145)/1000-D7</f>
        <v>0</v>
      </c>
      <c r="E167" s="290">
        <f t="shared" si="424"/>
        <v>0</v>
      </c>
      <c r="F167" s="290">
        <f t="shared" si="424"/>
        <v>0</v>
      </c>
      <c r="G167" s="290">
        <f t="shared" si="424"/>
        <v>0</v>
      </c>
      <c r="H167" s="290">
        <f t="shared" si="424"/>
        <v>0</v>
      </c>
      <c r="I167" s="290">
        <f t="shared" si="424"/>
        <v>0</v>
      </c>
      <c r="J167" s="290">
        <f t="shared" si="424"/>
        <v>0</v>
      </c>
      <c r="K167" s="290">
        <f t="shared" si="424"/>
        <v>0</v>
      </c>
      <c r="L167" s="290">
        <f t="shared" si="424"/>
        <v>0</v>
      </c>
      <c r="M167" s="290">
        <f t="shared" si="424"/>
        <v>0</v>
      </c>
      <c r="N167" s="290">
        <f t="shared" si="424"/>
        <v>0</v>
      </c>
      <c r="O167" s="290">
        <f t="shared" si="424"/>
        <v>0</v>
      </c>
      <c r="P167" s="290">
        <f t="shared" si="424"/>
        <v>0</v>
      </c>
      <c r="Q167" s="290">
        <f t="shared" si="424"/>
        <v>0</v>
      </c>
      <c r="R167" s="290">
        <f t="shared" si="424"/>
        <v>0</v>
      </c>
      <c r="S167" s="290">
        <f t="shared" si="424"/>
        <v>0</v>
      </c>
      <c r="T167" s="290">
        <f t="shared" si="424"/>
        <v>0</v>
      </c>
      <c r="U167" s="290">
        <f t="shared" si="424"/>
        <v>0</v>
      </c>
      <c r="V167" s="290">
        <f t="shared" si="424"/>
        <v>0</v>
      </c>
      <c r="W167" s="290">
        <f t="shared" si="424"/>
        <v>0</v>
      </c>
      <c r="X167" s="290">
        <f t="shared" si="424"/>
        <v>0</v>
      </c>
      <c r="Y167" s="290">
        <f t="shared" si="424"/>
        <v>0</v>
      </c>
      <c r="Z167" s="290">
        <f t="shared" si="424"/>
        <v>0</v>
      </c>
      <c r="AA167" s="290">
        <f t="shared" si="424"/>
        <v>0</v>
      </c>
      <c r="AB167" s="290">
        <f t="shared" si="424"/>
        <v>0</v>
      </c>
      <c r="AC167" s="290">
        <f t="shared" si="424"/>
        <v>0</v>
      </c>
      <c r="AD167" s="290">
        <f t="shared" si="424"/>
        <v>0</v>
      </c>
      <c r="AE167" s="290">
        <f t="shared" si="424"/>
        <v>0</v>
      </c>
      <c r="AF167" s="290">
        <f t="shared" si="424"/>
        <v>0</v>
      </c>
      <c r="AG167" s="290">
        <f t="shared" si="424"/>
        <v>0</v>
      </c>
      <c r="AH167" s="290">
        <f t="shared" si="424"/>
        <v>0</v>
      </c>
      <c r="AI167" s="290">
        <f t="shared" si="424"/>
        <v>0</v>
      </c>
      <c r="AJ167" s="290">
        <f t="shared" si="424"/>
        <v>0</v>
      </c>
      <c r="AK167" s="290">
        <f t="shared" si="424"/>
        <v>0</v>
      </c>
      <c r="AL167" s="290">
        <f t="shared" si="424"/>
        <v>0</v>
      </c>
      <c r="AM167" s="290">
        <f t="shared" si="424"/>
        <v>0</v>
      </c>
      <c r="AN167" s="290">
        <f t="shared" si="424"/>
        <v>0</v>
      </c>
      <c r="AO167" s="290">
        <f t="shared" si="424"/>
        <v>0</v>
      </c>
      <c r="AP167" s="290">
        <f t="shared" si="424"/>
        <v>0</v>
      </c>
      <c r="AQ167" s="290">
        <f t="shared" si="424"/>
        <v>0</v>
      </c>
      <c r="AR167" s="290">
        <f t="shared" si="424"/>
        <v>0</v>
      </c>
      <c r="AS167" s="290">
        <f t="shared" si="424"/>
        <v>0</v>
      </c>
      <c r="AT167" s="290">
        <f t="shared" si="424"/>
        <v>0</v>
      </c>
      <c r="AU167" s="290">
        <f t="shared" si="424"/>
        <v>0</v>
      </c>
      <c r="AW167" s="290"/>
      <c r="AX167" s="290"/>
      <c r="AY167" s="290"/>
      <c r="AZ167" s="290"/>
      <c r="BA167" s="290"/>
      <c r="BB167" s="290"/>
      <c r="BC167" s="290"/>
      <c r="BD167" s="290"/>
      <c r="BE167" s="290"/>
      <c r="BF167" s="290"/>
      <c r="BG167" s="290"/>
      <c r="BH167" s="290"/>
      <c r="BI167" s="290">
        <f>SUM(BI165:BI166)</f>
        <v>0</v>
      </c>
      <c r="BJ167" s="290">
        <f>SUM(BJ165:BJ166)</f>
        <v>0</v>
      </c>
      <c r="BK167" s="290">
        <f>SUM(BK165:BK166)</f>
        <v>0</v>
      </c>
      <c r="BL167" s="290">
        <f>SUM(BL165:BL166)</f>
        <v>0</v>
      </c>
      <c r="BM167" s="290"/>
      <c r="BN167" s="290"/>
      <c r="BO167" s="290"/>
    </row>
    <row r="168" spans="3:67" s="259" customFormat="1">
      <c r="C168" s="38"/>
      <c r="D168" s="170"/>
      <c r="E168" s="170"/>
      <c r="F168" s="170"/>
      <c r="G168" s="170"/>
      <c r="H168" s="275"/>
      <c r="I168" s="275"/>
      <c r="J168" s="275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69"/>
      <c r="AU168" s="169"/>
      <c r="AV168" s="38"/>
      <c r="AW168" s="38"/>
      <c r="AX168" s="38"/>
      <c r="AY168" s="38"/>
      <c r="AZ168" s="38"/>
      <c r="BA168" s="38"/>
      <c r="BB168" s="275"/>
      <c r="BC168" s="275"/>
      <c r="BD168" s="275"/>
      <c r="BE168" s="275"/>
      <c r="BF168" s="106"/>
      <c r="BG168" s="71"/>
      <c r="BH168" s="71"/>
      <c r="BI168" s="71"/>
      <c r="BJ168" s="71"/>
      <c r="BK168" s="71"/>
      <c r="BL168" s="71"/>
      <c r="BM168" s="71"/>
      <c r="BN168" s="71"/>
      <c r="BO168" s="71"/>
    </row>
    <row r="169" spans="3:67" s="248" customFormat="1">
      <c r="C169" s="265" t="str">
        <f>C8</f>
        <v>Cloud - Training machine</v>
      </c>
      <c r="D169" s="265"/>
      <c r="E169" s="265"/>
      <c r="F169" s="265"/>
      <c r="G169" s="265"/>
      <c r="H169" s="265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  <c r="AJ169" s="265"/>
      <c r="AK169" s="265"/>
      <c r="AL169" s="265"/>
      <c r="AM169" s="265"/>
      <c r="AN169" s="265"/>
      <c r="AO169" s="265"/>
      <c r="AP169" s="265"/>
      <c r="AQ169" s="265"/>
      <c r="AR169" s="265"/>
      <c r="AS169" s="265"/>
      <c r="AT169" s="265"/>
      <c r="AU169" s="265"/>
      <c r="AV169" s="38"/>
      <c r="AW169" s="265"/>
      <c r="AX169" s="265"/>
      <c r="AY169" s="265"/>
      <c r="AZ169" s="265"/>
      <c r="BA169" s="38"/>
      <c r="BB169" s="265"/>
      <c r="BC169" s="265"/>
      <c r="BD169" s="265"/>
      <c r="BE169" s="265"/>
      <c r="BF169" s="265"/>
      <c r="BG169" s="265"/>
      <c r="BH169" s="265"/>
      <c r="BI169" s="265"/>
      <c r="BJ169" s="265"/>
      <c r="BK169" s="265"/>
      <c r="BL169" s="265"/>
      <c r="BM169" s="265"/>
      <c r="BN169" s="265"/>
      <c r="BO169" s="265"/>
    </row>
    <row r="170" spans="3:67" s="248" customFormat="1">
      <c r="C170" s="38" t="s">
        <v>463</v>
      </c>
      <c r="D170" s="123"/>
      <c r="E170" s="123"/>
      <c r="F170" s="123"/>
      <c r="G170" s="123"/>
      <c r="H170" s="123">
        <f>H176*10^6/H173</f>
        <v>13.645763431770325</v>
      </c>
      <c r="I170" s="123">
        <f>I176*10^6/I173</f>
        <v>38.425033048229672</v>
      </c>
      <c r="J170" s="123">
        <f>J176*10^6/J173</f>
        <v>4.0919117978204689</v>
      </c>
      <c r="K170" s="123">
        <f>K176*10^6/K173</f>
        <v>24.132691722179541</v>
      </c>
      <c r="L170" s="156">
        <f t="shared" ref="L170:AI170" si="425">H170*(1+L171)</f>
        <v>30.020679549894716</v>
      </c>
      <c r="M170" s="156">
        <f>M176*10^6/M173</f>
        <v>95.81652855260306</v>
      </c>
      <c r="N170" s="156">
        <f t="shared" si="425"/>
        <v>16.367647191281876</v>
      </c>
      <c r="O170" s="156">
        <f t="shared" si="425"/>
        <v>16.892884205525679</v>
      </c>
      <c r="P170" s="156">
        <f t="shared" si="425"/>
        <v>0</v>
      </c>
      <c r="Q170" s="156">
        <f t="shared" si="425"/>
        <v>0</v>
      </c>
      <c r="R170" s="156">
        <f t="shared" si="425"/>
        <v>0</v>
      </c>
      <c r="S170" s="156">
        <f t="shared" si="425"/>
        <v>0</v>
      </c>
      <c r="T170" s="156">
        <f t="shared" si="425"/>
        <v>0</v>
      </c>
      <c r="U170" s="156">
        <f t="shared" si="425"/>
        <v>0</v>
      </c>
      <c r="V170" s="156">
        <f t="shared" si="425"/>
        <v>0</v>
      </c>
      <c r="W170" s="156">
        <f t="shared" si="425"/>
        <v>0</v>
      </c>
      <c r="X170" s="156">
        <f t="shared" si="425"/>
        <v>0</v>
      </c>
      <c r="Y170" s="156">
        <f t="shared" si="425"/>
        <v>0</v>
      </c>
      <c r="Z170" s="156">
        <f t="shared" si="425"/>
        <v>0</v>
      </c>
      <c r="AA170" s="156">
        <f t="shared" si="425"/>
        <v>0</v>
      </c>
      <c r="AB170" s="156">
        <f t="shared" si="425"/>
        <v>0</v>
      </c>
      <c r="AC170" s="156">
        <f t="shared" si="425"/>
        <v>0</v>
      </c>
      <c r="AD170" s="156">
        <f t="shared" si="425"/>
        <v>0</v>
      </c>
      <c r="AE170" s="156">
        <f t="shared" si="425"/>
        <v>0</v>
      </c>
      <c r="AF170" s="156">
        <f t="shared" si="425"/>
        <v>0</v>
      </c>
      <c r="AG170" s="156">
        <f t="shared" si="425"/>
        <v>0</v>
      </c>
      <c r="AH170" s="156">
        <f t="shared" si="425"/>
        <v>0</v>
      </c>
      <c r="AI170" s="156">
        <f t="shared" si="425"/>
        <v>0</v>
      </c>
      <c r="AJ170" s="156">
        <f t="shared" ref="AJ170" si="426">AF170*(1+AJ171)</f>
        <v>0</v>
      </c>
      <c r="AK170" s="156">
        <f t="shared" ref="AK170" si="427">AG170*(1+AK171)</f>
        <v>0</v>
      </c>
      <c r="AL170" s="156">
        <f t="shared" ref="AL170" si="428">AH170*(1+AL171)</f>
        <v>0</v>
      </c>
      <c r="AM170" s="156">
        <f t="shared" ref="AM170" si="429">AI170*(1+AM171)</f>
        <v>0</v>
      </c>
      <c r="AN170" s="156">
        <f t="shared" ref="AN170" si="430">AJ170*(1+AN171)</f>
        <v>0</v>
      </c>
      <c r="AO170" s="156">
        <f t="shared" ref="AO170" si="431">AK170*(1+AO171)</f>
        <v>0</v>
      </c>
      <c r="AP170" s="156">
        <f t="shared" ref="AP170" si="432">AL170*(1+AP171)</f>
        <v>0</v>
      </c>
      <c r="AQ170" s="156">
        <f t="shared" ref="AQ170" si="433">AM170*(1+AQ171)</f>
        <v>0</v>
      </c>
      <c r="AR170" s="156">
        <f t="shared" ref="AR170" si="434">AN170*(1+AR171)</f>
        <v>0</v>
      </c>
      <c r="AS170" s="156">
        <f t="shared" ref="AS170" si="435">AO170*(1+AS171)</f>
        <v>0</v>
      </c>
      <c r="AT170" s="156">
        <f t="shared" ref="AT170" si="436">AP170*(1+AT171)</f>
        <v>0</v>
      </c>
      <c r="AU170" s="156">
        <f t="shared" ref="AU170" si="437">AQ170*(1+AU171)</f>
        <v>0</v>
      </c>
      <c r="AV170" s="38"/>
      <c r="AW170" s="38"/>
      <c r="AX170" s="38"/>
      <c r="AY170" s="38"/>
      <c r="AZ170" s="38"/>
      <c r="BA170" s="38"/>
      <c r="BB170" s="275"/>
      <c r="BC170" s="275"/>
      <c r="BD170" s="275"/>
      <c r="BE170" s="123">
        <f>SUM(D170:G170)</f>
        <v>0</v>
      </c>
      <c r="BF170" s="123">
        <f>SUM(H170:K170)</f>
        <v>80.295400000000015</v>
      </c>
      <c r="BG170" s="123">
        <f>SUM(L170:O170)</f>
        <v>159.09773949930533</v>
      </c>
      <c r="BH170" s="123">
        <f>SUM(P170:S170)</f>
        <v>0</v>
      </c>
      <c r="BI170" s="229">
        <f>SUM(T170:W170)</f>
        <v>0</v>
      </c>
      <c r="BJ170" s="229">
        <f>SUM(X170:AA170)</f>
        <v>0</v>
      </c>
      <c r="BK170" s="229">
        <f>SUM(AB170:AE170)</f>
        <v>0</v>
      </c>
      <c r="BL170" s="229">
        <f>SUM(AF170:AI170)</f>
        <v>0</v>
      </c>
      <c r="BM170" s="229">
        <f t="shared" ref="BM170:BO170" si="438">SUM(AG170:AJ170)</f>
        <v>0</v>
      </c>
      <c r="BN170" s="229">
        <f t="shared" si="438"/>
        <v>0</v>
      </c>
      <c r="BO170" s="229">
        <f t="shared" si="438"/>
        <v>0</v>
      </c>
    </row>
    <row r="171" spans="3:67" s="248" customFormat="1">
      <c r="C171" s="266" t="s">
        <v>164</v>
      </c>
      <c r="D171" s="269"/>
      <c r="E171" s="269"/>
      <c r="F171" s="269"/>
      <c r="G171" s="269"/>
      <c r="H171" s="269"/>
      <c r="I171" s="269"/>
      <c r="J171" s="269"/>
      <c r="K171" s="269"/>
      <c r="L171" s="282">
        <v>1.2</v>
      </c>
      <c r="M171" s="283">
        <f>M170/I170-1</f>
        <v>1.493596516425574</v>
      </c>
      <c r="N171" s="282">
        <v>3</v>
      </c>
      <c r="O171" s="282">
        <v>-0.3</v>
      </c>
      <c r="P171" s="282">
        <v>-1</v>
      </c>
      <c r="Q171" s="282">
        <v>-1</v>
      </c>
      <c r="R171" s="282">
        <v>-1</v>
      </c>
      <c r="S171" s="282">
        <v>-1</v>
      </c>
      <c r="T171" s="282">
        <v>0</v>
      </c>
      <c r="U171" s="282">
        <v>0</v>
      </c>
      <c r="V171" s="282">
        <v>0</v>
      </c>
      <c r="W171" s="282">
        <f t="shared" ref="W171:AH171" si="439">V171</f>
        <v>0</v>
      </c>
      <c r="X171" s="282">
        <v>0</v>
      </c>
      <c r="Y171" s="224">
        <f t="shared" si="439"/>
        <v>0</v>
      </c>
      <c r="Z171" s="224">
        <f t="shared" si="439"/>
        <v>0</v>
      </c>
      <c r="AA171" s="224">
        <f t="shared" si="439"/>
        <v>0</v>
      </c>
      <c r="AB171" s="224">
        <v>0</v>
      </c>
      <c r="AC171" s="224">
        <f t="shared" si="439"/>
        <v>0</v>
      </c>
      <c r="AD171" s="224">
        <f t="shared" si="439"/>
        <v>0</v>
      </c>
      <c r="AE171" s="224">
        <f t="shared" si="439"/>
        <v>0</v>
      </c>
      <c r="AF171" s="224">
        <v>0</v>
      </c>
      <c r="AG171" s="224">
        <f t="shared" si="439"/>
        <v>0</v>
      </c>
      <c r="AH171" s="224">
        <f t="shared" si="439"/>
        <v>0</v>
      </c>
      <c r="AI171" s="224">
        <f>AH171</f>
        <v>0</v>
      </c>
      <c r="AJ171" s="224">
        <v>0</v>
      </c>
      <c r="AK171" s="224">
        <f t="shared" ref="AK171" si="440">AJ171</f>
        <v>0</v>
      </c>
      <c r="AL171" s="224">
        <f t="shared" ref="AL171" si="441">AK171</f>
        <v>0</v>
      </c>
      <c r="AM171" s="224">
        <f>AL171</f>
        <v>0</v>
      </c>
      <c r="AN171" s="224">
        <v>0</v>
      </c>
      <c r="AO171" s="224">
        <f t="shared" ref="AO171" si="442">AN171</f>
        <v>0</v>
      </c>
      <c r="AP171" s="224">
        <f t="shared" ref="AP171" si="443">AO171</f>
        <v>0</v>
      </c>
      <c r="AQ171" s="224">
        <f>AP171</f>
        <v>0</v>
      </c>
      <c r="AR171" s="224">
        <v>0</v>
      </c>
      <c r="AS171" s="224">
        <f t="shared" ref="AS171" si="444">AR171</f>
        <v>0</v>
      </c>
      <c r="AT171" s="224">
        <f t="shared" ref="AT171" si="445">AS171</f>
        <v>0</v>
      </c>
      <c r="AU171" s="224">
        <f>AT171</f>
        <v>0</v>
      </c>
      <c r="AV171" s="269"/>
      <c r="AW171" s="269"/>
      <c r="AX171" s="269"/>
      <c r="AY171" s="269"/>
      <c r="AZ171" s="269"/>
      <c r="BA171" s="269"/>
      <c r="BB171" s="269"/>
      <c r="BC171" s="269"/>
      <c r="BD171" s="269"/>
      <c r="BE171" s="269"/>
      <c r="BF171" s="269"/>
      <c r="BG171" s="268">
        <f t="shared" ref="BG171:BL171" si="446">BG170/BF170-1</f>
        <v>0.98140540428599032</v>
      </c>
      <c r="BH171" s="268">
        <f t="shared" si="446"/>
        <v>-1</v>
      </c>
      <c r="BI171" s="268" t="e">
        <f t="shared" si="446"/>
        <v>#DIV/0!</v>
      </c>
      <c r="BJ171" s="268" t="e">
        <f t="shared" si="446"/>
        <v>#DIV/0!</v>
      </c>
      <c r="BK171" s="268" t="e">
        <f t="shared" si="446"/>
        <v>#DIV/0!</v>
      </c>
      <c r="BL171" s="268" t="e">
        <f t="shared" si="446"/>
        <v>#DIV/0!</v>
      </c>
      <c r="BM171" s="268" t="e">
        <f t="shared" ref="BM171" si="447">BM170/BL170-1</f>
        <v>#DIV/0!</v>
      </c>
      <c r="BN171" s="268" t="e">
        <f t="shared" ref="BN171" si="448">BN170/BM170-1</f>
        <v>#DIV/0!</v>
      </c>
      <c r="BO171" s="268" t="e">
        <f t="shared" ref="BO171" si="449">BO170/BN170-1</f>
        <v>#DIV/0!</v>
      </c>
    </row>
    <row r="172" spans="3:67" s="248" customFormat="1">
      <c r="C172" s="38"/>
      <c r="D172" s="237"/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  <c r="AV172" s="237"/>
      <c r="AW172" s="237"/>
      <c r="AX172" s="237"/>
      <c r="AY172" s="237"/>
      <c r="AZ172" s="237"/>
      <c r="BA172" s="237"/>
      <c r="BB172" s="237"/>
      <c r="BC172" s="237"/>
      <c r="BD172" s="237"/>
      <c r="BE172" s="237"/>
      <c r="BF172" s="237"/>
      <c r="BG172" s="237"/>
      <c r="BH172" s="237"/>
      <c r="BI172" s="237"/>
      <c r="BJ172" s="237"/>
      <c r="BK172" s="237"/>
      <c r="BL172" s="237"/>
      <c r="BM172" s="237"/>
      <c r="BN172" s="237"/>
      <c r="BO172" s="237"/>
    </row>
    <row r="173" spans="3:67">
      <c r="C173" s="38" t="s">
        <v>349</v>
      </c>
      <c r="D173" s="237"/>
      <c r="E173" s="237"/>
      <c r="F173" s="237"/>
      <c r="G173" s="237"/>
      <c r="H173" s="126">
        <v>500000</v>
      </c>
      <c r="I173" s="126">
        <f>H173</f>
        <v>500000</v>
      </c>
      <c r="J173" s="126">
        <f>I173</f>
        <v>500000</v>
      </c>
      <c r="K173" s="126">
        <f>J173</f>
        <v>500000</v>
      </c>
      <c r="L173" s="156">
        <f>H173*(1+L174)</f>
        <v>485000</v>
      </c>
      <c r="M173" s="156">
        <f t="shared" ref="M173:AI173" si="450">I173*(1+M174)</f>
        <v>485000</v>
      </c>
      <c r="N173" s="156">
        <f t="shared" si="450"/>
        <v>485000</v>
      </c>
      <c r="O173" s="156">
        <f t="shared" si="450"/>
        <v>485000</v>
      </c>
      <c r="P173" s="156">
        <f t="shared" si="450"/>
        <v>470450</v>
      </c>
      <c r="Q173" s="156">
        <f t="shared" si="450"/>
        <v>470450</v>
      </c>
      <c r="R173" s="156">
        <f t="shared" si="450"/>
        <v>470450</v>
      </c>
      <c r="S173" s="156">
        <f t="shared" si="450"/>
        <v>470450</v>
      </c>
      <c r="T173" s="156">
        <f t="shared" si="450"/>
        <v>456336.5</v>
      </c>
      <c r="U173" s="156">
        <f t="shared" si="450"/>
        <v>456336.5</v>
      </c>
      <c r="V173" s="156">
        <f t="shared" si="450"/>
        <v>456336.5</v>
      </c>
      <c r="W173" s="156">
        <f t="shared" si="450"/>
        <v>456336.5</v>
      </c>
      <c r="X173" s="156">
        <f t="shared" si="450"/>
        <v>442646.40499999997</v>
      </c>
      <c r="Y173" s="156">
        <f t="shared" si="450"/>
        <v>442646.40499999997</v>
      </c>
      <c r="Z173" s="156">
        <f t="shared" si="450"/>
        <v>442646.40499999997</v>
      </c>
      <c r="AA173" s="156">
        <f t="shared" si="450"/>
        <v>442646.40499999997</v>
      </c>
      <c r="AB173" s="156">
        <f t="shared" si="450"/>
        <v>429367.01284999994</v>
      </c>
      <c r="AC173" s="156">
        <f t="shared" si="450"/>
        <v>429367.01284999994</v>
      </c>
      <c r="AD173" s="156">
        <f t="shared" si="450"/>
        <v>429367.01284999994</v>
      </c>
      <c r="AE173" s="156">
        <f t="shared" si="450"/>
        <v>429367.01284999994</v>
      </c>
      <c r="AF173" s="156">
        <f t="shared" si="450"/>
        <v>416486.00246449991</v>
      </c>
      <c r="AG173" s="156">
        <f t="shared" si="450"/>
        <v>416486.00246449991</v>
      </c>
      <c r="AH173" s="156">
        <f t="shared" si="450"/>
        <v>416486.00246449991</v>
      </c>
      <c r="AI173" s="156">
        <f t="shared" si="450"/>
        <v>416486.00246449991</v>
      </c>
      <c r="AJ173" s="156">
        <f t="shared" ref="AJ173" si="451">AF173*(1+AJ174)</f>
        <v>403991.42239056493</v>
      </c>
      <c r="AK173" s="156">
        <f t="shared" ref="AK173" si="452">AG173*(1+AK174)</f>
        <v>403991.42239056493</v>
      </c>
      <c r="AL173" s="156">
        <f t="shared" ref="AL173" si="453">AH173*(1+AL174)</f>
        <v>403991.42239056493</v>
      </c>
      <c r="AM173" s="156">
        <f t="shared" ref="AM173" si="454">AI173*(1+AM174)</f>
        <v>403991.42239056493</v>
      </c>
      <c r="AN173" s="156">
        <f t="shared" ref="AN173" si="455">AJ173*(1+AN174)</f>
        <v>391871.67971884797</v>
      </c>
      <c r="AO173" s="156">
        <f t="shared" ref="AO173" si="456">AK173*(1+AO174)</f>
        <v>391871.67971884797</v>
      </c>
      <c r="AP173" s="156">
        <f t="shared" ref="AP173" si="457">AL173*(1+AP174)</f>
        <v>391871.67971884797</v>
      </c>
      <c r="AQ173" s="156">
        <f t="shared" ref="AQ173" si="458">AM173*(1+AQ174)</f>
        <v>391871.67971884797</v>
      </c>
      <c r="AR173" s="156">
        <f t="shared" ref="AR173" si="459">AN173*(1+AR174)</f>
        <v>380115.52932728251</v>
      </c>
      <c r="AS173" s="156">
        <f t="shared" ref="AS173" si="460">AO173*(1+AS174)</f>
        <v>380115.52932728251</v>
      </c>
      <c r="AT173" s="156">
        <f t="shared" ref="AT173" si="461">AP173*(1+AT174)</f>
        <v>380115.52932728251</v>
      </c>
      <c r="AU173" s="156">
        <f t="shared" ref="AU173" si="462">AQ173*(1+AU174)</f>
        <v>380115.52932728251</v>
      </c>
      <c r="AV173" s="237"/>
      <c r="AW173" s="237"/>
      <c r="AX173" s="237"/>
      <c r="AY173" s="237"/>
      <c r="AZ173" s="237"/>
      <c r="BA173" s="237"/>
      <c r="BB173" s="237"/>
      <c r="BC173" s="237"/>
      <c r="BD173" s="237"/>
      <c r="BE173" s="237"/>
      <c r="BF173" s="156">
        <f t="shared" ref="BF173:BL173" si="463">BF176*10^3/BF170</f>
        <v>499.99999999999994</v>
      </c>
      <c r="BG173" s="156">
        <f t="shared" si="463"/>
        <v>485.00000000000006</v>
      </c>
      <c r="BH173" s="156" t="e">
        <f t="shared" si="463"/>
        <v>#DIV/0!</v>
      </c>
      <c r="BI173" s="156" t="e">
        <f t="shared" si="463"/>
        <v>#DIV/0!</v>
      </c>
      <c r="BJ173" s="156" t="e">
        <f t="shared" si="463"/>
        <v>#DIV/0!</v>
      </c>
      <c r="BK173" s="156" t="e">
        <f t="shared" si="463"/>
        <v>#DIV/0!</v>
      </c>
      <c r="BL173" s="156" t="e">
        <f t="shared" si="463"/>
        <v>#DIV/0!</v>
      </c>
      <c r="BM173" s="156" t="e">
        <f t="shared" ref="BM173:BO173" si="464">BM176*10^3/BM170</f>
        <v>#DIV/0!</v>
      </c>
      <c r="BN173" s="156" t="e">
        <f t="shared" si="464"/>
        <v>#DIV/0!</v>
      </c>
      <c r="BO173" s="156" t="e">
        <f t="shared" si="464"/>
        <v>#DIV/0!</v>
      </c>
    </row>
    <row r="174" spans="3:67" s="267" customFormat="1">
      <c r="C174" s="266" t="s">
        <v>164</v>
      </c>
      <c r="D174" s="269"/>
      <c r="E174" s="269"/>
      <c r="F174" s="269"/>
      <c r="G174" s="269"/>
      <c r="H174" s="269"/>
      <c r="I174" s="269"/>
      <c r="J174" s="269"/>
      <c r="K174" s="269"/>
      <c r="L174" s="282">
        <v>-0.03</v>
      </c>
      <c r="M174" s="282">
        <f>L174</f>
        <v>-0.03</v>
      </c>
      <c r="N174" s="282">
        <f>M174</f>
        <v>-0.03</v>
      </c>
      <c r="O174" s="282">
        <f t="shared" ref="O174:AI174" si="465">N174</f>
        <v>-0.03</v>
      </c>
      <c r="P174" s="282">
        <v>-0.03</v>
      </c>
      <c r="Q174" s="282">
        <f t="shared" ref="Q174:W174" si="466">P174</f>
        <v>-0.03</v>
      </c>
      <c r="R174" s="282">
        <f t="shared" si="466"/>
        <v>-0.03</v>
      </c>
      <c r="S174" s="282">
        <f t="shared" si="466"/>
        <v>-0.03</v>
      </c>
      <c r="T174" s="282">
        <f t="shared" si="466"/>
        <v>-0.03</v>
      </c>
      <c r="U174" s="282">
        <f t="shared" si="466"/>
        <v>-0.03</v>
      </c>
      <c r="V174" s="282">
        <f t="shared" si="466"/>
        <v>-0.03</v>
      </c>
      <c r="W174" s="282">
        <f t="shared" si="466"/>
        <v>-0.03</v>
      </c>
      <c r="X174" s="282">
        <v>-0.03</v>
      </c>
      <c r="Y174" s="224">
        <f t="shared" si="465"/>
        <v>-0.03</v>
      </c>
      <c r="Z174" s="224">
        <f t="shared" si="465"/>
        <v>-0.03</v>
      </c>
      <c r="AA174" s="224">
        <f t="shared" si="465"/>
        <v>-0.03</v>
      </c>
      <c r="AB174" s="224">
        <f t="shared" si="465"/>
        <v>-0.03</v>
      </c>
      <c r="AC174" s="224">
        <f t="shared" si="465"/>
        <v>-0.03</v>
      </c>
      <c r="AD174" s="224">
        <f t="shared" si="465"/>
        <v>-0.03</v>
      </c>
      <c r="AE174" s="224">
        <f t="shared" si="465"/>
        <v>-0.03</v>
      </c>
      <c r="AF174" s="224">
        <f t="shared" si="465"/>
        <v>-0.03</v>
      </c>
      <c r="AG174" s="224">
        <f t="shared" si="465"/>
        <v>-0.03</v>
      </c>
      <c r="AH174" s="224">
        <f t="shared" si="465"/>
        <v>-0.03</v>
      </c>
      <c r="AI174" s="224">
        <f t="shared" si="465"/>
        <v>-0.03</v>
      </c>
      <c r="AJ174" s="224">
        <f t="shared" ref="AJ174" si="467">AI174</f>
        <v>-0.03</v>
      </c>
      <c r="AK174" s="224">
        <f t="shared" ref="AK174" si="468">AJ174</f>
        <v>-0.03</v>
      </c>
      <c r="AL174" s="224">
        <f t="shared" ref="AL174" si="469">AK174</f>
        <v>-0.03</v>
      </c>
      <c r="AM174" s="224">
        <f t="shared" ref="AM174" si="470">AL174</f>
        <v>-0.03</v>
      </c>
      <c r="AN174" s="224">
        <f t="shared" ref="AN174" si="471">AM174</f>
        <v>-0.03</v>
      </c>
      <c r="AO174" s="224">
        <f t="shared" ref="AO174" si="472">AN174</f>
        <v>-0.03</v>
      </c>
      <c r="AP174" s="224">
        <f t="shared" ref="AP174" si="473">AO174</f>
        <v>-0.03</v>
      </c>
      <c r="AQ174" s="224">
        <f t="shared" ref="AQ174" si="474">AP174</f>
        <v>-0.03</v>
      </c>
      <c r="AR174" s="224">
        <f t="shared" ref="AR174" si="475">AQ174</f>
        <v>-0.03</v>
      </c>
      <c r="AS174" s="224">
        <f t="shared" ref="AS174" si="476">AR174</f>
        <v>-0.03</v>
      </c>
      <c r="AT174" s="224">
        <f t="shared" ref="AT174" si="477">AS174</f>
        <v>-0.03</v>
      </c>
      <c r="AU174" s="224">
        <f t="shared" ref="AU174" si="478">AT174</f>
        <v>-0.03</v>
      </c>
      <c r="AV174" s="269"/>
      <c r="AW174" s="269"/>
      <c r="AX174" s="269"/>
      <c r="AY174" s="269"/>
      <c r="AZ174" s="269"/>
      <c r="BA174" s="269"/>
      <c r="BB174" s="269"/>
      <c r="BC174" s="269"/>
      <c r="BD174" s="269"/>
      <c r="BE174" s="269"/>
      <c r="BF174" s="269"/>
      <c r="BG174" s="268">
        <f t="shared" ref="BG174:BL174" si="479">BG173/BF173-1</f>
        <v>-2.9999999999999805E-2</v>
      </c>
      <c r="BH174" s="268" t="e">
        <f t="shared" si="479"/>
        <v>#DIV/0!</v>
      </c>
      <c r="BI174" s="268" t="e">
        <f t="shared" si="479"/>
        <v>#DIV/0!</v>
      </c>
      <c r="BJ174" s="268" t="e">
        <f t="shared" si="479"/>
        <v>#DIV/0!</v>
      </c>
      <c r="BK174" s="268" t="e">
        <f t="shared" si="479"/>
        <v>#DIV/0!</v>
      </c>
      <c r="BL174" s="268" t="e">
        <f t="shared" si="479"/>
        <v>#DIV/0!</v>
      </c>
      <c r="BM174" s="268" t="e">
        <f t="shared" ref="BM174" si="480">BM173/BL173-1</f>
        <v>#DIV/0!</v>
      </c>
      <c r="BN174" s="268" t="e">
        <f t="shared" ref="BN174" si="481">BN173/BM173-1</f>
        <v>#DIV/0!</v>
      </c>
      <c r="BO174" s="268" t="e">
        <f t="shared" ref="BO174" si="482">BO173/BN173-1</f>
        <v>#DIV/0!</v>
      </c>
    </row>
    <row r="175" spans="3:67">
      <c r="D175" s="237"/>
      <c r="E175" s="237"/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7"/>
      <c r="BF175" s="237"/>
      <c r="BG175" s="237"/>
      <c r="BH175" s="237"/>
      <c r="BI175" s="237"/>
      <c r="BJ175" s="237"/>
      <c r="BK175" s="237"/>
      <c r="BL175" s="237"/>
      <c r="BM175" s="237"/>
      <c r="BN175" s="237"/>
      <c r="BO175" s="237"/>
    </row>
    <row r="176" spans="3:67" s="269" customFormat="1">
      <c r="C176" s="237" t="s">
        <v>405</v>
      </c>
      <c r="D176" s="237"/>
      <c r="E176" s="237"/>
      <c r="F176" s="237"/>
      <c r="G176" s="237"/>
      <c r="H176" s="239">
        <f>H8</f>
        <v>6.8228817158851625</v>
      </c>
      <c r="I176" s="239">
        <f>I8</f>
        <v>19.212516524114836</v>
      </c>
      <c r="J176" s="239">
        <f>J8</f>
        <v>2.0459558989102344</v>
      </c>
      <c r="K176" s="239">
        <f>K8</f>
        <v>12.06634586108977</v>
      </c>
      <c r="L176" s="239">
        <f>L170*L173/10^6</f>
        <v>14.560029581698938</v>
      </c>
      <c r="M176" s="284">
        <f>M8</f>
        <v>46.471016348012483</v>
      </c>
      <c r="N176" s="239">
        <f t="shared" ref="N176:AI176" si="483">N170*N173/10^6</f>
        <v>7.9383088877717096</v>
      </c>
      <c r="O176" s="239">
        <f t="shared" si="483"/>
        <v>8.193048839679955</v>
      </c>
      <c r="P176" s="239">
        <f t="shared" si="483"/>
        <v>0</v>
      </c>
      <c r="Q176" s="239">
        <f t="shared" si="483"/>
        <v>0</v>
      </c>
      <c r="R176" s="239">
        <f t="shared" si="483"/>
        <v>0</v>
      </c>
      <c r="S176" s="239">
        <f t="shared" si="483"/>
        <v>0</v>
      </c>
      <c r="T176" s="239">
        <f t="shared" si="483"/>
        <v>0</v>
      </c>
      <c r="U176" s="239">
        <f t="shared" si="483"/>
        <v>0</v>
      </c>
      <c r="V176" s="239">
        <f t="shared" si="483"/>
        <v>0</v>
      </c>
      <c r="W176" s="239">
        <f t="shared" si="483"/>
        <v>0</v>
      </c>
      <c r="X176" s="239">
        <f t="shared" si="483"/>
        <v>0</v>
      </c>
      <c r="Y176" s="239">
        <f t="shared" si="483"/>
        <v>0</v>
      </c>
      <c r="Z176" s="239">
        <f t="shared" si="483"/>
        <v>0</v>
      </c>
      <c r="AA176" s="239">
        <f t="shared" si="483"/>
        <v>0</v>
      </c>
      <c r="AB176" s="239">
        <f t="shared" si="483"/>
        <v>0</v>
      </c>
      <c r="AC176" s="239">
        <f t="shared" si="483"/>
        <v>0</v>
      </c>
      <c r="AD176" s="239">
        <f t="shared" si="483"/>
        <v>0</v>
      </c>
      <c r="AE176" s="239">
        <f t="shared" si="483"/>
        <v>0</v>
      </c>
      <c r="AF176" s="239">
        <f t="shared" si="483"/>
        <v>0</v>
      </c>
      <c r="AG176" s="239">
        <f t="shared" si="483"/>
        <v>0</v>
      </c>
      <c r="AH176" s="239">
        <f t="shared" si="483"/>
        <v>0</v>
      </c>
      <c r="AI176" s="239">
        <f t="shared" si="483"/>
        <v>0</v>
      </c>
      <c r="AJ176" s="239">
        <f t="shared" ref="AJ176:AM176" si="484">AJ170*AJ173/10^6</f>
        <v>0</v>
      </c>
      <c r="AK176" s="239">
        <f t="shared" si="484"/>
        <v>0</v>
      </c>
      <c r="AL176" s="239">
        <f t="shared" si="484"/>
        <v>0</v>
      </c>
      <c r="AM176" s="239">
        <f t="shared" si="484"/>
        <v>0</v>
      </c>
      <c r="AN176" s="239">
        <f t="shared" ref="AN176:AQ176" si="485">AN170*AN173/10^6</f>
        <v>0</v>
      </c>
      <c r="AO176" s="239">
        <f t="shared" si="485"/>
        <v>0</v>
      </c>
      <c r="AP176" s="239">
        <f t="shared" si="485"/>
        <v>0</v>
      </c>
      <c r="AQ176" s="239">
        <f t="shared" si="485"/>
        <v>0</v>
      </c>
      <c r="AR176" s="239">
        <f t="shared" ref="AR176:AU176" si="486">AR170*AR173/10^6</f>
        <v>0</v>
      </c>
      <c r="AS176" s="239">
        <f t="shared" si="486"/>
        <v>0</v>
      </c>
      <c r="AT176" s="239">
        <f t="shared" si="486"/>
        <v>0</v>
      </c>
      <c r="AU176" s="239">
        <f t="shared" si="486"/>
        <v>0</v>
      </c>
      <c r="AV176" s="237"/>
      <c r="AW176" s="237"/>
      <c r="AX176" s="237"/>
      <c r="AY176" s="239">
        <f>AY8</f>
        <v>26.035398239999999</v>
      </c>
      <c r="AZ176" s="239"/>
      <c r="BA176" s="237"/>
      <c r="BB176" s="237"/>
      <c r="BC176" s="237"/>
      <c r="BD176" s="237"/>
      <c r="BE176" s="237"/>
      <c r="BF176" s="239">
        <f>SUM(H176:K176)</f>
        <v>40.147700000000007</v>
      </c>
      <c r="BG176" s="239">
        <f>SUM(L176:O176)</f>
        <v>77.162403657163097</v>
      </c>
      <c r="BH176" s="239">
        <f>SUM(P176:S176)</f>
        <v>0</v>
      </c>
      <c r="BI176" s="239">
        <f>SUM(T176:W176)</f>
        <v>0</v>
      </c>
      <c r="BJ176" s="239">
        <f>SUM(X176:AA176)</f>
        <v>0</v>
      </c>
      <c r="BK176" s="239">
        <f>SUM(AB176:AE176)</f>
        <v>0</v>
      </c>
      <c r="BL176" s="239">
        <f>SUM(AF176:AI176)</f>
        <v>0</v>
      </c>
      <c r="BM176" s="239">
        <f t="shared" ref="BM176:BO176" si="487">SUM(AG176:AJ176)</f>
        <v>0</v>
      </c>
      <c r="BN176" s="239">
        <f t="shared" si="487"/>
        <v>0</v>
      </c>
      <c r="BO176" s="239">
        <f t="shared" si="487"/>
        <v>0</v>
      </c>
    </row>
    <row r="177" spans="3:67" ht="13.5" customHeight="1">
      <c r="D177" s="170"/>
      <c r="E177" s="170"/>
      <c r="F177" s="170"/>
      <c r="G177" s="170"/>
      <c r="H177" s="275"/>
      <c r="I177" s="275"/>
      <c r="J177" s="275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69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  <c r="AQ177" s="169"/>
      <c r="AR177" s="169"/>
      <c r="AS177" s="169"/>
      <c r="AT177" s="169"/>
      <c r="AU177" s="169"/>
      <c r="BB177" s="275"/>
      <c r="BC177" s="275"/>
      <c r="BD177" s="275"/>
      <c r="BE177" s="275"/>
      <c r="BF177" s="106"/>
      <c r="BG177" s="71"/>
      <c r="BH177" s="71"/>
      <c r="BI177" s="71"/>
      <c r="BJ177" s="71"/>
      <c r="BK177" s="71"/>
      <c r="BL177" s="71"/>
      <c r="BM177" s="71"/>
      <c r="BN177" s="71"/>
      <c r="BO177" s="71"/>
    </row>
    <row r="178" spans="3:67" ht="13.5" customHeight="1">
      <c r="C178" s="265" t="str">
        <f>C19</f>
        <v>Intelligent computing cluster systems</v>
      </c>
      <c r="D178" s="265"/>
      <c r="E178" s="265"/>
      <c r="F178" s="265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  <c r="AJ178" s="265"/>
      <c r="AK178" s="265"/>
      <c r="AL178" s="265"/>
      <c r="AM178" s="265"/>
      <c r="AN178" s="265"/>
      <c r="AO178" s="265"/>
      <c r="AP178" s="265"/>
      <c r="AQ178" s="265"/>
      <c r="AR178" s="265"/>
      <c r="AS178" s="265"/>
      <c r="AT178" s="265"/>
      <c r="AU178" s="265"/>
      <c r="AW178" s="265"/>
      <c r="AX178" s="265"/>
      <c r="AY178" s="265"/>
      <c r="AZ178" s="265"/>
      <c r="BB178" s="265"/>
      <c r="BC178" s="265"/>
      <c r="BD178" s="265"/>
      <c r="BE178" s="265"/>
      <c r="BF178" s="265"/>
      <c r="BG178" s="265"/>
      <c r="BH178" s="265"/>
      <c r="BI178" s="265"/>
      <c r="BJ178" s="265"/>
      <c r="BK178" s="265"/>
      <c r="BL178" s="265"/>
      <c r="BM178" s="265"/>
      <c r="BN178" s="265"/>
      <c r="BO178" s="265"/>
    </row>
    <row r="179" spans="3:67">
      <c r="C179" s="38" t="s">
        <v>449</v>
      </c>
      <c r="D179" s="126">
        <v>0</v>
      </c>
      <c r="E179" s="126">
        <v>0.1</v>
      </c>
      <c r="F179" s="126">
        <v>0.2</v>
      </c>
      <c r="G179" s="126">
        <v>0.7</v>
      </c>
      <c r="H179" s="126">
        <v>0</v>
      </c>
      <c r="I179" s="126">
        <v>0.1</v>
      </c>
      <c r="J179" s="126">
        <v>0.2</v>
      </c>
      <c r="K179" s="126">
        <v>0.7</v>
      </c>
      <c r="L179" s="126">
        <v>0</v>
      </c>
      <c r="M179" s="150">
        <v>1.4999999999999999E-2</v>
      </c>
      <c r="N179" s="150">
        <v>0.115</v>
      </c>
      <c r="O179" s="150">
        <f>1-N179-M179</f>
        <v>0.87</v>
      </c>
      <c r="P179" s="272">
        <f>P184/P181</f>
        <v>5.2000000000000005E-2</v>
      </c>
      <c r="Q179" s="272">
        <f t="shared" ref="Q179" si="488">Q184/Q181</f>
        <v>5.2000000000000005E-2</v>
      </c>
      <c r="R179" s="272">
        <f>R184/R181</f>
        <v>2.9899999999999999E-2</v>
      </c>
      <c r="S179" s="272">
        <f>BH179-R179-Q179-P179</f>
        <v>1.1660999999999999</v>
      </c>
      <c r="T179" s="272">
        <f>T184/T181</f>
        <v>6.9188445880961373E-5</v>
      </c>
      <c r="U179" s="272">
        <f>U184/U181</f>
        <v>6.9188445880961373E-5</v>
      </c>
      <c r="V179" s="272">
        <f>V184/V181</f>
        <v>1.096292726770787E-3</v>
      </c>
      <c r="W179" s="272">
        <f>W184/W181</f>
        <v>1.096292726770787E-3</v>
      </c>
      <c r="X179" s="288">
        <v>0</v>
      </c>
      <c r="Y179" s="222">
        <v>0</v>
      </c>
      <c r="Z179" s="222">
        <v>0</v>
      </c>
      <c r="AA179" s="222">
        <v>0</v>
      </c>
      <c r="AB179" s="222">
        <v>0</v>
      </c>
      <c r="AC179" s="222">
        <v>0</v>
      </c>
      <c r="AD179" s="222">
        <v>0</v>
      </c>
      <c r="AE179" s="222">
        <v>0</v>
      </c>
      <c r="AF179" s="222">
        <v>0</v>
      </c>
      <c r="AG179" s="222">
        <v>0</v>
      </c>
      <c r="AH179" s="222">
        <v>0</v>
      </c>
      <c r="AI179" s="222">
        <v>0</v>
      </c>
      <c r="AJ179" s="222">
        <v>0</v>
      </c>
      <c r="AK179" s="222">
        <v>0</v>
      </c>
      <c r="AL179" s="222">
        <v>0</v>
      </c>
      <c r="AM179" s="222">
        <v>0</v>
      </c>
      <c r="AN179" s="222">
        <v>0</v>
      </c>
      <c r="AO179" s="222">
        <v>0</v>
      </c>
      <c r="AP179" s="222">
        <v>0</v>
      </c>
      <c r="AQ179" s="222">
        <v>0</v>
      </c>
      <c r="AR179" s="222">
        <v>0</v>
      </c>
      <c r="AS179" s="222">
        <v>0</v>
      </c>
      <c r="AT179" s="222">
        <v>0</v>
      </c>
      <c r="AU179" s="222">
        <v>0</v>
      </c>
      <c r="AV179" s="237"/>
      <c r="AW179" s="237"/>
      <c r="AX179" s="237"/>
      <c r="AY179" s="237"/>
      <c r="AZ179" s="237"/>
      <c r="BA179" s="237"/>
      <c r="BB179" s="237"/>
      <c r="BC179" s="237"/>
      <c r="BD179" s="237"/>
      <c r="BE179" s="124">
        <f>SUM(D179:G179)</f>
        <v>1</v>
      </c>
      <c r="BF179" s="124">
        <f>SUM(H179:K179)</f>
        <v>1</v>
      </c>
      <c r="BG179" s="124">
        <f>SUM(L179:O179)</f>
        <v>1</v>
      </c>
      <c r="BH179" s="285">
        <v>1.3</v>
      </c>
      <c r="BI179" s="286">
        <f>SUM(T179:W179)</f>
        <v>2.3309623453034965E-3</v>
      </c>
      <c r="BJ179" s="286">
        <f>SUM(X179:AA179)</f>
        <v>0</v>
      </c>
      <c r="BK179" s="286">
        <f>SUM(AB179:AE179)</f>
        <v>0</v>
      </c>
      <c r="BL179" s="286">
        <f>SUM(AF179:AI179)</f>
        <v>0</v>
      </c>
      <c r="BM179" s="286">
        <f t="shared" ref="BM179:BO179" si="489">SUM(AG179:AJ179)</f>
        <v>0</v>
      </c>
      <c r="BN179" s="286">
        <f t="shared" si="489"/>
        <v>0</v>
      </c>
      <c r="BO179" s="286">
        <f t="shared" si="489"/>
        <v>0</v>
      </c>
    </row>
    <row r="180" spans="3:67" s="281" customFormat="1">
      <c r="C180" s="38" t="s">
        <v>164</v>
      </c>
      <c r="D180" s="237"/>
      <c r="E180" s="237"/>
      <c r="F180" s="237"/>
      <c r="G180" s="237"/>
      <c r="H180" s="38" t="e">
        <f>H179/D179-1</f>
        <v>#DIV/0!</v>
      </c>
      <c r="I180" s="71">
        <f t="shared" ref="I180:AI180" si="490">I179/E179-1</f>
        <v>0</v>
      </c>
      <c r="J180" s="71">
        <f t="shared" si="490"/>
        <v>0</v>
      </c>
      <c r="K180" s="71">
        <f t="shared" si="490"/>
        <v>0</v>
      </c>
      <c r="L180" s="71" t="e">
        <f t="shared" si="490"/>
        <v>#DIV/0!</v>
      </c>
      <c r="M180" s="71">
        <f t="shared" si="490"/>
        <v>-0.85</v>
      </c>
      <c r="N180" s="71">
        <f t="shared" si="490"/>
        <v>-0.42500000000000004</v>
      </c>
      <c r="O180" s="71">
        <f t="shared" si="490"/>
        <v>0.24285714285714288</v>
      </c>
      <c r="P180" s="71" t="e">
        <f t="shared" si="490"/>
        <v>#DIV/0!</v>
      </c>
      <c r="Q180" s="71">
        <f t="shared" si="490"/>
        <v>2.4666666666666672</v>
      </c>
      <c r="R180" s="71">
        <f t="shared" si="490"/>
        <v>-0.74</v>
      </c>
      <c r="S180" s="71">
        <f t="shared" si="490"/>
        <v>0.34034482758620688</v>
      </c>
      <c r="T180" s="71">
        <f t="shared" si="490"/>
        <v>-0.9986694529638277</v>
      </c>
      <c r="U180" s="71">
        <f t="shared" si="490"/>
        <v>-0.9986694529638277</v>
      </c>
      <c r="V180" s="71">
        <f t="shared" si="490"/>
        <v>-0.96333469141234829</v>
      </c>
      <c r="W180" s="71">
        <f t="shared" si="490"/>
        <v>-0.99905986388236789</v>
      </c>
      <c r="X180" s="71">
        <f t="shared" si="490"/>
        <v>-1</v>
      </c>
      <c r="Y180" s="71">
        <f t="shared" si="490"/>
        <v>-1</v>
      </c>
      <c r="Z180" s="71">
        <f t="shared" si="490"/>
        <v>-1</v>
      </c>
      <c r="AA180" s="71">
        <f t="shared" si="490"/>
        <v>-1</v>
      </c>
      <c r="AB180" s="71" t="e">
        <f t="shared" si="490"/>
        <v>#DIV/0!</v>
      </c>
      <c r="AC180" s="71" t="e">
        <f t="shared" si="490"/>
        <v>#DIV/0!</v>
      </c>
      <c r="AD180" s="71" t="e">
        <f t="shared" si="490"/>
        <v>#DIV/0!</v>
      </c>
      <c r="AE180" s="71" t="e">
        <f t="shared" si="490"/>
        <v>#DIV/0!</v>
      </c>
      <c r="AF180" s="71" t="e">
        <f t="shared" si="490"/>
        <v>#DIV/0!</v>
      </c>
      <c r="AG180" s="71" t="e">
        <f t="shared" si="490"/>
        <v>#DIV/0!</v>
      </c>
      <c r="AH180" s="71" t="e">
        <f t="shared" si="490"/>
        <v>#DIV/0!</v>
      </c>
      <c r="AI180" s="71" t="e">
        <f t="shared" si="490"/>
        <v>#DIV/0!</v>
      </c>
      <c r="AJ180" s="71" t="e">
        <f t="shared" ref="AJ180" si="491">AJ179/AF179-1</f>
        <v>#DIV/0!</v>
      </c>
      <c r="AK180" s="71" t="e">
        <f t="shared" ref="AK180" si="492">AK179/AG179-1</f>
        <v>#DIV/0!</v>
      </c>
      <c r="AL180" s="71" t="e">
        <f t="shared" ref="AL180" si="493">AL179/AH179-1</f>
        <v>#DIV/0!</v>
      </c>
      <c r="AM180" s="71" t="e">
        <f t="shared" ref="AM180" si="494">AM179/AI179-1</f>
        <v>#DIV/0!</v>
      </c>
      <c r="AN180" s="71" t="e">
        <f t="shared" ref="AN180" si="495">AN179/AJ179-1</f>
        <v>#DIV/0!</v>
      </c>
      <c r="AO180" s="71" t="e">
        <f t="shared" ref="AO180" si="496">AO179/AK179-1</f>
        <v>#DIV/0!</v>
      </c>
      <c r="AP180" s="71" t="e">
        <f t="shared" ref="AP180" si="497">AP179/AL179-1</f>
        <v>#DIV/0!</v>
      </c>
      <c r="AQ180" s="71" t="e">
        <f t="shared" ref="AQ180" si="498">AQ179/AM179-1</f>
        <v>#DIV/0!</v>
      </c>
      <c r="AR180" s="71" t="e">
        <f t="shared" ref="AR180" si="499">AR179/AN179-1</f>
        <v>#DIV/0!</v>
      </c>
      <c r="AS180" s="71" t="e">
        <f t="shared" ref="AS180" si="500">AS179/AO179-1</f>
        <v>#DIV/0!</v>
      </c>
      <c r="AT180" s="71" t="e">
        <f t="shared" ref="AT180" si="501">AT179/AP179-1</f>
        <v>#DIV/0!</v>
      </c>
      <c r="AU180" s="71" t="e">
        <f t="shared" ref="AU180" si="502">AU179/AQ179-1</f>
        <v>#DIV/0!</v>
      </c>
      <c r="AV180" s="237"/>
      <c r="AW180" s="237"/>
      <c r="AX180" s="237"/>
      <c r="AY180" s="237"/>
      <c r="AZ180" s="237"/>
      <c r="BA180" s="237"/>
      <c r="BB180" s="237"/>
      <c r="BC180" s="237"/>
      <c r="BD180" s="237"/>
      <c r="BE180" s="237"/>
      <c r="BF180" s="237"/>
      <c r="BG180" s="237"/>
      <c r="BH180" s="237"/>
      <c r="BI180" s="237"/>
      <c r="BJ180" s="237"/>
      <c r="BK180" s="237"/>
      <c r="BL180" s="237"/>
      <c r="BM180" s="237"/>
      <c r="BN180" s="237"/>
      <c r="BO180" s="237"/>
    </row>
    <row r="181" spans="3:67">
      <c r="C181" s="38" t="s">
        <v>450</v>
      </c>
      <c r="D181" s="123"/>
      <c r="E181" s="123">
        <f>E184/E179</f>
        <v>1.2794027999999997</v>
      </c>
      <c r="F181" s="123">
        <f>F184/F179</f>
        <v>307.92870605394427</v>
      </c>
      <c r="G181" s="123">
        <f>G184/G179</f>
        <v>377.05299441315879</v>
      </c>
      <c r="H181" s="123"/>
      <c r="I181" s="123">
        <f>I184/I179</f>
        <v>15.8214381</v>
      </c>
      <c r="J181" s="123">
        <f>J184/J179</f>
        <v>295.1145371005</v>
      </c>
      <c r="K181" s="123">
        <f>K184/K179</f>
        <v>564.28493907128575</v>
      </c>
      <c r="L181" s="123"/>
      <c r="M181" s="123">
        <f>M184/M179</f>
        <v>458.51028771</v>
      </c>
      <c r="N181" s="123">
        <f>N184/N179</f>
        <v>458.51028771</v>
      </c>
      <c r="O181" s="123">
        <f>O184/O179</f>
        <v>458.51028771000006</v>
      </c>
      <c r="P181" s="123">
        <f>BH181</f>
        <v>465.02518723076918</v>
      </c>
      <c r="Q181" s="123">
        <f>P181</f>
        <v>465.02518723076918</v>
      </c>
      <c r="R181" s="123">
        <f>Q181</f>
        <v>465.02518723076918</v>
      </c>
      <c r="S181" s="123">
        <f>S184/S179</f>
        <v>465.02518723076923</v>
      </c>
      <c r="T181" s="123">
        <f t="shared" ref="T181:AI181" si="503">P181*(1+T182)</f>
        <v>441.7739278692307</v>
      </c>
      <c r="U181" s="123">
        <f t="shared" si="503"/>
        <v>441.7739278692307</v>
      </c>
      <c r="V181" s="123">
        <f t="shared" si="503"/>
        <v>441.7739278692307</v>
      </c>
      <c r="W181" s="123">
        <f t="shared" si="503"/>
        <v>441.77392786923076</v>
      </c>
      <c r="X181" s="123">
        <f t="shared" si="503"/>
        <v>419.68523147576917</v>
      </c>
      <c r="Y181" s="123">
        <f t="shared" si="503"/>
        <v>419.68523147576917</v>
      </c>
      <c r="Z181" s="123">
        <f t="shared" si="503"/>
        <v>419.68523147576917</v>
      </c>
      <c r="AA181" s="123">
        <f>W181*(1+AA182)</f>
        <v>419.68523147576923</v>
      </c>
      <c r="AB181" s="123">
        <f t="shared" si="503"/>
        <v>398.70096990198067</v>
      </c>
      <c r="AC181" s="123">
        <f t="shared" si="503"/>
        <v>398.70096990198067</v>
      </c>
      <c r="AD181" s="123">
        <f t="shared" si="503"/>
        <v>398.70096990198067</v>
      </c>
      <c r="AE181" s="123">
        <f t="shared" si="503"/>
        <v>398.70096990198073</v>
      </c>
      <c r="AF181" s="123">
        <f t="shared" si="503"/>
        <v>378.7659214068816</v>
      </c>
      <c r="AG181" s="123">
        <f t="shared" si="503"/>
        <v>378.7659214068816</v>
      </c>
      <c r="AH181" s="123">
        <f t="shared" si="503"/>
        <v>378.7659214068816</v>
      </c>
      <c r="AI181" s="123">
        <f t="shared" si="503"/>
        <v>378.76592140688166</v>
      </c>
      <c r="AJ181" s="123">
        <f t="shared" ref="AJ181" si="504">AF181*(1+AJ182)</f>
        <v>359.82762533653749</v>
      </c>
      <c r="AK181" s="123">
        <f t="shared" ref="AK181" si="505">AG181*(1+AK182)</f>
        <v>359.82762533653749</v>
      </c>
      <c r="AL181" s="123">
        <f t="shared" ref="AL181" si="506">AH181*(1+AL182)</f>
        <v>359.82762533653749</v>
      </c>
      <c r="AM181" s="123">
        <f t="shared" ref="AM181" si="507">AI181*(1+AM182)</f>
        <v>359.82762533653755</v>
      </c>
      <c r="AN181" s="123">
        <f t="shared" ref="AN181" si="508">AJ181*(1+AN182)</f>
        <v>341.83624406971063</v>
      </c>
      <c r="AO181" s="123">
        <f t="shared" ref="AO181" si="509">AK181*(1+AO182)</f>
        <v>341.83624406971063</v>
      </c>
      <c r="AP181" s="123">
        <f t="shared" ref="AP181" si="510">AL181*(1+AP182)</f>
        <v>341.83624406971063</v>
      </c>
      <c r="AQ181" s="123">
        <f t="shared" ref="AQ181" si="511">AM181*(1+AQ182)</f>
        <v>341.83624406971063</v>
      </c>
      <c r="AR181" s="123">
        <f t="shared" ref="AR181" si="512">AN181*(1+AR182)</f>
        <v>324.74443186622506</v>
      </c>
      <c r="AS181" s="123">
        <f t="shared" ref="AS181" si="513">AO181*(1+AS182)</f>
        <v>324.74443186622506</v>
      </c>
      <c r="AT181" s="123">
        <f t="shared" ref="AT181" si="514">AP181*(1+AT182)</f>
        <v>324.74443186622506</v>
      </c>
      <c r="AU181" s="123">
        <f t="shared" ref="AU181" si="515">AQ181*(1+AU182)</f>
        <v>324.74443186622506</v>
      </c>
      <c r="AV181" s="237"/>
      <c r="AW181" s="237"/>
      <c r="AX181" s="237"/>
      <c r="AY181" s="237"/>
      <c r="AZ181" s="237"/>
      <c r="BA181" s="237"/>
      <c r="BB181" s="237"/>
      <c r="BC181" s="237"/>
      <c r="BD181" s="237"/>
      <c r="BE181" s="123">
        <f>BE184/BE179</f>
        <v>325.65077758000001</v>
      </c>
      <c r="BF181" s="123">
        <f>BF184/BF179</f>
        <v>455.60450858000002</v>
      </c>
      <c r="BG181" s="123">
        <f t="shared" ref="BG181:BL181" si="516">BG184/BG179</f>
        <v>458.51028771</v>
      </c>
      <c r="BH181" s="123">
        <f t="shared" si="516"/>
        <v>465.02518723076918</v>
      </c>
      <c r="BI181" s="229">
        <f t="shared" si="516"/>
        <v>441.77392786923076</v>
      </c>
      <c r="BJ181" s="229" t="e">
        <f t="shared" si="516"/>
        <v>#DIV/0!</v>
      </c>
      <c r="BK181" s="229" t="e">
        <f t="shared" si="516"/>
        <v>#DIV/0!</v>
      </c>
      <c r="BL181" s="229" t="e">
        <f t="shared" si="516"/>
        <v>#DIV/0!</v>
      </c>
      <c r="BM181" s="229" t="e">
        <f t="shared" ref="BM181:BO181" si="517">BM184/BM179</f>
        <v>#DIV/0!</v>
      </c>
      <c r="BN181" s="229" t="e">
        <f t="shared" si="517"/>
        <v>#DIV/0!</v>
      </c>
      <c r="BO181" s="229" t="e">
        <f t="shared" si="517"/>
        <v>#DIV/0!</v>
      </c>
    </row>
    <row r="182" spans="3:67">
      <c r="C182" s="38" t="s">
        <v>164</v>
      </c>
      <c r="D182" s="237"/>
      <c r="E182" s="237"/>
      <c r="F182" s="237"/>
      <c r="G182" s="237"/>
      <c r="H182" s="268" t="e">
        <f>H181/D181-1</f>
        <v>#DIV/0!</v>
      </c>
      <c r="I182" s="268">
        <f>I181/E181-1</f>
        <v>11.366268152609955</v>
      </c>
      <c r="J182" s="268">
        <f>J181/F181-1</f>
        <v>-4.1614077224743751E-2</v>
      </c>
      <c r="K182" s="268">
        <f>K181/G181-1</f>
        <v>0.49656665623232277</v>
      </c>
      <c r="L182" s="123"/>
      <c r="M182" s="123"/>
      <c r="N182" s="123"/>
      <c r="O182" s="268">
        <f>O181/K181-1</f>
        <v>-0.18744900676486642</v>
      </c>
      <c r="P182" s="287"/>
      <c r="Q182" s="283">
        <f t="shared" ref="Q182:S182" si="518">Q181/M181-1</f>
        <v>1.4208840445669058E-2</v>
      </c>
      <c r="R182" s="283">
        <f t="shared" si="518"/>
        <v>1.4208840445669058E-2</v>
      </c>
      <c r="S182" s="283">
        <f t="shared" si="518"/>
        <v>1.4208840445669058E-2</v>
      </c>
      <c r="T182" s="282">
        <v>-0.05</v>
      </c>
      <c r="U182" s="282">
        <f>T182</f>
        <v>-0.05</v>
      </c>
      <c r="V182" s="282">
        <f t="shared" ref="V182:AI182" si="519">U182</f>
        <v>-0.05</v>
      </c>
      <c r="W182" s="282">
        <f>V182</f>
        <v>-0.05</v>
      </c>
      <c r="X182" s="282">
        <f>W182</f>
        <v>-0.05</v>
      </c>
      <c r="Y182" s="224">
        <f t="shared" si="519"/>
        <v>-0.05</v>
      </c>
      <c r="Z182" s="224">
        <f t="shared" si="519"/>
        <v>-0.05</v>
      </c>
      <c r="AA182" s="224">
        <f>Z182</f>
        <v>-0.05</v>
      </c>
      <c r="AB182" s="224">
        <f>AA182</f>
        <v>-0.05</v>
      </c>
      <c r="AC182" s="224">
        <f t="shared" si="519"/>
        <v>-0.05</v>
      </c>
      <c r="AD182" s="224">
        <f t="shared" si="519"/>
        <v>-0.05</v>
      </c>
      <c r="AE182" s="224">
        <f t="shared" si="519"/>
        <v>-0.05</v>
      </c>
      <c r="AF182" s="224">
        <f>AE182</f>
        <v>-0.05</v>
      </c>
      <c r="AG182" s="224">
        <f t="shared" si="519"/>
        <v>-0.05</v>
      </c>
      <c r="AH182" s="224">
        <f t="shared" si="519"/>
        <v>-0.05</v>
      </c>
      <c r="AI182" s="224">
        <f t="shared" si="519"/>
        <v>-0.05</v>
      </c>
      <c r="AJ182" s="224">
        <f>AI182</f>
        <v>-0.05</v>
      </c>
      <c r="AK182" s="224">
        <f t="shared" ref="AK182" si="520">AJ182</f>
        <v>-0.05</v>
      </c>
      <c r="AL182" s="224">
        <f t="shared" ref="AL182" si="521">AK182</f>
        <v>-0.05</v>
      </c>
      <c r="AM182" s="224">
        <f t="shared" ref="AM182" si="522">AL182</f>
        <v>-0.05</v>
      </c>
      <c r="AN182" s="224">
        <f>AM182</f>
        <v>-0.05</v>
      </c>
      <c r="AO182" s="224">
        <f t="shared" ref="AO182" si="523">AN182</f>
        <v>-0.05</v>
      </c>
      <c r="AP182" s="224">
        <f t="shared" ref="AP182" si="524">AO182</f>
        <v>-0.05</v>
      </c>
      <c r="AQ182" s="224">
        <f t="shared" ref="AQ182" si="525">AP182</f>
        <v>-0.05</v>
      </c>
      <c r="AR182" s="224">
        <f>AQ182</f>
        <v>-0.05</v>
      </c>
      <c r="AS182" s="224">
        <f t="shared" ref="AS182" si="526">AR182</f>
        <v>-0.05</v>
      </c>
      <c r="AT182" s="224">
        <f t="shared" ref="AT182" si="527">AS182</f>
        <v>-0.05</v>
      </c>
      <c r="AU182" s="224">
        <f t="shared" ref="AU182" si="528">AT182</f>
        <v>-0.05</v>
      </c>
      <c r="AV182" s="237"/>
      <c r="AW182" s="237"/>
      <c r="AX182" s="237"/>
      <c r="AY182" s="237"/>
      <c r="AZ182" s="237"/>
      <c r="BA182" s="237"/>
      <c r="BB182" s="237"/>
      <c r="BC182" s="237"/>
      <c r="BD182" s="237"/>
      <c r="BE182" s="237"/>
      <c r="BF182" s="268">
        <f>BF181/BE181-1</f>
        <v>0.39905856195315037</v>
      </c>
      <c r="BG182" s="268">
        <f t="shared" ref="BG182:BL182" si="529">BG181/BF181-1</f>
        <v>6.3778542031038832E-3</v>
      </c>
      <c r="BH182" s="268">
        <f t="shared" si="529"/>
        <v>1.4208840445669058E-2</v>
      </c>
      <c r="BI182" s="268">
        <f t="shared" si="529"/>
        <v>-4.9999999999999933E-2</v>
      </c>
      <c r="BJ182" s="268" t="e">
        <f t="shared" si="529"/>
        <v>#DIV/0!</v>
      </c>
      <c r="BK182" s="268" t="e">
        <f t="shared" si="529"/>
        <v>#DIV/0!</v>
      </c>
      <c r="BL182" s="268" t="e">
        <f t="shared" si="529"/>
        <v>#DIV/0!</v>
      </c>
      <c r="BM182" s="268" t="e">
        <f t="shared" ref="BM182" si="530">BM181/BL181-1</f>
        <v>#DIV/0!</v>
      </c>
      <c r="BN182" s="268" t="e">
        <f t="shared" ref="BN182" si="531">BN181/BM181-1</f>
        <v>#DIV/0!</v>
      </c>
      <c r="BO182" s="268" t="e">
        <f t="shared" ref="BO182" si="532">BO181/BN181-1</f>
        <v>#DIV/0!</v>
      </c>
    </row>
    <row r="183" spans="3:67" s="267" customFormat="1">
      <c r="C183" s="38"/>
      <c r="D183" s="237"/>
      <c r="E183" s="237"/>
      <c r="F183" s="237"/>
      <c r="G183" s="237"/>
      <c r="H183" s="38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37"/>
      <c r="BA183" s="237"/>
      <c r="BB183" s="237"/>
      <c r="BC183" s="237"/>
      <c r="BD183" s="237"/>
      <c r="BE183" s="237"/>
      <c r="BF183" s="237"/>
      <c r="BG183" s="237"/>
      <c r="BH183" s="237"/>
      <c r="BI183" s="237"/>
      <c r="BJ183" s="237"/>
      <c r="BK183" s="237"/>
      <c r="BL183" s="237"/>
      <c r="BM183" s="237"/>
      <c r="BN183" s="237"/>
      <c r="BO183" s="237"/>
    </row>
    <row r="184" spans="3:67" s="237" customFormat="1">
      <c r="C184" s="38" t="s">
        <v>82</v>
      </c>
      <c r="D184" s="238">
        <f t="shared" ref="D184:K184" si="533">D10</f>
        <v>0</v>
      </c>
      <c r="E184" s="238">
        <f t="shared" si="533"/>
        <v>0.12794027999999999</v>
      </c>
      <c r="F184" s="239">
        <f t="shared" si="533"/>
        <v>61.585741210788854</v>
      </c>
      <c r="G184" s="239">
        <f t="shared" si="533"/>
        <v>263.93709608921114</v>
      </c>
      <c r="H184" s="239">
        <f t="shared" si="533"/>
        <v>0</v>
      </c>
      <c r="I184" s="239">
        <f t="shared" si="533"/>
        <v>1.58214381</v>
      </c>
      <c r="J184" s="239">
        <f t="shared" si="533"/>
        <v>59.022907420100005</v>
      </c>
      <c r="K184" s="239">
        <f t="shared" si="533"/>
        <v>394.99945734990001</v>
      </c>
      <c r="L184" s="239">
        <f t="shared" ref="L184:AI184" si="534">L179*L181</f>
        <v>0</v>
      </c>
      <c r="M184" s="239">
        <f>BG184*0.015</f>
        <v>6.8776543156500001</v>
      </c>
      <c r="N184" s="239">
        <f>BG184*0.115</f>
        <v>52.728683086650001</v>
      </c>
      <c r="O184" s="239">
        <f>BG184-L184-M184-N184</f>
        <v>398.90395030770003</v>
      </c>
      <c r="P184" s="239">
        <f>BH184*0.04</f>
        <v>24.181309735999999</v>
      </c>
      <c r="Q184" s="239">
        <f>BH184*0.04</f>
        <v>24.181309735999999</v>
      </c>
      <c r="R184" s="239">
        <f>BH184*0.023</f>
        <v>13.904253098199998</v>
      </c>
      <c r="S184" s="239">
        <f>BH184-R184-Q184-P184</f>
        <v>542.26587082979995</v>
      </c>
      <c r="T184" s="239">
        <f>T10</f>
        <v>3.0565651500000002E-2</v>
      </c>
      <c r="U184" s="239">
        <f>U10</f>
        <v>3.0565651500000002E-2</v>
      </c>
      <c r="V184" s="239">
        <f>V10</f>
        <v>0.48431354399999993</v>
      </c>
      <c r="W184" s="239">
        <f>W10</f>
        <v>0.48431354399999993</v>
      </c>
      <c r="X184" s="239">
        <f t="shared" si="534"/>
        <v>0</v>
      </c>
      <c r="Y184" s="239">
        <f t="shared" si="534"/>
        <v>0</v>
      </c>
      <c r="Z184" s="239">
        <f t="shared" si="534"/>
        <v>0</v>
      </c>
      <c r="AA184" s="239">
        <f>AA179*AA181</f>
        <v>0</v>
      </c>
      <c r="AB184" s="239">
        <f t="shared" si="534"/>
        <v>0</v>
      </c>
      <c r="AC184" s="239">
        <f t="shared" si="534"/>
        <v>0</v>
      </c>
      <c r="AD184" s="239">
        <f t="shared" si="534"/>
        <v>0</v>
      </c>
      <c r="AE184" s="239">
        <f t="shared" si="534"/>
        <v>0</v>
      </c>
      <c r="AF184" s="239">
        <f t="shared" si="534"/>
        <v>0</v>
      </c>
      <c r="AG184" s="239">
        <f t="shared" si="534"/>
        <v>0</v>
      </c>
      <c r="AH184" s="239">
        <f t="shared" si="534"/>
        <v>0</v>
      </c>
      <c r="AI184" s="239">
        <f t="shared" si="534"/>
        <v>0</v>
      </c>
      <c r="AJ184" s="239">
        <f t="shared" ref="AJ184:AM184" si="535">AJ179*AJ181</f>
        <v>0</v>
      </c>
      <c r="AK184" s="239">
        <f t="shared" si="535"/>
        <v>0</v>
      </c>
      <c r="AL184" s="239">
        <f t="shared" si="535"/>
        <v>0</v>
      </c>
      <c r="AM184" s="239">
        <f t="shared" si="535"/>
        <v>0</v>
      </c>
      <c r="AN184" s="239">
        <f t="shared" ref="AN184:AQ184" si="536">AN179*AN181</f>
        <v>0</v>
      </c>
      <c r="AO184" s="239">
        <f t="shared" si="536"/>
        <v>0</v>
      </c>
      <c r="AP184" s="239">
        <f t="shared" si="536"/>
        <v>0</v>
      </c>
      <c r="AQ184" s="239">
        <f t="shared" si="536"/>
        <v>0</v>
      </c>
      <c r="AR184" s="239">
        <f t="shared" ref="AR184:AU184" si="537">AR179*AR181</f>
        <v>0</v>
      </c>
      <c r="AS184" s="239">
        <f t="shared" si="537"/>
        <v>0</v>
      </c>
      <c r="AT184" s="239">
        <f t="shared" si="537"/>
        <v>0</v>
      </c>
      <c r="AU184" s="239">
        <f t="shared" si="537"/>
        <v>0</v>
      </c>
      <c r="AY184" s="239">
        <f>AY10</f>
        <v>1.58214381</v>
      </c>
      <c r="AZ184" s="239"/>
      <c r="BB184" s="239">
        <f>BB10</f>
        <v>0</v>
      </c>
      <c r="BC184" s="239">
        <f>BC10</f>
        <v>0</v>
      </c>
      <c r="BD184" s="239">
        <f>BD10</f>
        <v>296.18150000000003</v>
      </c>
      <c r="BE184" s="239">
        <f>SUM(D184:G184)</f>
        <v>325.65077758000001</v>
      </c>
      <c r="BF184" s="239">
        <f>SUM(H184:K184)</f>
        <v>455.60450858000002</v>
      </c>
      <c r="BG184" s="239">
        <f>BG10</f>
        <v>458.51028771</v>
      </c>
      <c r="BH184" s="239">
        <f>BH10</f>
        <v>604.53274339999996</v>
      </c>
      <c r="BI184" s="239">
        <f>SUM(T184:W184)</f>
        <v>1.0297583909999999</v>
      </c>
      <c r="BJ184" s="239">
        <f>SUM(X184:AA184)</f>
        <v>0</v>
      </c>
      <c r="BK184" s="239">
        <f>SUM(AB184:AE184)</f>
        <v>0</v>
      </c>
      <c r="BL184" s="239">
        <f>SUM(AF184:AI184)</f>
        <v>0</v>
      </c>
      <c r="BM184" s="239">
        <f t="shared" ref="BM184:BO184" si="538">SUM(AG184:AJ184)</f>
        <v>0</v>
      </c>
      <c r="BN184" s="239">
        <f t="shared" si="538"/>
        <v>0</v>
      </c>
      <c r="BO184" s="239">
        <f t="shared" si="538"/>
        <v>0</v>
      </c>
    </row>
    <row r="185" spans="3:67" s="237" customFormat="1">
      <c r="C185" s="38"/>
    </row>
  </sheetData>
  <printOptions horizontalCentered="1" verticalCentered="1"/>
  <pageMargins left="0" right="0" top="0" bottom="0" header="0" footer="0"/>
  <pageSetup paperSize="9" scale="10" orientation="portrait" r:id="rId1"/>
  <customProperties>
    <customPr name="Qube.Worksheet.Visibility" r:id="rId2"/>
    <customPr name="SHEET_UNIQUE_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T250"/>
  <sheetViews>
    <sheetView topLeftCell="A23" workbookViewId="0">
      <selection activeCell="A23" sqref="A1:XFD1048576"/>
    </sheetView>
  </sheetViews>
  <sheetFormatPr defaultColWidth="9.28515625" defaultRowHeight="15"/>
  <cols>
    <col min="1" max="1" width="48.7109375" style="336" customWidth="1"/>
    <col min="2" max="2" width="22.42578125" style="336" hidden="1" customWidth="1"/>
    <col min="3" max="3" width="17.42578125" style="336" hidden="1" customWidth="1"/>
    <col min="4" max="9" width="17.28515625" style="336" hidden="1" customWidth="1"/>
    <col min="10" max="12" width="17.28515625" style="336" bestFit="1" customWidth="1"/>
    <col min="13" max="13" width="18.42578125" style="336" customWidth="1"/>
    <col min="14" max="15" width="20.28515625" style="336" customWidth="1"/>
    <col min="16" max="16" width="18.28515625" style="339"/>
    <col min="17" max="17" width="23.28515625" style="339" customWidth="1"/>
    <col min="18" max="18" width="21" style="339" customWidth="1"/>
    <col min="19" max="19" width="18.42578125" style="336" customWidth="1"/>
    <col min="20" max="20" width="19.140625" style="336" customWidth="1"/>
    <col min="21" max="22" width="9.28515625" style="336"/>
    <col min="23" max="23" width="21.28515625" style="336" customWidth="1"/>
    <col min="24" max="24" width="9.28515625" style="336" customWidth="1"/>
    <col min="25" max="16384" width="9.28515625" style="336"/>
  </cols>
  <sheetData>
    <row r="1" spans="1:20">
      <c r="B1" s="337"/>
      <c r="C1" s="337"/>
      <c r="D1" s="337"/>
      <c r="E1" s="337"/>
      <c r="F1" s="337"/>
      <c r="G1" s="337"/>
      <c r="H1" s="337"/>
      <c r="I1" s="337"/>
      <c r="J1" s="338" t="s">
        <v>122</v>
      </c>
      <c r="K1" s="338" t="s">
        <v>153</v>
      </c>
      <c r="L1" s="338" t="s">
        <v>334</v>
      </c>
      <c r="M1" s="338" t="s">
        <v>407</v>
      </c>
      <c r="N1" s="338" t="s">
        <v>455</v>
      </c>
      <c r="O1" s="339" t="s">
        <v>482</v>
      </c>
      <c r="P1" s="339" t="s">
        <v>490</v>
      </c>
      <c r="Q1" s="340" t="s">
        <v>573</v>
      </c>
      <c r="R1" s="340" t="s">
        <v>773</v>
      </c>
      <c r="S1" s="338"/>
      <c r="T1" s="338" t="s">
        <v>424</v>
      </c>
    </row>
    <row r="2" spans="1:20">
      <c r="A2" s="336" t="s">
        <v>120</v>
      </c>
      <c r="B2" s="337"/>
      <c r="C2" s="337"/>
      <c r="D2" s="337"/>
      <c r="E2" s="337"/>
      <c r="F2" s="337"/>
      <c r="G2" s="337"/>
      <c r="H2" s="337"/>
      <c r="I2" s="337"/>
      <c r="J2" s="338" t="s">
        <v>134</v>
      </c>
      <c r="K2" s="338" t="s">
        <v>134</v>
      </c>
      <c r="L2" s="338" t="s">
        <v>134</v>
      </c>
      <c r="M2" s="338" t="s">
        <v>134</v>
      </c>
      <c r="N2" s="338" t="s">
        <v>134</v>
      </c>
      <c r="O2" s="339" t="s">
        <v>134</v>
      </c>
      <c r="P2" s="339" t="s">
        <v>134</v>
      </c>
      <c r="Q2" s="340" t="s">
        <v>134</v>
      </c>
      <c r="R2" s="340" t="s">
        <v>134</v>
      </c>
      <c r="S2" s="338"/>
      <c r="T2" s="338" t="s">
        <v>351</v>
      </c>
    </row>
    <row r="3" spans="1:20">
      <c r="A3" s="336" t="s">
        <v>59</v>
      </c>
      <c r="B3" s="337"/>
      <c r="C3" s="337"/>
      <c r="D3" s="337"/>
      <c r="E3" s="337"/>
      <c r="F3" s="337"/>
      <c r="G3" s="337"/>
      <c r="H3" s="337"/>
      <c r="I3" s="337"/>
      <c r="J3" s="338" t="s">
        <v>60</v>
      </c>
      <c r="K3" s="338" t="s">
        <v>60</v>
      </c>
      <c r="L3" s="338" t="s">
        <v>60</v>
      </c>
      <c r="M3" s="338" t="s">
        <v>60</v>
      </c>
      <c r="N3" s="338" t="s">
        <v>60</v>
      </c>
      <c r="O3" s="339" t="s">
        <v>60</v>
      </c>
      <c r="P3" s="339" t="s">
        <v>60</v>
      </c>
      <c r="Q3" s="340" t="s">
        <v>60</v>
      </c>
      <c r="R3" s="340" t="s">
        <v>60</v>
      </c>
      <c r="S3" s="338"/>
      <c r="T3" s="338" t="s">
        <v>60</v>
      </c>
    </row>
    <row r="4" spans="1:20">
      <c r="A4" s="341" t="s">
        <v>144</v>
      </c>
      <c r="B4" s="342"/>
      <c r="C4" s="342"/>
      <c r="D4" s="342"/>
      <c r="E4" s="343"/>
      <c r="F4" s="343"/>
      <c r="G4" s="343"/>
      <c r="H4" s="343"/>
      <c r="I4" s="343"/>
      <c r="J4" s="344"/>
      <c r="K4" s="344"/>
      <c r="L4" s="344"/>
      <c r="M4" s="344"/>
      <c r="N4" s="344"/>
      <c r="O4" s="344"/>
      <c r="S4" s="344"/>
      <c r="T4" s="344"/>
    </row>
    <row r="5" spans="1:20">
      <c r="A5" s="336" t="s">
        <v>574</v>
      </c>
      <c r="J5" s="345">
        <v>6689997.5300000003</v>
      </c>
      <c r="K5" s="345">
        <v>96536398.620000005</v>
      </c>
      <c r="L5" s="345">
        <v>482427137.63999999</v>
      </c>
      <c r="M5" s="345">
        <v>367655123.30000001</v>
      </c>
      <c r="N5" s="345">
        <v>496553532.12</v>
      </c>
      <c r="O5" s="346">
        <v>482316000.81999999</v>
      </c>
      <c r="P5" s="346">
        <v>857896199.71000004</v>
      </c>
      <c r="Q5" s="346">
        <v>1795607903.7</v>
      </c>
      <c r="R5" s="346">
        <v>6932109329.3900003</v>
      </c>
      <c r="S5" s="345"/>
      <c r="T5" s="345">
        <v>285723708.47000003</v>
      </c>
    </row>
    <row r="6" spans="1:20">
      <c r="A6" s="336" t="s">
        <v>575</v>
      </c>
      <c r="J6" s="344"/>
      <c r="K6" s="344"/>
      <c r="L6" s="344"/>
      <c r="M6" s="345">
        <v>13984048.92</v>
      </c>
      <c r="N6" s="345">
        <v>28261871.780000001</v>
      </c>
      <c r="O6" s="346">
        <v>45240301.200000003</v>
      </c>
      <c r="P6" s="346">
        <v>16881821</v>
      </c>
      <c r="Q6" s="346">
        <v>237502</v>
      </c>
      <c r="R6" s="346">
        <v>0</v>
      </c>
      <c r="S6" s="345"/>
      <c r="T6" s="345">
        <v>11596268.970000001</v>
      </c>
    </row>
    <row r="7" spans="1:20">
      <c r="A7" s="336" t="s">
        <v>576</v>
      </c>
      <c r="J7" s="345">
        <v>42391705.340000004</v>
      </c>
      <c r="K7" s="345">
        <v>109768203.63</v>
      </c>
      <c r="L7" s="345">
        <v>156361257.63</v>
      </c>
      <c r="M7" s="345">
        <v>536816672.20999998</v>
      </c>
      <c r="N7" s="345">
        <v>277205501.92000002</v>
      </c>
      <c r="O7" s="346">
        <v>107564004.44</v>
      </c>
      <c r="P7" s="346">
        <v>170289955.61000001</v>
      </c>
      <c r="Q7" s="346">
        <v>506867101.5</v>
      </c>
      <c r="R7" s="346">
        <v>83421231.829999998</v>
      </c>
      <c r="S7" s="345"/>
      <c r="T7" s="345">
        <v>213927574.13999999</v>
      </c>
    </row>
    <row r="8" spans="1:20">
      <c r="A8" s="341" t="s">
        <v>577</v>
      </c>
      <c r="J8" s="345">
        <v>49081702.869999997</v>
      </c>
      <c r="K8" s="345">
        <v>206304602.25</v>
      </c>
      <c r="L8" s="345">
        <v>638788395.26999998</v>
      </c>
      <c r="M8" s="345">
        <v>918455844.42999995</v>
      </c>
      <c r="N8" s="345">
        <v>802020905.82000005</v>
      </c>
      <c r="O8" s="346">
        <v>635120306.46000004</v>
      </c>
      <c r="P8" s="346">
        <v>1045067976.3200001</v>
      </c>
      <c r="Q8" s="346">
        <v>2302712507.1999998</v>
      </c>
      <c r="R8" s="346">
        <v>7015530561.2200003</v>
      </c>
      <c r="S8" s="345"/>
      <c r="T8" s="345">
        <v>511247551.57999998</v>
      </c>
    </row>
    <row r="9" spans="1:20">
      <c r="A9" s="336" t="s">
        <v>578</v>
      </c>
      <c r="J9" s="345">
        <v>316764.69</v>
      </c>
      <c r="K9" s="345">
        <v>9486230.7300000004</v>
      </c>
      <c r="L9" s="345">
        <v>184682399.88</v>
      </c>
      <c r="M9" s="345">
        <v>242885459.34</v>
      </c>
      <c r="N9" s="345">
        <v>545428857.13999999</v>
      </c>
      <c r="O9" s="346">
        <v>722503766.20000005</v>
      </c>
      <c r="P9" s="346">
        <v>430765598.55000001</v>
      </c>
      <c r="Q9" s="346">
        <v>3086136618.1999998</v>
      </c>
      <c r="R9" s="346">
        <v>6431288298.0600004</v>
      </c>
      <c r="S9" s="345"/>
      <c r="T9" s="345">
        <v>373314371.11000001</v>
      </c>
    </row>
    <row r="10" spans="1:20">
      <c r="A10" s="336" t="s">
        <v>579</v>
      </c>
      <c r="J10" s="345">
        <v>15127091.140000001</v>
      </c>
      <c r="K10" s="345">
        <v>93006413.469999999</v>
      </c>
      <c r="L10" s="345">
        <v>298188212.94</v>
      </c>
      <c r="M10" s="345">
        <v>498932450.23000002</v>
      </c>
      <c r="N10" s="345">
        <v>820777729.74000001</v>
      </c>
      <c r="O10" s="346">
        <v>1026742908.88</v>
      </c>
      <c r="P10" s="346">
        <v>930858516.10000002</v>
      </c>
      <c r="Q10" s="346">
        <v>706778454.10000002</v>
      </c>
      <c r="R10" s="346">
        <v>733379367.19000006</v>
      </c>
      <c r="S10" s="345"/>
      <c r="T10" s="345">
        <v>632442515.70000005</v>
      </c>
    </row>
    <row r="11" spans="1:20">
      <c r="A11" s="336" t="s">
        <v>580</v>
      </c>
      <c r="J11" s="345">
        <v>560846.42000000004</v>
      </c>
      <c r="K11" s="345">
        <v>7012283.29</v>
      </c>
      <c r="L11" s="345">
        <v>7875204</v>
      </c>
      <c r="M11" s="345">
        <v>17195322.949999999</v>
      </c>
      <c r="N11" s="345">
        <v>6562350.2400000002</v>
      </c>
      <c r="O11" s="346">
        <v>25634281.879999999</v>
      </c>
      <c r="P11" s="346">
        <v>93469859.540000007</v>
      </c>
      <c r="Q11" s="346">
        <v>7280476.2000000002</v>
      </c>
      <c r="R11" s="346">
        <v>204380914.11000001</v>
      </c>
      <c r="S11" s="345"/>
      <c r="T11" s="345">
        <v>4779296.43</v>
      </c>
    </row>
    <row r="12" spans="1:20">
      <c r="A12" s="336" t="s">
        <v>581</v>
      </c>
      <c r="J12" s="345">
        <v>56601308.43</v>
      </c>
      <c r="K12" s="345">
        <v>152290149.24000001</v>
      </c>
      <c r="L12" s="345">
        <v>349838618.60000002</v>
      </c>
      <c r="M12" s="345">
        <v>291590599.81999999</v>
      </c>
      <c r="N12" s="345">
        <v>302392168.63999999</v>
      </c>
      <c r="O12" s="346">
        <v>190100439.53999999</v>
      </c>
      <c r="P12" s="346">
        <v>185509025.13999999</v>
      </c>
      <c r="Q12" s="346">
        <v>120477195.7</v>
      </c>
      <c r="R12" s="346">
        <v>144880118.87</v>
      </c>
      <c r="S12" s="345"/>
      <c r="T12" s="345">
        <v>152814018.72999999</v>
      </c>
    </row>
    <row r="13" spans="1:20">
      <c r="A13" s="341" t="s">
        <v>582</v>
      </c>
      <c r="J13" s="345">
        <v>72606010.680000007</v>
      </c>
      <c r="K13" s="345">
        <v>261795076.74000001</v>
      </c>
      <c r="L13" s="345">
        <v>840584435.41999996</v>
      </c>
      <c r="M13" s="345">
        <v>1050603832.34</v>
      </c>
      <c r="N13" s="345">
        <v>1675161105.76</v>
      </c>
      <c r="O13" s="346">
        <v>1964981396.5</v>
      </c>
      <c r="P13" s="346">
        <v>1640602999.3299999</v>
      </c>
      <c r="Q13" s="346">
        <v>3920672744.0999999</v>
      </c>
      <c r="R13" s="346">
        <v>7513928698.2299995</v>
      </c>
      <c r="S13" s="345"/>
      <c r="T13" s="345">
        <v>1163350201.97</v>
      </c>
    </row>
    <row r="14" spans="1:20">
      <c r="A14" s="341" t="s">
        <v>583</v>
      </c>
      <c r="J14" s="345">
        <v>-23524307.809999999</v>
      </c>
      <c r="K14" s="345">
        <v>-55490474.490000002</v>
      </c>
      <c r="L14" s="345">
        <v>-201796040.15000001</v>
      </c>
      <c r="M14" s="345">
        <v>-132147987.91</v>
      </c>
      <c r="N14" s="345">
        <v>-873140199.94000006</v>
      </c>
      <c r="O14" s="346">
        <v>-1329861090.04</v>
      </c>
      <c r="P14" s="346">
        <v>-595535023.00999999</v>
      </c>
      <c r="Q14" s="346">
        <v>-1617960236.9000001</v>
      </c>
      <c r="R14" s="346">
        <v>-498398137.00999999</v>
      </c>
      <c r="S14" s="345"/>
      <c r="T14" s="345">
        <v>-652102650.38999999</v>
      </c>
    </row>
    <row r="15" spans="1:20">
      <c r="A15" s="341" t="s">
        <v>143</v>
      </c>
      <c r="J15" s="344"/>
      <c r="K15" s="344"/>
      <c r="L15" s="344"/>
      <c r="M15" s="344"/>
      <c r="N15" s="344"/>
      <c r="O15" s="344"/>
      <c r="Q15" s="346">
        <v>0</v>
      </c>
      <c r="R15" s="346">
        <v>0</v>
      </c>
      <c r="S15" s="344"/>
      <c r="T15" s="344"/>
    </row>
    <row r="16" spans="1:20">
      <c r="A16" s="336" t="s">
        <v>584</v>
      </c>
      <c r="J16" s="345">
        <v>90000000</v>
      </c>
      <c r="K16" s="345">
        <v>4190000000</v>
      </c>
      <c r="L16" s="345">
        <v>9215000000</v>
      </c>
      <c r="M16" s="345">
        <v>17239000000</v>
      </c>
      <c r="N16" s="345">
        <v>17400000000</v>
      </c>
      <c r="O16" s="346">
        <v>13204000000</v>
      </c>
      <c r="P16" s="346">
        <v>7965000000</v>
      </c>
      <c r="Q16" s="346">
        <v>7495000000</v>
      </c>
      <c r="R16" s="346">
        <v>8919510000</v>
      </c>
      <c r="S16" s="345"/>
      <c r="T16" s="345">
        <v>14045000000</v>
      </c>
    </row>
    <row r="17" spans="1:20">
      <c r="A17" s="336" t="s">
        <v>585</v>
      </c>
      <c r="J17" s="345">
        <v>974940.26</v>
      </c>
      <c r="K17" s="345">
        <v>57150170.859999999</v>
      </c>
      <c r="L17" s="345">
        <v>100403879.09</v>
      </c>
      <c r="M17" s="345">
        <v>140094377.71000001</v>
      </c>
      <c r="N17" s="345">
        <v>90710323.950000003</v>
      </c>
      <c r="O17" s="346">
        <v>70039578.909999996</v>
      </c>
      <c r="P17" s="346">
        <v>79843717</v>
      </c>
      <c r="Q17" s="346">
        <v>38832492</v>
      </c>
      <c r="R17" s="346">
        <v>26704211.469999999</v>
      </c>
      <c r="S17" s="345"/>
      <c r="T17" s="345">
        <v>74326061.099999994</v>
      </c>
    </row>
    <row r="18" spans="1:20">
      <c r="A18" s="336" t="s">
        <v>586</v>
      </c>
      <c r="J18" s="344"/>
      <c r="K18" s="345">
        <v>3595.86</v>
      </c>
      <c r="L18" s="344"/>
      <c r="M18" s="344"/>
      <c r="N18" s="345"/>
      <c r="O18" s="345"/>
      <c r="Q18" s="346">
        <v>268070</v>
      </c>
      <c r="R18" s="346">
        <v>121110</v>
      </c>
      <c r="S18" s="344"/>
      <c r="T18" s="344"/>
    </row>
    <row r="19" spans="1:20">
      <c r="A19" s="336" t="s">
        <v>587</v>
      </c>
      <c r="J19" s="344"/>
      <c r="K19" s="344"/>
      <c r="L19" s="344"/>
      <c r="M19" s="344"/>
      <c r="N19" s="345"/>
      <c r="O19" s="345"/>
      <c r="Q19" s="346">
        <v>1501000</v>
      </c>
      <c r="R19" s="346">
        <v>0</v>
      </c>
      <c r="S19" s="344"/>
      <c r="T19" s="344"/>
    </row>
    <row r="20" spans="1:20">
      <c r="A20" s="336" t="s">
        <v>588</v>
      </c>
      <c r="J20" s="344"/>
      <c r="K20" s="345">
        <v>1289613.5900000001</v>
      </c>
      <c r="L20" s="345">
        <v>71089.61</v>
      </c>
      <c r="M20" s="344"/>
      <c r="N20" s="345">
        <v>1267994444.45</v>
      </c>
      <c r="O20" s="346">
        <v>100000000</v>
      </c>
      <c r="P20" s="346">
        <v>600000000</v>
      </c>
      <c r="Q20" s="346">
        <v>70000000</v>
      </c>
      <c r="R20" s="346">
        <v>64736252.450000003</v>
      </c>
      <c r="S20" s="344"/>
      <c r="T20" s="345">
        <v>1267994444.45</v>
      </c>
    </row>
    <row r="21" spans="1:20">
      <c r="A21" s="341" t="s">
        <v>589</v>
      </c>
      <c r="J21" s="345">
        <v>90974940.260000005</v>
      </c>
      <c r="K21" s="345">
        <v>4248443380.3099999</v>
      </c>
      <c r="L21" s="345">
        <v>9315474968.7000008</v>
      </c>
      <c r="M21" s="345">
        <v>17379094377.709999</v>
      </c>
      <c r="N21" s="345">
        <v>18758704768.400002</v>
      </c>
      <c r="O21" s="346">
        <v>13374039578.91</v>
      </c>
      <c r="P21" s="346">
        <v>8645021555.3400002</v>
      </c>
      <c r="Q21" s="346">
        <v>7605601562</v>
      </c>
      <c r="R21" s="346">
        <v>9011071573.9200001</v>
      </c>
      <c r="S21" s="345"/>
      <c r="T21" s="345">
        <v>15387320505.549999</v>
      </c>
    </row>
    <row r="22" spans="1:20">
      <c r="A22" s="336" t="s">
        <v>590</v>
      </c>
      <c r="J22" s="345">
        <v>20644931.309999999</v>
      </c>
      <c r="K22" s="345">
        <v>74855491.689999998</v>
      </c>
      <c r="L22" s="345">
        <v>156213969.49000001</v>
      </c>
      <c r="M22" s="345">
        <v>259580159.65000001</v>
      </c>
      <c r="N22" s="345">
        <v>504999664.81999999</v>
      </c>
      <c r="O22" s="346">
        <v>284140356.79000002</v>
      </c>
      <c r="P22" s="346">
        <v>100382463.25</v>
      </c>
      <c r="Q22" s="346">
        <v>366049335.19999999</v>
      </c>
      <c r="R22" s="346">
        <v>568697888.63</v>
      </c>
      <c r="S22" s="345"/>
      <c r="T22" s="345">
        <v>357246846.19999999</v>
      </c>
    </row>
    <row r="23" spans="1:20">
      <c r="A23" s="336" t="s">
        <v>591</v>
      </c>
      <c r="J23" s="345">
        <v>380000000</v>
      </c>
      <c r="K23" s="345">
        <v>5395000000</v>
      </c>
      <c r="L23" s="345">
        <v>11599000000</v>
      </c>
      <c r="M23" s="345">
        <v>14997351000</v>
      </c>
      <c r="N23" s="345">
        <v>18174438000</v>
      </c>
      <c r="O23" s="346">
        <v>11612761800</v>
      </c>
      <c r="P23" s="346">
        <v>8049980000</v>
      </c>
      <c r="Q23" s="346">
        <v>7586685750</v>
      </c>
      <c r="R23" s="346">
        <v>12882680000</v>
      </c>
      <c r="S23" s="345"/>
      <c r="T23" s="345">
        <v>14149000000</v>
      </c>
    </row>
    <row r="24" spans="1:20">
      <c r="A24" s="336" t="s">
        <v>592</v>
      </c>
      <c r="J24" s="344"/>
      <c r="K24" s="344"/>
      <c r="L24" s="344"/>
      <c r="M24" s="344"/>
      <c r="N24" s="344"/>
      <c r="O24" s="344"/>
      <c r="Q24" s="346">
        <v>0</v>
      </c>
      <c r="R24" s="346">
        <v>0</v>
      </c>
      <c r="S24" s="344"/>
      <c r="T24" s="344"/>
    </row>
    <row r="25" spans="1:20">
      <c r="A25" s="336" t="s">
        <v>593</v>
      </c>
      <c r="J25" s="344"/>
      <c r="K25" s="344"/>
      <c r="L25" s="345">
        <v>28743926.920000002</v>
      </c>
      <c r="M25" s="345">
        <v>1250000000</v>
      </c>
      <c r="N25" s="345"/>
      <c r="O25" s="345"/>
      <c r="Q25" s="346">
        <v>64518435.600000001</v>
      </c>
      <c r="R25" s="346">
        <v>90000000</v>
      </c>
      <c r="S25" s="345"/>
      <c r="T25" s="344"/>
    </row>
    <row r="26" spans="1:20">
      <c r="A26" s="341" t="s">
        <v>594</v>
      </c>
      <c r="J26" s="345">
        <v>400644931.31</v>
      </c>
      <c r="K26" s="345">
        <v>5469855491.6899996</v>
      </c>
      <c r="L26" s="345">
        <v>11783957896.41</v>
      </c>
      <c r="M26" s="345">
        <v>16506931159.65</v>
      </c>
      <c r="N26" s="345">
        <v>18679437664.82</v>
      </c>
      <c r="O26" s="346">
        <v>12596902156.790001</v>
      </c>
      <c r="P26" s="346">
        <v>8220362463.25</v>
      </c>
      <c r="Q26" s="346">
        <v>8017253520.8000002</v>
      </c>
      <c r="R26" s="346">
        <v>13541377888.629999</v>
      </c>
      <c r="S26" s="345"/>
      <c r="T26" s="345">
        <v>14506246846.200001</v>
      </c>
    </row>
    <row r="27" spans="1:20">
      <c r="A27" s="341" t="s">
        <v>595</v>
      </c>
      <c r="J27" s="345">
        <v>-309669991.05000001</v>
      </c>
      <c r="K27" s="345">
        <v>-1221412111.3800001</v>
      </c>
      <c r="L27" s="345">
        <v>-2468482927.71</v>
      </c>
      <c r="M27" s="345">
        <v>872163218.05999994</v>
      </c>
      <c r="N27" s="345">
        <v>79267103.579999998</v>
      </c>
      <c r="O27" s="346">
        <v>777137422.12</v>
      </c>
      <c r="P27" s="346">
        <v>424659092.08999997</v>
      </c>
      <c r="Q27" s="346">
        <v>-411651958.89999998</v>
      </c>
      <c r="R27" s="346">
        <v>-4530306314.71</v>
      </c>
      <c r="S27" s="345"/>
      <c r="T27" s="345">
        <v>881073659.35000002</v>
      </c>
    </row>
    <row r="28" spans="1:20">
      <c r="A28" s="341" t="s">
        <v>142</v>
      </c>
      <c r="J28" s="344"/>
      <c r="K28" s="344"/>
      <c r="L28" s="344"/>
      <c r="M28" s="344"/>
      <c r="N28" s="345"/>
      <c r="O28" s="345"/>
      <c r="Q28" s="346">
        <v>0</v>
      </c>
      <c r="R28" s="346">
        <v>0</v>
      </c>
      <c r="S28" s="344"/>
      <c r="T28" s="344"/>
    </row>
    <row r="29" spans="1:20">
      <c r="A29" s="336" t="s">
        <v>596</v>
      </c>
      <c r="J29" s="345">
        <v>495937526.25</v>
      </c>
      <c r="K29" s="345">
        <v>2405074781.2399998</v>
      </c>
      <c r="L29" s="345">
        <v>1699953608.25</v>
      </c>
      <c r="M29" s="345">
        <v>2533159000</v>
      </c>
      <c r="N29" s="345">
        <v>170400000</v>
      </c>
      <c r="O29" s="346">
        <v>221152250</v>
      </c>
      <c r="P29" s="346">
        <v>1803506021.2</v>
      </c>
      <c r="Q29" s="346">
        <v>56049630</v>
      </c>
      <c r="R29" s="346">
        <v>4137067713.2199998</v>
      </c>
      <c r="S29" s="345"/>
      <c r="T29" s="345">
        <v>65400000</v>
      </c>
    </row>
    <row r="30" spans="1:20">
      <c r="A30" s="336" t="s">
        <v>597</v>
      </c>
      <c r="J30" s="344"/>
      <c r="K30" s="344"/>
      <c r="L30" s="345">
        <v>1500000</v>
      </c>
      <c r="M30" s="344"/>
      <c r="N30" s="345">
        <v>170400000</v>
      </c>
      <c r="O30" s="346">
        <v>174700000</v>
      </c>
      <c r="P30" s="346">
        <v>24500000</v>
      </c>
      <c r="Q30" s="346">
        <v>0</v>
      </c>
      <c r="R30" s="346">
        <v>0</v>
      </c>
      <c r="S30" s="344"/>
      <c r="T30" s="345">
        <v>65400000</v>
      </c>
    </row>
    <row r="31" spans="1:20">
      <c r="A31" s="336" t="s">
        <v>598</v>
      </c>
      <c r="J31" s="344"/>
      <c r="K31" s="344"/>
      <c r="L31" s="344"/>
      <c r="M31" s="344"/>
      <c r="N31" s="345"/>
      <c r="O31" s="345"/>
      <c r="Q31" s="346">
        <v>100000000</v>
      </c>
      <c r="R31" s="346">
        <v>295491091.63</v>
      </c>
      <c r="S31" s="344"/>
      <c r="T31" s="344"/>
    </row>
    <row r="32" spans="1:20">
      <c r="A32" s="336" t="s">
        <v>599</v>
      </c>
      <c r="J32" s="344"/>
      <c r="K32" s="344"/>
      <c r="L32" s="344"/>
      <c r="M32" s="344"/>
      <c r="N32" s="345"/>
      <c r="O32" s="345"/>
      <c r="Q32" s="346">
        <v>2920000</v>
      </c>
      <c r="R32" s="346">
        <v>0</v>
      </c>
      <c r="S32" s="344"/>
      <c r="T32" s="344"/>
    </row>
    <row r="33" spans="1:20">
      <c r="A33" s="336" t="s">
        <v>600</v>
      </c>
      <c r="J33" s="344"/>
      <c r="K33" s="344"/>
      <c r="L33" s="344"/>
      <c r="M33" s="344"/>
      <c r="N33" s="345"/>
      <c r="O33" s="345"/>
      <c r="Q33" s="346">
        <v>0</v>
      </c>
      <c r="R33" s="346">
        <v>0</v>
      </c>
      <c r="S33" s="344"/>
      <c r="T33" s="344"/>
    </row>
    <row r="34" spans="1:20">
      <c r="A34" s="341" t="s">
        <v>601</v>
      </c>
      <c r="J34" s="345">
        <v>495937526.25</v>
      </c>
      <c r="K34" s="345">
        <v>2405074781.2399998</v>
      </c>
      <c r="L34" s="345">
        <v>1699953608.25</v>
      </c>
      <c r="M34" s="345">
        <v>2533159000</v>
      </c>
      <c r="N34" s="345">
        <v>170400000</v>
      </c>
      <c r="O34" s="346">
        <v>221152250</v>
      </c>
      <c r="P34" s="346">
        <v>1803506021.2</v>
      </c>
      <c r="Q34" s="346">
        <v>158969630</v>
      </c>
      <c r="R34" s="346">
        <v>4432558804.8500004</v>
      </c>
      <c r="S34" s="345"/>
      <c r="T34" s="345">
        <v>65400000</v>
      </c>
    </row>
    <row r="35" spans="1:20">
      <c r="A35" s="336" t="s">
        <v>602</v>
      </c>
      <c r="J35" s="344"/>
      <c r="K35" s="344"/>
      <c r="L35" s="344"/>
      <c r="M35" s="344"/>
      <c r="N35" s="345"/>
      <c r="O35" s="345"/>
      <c r="Q35" s="346">
        <v>0</v>
      </c>
      <c r="R35" s="346">
        <v>395491091.63</v>
      </c>
      <c r="S35" s="344"/>
      <c r="T35" s="345">
        <v>51544819.450000003</v>
      </c>
    </row>
    <row r="36" spans="1:20">
      <c r="A36" s="336" t="s">
        <v>603</v>
      </c>
      <c r="J36" s="344"/>
      <c r="K36" s="344"/>
      <c r="L36" s="344"/>
      <c r="M36" s="344"/>
      <c r="N36" s="345"/>
      <c r="O36" s="345"/>
      <c r="Q36" s="346">
        <v>82795.899999999994</v>
      </c>
      <c r="R36" s="346">
        <v>4116823.28</v>
      </c>
      <c r="S36" s="344"/>
      <c r="T36" s="345">
        <v>2767647.9</v>
      </c>
    </row>
    <row r="37" spans="1:20">
      <c r="A37" s="336" t="s">
        <v>604</v>
      </c>
      <c r="J37" s="344"/>
      <c r="K37" s="344"/>
      <c r="L37" s="344"/>
      <c r="M37" s="344"/>
      <c r="N37" s="345"/>
      <c r="O37" s="345"/>
      <c r="Q37" s="346">
        <v>0</v>
      </c>
      <c r="R37" s="346">
        <v>0</v>
      </c>
      <c r="S37" s="344"/>
      <c r="T37" s="344"/>
    </row>
    <row r="38" spans="1:20">
      <c r="A38" s="336" t="s">
        <v>605</v>
      </c>
      <c r="J38" s="344"/>
      <c r="K38" s="344"/>
      <c r="L38" s="344"/>
      <c r="M38" s="345">
        <v>40510574.369999997</v>
      </c>
      <c r="N38" s="345">
        <v>71403468.400000006</v>
      </c>
      <c r="O38" s="346">
        <v>122551398.29000001</v>
      </c>
      <c r="P38" s="346">
        <v>146606326.53999999</v>
      </c>
      <c r="Q38" s="346">
        <v>110996071.2</v>
      </c>
      <c r="R38" s="346">
        <v>46986918.57</v>
      </c>
      <c r="S38" s="345"/>
      <c r="T38" s="344"/>
    </row>
    <row r="39" spans="1:20">
      <c r="A39" s="341" t="s">
        <v>606</v>
      </c>
      <c r="J39" s="344"/>
      <c r="K39" s="344"/>
      <c r="L39" s="344"/>
      <c r="M39" s="345">
        <v>40510574.369999997</v>
      </c>
      <c r="N39" s="345">
        <v>71403468.400000006</v>
      </c>
      <c r="O39" s="346">
        <v>122551398.29000001</v>
      </c>
      <c r="P39" s="346">
        <v>146606326.53999999</v>
      </c>
      <c r="Q39" s="346">
        <v>111078867.09999999</v>
      </c>
      <c r="R39" s="346">
        <v>446594833.48000002</v>
      </c>
      <c r="S39" s="345"/>
      <c r="T39" s="345">
        <v>54312467.350000001</v>
      </c>
    </row>
    <row r="40" spans="1:20">
      <c r="A40" s="341" t="s">
        <v>607</v>
      </c>
      <c r="J40" s="345">
        <v>495937526.25</v>
      </c>
      <c r="K40" s="345">
        <v>2405074781.2399998</v>
      </c>
      <c r="L40" s="345">
        <v>1699953608.25</v>
      </c>
      <c r="M40" s="345">
        <v>2492648425.6300001</v>
      </c>
      <c r="N40" s="345">
        <v>98996531.599999994</v>
      </c>
      <c r="O40" s="346">
        <v>98600851.709999993</v>
      </c>
      <c r="P40" s="346">
        <v>1656899694.6600001</v>
      </c>
      <c r="Q40" s="346">
        <v>47890762.899999999</v>
      </c>
      <c r="R40" s="346">
        <v>3985963971.3699999</v>
      </c>
      <c r="S40" s="345"/>
      <c r="T40" s="345">
        <v>11087532.65</v>
      </c>
    </row>
    <row r="41" spans="1:20">
      <c r="A41" s="341" t="s">
        <v>58</v>
      </c>
      <c r="J41" s="344"/>
      <c r="K41" s="345">
        <v>-993513.75</v>
      </c>
      <c r="L41" s="345">
        <v>-740847.66</v>
      </c>
      <c r="M41" s="345">
        <v>-31925.54</v>
      </c>
      <c r="N41" s="345">
        <v>-218000.46</v>
      </c>
      <c r="O41" s="346">
        <v>586676.61</v>
      </c>
      <c r="P41" s="346">
        <v>376938.95</v>
      </c>
      <c r="Q41" s="346">
        <v>-15145</v>
      </c>
      <c r="R41" s="346">
        <v>-44373.5</v>
      </c>
      <c r="S41" s="345"/>
      <c r="T41" s="345">
        <v>-60335.839999999997</v>
      </c>
    </row>
    <row r="42" spans="1:20">
      <c r="A42" s="341" t="s">
        <v>141</v>
      </c>
      <c r="J42" s="345">
        <v>162743227.38999999</v>
      </c>
      <c r="K42" s="345">
        <v>1127178681.6199999</v>
      </c>
      <c r="L42" s="345">
        <v>-971066207.26999998</v>
      </c>
      <c r="M42" s="345">
        <v>3232631730.2399998</v>
      </c>
      <c r="N42" s="345">
        <v>-695094565.22000003</v>
      </c>
      <c r="O42" s="346">
        <v>-453536139.60000002</v>
      </c>
      <c r="P42" s="346">
        <v>1486400702.6900001</v>
      </c>
      <c r="Q42" s="346">
        <v>-1981736577.8</v>
      </c>
      <c r="R42" s="346">
        <v>-1042784853.85</v>
      </c>
      <c r="S42" s="345"/>
      <c r="T42" s="345">
        <v>239998205.77000001</v>
      </c>
    </row>
    <row r="43" spans="1:20">
      <c r="A43" s="336" t="s">
        <v>608</v>
      </c>
      <c r="J43" s="345">
        <v>64452978.689999998</v>
      </c>
      <c r="K43" s="345">
        <v>227196206.08000001</v>
      </c>
      <c r="L43" s="345">
        <v>1354374887.7</v>
      </c>
      <c r="M43" s="345">
        <v>383308680.43000001</v>
      </c>
      <c r="N43" s="345">
        <v>3615940410.6700001</v>
      </c>
      <c r="O43" s="346">
        <v>2920845845.4499998</v>
      </c>
      <c r="P43" s="346">
        <v>2467309705.8499999</v>
      </c>
      <c r="Q43" s="346">
        <v>3953710408.5</v>
      </c>
      <c r="R43" s="346">
        <v>1971973830.6900001</v>
      </c>
      <c r="S43" s="345"/>
      <c r="T43" s="345">
        <v>3615940410.6700001</v>
      </c>
    </row>
    <row r="44" spans="1:20">
      <c r="A44" s="336" t="s">
        <v>609</v>
      </c>
      <c r="J44" s="345">
        <v>227196206.08000001</v>
      </c>
      <c r="K44" s="345">
        <v>1354374887.7</v>
      </c>
      <c r="L44" s="345">
        <v>383308680.43000001</v>
      </c>
      <c r="M44" s="345">
        <v>3615940410.6700001</v>
      </c>
      <c r="N44" s="345">
        <v>2920845845.4499998</v>
      </c>
      <c r="O44" s="346">
        <v>2467309705.8499999</v>
      </c>
      <c r="P44" s="346">
        <v>3953710408.54</v>
      </c>
      <c r="Q44" s="346">
        <v>1971973830.7</v>
      </c>
      <c r="R44" s="346">
        <v>929188976.84000003</v>
      </c>
      <c r="S44" s="345"/>
      <c r="T44" s="345">
        <v>3855938616.4400001</v>
      </c>
    </row>
    <row r="45" spans="1:20">
      <c r="A45" s="336" t="s">
        <v>269</v>
      </c>
      <c r="B45" s="347"/>
      <c r="C45" s="347"/>
      <c r="D45" s="347"/>
      <c r="E45" s="347"/>
      <c r="F45" s="347"/>
      <c r="G45" s="347"/>
      <c r="H45" s="347"/>
      <c r="I45" s="347"/>
      <c r="J45" s="345"/>
      <c r="K45" s="345"/>
      <c r="L45" s="345"/>
      <c r="M45" s="345"/>
      <c r="N45" s="345"/>
      <c r="O45" s="345"/>
      <c r="Q45" s="346" t="e">
        <v>#N/A</v>
      </c>
      <c r="R45" s="346" t="e">
        <v>#N/A</v>
      </c>
      <c r="S45" s="345"/>
      <c r="T45" s="345"/>
    </row>
    <row r="46" spans="1:20">
      <c r="B46" s="348"/>
      <c r="C46" s="348"/>
      <c r="J46" s="345"/>
      <c r="K46" s="345"/>
      <c r="L46" s="345"/>
      <c r="M46" s="345"/>
      <c r="N46" s="345"/>
      <c r="O46" s="345"/>
      <c r="Q46" s="346" t="e">
        <v>#N/A</v>
      </c>
      <c r="R46" s="346" t="e">
        <v>#N/A</v>
      </c>
      <c r="S46" s="345"/>
      <c r="T46" s="345"/>
    </row>
    <row r="47" spans="1:20">
      <c r="A47" s="341" t="s">
        <v>64</v>
      </c>
      <c r="B47" s="348"/>
      <c r="C47" s="348"/>
      <c r="J47" s="344"/>
      <c r="K47" s="344"/>
      <c r="L47" s="344"/>
      <c r="M47" s="344"/>
      <c r="N47" s="344"/>
      <c r="O47" s="344"/>
      <c r="Q47" s="346">
        <v>0</v>
      </c>
      <c r="R47" s="346">
        <v>0</v>
      </c>
      <c r="S47" s="344"/>
      <c r="T47" s="344"/>
    </row>
    <row r="48" spans="1:20">
      <c r="A48" s="336" t="s">
        <v>98</v>
      </c>
      <c r="J48" s="345">
        <v>-380700413.24000001</v>
      </c>
      <c r="K48" s="345">
        <v>-41046507.369999997</v>
      </c>
      <c r="L48" s="345">
        <v>-1179125331.4300001</v>
      </c>
      <c r="M48" s="345">
        <v>-434509331.16000003</v>
      </c>
      <c r="N48" s="345">
        <v>-829814477.42999995</v>
      </c>
      <c r="O48" s="346">
        <v>-1325006841.1700001</v>
      </c>
      <c r="P48" s="346">
        <v>-878077444.21000004</v>
      </c>
      <c r="Q48" s="346">
        <v>-456926652.69999999</v>
      </c>
      <c r="R48" s="346">
        <v>2058487389.3599999</v>
      </c>
      <c r="S48" s="345"/>
      <c r="T48" s="344"/>
    </row>
    <row r="49" spans="1:20">
      <c r="A49" s="336" t="s">
        <v>610</v>
      </c>
      <c r="J49" s="344"/>
      <c r="K49" s="344"/>
      <c r="L49" s="345">
        <v>2504477.21</v>
      </c>
      <c r="M49" s="345">
        <v>8647670.3200000003</v>
      </c>
      <c r="N49" s="345">
        <v>8889772.2599999998</v>
      </c>
      <c r="O49" s="346">
        <v>313645901.77999997</v>
      </c>
      <c r="P49" s="346">
        <v>272018755.30000001</v>
      </c>
      <c r="Q49" s="346">
        <v>52917608</v>
      </c>
      <c r="R49" s="346">
        <v>141560027.91</v>
      </c>
      <c r="S49" s="345"/>
      <c r="T49" s="344"/>
    </row>
    <row r="50" spans="1:20">
      <c r="A50" s="336" t="s">
        <v>611</v>
      </c>
      <c r="J50" s="345">
        <v>405239.1</v>
      </c>
      <c r="K50" s="345">
        <v>6645008.9699999997</v>
      </c>
      <c r="L50" s="345">
        <v>22608142.82</v>
      </c>
      <c r="M50" s="345">
        <v>41780225.57</v>
      </c>
      <c r="N50" s="345">
        <v>64768556.289999999</v>
      </c>
      <c r="O50" s="346">
        <v>101216784.15000001</v>
      </c>
      <c r="P50" s="346">
        <v>97858862.859999999</v>
      </c>
      <c r="Q50" s="346">
        <v>87578971.799999997</v>
      </c>
      <c r="R50" s="346">
        <v>116709841.23999999</v>
      </c>
      <c r="S50" s="345"/>
      <c r="T50" s="344"/>
    </row>
    <row r="51" spans="1:20">
      <c r="A51" s="336" t="s">
        <v>612</v>
      </c>
      <c r="J51" s="345">
        <v>80367.789999999994</v>
      </c>
      <c r="K51" s="345">
        <v>9158394.0299999993</v>
      </c>
      <c r="L51" s="345">
        <v>27564983.460000001</v>
      </c>
      <c r="M51" s="345">
        <v>79290233.060000002</v>
      </c>
      <c r="N51" s="345">
        <v>125001489.06</v>
      </c>
      <c r="O51" s="346">
        <v>183839200.25</v>
      </c>
      <c r="P51" s="346">
        <v>152184843.28999999</v>
      </c>
      <c r="Q51" s="346">
        <v>83415742.700000003</v>
      </c>
      <c r="R51" s="346">
        <v>128041095.94</v>
      </c>
      <c r="S51" s="345"/>
      <c r="T51" s="344"/>
    </row>
    <row r="52" spans="1:20">
      <c r="A52" s="336" t="s">
        <v>613</v>
      </c>
      <c r="J52" s="345">
        <v>37103.14</v>
      </c>
      <c r="K52" s="345">
        <v>1197659.33</v>
      </c>
      <c r="L52" s="345">
        <v>3281703.48</v>
      </c>
      <c r="M52" s="345">
        <v>6394482.7699999996</v>
      </c>
      <c r="N52" s="345">
        <v>9040636.9800000004</v>
      </c>
      <c r="O52" s="346">
        <v>11422970.93</v>
      </c>
      <c r="P52" s="346">
        <v>14367891.93</v>
      </c>
      <c r="Q52" s="346">
        <v>6648473.4000000004</v>
      </c>
      <c r="R52" s="346">
        <v>17514868.23</v>
      </c>
      <c r="S52" s="345"/>
      <c r="T52" s="344"/>
    </row>
    <row r="53" spans="1:20">
      <c r="A53" s="336" t="s">
        <v>614</v>
      </c>
      <c r="J53" s="344"/>
      <c r="K53" s="345">
        <v>28796.720000000001</v>
      </c>
      <c r="L53" s="344"/>
      <c r="M53" s="344"/>
      <c r="N53" s="344"/>
      <c r="O53" s="344"/>
      <c r="Q53" s="346">
        <v>-1279368.3999999999</v>
      </c>
      <c r="R53" s="346">
        <v>-10956.01</v>
      </c>
      <c r="S53" s="344"/>
      <c r="T53" s="344"/>
    </row>
    <row r="54" spans="1:20">
      <c r="A54" s="336" t="s">
        <v>615</v>
      </c>
      <c r="J54" s="344"/>
      <c r="K54" s="345">
        <v>-948.28</v>
      </c>
      <c r="L54" s="345">
        <v>2078.54</v>
      </c>
      <c r="M54" s="344"/>
      <c r="N54" s="345"/>
      <c r="O54" s="345"/>
      <c r="Q54" s="346">
        <v>0</v>
      </c>
      <c r="R54" s="346">
        <v>0</v>
      </c>
      <c r="S54" s="344"/>
      <c r="T54" s="344"/>
    </row>
    <row r="55" spans="1:20">
      <c r="A55" s="336" t="s">
        <v>616</v>
      </c>
      <c r="J55" s="345">
        <v>-913737.4</v>
      </c>
      <c r="K55" s="345">
        <v>913737.4</v>
      </c>
      <c r="L55" s="344"/>
      <c r="M55" s="344"/>
      <c r="N55" s="345"/>
      <c r="O55" s="345"/>
      <c r="Q55" s="346">
        <v>82708.7</v>
      </c>
      <c r="R55" s="346">
        <v>-4965736.53</v>
      </c>
      <c r="S55" s="344"/>
      <c r="T55" s="344"/>
    </row>
    <row r="56" spans="1:20">
      <c r="A56" s="336" t="s">
        <v>548</v>
      </c>
      <c r="J56" s="344"/>
      <c r="K56" s="345">
        <v>993513.75</v>
      </c>
      <c r="L56" s="345">
        <v>740847.66</v>
      </c>
      <c r="M56" s="345">
        <v>-9548355.3399999999</v>
      </c>
      <c r="N56" s="345">
        <v>3402646.44</v>
      </c>
      <c r="O56" s="346">
        <v>4022428.34</v>
      </c>
      <c r="P56" s="339">
        <v>3412585.48</v>
      </c>
      <c r="Q56" s="346">
        <v>1156889.8</v>
      </c>
      <c r="R56" s="346">
        <v>1870088.37</v>
      </c>
      <c r="S56" s="345"/>
      <c r="T56" s="344"/>
    </row>
    <row r="57" spans="1:20">
      <c r="A57" s="336" t="s">
        <v>617</v>
      </c>
      <c r="J57" s="345">
        <v>-2992160.45</v>
      </c>
      <c r="K57" s="345">
        <v>-62381326.899999999</v>
      </c>
      <c r="L57" s="345">
        <v>-103975338.16</v>
      </c>
      <c r="M57" s="345">
        <v>-118437631.09</v>
      </c>
      <c r="N57" s="345">
        <v>-90102977.420000002</v>
      </c>
      <c r="O57" s="346">
        <v>-91394863.859999999</v>
      </c>
      <c r="P57" s="339">
        <v>-74249012.069999993</v>
      </c>
      <c r="Q57" s="346">
        <v>-22678328.899999999</v>
      </c>
      <c r="R57" s="346">
        <v>-8887062.3800000008</v>
      </c>
      <c r="S57" s="345"/>
      <c r="T57" s="344"/>
    </row>
    <row r="58" spans="1:20">
      <c r="A58" s="336" t="s">
        <v>618</v>
      </c>
      <c r="J58" s="344"/>
      <c r="K58" s="344"/>
      <c r="L58" s="344"/>
      <c r="M58" s="344"/>
      <c r="N58" s="345">
        <v>-3115.56</v>
      </c>
      <c r="O58" s="346">
        <v>-58960.66</v>
      </c>
      <c r="P58" s="339">
        <v>171772.24</v>
      </c>
      <c r="Q58" s="346">
        <v>251412.4</v>
      </c>
      <c r="R58" s="346">
        <v>-332717.56</v>
      </c>
      <c r="S58" s="344"/>
      <c r="T58" s="344"/>
    </row>
    <row r="59" spans="1:20">
      <c r="A59" s="336" t="s">
        <v>619</v>
      </c>
      <c r="J59" s="344"/>
      <c r="K59" s="344"/>
      <c r="L59" s="344"/>
      <c r="M59" s="344"/>
      <c r="N59" s="345"/>
      <c r="O59" s="345"/>
      <c r="Q59" s="346">
        <v>-100743.6</v>
      </c>
      <c r="R59" s="346">
        <v>-123692.74</v>
      </c>
      <c r="S59" s="344"/>
      <c r="T59" s="344"/>
    </row>
    <row r="60" spans="1:20">
      <c r="A60" s="336" t="s">
        <v>620</v>
      </c>
      <c r="J60" s="345">
        <v>-49401.71</v>
      </c>
      <c r="K60" s="345">
        <v>-5099115.09</v>
      </c>
      <c r="L60" s="345">
        <v>-48246478.82</v>
      </c>
      <c r="M60" s="345">
        <v>-48044040.82</v>
      </c>
      <c r="N60" s="345">
        <v>-218170158.87</v>
      </c>
      <c r="O60" s="346">
        <v>-182216732.61000001</v>
      </c>
      <c r="P60" s="339">
        <v>154544954.66</v>
      </c>
      <c r="Q60" s="346">
        <v>-1699347096.8</v>
      </c>
      <c r="R60" s="346">
        <v>-3303343837.9099998</v>
      </c>
      <c r="S60" s="345"/>
      <c r="T60" s="344"/>
    </row>
    <row r="61" spans="1:20">
      <c r="A61" s="336" t="s">
        <v>621</v>
      </c>
      <c r="J61" s="345">
        <v>-45450019.079999998</v>
      </c>
      <c r="K61" s="345">
        <v>-44393070.090000004</v>
      </c>
      <c r="L61" s="345">
        <v>-29409651.370000001</v>
      </c>
      <c r="M61" s="345">
        <v>-162406476.47</v>
      </c>
      <c r="N61" s="345">
        <v>-316693158.38</v>
      </c>
      <c r="O61" s="346">
        <v>-326405183.48000002</v>
      </c>
      <c r="P61" s="339">
        <v>-266838618.84</v>
      </c>
      <c r="Q61" s="346">
        <v>-281971502.39999998</v>
      </c>
      <c r="R61" s="346">
        <v>-325758109</v>
      </c>
      <c r="S61" s="345"/>
      <c r="T61" s="344"/>
    </row>
    <row r="62" spans="1:20">
      <c r="A62" s="336" t="s">
        <v>622</v>
      </c>
      <c r="J62" s="345">
        <v>42072973.350000001</v>
      </c>
      <c r="K62" s="345">
        <v>78318581.430000007</v>
      </c>
      <c r="L62" s="345">
        <v>158464146.78999999</v>
      </c>
      <c r="M62" s="345">
        <v>487781652.63</v>
      </c>
      <c r="N62" s="345">
        <v>72403291.530000001</v>
      </c>
      <c r="O62" s="346">
        <v>-200696375.81</v>
      </c>
      <c r="P62" s="339">
        <v>-78027365.519999996</v>
      </c>
      <c r="Q62" s="346">
        <v>538594639.20000005</v>
      </c>
      <c r="R62" s="346">
        <v>371513911.77999997</v>
      </c>
      <c r="S62" s="345"/>
      <c r="T62" s="344"/>
    </row>
    <row r="63" spans="1:20">
      <c r="A63" s="336" t="s">
        <v>623</v>
      </c>
      <c r="J63" s="345">
        <v>363985740.69</v>
      </c>
      <c r="K63" s="345">
        <v>174801.61</v>
      </c>
      <c r="L63" s="345">
        <v>943794379.66999996</v>
      </c>
      <c r="M63" s="345">
        <v>11858138.77</v>
      </c>
      <c r="N63" s="345">
        <v>209886053.28999999</v>
      </c>
      <c r="O63" s="346">
        <v>111075516.56999999</v>
      </c>
      <c r="P63" s="339">
        <v>-58731290.380000003</v>
      </c>
      <c r="Q63" s="346">
        <v>179220374</v>
      </c>
      <c r="R63" s="346">
        <v>238725509.11000001</v>
      </c>
      <c r="S63" s="345"/>
      <c r="T63" s="344"/>
    </row>
    <row r="64" spans="1:20">
      <c r="A64" s="336" t="s">
        <v>624</v>
      </c>
      <c r="J64" s="345">
        <v>-23524307.809999999</v>
      </c>
      <c r="K64" s="345">
        <v>-55490474.490000002</v>
      </c>
      <c r="L64" s="345">
        <v>-201796040.15000001</v>
      </c>
      <c r="M64" s="345">
        <v>-132147987.91</v>
      </c>
      <c r="N64" s="345">
        <v>-873140199.94000006</v>
      </c>
      <c r="O64" s="346">
        <v>-1329861090.04</v>
      </c>
      <c r="P64" s="339">
        <v>-595535023.00999999</v>
      </c>
      <c r="Q64" s="346">
        <v>-1617960236.9000001</v>
      </c>
      <c r="R64" s="346">
        <v>-498398137.00999999</v>
      </c>
      <c r="S64" s="345"/>
      <c r="T64" s="344"/>
    </row>
    <row r="65" spans="1:20">
      <c r="A65" s="336" t="s">
        <v>625</v>
      </c>
      <c r="J65" s="345">
        <v>227196206.08000001</v>
      </c>
      <c r="K65" s="345">
        <v>1354374887.7</v>
      </c>
      <c r="L65" s="345">
        <v>383308680.43000001</v>
      </c>
      <c r="M65" s="345">
        <v>3615940410.6700001</v>
      </c>
      <c r="N65" s="345">
        <v>2920845845.4499998</v>
      </c>
      <c r="O65" s="346">
        <v>2467309705.8499999</v>
      </c>
      <c r="P65" s="339">
        <v>3953710408.54</v>
      </c>
      <c r="Q65" s="346">
        <v>1971973830.7</v>
      </c>
      <c r="R65" s="346">
        <v>929188976.84000003</v>
      </c>
      <c r="S65" s="345"/>
      <c r="T65" s="344"/>
    </row>
    <row r="66" spans="1:20">
      <c r="A66" s="336" t="s">
        <v>626</v>
      </c>
      <c r="J66" s="345">
        <v>64452978.689999998</v>
      </c>
      <c r="K66" s="345">
        <v>227196206.08000001</v>
      </c>
      <c r="L66" s="345">
        <v>1354374887.7</v>
      </c>
      <c r="M66" s="345">
        <v>383308680.43000001</v>
      </c>
      <c r="N66" s="345">
        <v>3615940410.6700001</v>
      </c>
      <c r="O66" s="346">
        <v>2920845845.4499998</v>
      </c>
      <c r="P66" s="339">
        <v>2467309705.8499999</v>
      </c>
      <c r="Q66" s="346">
        <v>3953710408.5</v>
      </c>
      <c r="R66" s="346">
        <v>1971973830.6900001</v>
      </c>
      <c r="S66" s="345"/>
      <c r="T66" s="344"/>
    </row>
    <row r="67" spans="1:20">
      <c r="A67" s="336" t="s">
        <v>627</v>
      </c>
      <c r="J67" s="345">
        <v>162743227.38999999</v>
      </c>
      <c r="K67" s="345">
        <v>1127178681.6199999</v>
      </c>
      <c r="L67" s="345">
        <v>-971066207.26999998</v>
      </c>
      <c r="M67" s="345">
        <v>3232631730.2399998</v>
      </c>
      <c r="N67" s="345">
        <v>-695094565.22000003</v>
      </c>
      <c r="O67" s="346">
        <v>-453536139.60000002</v>
      </c>
      <c r="P67" s="339">
        <v>1486400702.6900001</v>
      </c>
      <c r="Q67" s="346">
        <v>-1981736577.8</v>
      </c>
      <c r="R67" s="346">
        <v>-1042784853.85</v>
      </c>
      <c r="S67" s="345"/>
      <c r="T67" s="344"/>
    </row>
    <row r="68" spans="1:20">
      <c r="A68" s="336" t="s">
        <v>91</v>
      </c>
      <c r="J68" s="338" t="s">
        <v>26</v>
      </c>
      <c r="K68" s="338" t="s">
        <v>26</v>
      </c>
      <c r="L68" s="338" t="s">
        <v>26</v>
      </c>
      <c r="M68" s="338" t="s">
        <v>26</v>
      </c>
      <c r="N68" s="338" t="s">
        <v>26</v>
      </c>
      <c r="O68" s="338"/>
      <c r="P68" s="339" t="s">
        <v>26</v>
      </c>
      <c r="Q68" s="346" t="s">
        <v>26</v>
      </c>
      <c r="R68" s="346" t="s">
        <v>26</v>
      </c>
      <c r="S68" s="338"/>
      <c r="T68" s="338" t="s">
        <v>26</v>
      </c>
    </row>
    <row r="69" spans="1:20">
      <c r="A69" s="336" t="s">
        <v>90</v>
      </c>
      <c r="J69" s="338" t="s">
        <v>26</v>
      </c>
      <c r="K69" s="338" t="s">
        <v>26</v>
      </c>
      <c r="L69" s="338" t="s">
        <v>26</v>
      </c>
      <c r="M69" s="338" t="s">
        <v>26</v>
      </c>
      <c r="N69" s="338" t="s">
        <v>26</v>
      </c>
      <c r="O69" s="338"/>
      <c r="P69" s="346" t="s">
        <v>26</v>
      </c>
      <c r="Q69" s="346" t="s">
        <v>26</v>
      </c>
      <c r="R69" s="346" t="s">
        <v>26</v>
      </c>
      <c r="S69" s="338"/>
      <c r="T69" s="338" t="s">
        <v>26</v>
      </c>
    </row>
    <row r="70" spans="1:20">
      <c r="A70" s="336" t="s">
        <v>89</v>
      </c>
      <c r="J70" s="338" t="s">
        <v>365</v>
      </c>
      <c r="K70" s="338" t="s">
        <v>365</v>
      </c>
      <c r="L70" s="338" t="s">
        <v>365</v>
      </c>
      <c r="M70" s="338" t="s">
        <v>365</v>
      </c>
      <c r="N70" s="338">
        <v>1</v>
      </c>
      <c r="O70" s="338"/>
      <c r="P70" s="339">
        <v>1</v>
      </c>
      <c r="Q70" s="346">
        <v>1</v>
      </c>
      <c r="R70" s="346">
        <v>1</v>
      </c>
      <c r="S70" s="338"/>
      <c r="T70" s="338" t="s">
        <v>365</v>
      </c>
    </row>
    <row r="71" spans="1:20">
      <c r="A71" s="336" t="s">
        <v>88</v>
      </c>
      <c r="J71" s="338" t="s">
        <v>158</v>
      </c>
      <c r="K71" s="338" t="s">
        <v>158</v>
      </c>
      <c r="L71" s="338" t="s">
        <v>158</v>
      </c>
      <c r="M71" s="338" t="s">
        <v>158</v>
      </c>
      <c r="N71" s="338" t="s">
        <v>158</v>
      </c>
      <c r="O71" s="338"/>
      <c r="P71" s="339" t="s">
        <v>158</v>
      </c>
      <c r="Q71" s="346" t="s">
        <v>158</v>
      </c>
      <c r="R71" s="346" t="s">
        <v>158</v>
      </c>
      <c r="S71" s="338"/>
      <c r="T71" s="338" t="s">
        <v>158</v>
      </c>
    </row>
    <row r="73" spans="1:20">
      <c r="B73" s="348"/>
      <c r="C73" s="348"/>
    </row>
    <row r="74" spans="1:20">
      <c r="B74" s="337"/>
      <c r="C74" s="337"/>
      <c r="D74" s="337"/>
      <c r="E74" s="337"/>
      <c r="F74" s="337"/>
      <c r="G74" s="337"/>
      <c r="H74" s="337"/>
      <c r="I74" s="337"/>
      <c r="J74" s="337"/>
      <c r="K74" s="337"/>
      <c r="L74" s="337"/>
      <c r="P74" s="339" t="s">
        <v>490</v>
      </c>
    </row>
    <row r="75" spans="1:20">
      <c r="A75" s="336" t="s">
        <v>120</v>
      </c>
      <c r="B75" s="337"/>
      <c r="C75" s="337"/>
      <c r="D75" s="337"/>
      <c r="E75" s="337"/>
      <c r="F75" s="337"/>
      <c r="G75" s="337"/>
      <c r="H75" s="337"/>
      <c r="I75" s="337"/>
      <c r="J75" s="337"/>
      <c r="K75" s="337"/>
      <c r="L75" s="337"/>
      <c r="P75" s="339" t="s">
        <v>134</v>
      </c>
    </row>
    <row r="76" spans="1:20">
      <c r="A76" s="336" t="s">
        <v>59</v>
      </c>
      <c r="B76" s="337"/>
      <c r="C76" s="337"/>
      <c r="D76" s="337"/>
      <c r="E76" s="337"/>
      <c r="F76" s="337"/>
      <c r="G76" s="337"/>
      <c r="H76" s="337"/>
      <c r="I76" s="337"/>
      <c r="J76" s="337"/>
      <c r="K76" s="337"/>
      <c r="L76" s="337"/>
      <c r="P76" s="339" t="s">
        <v>60</v>
      </c>
    </row>
    <row r="77" spans="1:20">
      <c r="A77" s="341" t="s">
        <v>61</v>
      </c>
      <c r="B77" s="342"/>
      <c r="C77" s="342"/>
      <c r="D77" s="342"/>
      <c r="E77" s="342"/>
      <c r="F77" s="342"/>
      <c r="G77" s="342"/>
      <c r="H77" s="342"/>
      <c r="I77" s="342"/>
      <c r="J77" s="342"/>
      <c r="K77" s="342"/>
      <c r="L77" s="342"/>
      <c r="S77" s="339"/>
    </row>
    <row r="78" spans="1:20">
      <c r="A78" s="336" t="s">
        <v>628</v>
      </c>
      <c r="B78" s="348"/>
      <c r="C78" s="348"/>
      <c r="D78" s="348"/>
      <c r="E78" s="348"/>
      <c r="J78" s="345">
        <v>232196206.08000001</v>
      </c>
      <c r="K78" s="345">
        <v>1354374887.7</v>
      </c>
      <c r="L78" s="345">
        <v>383308680.43000001</v>
      </c>
      <c r="M78" s="345">
        <v>4875288355.8800001</v>
      </c>
      <c r="N78" s="345">
        <v>2920845845.4499998</v>
      </c>
      <c r="O78" s="346">
        <v>2467309705.8499999</v>
      </c>
      <c r="P78" s="339">
        <v>3953710408.54</v>
      </c>
      <c r="Q78" s="339">
        <v>1986492266.3</v>
      </c>
      <c r="R78" s="339">
        <v>1317358976.8399999</v>
      </c>
      <c r="S78" s="346"/>
      <c r="T78" s="345">
        <v>3855938616.4400001</v>
      </c>
    </row>
    <row r="79" spans="1:20">
      <c r="A79" s="336" t="s">
        <v>629</v>
      </c>
      <c r="B79" s="348"/>
      <c r="C79" s="348"/>
      <c r="D79" s="348"/>
      <c r="E79" s="348"/>
      <c r="J79" s="345">
        <v>50913737.399999999</v>
      </c>
      <c r="K79" s="344"/>
      <c r="L79" s="344"/>
      <c r="M79" s="344"/>
      <c r="N79" s="344"/>
      <c r="O79" s="344"/>
      <c r="Q79" s="339">
        <v>760184802.29999995</v>
      </c>
      <c r="R79" s="339">
        <v>4261150538.8099999</v>
      </c>
      <c r="S79" s="339"/>
      <c r="T79" s="344"/>
    </row>
    <row r="80" spans="1:20">
      <c r="A80" s="336" t="s">
        <v>630</v>
      </c>
      <c r="B80" s="348"/>
      <c r="C80" s="348"/>
      <c r="D80" s="348"/>
      <c r="E80" s="348"/>
      <c r="J80" s="345">
        <v>4410913.0199999996</v>
      </c>
      <c r="K80" s="345">
        <v>32644376.600000001</v>
      </c>
      <c r="L80" s="345">
        <v>64608654.82</v>
      </c>
      <c r="M80" s="345">
        <v>207646239.34999999</v>
      </c>
      <c r="N80" s="345">
        <v>478035101.67000002</v>
      </c>
      <c r="O80" s="346">
        <v>765635475.88999999</v>
      </c>
      <c r="P80" s="339">
        <v>643921052.59000003</v>
      </c>
      <c r="Q80" s="339">
        <v>314049018.39999998</v>
      </c>
      <c r="R80" s="339">
        <v>670643223.26999998</v>
      </c>
      <c r="S80" s="339"/>
      <c r="T80" s="345">
        <v>163486739.34</v>
      </c>
    </row>
    <row r="81" spans="1:20">
      <c r="A81" s="336" t="s">
        <v>631</v>
      </c>
      <c r="B81" s="348"/>
      <c r="C81" s="348"/>
      <c r="D81" s="348"/>
      <c r="E81" s="348"/>
      <c r="J81" s="344"/>
      <c r="K81" s="344"/>
      <c r="L81" s="344"/>
      <c r="M81" s="344"/>
      <c r="N81" s="344"/>
      <c r="O81" s="346">
        <v>26600</v>
      </c>
      <c r="Q81" s="339">
        <v>9450413.0999999996</v>
      </c>
      <c r="R81" s="339">
        <v>0</v>
      </c>
      <c r="S81" s="346"/>
      <c r="T81" s="344"/>
    </row>
    <row r="82" spans="1:20">
      <c r="A82" s="336" t="s">
        <v>632</v>
      </c>
      <c r="B82" s="348"/>
      <c r="C82" s="348"/>
      <c r="D82" s="348"/>
      <c r="E82" s="348"/>
      <c r="J82" s="345">
        <v>4410913.0199999996</v>
      </c>
      <c r="K82" s="345">
        <v>32644376.600000001</v>
      </c>
      <c r="L82" s="345">
        <v>64608654.82</v>
      </c>
      <c r="M82" s="345">
        <v>207646239.34999999</v>
      </c>
      <c r="N82" s="345">
        <v>478035101.67000002</v>
      </c>
      <c r="O82" s="346">
        <v>765608875.88999999</v>
      </c>
      <c r="P82" s="339">
        <v>643921052.59000003</v>
      </c>
      <c r="Q82" s="339">
        <v>304598605.30000001</v>
      </c>
      <c r="R82" s="339">
        <v>670643223.26999998</v>
      </c>
      <c r="S82" s="339"/>
      <c r="T82" s="345">
        <v>163486739.34</v>
      </c>
    </row>
    <row r="83" spans="1:20">
      <c r="A83" s="336" t="s">
        <v>633</v>
      </c>
      <c r="B83" s="348"/>
      <c r="C83" s="348"/>
      <c r="D83" s="348"/>
      <c r="E83" s="348"/>
      <c r="J83" s="345">
        <v>36396324.810000002</v>
      </c>
      <c r="K83" s="345">
        <v>22994504.420000002</v>
      </c>
      <c r="L83" s="345">
        <v>10891633.82</v>
      </c>
      <c r="M83" s="345">
        <v>8595258.8499999996</v>
      </c>
      <c r="N83" s="345">
        <v>85215545.219999999</v>
      </c>
      <c r="O83" s="346">
        <v>8275334.4199999999</v>
      </c>
      <c r="P83" s="339">
        <v>147897255.53</v>
      </c>
      <c r="Q83" s="339">
        <v>774376692.79999995</v>
      </c>
      <c r="R83" s="339">
        <v>744539708.47000003</v>
      </c>
      <c r="S83" s="346"/>
      <c r="T83" s="345">
        <v>44395897.840000004</v>
      </c>
    </row>
    <row r="84" spans="1:20">
      <c r="A84" s="336" t="s">
        <v>634</v>
      </c>
      <c r="B84" s="348"/>
      <c r="C84" s="348"/>
      <c r="D84" s="348"/>
      <c r="E84" s="348"/>
      <c r="J84" s="345">
        <v>4611656.91</v>
      </c>
      <c r="K84" s="345">
        <v>18555264.879999999</v>
      </c>
      <c r="L84" s="345">
        <v>12655254.189999999</v>
      </c>
      <c r="M84" s="345">
        <v>18576907.120000001</v>
      </c>
      <c r="N84" s="345">
        <v>30160675.66</v>
      </c>
      <c r="O84" s="346">
        <v>30158932.18</v>
      </c>
      <c r="P84" s="339">
        <v>26144955.890000001</v>
      </c>
      <c r="Q84" s="339">
        <v>19253117.5</v>
      </c>
      <c r="R84" s="339">
        <v>16149512.869999999</v>
      </c>
      <c r="S84" s="339"/>
      <c r="T84" s="345">
        <v>28595154.859999999</v>
      </c>
    </row>
    <row r="85" spans="1:20">
      <c r="A85" s="336" t="s">
        <v>635</v>
      </c>
      <c r="B85" s="348"/>
      <c r="C85" s="348"/>
      <c r="D85" s="348"/>
      <c r="E85" s="348"/>
      <c r="J85" s="344"/>
      <c r="K85" s="344"/>
      <c r="L85" s="344"/>
      <c r="M85" s="344"/>
      <c r="N85" s="345"/>
      <c r="O85" s="345"/>
      <c r="Q85" s="339">
        <v>0</v>
      </c>
      <c r="R85" s="339">
        <v>0</v>
      </c>
      <c r="S85" s="346"/>
      <c r="T85" s="344"/>
    </row>
    <row r="86" spans="1:20">
      <c r="A86" s="336" t="s">
        <v>636</v>
      </c>
      <c r="B86" s="348"/>
      <c r="C86" s="348"/>
      <c r="D86" s="348"/>
      <c r="E86" s="348"/>
      <c r="J86" s="344"/>
      <c r="K86" s="344"/>
      <c r="L86" s="344"/>
      <c r="M86" s="345">
        <v>18576907.120000001</v>
      </c>
      <c r="N86" s="345">
        <v>30160675.66</v>
      </c>
      <c r="O86" s="346">
        <v>30158932.18</v>
      </c>
      <c r="P86" s="339">
        <v>26144955.890000001</v>
      </c>
      <c r="Q86" s="339">
        <v>19253117.5</v>
      </c>
      <c r="R86" s="339">
        <v>16149512.869999999</v>
      </c>
      <c r="S86" s="346"/>
      <c r="T86" s="344"/>
    </row>
    <row r="87" spans="1:20">
      <c r="A87" s="336" t="s">
        <v>637</v>
      </c>
      <c r="B87" s="348"/>
      <c r="C87" s="348"/>
      <c r="D87" s="348"/>
      <c r="E87" s="348"/>
      <c r="J87" s="345">
        <v>49401.71</v>
      </c>
      <c r="K87" s="345">
        <v>5148516.8</v>
      </c>
      <c r="L87" s="345">
        <v>51065453.409999996</v>
      </c>
      <c r="M87" s="345">
        <v>90618443.540000007</v>
      </c>
      <c r="N87" s="345">
        <v>287029793.25</v>
      </c>
      <c r="O87" s="346">
        <v>287121493.50999999</v>
      </c>
      <c r="P87" s="339">
        <v>99401068.159999996</v>
      </c>
      <c r="Q87" s="339">
        <v>1773974363.8</v>
      </c>
      <c r="R87" s="339">
        <v>4943532510.2600002</v>
      </c>
      <c r="S87" s="339"/>
      <c r="T87" s="345">
        <v>220021253.02000001</v>
      </c>
    </row>
    <row r="88" spans="1:20">
      <c r="A88" s="336" t="s">
        <v>638</v>
      </c>
      <c r="B88" s="348"/>
      <c r="C88" s="348"/>
      <c r="D88" s="348"/>
      <c r="E88" s="348"/>
      <c r="J88" s="344"/>
      <c r="K88" s="344"/>
      <c r="L88" s="344"/>
      <c r="M88" s="344"/>
      <c r="N88" s="345"/>
      <c r="O88" s="345"/>
      <c r="Q88" s="339">
        <v>0</v>
      </c>
      <c r="R88" s="339">
        <v>0</v>
      </c>
      <c r="S88" s="339"/>
      <c r="T88" s="344"/>
    </row>
    <row r="89" spans="1:20">
      <c r="A89" s="336" t="s">
        <v>639</v>
      </c>
      <c r="B89" s="348"/>
      <c r="C89" s="348"/>
      <c r="D89" s="348"/>
      <c r="E89" s="348"/>
      <c r="J89" s="344"/>
      <c r="K89" s="344"/>
      <c r="L89" s="344"/>
      <c r="M89" s="344"/>
      <c r="N89" s="345"/>
      <c r="O89" s="345"/>
      <c r="Q89" s="339">
        <v>0</v>
      </c>
      <c r="R89" s="339">
        <v>0</v>
      </c>
      <c r="S89" s="346"/>
      <c r="T89" s="344"/>
    </row>
    <row r="90" spans="1:20">
      <c r="A90" s="336" t="s">
        <v>640</v>
      </c>
      <c r="B90" s="348"/>
      <c r="C90" s="348"/>
      <c r="D90" s="348"/>
      <c r="E90" s="348"/>
      <c r="J90" s="345">
        <v>240855814.52000001</v>
      </c>
      <c r="K90" s="345">
        <v>1520226481.9000001</v>
      </c>
      <c r="L90" s="345">
        <v>3928711454.1100001</v>
      </c>
      <c r="M90" s="345">
        <v>1673591926.6099999</v>
      </c>
      <c r="N90" s="345">
        <v>2333518370.9299998</v>
      </c>
      <c r="O90" s="346">
        <v>651089591.76999998</v>
      </c>
      <c r="P90" s="339">
        <v>36522479.310000002</v>
      </c>
      <c r="Q90" s="339">
        <v>152001243.40000001</v>
      </c>
      <c r="R90" s="339">
        <v>120868700.63</v>
      </c>
      <c r="S90" s="346"/>
      <c r="T90" s="345">
        <v>1791118519.45</v>
      </c>
    </row>
    <row r="91" spans="1:20">
      <c r="A91" s="341" t="s">
        <v>641</v>
      </c>
      <c r="B91" s="348"/>
      <c r="C91" s="348"/>
      <c r="D91" s="348"/>
      <c r="E91" s="348"/>
      <c r="J91" s="345">
        <v>569434054.45000005</v>
      </c>
      <c r="K91" s="345">
        <v>2953944032.3000002</v>
      </c>
      <c r="L91" s="345">
        <v>4451241130.7799997</v>
      </c>
      <c r="M91" s="345">
        <v>6877292904.1199999</v>
      </c>
      <c r="N91" s="345">
        <v>6170814692.3800001</v>
      </c>
      <c r="O91" s="346">
        <v>4255159512.8800001</v>
      </c>
      <c r="P91" s="339">
        <v>5647516868.1300001</v>
      </c>
      <c r="Q91" s="349">
        <v>5800316619.4399996</v>
      </c>
      <c r="R91" s="339">
        <v>12080444359.15</v>
      </c>
      <c r="S91" s="339"/>
      <c r="T91" s="345">
        <v>6106647969.1099997</v>
      </c>
    </row>
    <row r="92" spans="1:20">
      <c r="A92" s="341" t="s">
        <v>57</v>
      </c>
      <c r="B92" s="348"/>
      <c r="C92" s="348"/>
      <c r="D92" s="348"/>
      <c r="E92" s="348"/>
      <c r="J92" s="344"/>
      <c r="K92" s="344"/>
      <c r="L92" s="344"/>
      <c r="M92" s="344"/>
      <c r="N92" s="345"/>
      <c r="O92" s="345"/>
      <c r="Q92" s="339">
        <v>0</v>
      </c>
      <c r="R92" s="339">
        <v>0</v>
      </c>
      <c r="S92" s="346"/>
      <c r="T92" s="344"/>
    </row>
    <row r="93" spans="1:20">
      <c r="A93" s="336" t="s">
        <v>642</v>
      </c>
      <c r="B93" s="348"/>
      <c r="C93" s="348"/>
      <c r="D93" s="348"/>
      <c r="E93" s="348"/>
      <c r="J93" s="344"/>
      <c r="K93" s="344"/>
      <c r="L93" s="344"/>
      <c r="M93" s="344"/>
      <c r="N93" s="345"/>
      <c r="O93" s="345"/>
      <c r="Q93" s="339">
        <v>0</v>
      </c>
      <c r="R93" s="339">
        <v>0</v>
      </c>
      <c r="S93" s="346"/>
      <c r="T93" s="344"/>
    </row>
    <row r="94" spans="1:20">
      <c r="A94" s="336" t="s">
        <v>643</v>
      </c>
      <c r="B94" s="348"/>
      <c r="C94" s="348"/>
      <c r="D94" s="348"/>
      <c r="E94" s="348"/>
      <c r="J94" s="344"/>
      <c r="K94" s="344"/>
      <c r="L94" s="344"/>
      <c r="M94" s="344"/>
      <c r="N94" s="345"/>
      <c r="O94" s="345"/>
      <c r="Q94" s="339">
        <v>0</v>
      </c>
      <c r="R94" s="339">
        <v>0</v>
      </c>
      <c r="S94" s="339"/>
      <c r="T94" s="344"/>
    </row>
    <row r="95" spans="1:20">
      <c r="A95" s="336" t="s">
        <v>644</v>
      </c>
      <c r="B95" s="348"/>
      <c r="C95" s="348"/>
      <c r="D95" s="348"/>
      <c r="E95" s="348"/>
      <c r="J95" s="344"/>
      <c r="K95" s="344"/>
      <c r="L95" s="345">
        <v>1360309.18</v>
      </c>
      <c r="M95" s="345">
        <v>1340023.72</v>
      </c>
      <c r="N95" s="345">
        <v>130248342.31999999</v>
      </c>
      <c r="O95" s="346">
        <v>222219007.56999999</v>
      </c>
      <c r="P95" s="339">
        <v>229555215.15000001</v>
      </c>
      <c r="Q95" s="339">
        <v>246590588.19999999</v>
      </c>
      <c r="R95" s="339">
        <v>299703392.75</v>
      </c>
      <c r="S95" s="346"/>
      <c r="T95" s="345">
        <v>9881635.3699999992</v>
      </c>
    </row>
    <row r="96" spans="1:20">
      <c r="A96" s="336" t="s">
        <v>645</v>
      </c>
      <c r="B96" s="348"/>
      <c r="C96" s="348"/>
      <c r="D96" s="348"/>
      <c r="E96" s="348"/>
      <c r="J96" s="345">
        <v>7049837.5099999998</v>
      </c>
      <c r="K96" s="345">
        <v>40506434.759999998</v>
      </c>
      <c r="L96" s="345">
        <v>86047880.469999999</v>
      </c>
      <c r="M96" s="345">
        <v>135621241.06</v>
      </c>
      <c r="N96" s="345">
        <v>279932239.82999998</v>
      </c>
      <c r="O96" s="346">
        <v>233241063.5</v>
      </c>
      <c r="P96" s="339">
        <v>141783523.93000001</v>
      </c>
      <c r="Q96" s="339">
        <v>231425279.80000001</v>
      </c>
      <c r="R96" s="339">
        <v>372699560.12</v>
      </c>
      <c r="S96" s="346"/>
      <c r="T96" s="345">
        <v>180328902.69999999</v>
      </c>
    </row>
    <row r="97" spans="1:20">
      <c r="A97" s="336" t="s">
        <v>646</v>
      </c>
      <c r="B97" s="348"/>
      <c r="C97" s="348"/>
      <c r="D97" s="348"/>
      <c r="E97" s="348"/>
      <c r="J97" s="345">
        <v>7049837.5099999998</v>
      </c>
      <c r="K97" s="345">
        <v>40506434.759999998</v>
      </c>
      <c r="L97" s="345">
        <v>86047880.469999999</v>
      </c>
      <c r="M97" s="345">
        <v>135621241.06</v>
      </c>
      <c r="N97" s="345">
        <v>279932239.82999998</v>
      </c>
      <c r="O97" s="346">
        <v>233241063.5</v>
      </c>
      <c r="P97" s="339">
        <v>141783523.93000001</v>
      </c>
      <c r="Q97" s="339">
        <v>231425279.80000001</v>
      </c>
      <c r="R97" s="339">
        <v>372699560.12</v>
      </c>
      <c r="S97" s="339"/>
      <c r="T97" s="344"/>
    </row>
    <row r="98" spans="1:20">
      <c r="A98" s="336" t="s">
        <v>647</v>
      </c>
      <c r="B98" s="348"/>
      <c r="C98" s="348"/>
      <c r="D98" s="348"/>
      <c r="E98" s="348"/>
      <c r="J98" s="345">
        <v>4191299.65</v>
      </c>
      <c r="K98" s="345">
        <v>407006.89</v>
      </c>
      <c r="L98" s="344"/>
      <c r="M98" s="344"/>
      <c r="N98" s="345">
        <v>1058271.31</v>
      </c>
      <c r="O98" s="346">
        <v>26160557.739999998</v>
      </c>
      <c r="P98" s="339">
        <v>109163595.98999999</v>
      </c>
      <c r="Q98" s="339">
        <v>150227427.59999999</v>
      </c>
      <c r="R98" s="339">
        <v>163502554.78999999</v>
      </c>
      <c r="S98" s="339"/>
      <c r="T98" s="344"/>
    </row>
    <row r="99" spans="1:20">
      <c r="A99" s="336" t="s">
        <v>648</v>
      </c>
      <c r="B99" s="348"/>
      <c r="C99" s="348"/>
      <c r="D99" s="348"/>
      <c r="E99" s="348"/>
      <c r="J99" s="345">
        <v>4191299.65</v>
      </c>
      <c r="K99" s="345">
        <v>407006.89</v>
      </c>
      <c r="L99" s="344"/>
      <c r="M99" s="344"/>
      <c r="N99" s="345">
        <v>1058271.31</v>
      </c>
      <c r="O99" s="346">
        <v>26160557.739999998</v>
      </c>
      <c r="P99" s="339">
        <v>109163595.98999999</v>
      </c>
      <c r="Q99" s="339">
        <v>150227427.59999999</v>
      </c>
      <c r="R99" s="339">
        <v>163502554.78999999</v>
      </c>
      <c r="S99" s="339"/>
      <c r="T99" s="344"/>
    </row>
    <row r="100" spans="1:20">
      <c r="A100" s="336" t="s">
        <v>649</v>
      </c>
      <c r="B100" s="348"/>
      <c r="C100" s="348"/>
      <c r="D100" s="348"/>
      <c r="E100" s="348"/>
      <c r="J100" s="345">
        <v>3091811.98</v>
      </c>
      <c r="K100" s="345">
        <v>35445492.710000001</v>
      </c>
      <c r="L100" s="345">
        <v>119150110.53</v>
      </c>
      <c r="M100" s="345">
        <v>260878681.44999999</v>
      </c>
      <c r="N100" s="345">
        <v>261032950.28</v>
      </c>
      <c r="O100" s="346">
        <v>291145918.13999999</v>
      </c>
      <c r="P100" s="339">
        <v>149926691.69</v>
      </c>
      <c r="Q100" s="339">
        <v>182762964.90000001</v>
      </c>
      <c r="R100" s="339">
        <v>189114622.08000001</v>
      </c>
      <c r="S100" s="346"/>
      <c r="T100" s="345">
        <v>219413505.65000001</v>
      </c>
    </row>
    <row r="101" spans="1:20">
      <c r="A101" s="336" t="s">
        <v>650</v>
      </c>
      <c r="B101" s="348"/>
      <c r="C101" s="348"/>
      <c r="D101" s="348"/>
      <c r="E101" s="348"/>
      <c r="J101" s="344"/>
      <c r="K101" s="344"/>
      <c r="L101" s="344"/>
      <c r="M101" s="344"/>
      <c r="N101" s="345"/>
      <c r="O101" s="345"/>
      <c r="Q101" s="339">
        <v>0</v>
      </c>
      <c r="R101" s="339">
        <v>0</v>
      </c>
      <c r="S101" s="346"/>
      <c r="T101" s="344"/>
    </row>
    <row r="102" spans="1:20">
      <c r="A102" s="336" t="s">
        <v>651</v>
      </c>
      <c r="B102" s="348"/>
      <c r="C102" s="348"/>
      <c r="D102" s="348"/>
      <c r="E102" s="348"/>
      <c r="J102" s="344"/>
      <c r="K102" s="344"/>
      <c r="L102" s="344"/>
      <c r="M102" s="344"/>
      <c r="N102" s="345"/>
      <c r="O102" s="345"/>
      <c r="Q102" s="339">
        <v>0</v>
      </c>
      <c r="R102" s="339">
        <v>0</v>
      </c>
      <c r="S102" s="339"/>
      <c r="T102" s="344"/>
    </row>
    <row r="103" spans="1:20">
      <c r="A103" s="336" t="s">
        <v>652</v>
      </c>
      <c r="B103" s="348"/>
      <c r="C103" s="348"/>
      <c r="D103" s="348"/>
      <c r="E103" s="348"/>
      <c r="J103" s="345">
        <v>220706.02</v>
      </c>
      <c r="K103" s="345">
        <v>3985549.07</v>
      </c>
      <c r="L103" s="345">
        <v>6910010.4400000004</v>
      </c>
      <c r="M103" s="345">
        <v>9849517.3000000007</v>
      </c>
      <c r="N103" s="345">
        <v>12383291.1</v>
      </c>
      <c r="O103" s="346">
        <v>15764598.98</v>
      </c>
      <c r="P103" s="339">
        <v>5600222.5499999998</v>
      </c>
      <c r="Q103" s="339">
        <v>15023998.4</v>
      </c>
      <c r="R103" s="339">
        <v>28226149.109999999</v>
      </c>
      <c r="S103" s="339"/>
      <c r="T103" s="345">
        <v>13343318.630000001</v>
      </c>
    </row>
    <row r="104" spans="1:20">
      <c r="A104" s="336" t="s">
        <v>653</v>
      </c>
      <c r="B104" s="348"/>
      <c r="C104" s="348"/>
      <c r="D104" s="348"/>
      <c r="E104" s="348"/>
      <c r="J104" s="344"/>
      <c r="K104" s="344"/>
      <c r="L104" s="344"/>
      <c r="M104" s="344"/>
      <c r="N104" s="345">
        <v>3115.56</v>
      </c>
      <c r="O104" s="346">
        <v>62076.22</v>
      </c>
      <c r="P104" s="339">
        <v>292347.52000000002</v>
      </c>
      <c r="Q104" s="339">
        <v>40935.1</v>
      </c>
      <c r="R104" s="339">
        <v>373652.67</v>
      </c>
      <c r="S104" s="346"/>
      <c r="T104" s="344"/>
    </row>
    <row r="105" spans="1:20">
      <c r="A105" s="336" t="s">
        <v>654</v>
      </c>
      <c r="B105" s="348"/>
      <c r="C105" s="348"/>
      <c r="D105" s="348"/>
      <c r="E105" s="348"/>
      <c r="J105" s="345">
        <v>6196906.0999999996</v>
      </c>
      <c r="K105" s="345">
        <v>7163064.7400000002</v>
      </c>
      <c r="L105" s="345">
        <v>3762840.16</v>
      </c>
      <c r="M105" s="345">
        <v>17196304.010000002</v>
      </c>
      <c r="N105" s="345">
        <v>28934976.079999998</v>
      </c>
      <c r="O105" s="346">
        <v>6670740.5099999998</v>
      </c>
      <c r="P105" s="339">
        <v>12628716.16</v>
      </c>
      <c r="Q105" s="339">
        <v>15900672.5</v>
      </c>
      <c r="R105" s="339">
        <v>166741175.77000001</v>
      </c>
      <c r="S105" s="346"/>
      <c r="T105" s="345">
        <v>95593819.920000002</v>
      </c>
    </row>
    <row r="106" spans="1:20">
      <c r="A106" s="341" t="s">
        <v>655</v>
      </c>
      <c r="B106" s="348"/>
      <c r="C106" s="348"/>
      <c r="D106" s="348"/>
      <c r="E106" s="348"/>
      <c r="J106" s="345">
        <v>20750561.260000002</v>
      </c>
      <c r="K106" s="345">
        <v>87507548.170000002</v>
      </c>
      <c r="L106" s="345">
        <v>217231150.78</v>
      </c>
      <c r="M106" s="345">
        <v>432235767.54000002</v>
      </c>
      <c r="N106" s="345">
        <v>818331628.5</v>
      </c>
      <c r="O106" s="346">
        <v>1515260079.71</v>
      </c>
      <c r="P106" s="339">
        <v>770519254.20000005</v>
      </c>
      <c r="Q106" s="349">
        <v>917495890.25999999</v>
      </c>
      <c r="R106" s="339">
        <v>1357269706.76</v>
      </c>
      <c r="S106" s="346"/>
      <c r="T106" s="345">
        <v>625221984.92999995</v>
      </c>
    </row>
    <row r="107" spans="1:20">
      <c r="A107" s="341" t="s">
        <v>140</v>
      </c>
      <c r="B107" s="348"/>
      <c r="C107" s="350"/>
      <c r="D107" s="348"/>
      <c r="E107" s="348"/>
      <c r="J107" s="345">
        <v>590184615.71000004</v>
      </c>
      <c r="K107" s="345">
        <v>3041451580.4699998</v>
      </c>
      <c r="L107" s="345">
        <v>4668472281.5600004</v>
      </c>
      <c r="M107" s="345">
        <v>7309528671.6599998</v>
      </c>
      <c r="N107" s="345">
        <v>6989146320.8800001</v>
      </c>
      <c r="O107" s="346">
        <v>5770419592.5900002</v>
      </c>
      <c r="P107" s="339">
        <v>6418036122.3299999</v>
      </c>
      <c r="Q107" s="349">
        <v>6717812509.6999998</v>
      </c>
      <c r="R107" s="339">
        <v>13437714065.91</v>
      </c>
      <c r="S107" s="339"/>
      <c r="T107" s="345">
        <v>6731869954.04</v>
      </c>
    </row>
    <row r="108" spans="1:20">
      <c r="A108" s="341" t="s">
        <v>62</v>
      </c>
      <c r="B108" s="348"/>
      <c r="C108" s="348"/>
      <c r="D108" s="348"/>
      <c r="E108" s="348"/>
      <c r="J108" s="344"/>
      <c r="K108" s="344"/>
      <c r="L108" s="344"/>
      <c r="M108" s="344"/>
      <c r="N108" s="345"/>
      <c r="O108" s="345"/>
      <c r="Q108" s="339">
        <v>0</v>
      </c>
      <c r="R108" s="339">
        <v>0</v>
      </c>
      <c r="S108" s="339"/>
      <c r="T108" s="344"/>
    </row>
    <row r="109" spans="1:20">
      <c r="A109" s="336" t="s">
        <v>656</v>
      </c>
      <c r="B109" s="348"/>
      <c r="C109" s="348"/>
      <c r="D109" s="348"/>
      <c r="E109" s="348"/>
      <c r="J109" s="344"/>
      <c r="K109" s="344"/>
      <c r="L109" s="344"/>
      <c r="M109" s="344"/>
      <c r="N109" s="345"/>
      <c r="O109" s="345"/>
      <c r="Q109" s="339">
        <v>100094722.2</v>
      </c>
      <c r="R109" s="339">
        <v>0</v>
      </c>
      <c r="S109" s="346"/>
      <c r="T109" s="344"/>
    </row>
    <row r="110" spans="1:20">
      <c r="A110" s="336" t="s">
        <v>657</v>
      </c>
      <c r="B110" s="348"/>
      <c r="C110" s="348"/>
      <c r="D110" s="348"/>
      <c r="E110" s="348"/>
      <c r="J110" s="344"/>
      <c r="K110" s="344"/>
      <c r="L110" s="344"/>
      <c r="M110" s="344"/>
      <c r="N110" s="345"/>
      <c r="O110" s="345"/>
      <c r="Q110" s="339">
        <v>0</v>
      </c>
      <c r="R110" s="339">
        <v>0</v>
      </c>
      <c r="S110" s="339"/>
      <c r="T110" s="344"/>
    </row>
    <row r="111" spans="1:20">
      <c r="A111" s="336" t="s">
        <v>658</v>
      </c>
      <c r="B111" s="348"/>
      <c r="C111" s="348"/>
      <c r="D111" s="348"/>
      <c r="E111" s="348"/>
      <c r="J111" s="345">
        <v>881107.07</v>
      </c>
      <c r="K111" s="345">
        <v>22399487.289999999</v>
      </c>
      <c r="L111" s="345">
        <v>124913859.29000001</v>
      </c>
      <c r="M111" s="345">
        <v>238629978.30000001</v>
      </c>
      <c r="N111" s="345">
        <v>214674752.38999999</v>
      </c>
      <c r="O111" s="346">
        <v>230443182.66</v>
      </c>
      <c r="P111" s="339">
        <v>237229005.44</v>
      </c>
      <c r="Q111" s="339">
        <v>514643074.19999999</v>
      </c>
      <c r="R111" s="339">
        <v>1115930286.3399999</v>
      </c>
      <c r="S111" s="339"/>
      <c r="T111" s="345">
        <v>91956475.840000004</v>
      </c>
    </row>
    <row r="112" spans="1:20">
      <c r="A112" s="336" t="s">
        <v>659</v>
      </c>
      <c r="B112" s="348"/>
      <c r="C112" s="348"/>
      <c r="D112" s="348"/>
      <c r="E112" s="348"/>
      <c r="J112" s="344"/>
      <c r="K112" s="344"/>
      <c r="L112" s="344"/>
      <c r="M112" s="344"/>
      <c r="N112" s="345"/>
      <c r="O112" s="339"/>
      <c r="Q112" s="339">
        <v>0</v>
      </c>
      <c r="R112" s="339">
        <v>350921628.75999999</v>
      </c>
      <c r="S112" s="346"/>
      <c r="T112" s="344"/>
    </row>
    <row r="113" spans="1:20">
      <c r="A113" s="336" t="s">
        <v>660</v>
      </c>
      <c r="B113" s="348"/>
      <c r="C113" s="348"/>
      <c r="D113" s="348"/>
      <c r="E113" s="348"/>
      <c r="J113" s="345">
        <v>881107.07</v>
      </c>
      <c r="K113" s="345">
        <v>22399487.289999999</v>
      </c>
      <c r="L113" s="345">
        <v>124913859.29000001</v>
      </c>
      <c r="M113" s="345">
        <v>238629978.30000001</v>
      </c>
      <c r="N113" s="345">
        <v>214674752.38999999</v>
      </c>
      <c r="O113" s="346">
        <v>230443182.66</v>
      </c>
      <c r="P113" s="339">
        <v>237229005.44</v>
      </c>
      <c r="Q113" s="339">
        <v>514643074.19999999</v>
      </c>
      <c r="R113" s="339">
        <v>765008657.58000004</v>
      </c>
      <c r="S113" s="339"/>
      <c r="T113" s="345">
        <v>91956475.840000004</v>
      </c>
    </row>
    <row r="114" spans="1:20">
      <c r="A114" s="336" t="s">
        <v>661</v>
      </c>
      <c r="B114" s="348"/>
      <c r="C114" s="348"/>
      <c r="D114" s="348"/>
      <c r="E114" s="348"/>
      <c r="J114" s="344"/>
      <c r="K114" s="344"/>
      <c r="L114" s="345">
        <v>1194744.75</v>
      </c>
      <c r="M114" s="344"/>
      <c r="N114" s="345"/>
      <c r="O114" s="339"/>
      <c r="Q114" s="339">
        <v>0</v>
      </c>
      <c r="R114" s="339">
        <v>0</v>
      </c>
      <c r="S114" s="339"/>
      <c r="T114" s="344"/>
    </row>
    <row r="115" spans="1:20">
      <c r="A115" s="336" t="s">
        <v>662</v>
      </c>
      <c r="B115" s="348"/>
      <c r="C115" s="348"/>
      <c r="D115" s="348"/>
      <c r="E115" s="348"/>
      <c r="J115" s="344"/>
      <c r="K115" s="344"/>
      <c r="L115" s="344"/>
      <c r="M115" s="345">
        <v>2459336.1</v>
      </c>
      <c r="N115" s="345">
        <v>229981.8</v>
      </c>
      <c r="O115" s="346">
        <v>136283.19</v>
      </c>
      <c r="P115" s="339">
        <v>263362.83</v>
      </c>
      <c r="Q115" s="339">
        <v>886169.9</v>
      </c>
      <c r="R115" s="339">
        <v>610619.47</v>
      </c>
      <c r="S115" s="339"/>
      <c r="T115" s="345">
        <v>443648.42</v>
      </c>
    </row>
    <row r="116" spans="1:20">
      <c r="A116" s="336" t="s">
        <v>663</v>
      </c>
      <c r="B116" s="348"/>
      <c r="C116" s="348"/>
      <c r="D116" s="348"/>
      <c r="E116" s="348"/>
      <c r="J116" s="345">
        <v>8781633.3399999999</v>
      </c>
      <c r="K116" s="345">
        <v>35717396.880000003</v>
      </c>
      <c r="L116" s="345">
        <v>84494619.150000006</v>
      </c>
      <c r="M116" s="345">
        <v>135307019.49000001</v>
      </c>
      <c r="N116" s="345">
        <v>191795082.12</v>
      </c>
      <c r="O116" s="346">
        <v>199629080.62</v>
      </c>
      <c r="P116" s="339">
        <v>159551954.09</v>
      </c>
      <c r="Q116" s="339">
        <v>156237878.80000001</v>
      </c>
      <c r="R116" s="339">
        <v>172381316.16</v>
      </c>
      <c r="S116" s="339"/>
      <c r="T116" s="345">
        <v>44531688.890000001</v>
      </c>
    </row>
    <row r="117" spans="1:20">
      <c r="A117" s="336" t="s">
        <v>664</v>
      </c>
      <c r="B117" s="348"/>
      <c r="C117" s="348"/>
      <c r="D117" s="348"/>
      <c r="E117" s="348"/>
      <c r="J117" s="345">
        <v>996950.51</v>
      </c>
      <c r="K117" s="345">
        <v>6629099.7300000004</v>
      </c>
      <c r="L117" s="345">
        <v>25692593.969999999</v>
      </c>
      <c r="M117" s="345">
        <v>20566851.140000001</v>
      </c>
      <c r="N117" s="345">
        <v>40002950.030000001</v>
      </c>
      <c r="O117" s="346">
        <v>44735463.450000003</v>
      </c>
      <c r="P117" s="339">
        <v>29520101.289999999</v>
      </c>
      <c r="Q117" s="339">
        <v>26780344.300000001</v>
      </c>
      <c r="R117" s="339">
        <v>28158709.359999999</v>
      </c>
      <c r="S117" s="346"/>
      <c r="T117" s="345">
        <v>14931800.07</v>
      </c>
    </row>
    <row r="118" spans="1:20">
      <c r="A118" s="336" t="s">
        <v>665</v>
      </c>
      <c r="B118" s="348"/>
      <c r="C118" s="348"/>
      <c r="D118" s="348"/>
      <c r="E118" s="348"/>
      <c r="J118" s="345">
        <v>495979588.12</v>
      </c>
      <c r="K118" s="345">
        <v>2383028489.0900002</v>
      </c>
      <c r="L118" s="345">
        <v>1679257.8</v>
      </c>
      <c r="M118" s="345">
        <v>3595414.48</v>
      </c>
      <c r="N118" s="345">
        <v>2502255.4</v>
      </c>
      <c r="O118" s="346">
        <v>4239583.1900000004</v>
      </c>
      <c r="P118" s="339">
        <v>1406606.85</v>
      </c>
      <c r="Q118" s="339">
        <v>7009463.9000000004</v>
      </c>
      <c r="R118" s="339">
        <v>1664993.73</v>
      </c>
      <c r="S118" s="339"/>
      <c r="T118" s="345">
        <v>22948.92</v>
      </c>
    </row>
    <row r="119" spans="1:20">
      <c r="A119" s="336" t="s">
        <v>666</v>
      </c>
      <c r="B119" s="348"/>
      <c r="C119" s="348"/>
      <c r="D119" s="348"/>
      <c r="E119" s="348"/>
      <c r="J119" s="344"/>
      <c r="K119" s="344"/>
      <c r="L119" s="344"/>
      <c r="M119" s="344"/>
      <c r="N119" s="345"/>
      <c r="O119" s="345"/>
      <c r="Q119" s="339">
        <v>0</v>
      </c>
      <c r="R119" s="339">
        <v>0</v>
      </c>
      <c r="S119" s="346"/>
      <c r="T119" s="344"/>
    </row>
    <row r="120" spans="1:20">
      <c r="A120" s="336" t="s">
        <v>667</v>
      </c>
      <c r="B120" s="348"/>
      <c r="C120" s="348"/>
      <c r="D120" s="348"/>
      <c r="E120" s="348"/>
      <c r="J120" s="344"/>
      <c r="K120" s="344"/>
      <c r="L120" s="344"/>
      <c r="M120" s="344"/>
      <c r="N120" s="345"/>
      <c r="O120" s="345"/>
      <c r="Q120" s="339">
        <v>0</v>
      </c>
      <c r="R120" s="339">
        <v>0</v>
      </c>
      <c r="S120" s="339"/>
      <c r="T120" s="344"/>
    </row>
    <row r="121" spans="1:20">
      <c r="A121" s="336" t="s">
        <v>668</v>
      </c>
      <c r="B121" s="348"/>
      <c r="C121" s="348"/>
      <c r="D121" s="348"/>
      <c r="E121" s="348"/>
      <c r="J121" s="344"/>
      <c r="K121" s="344"/>
      <c r="L121" s="344"/>
      <c r="M121" s="345">
        <v>3595414.48</v>
      </c>
      <c r="N121" s="345">
        <v>2502255.4</v>
      </c>
      <c r="O121" s="346">
        <v>4239583.1900000004</v>
      </c>
      <c r="P121" s="339">
        <v>1406606.85</v>
      </c>
      <c r="Q121" s="339">
        <v>7009463.9000000004</v>
      </c>
      <c r="R121" s="339">
        <v>1664993.73</v>
      </c>
      <c r="S121" s="346"/>
      <c r="T121" s="344"/>
    </row>
    <row r="122" spans="1:20">
      <c r="A122" s="336" t="s">
        <v>669</v>
      </c>
      <c r="B122" s="348"/>
      <c r="C122" s="348"/>
      <c r="D122" s="348"/>
      <c r="E122" s="348"/>
      <c r="J122" s="344"/>
      <c r="K122" s="344"/>
      <c r="L122" s="344"/>
      <c r="M122" s="344"/>
      <c r="N122" s="345">
        <v>53390625.009999998</v>
      </c>
      <c r="O122" s="346">
        <v>62943349.119999997</v>
      </c>
      <c r="P122" s="339">
        <v>35175771.829999998</v>
      </c>
      <c r="Q122" s="339">
        <v>12448504.5</v>
      </c>
      <c r="R122" s="339">
        <v>14222926.35</v>
      </c>
      <c r="S122" s="339"/>
      <c r="T122" s="344"/>
    </row>
    <row r="123" spans="1:20">
      <c r="A123" s="341" t="s">
        <v>670</v>
      </c>
      <c r="B123" s="348"/>
      <c r="C123" s="348"/>
      <c r="D123" s="348"/>
      <c r="E123" s="348"/>
      <c r="J123" s="345">
        <v>506639279.04000002</v>
      </c>
      <c r="K123" s="345">
        <v>2447774472.9899998</v>
      </c>
      <c r="L123" s="345">
        <v>237975074.96000001</v>
      </c>
      <c r="M123" s="345">
        <v>400574213.31999999</v>
      </c>
      <c r="N123" s="345">
        <v>502596291.00999999</v>
      </c>
      <c r="O123" s="346">
        <v>542144659.03999996</v>
      </c>
      <c r="P123" s="339">
        <v>463181039.5</v>
      </c>
      <c r="Q123" s="349">
        <v>818135979.38</v>
      </c>
      <c r="R123" s="339">
        <v>1332968851.4100001</v>
      </c>
      <c r="S123" s="346"/>
      <c r="T123" s="345">
        <v>151963557.87</v>
      </c>
    </row>
    <row r="124" spans="1:20">
      <c r="A124" s="341" t="s">
        <v>56</v>
      </c>
      <c r="B124" s="348"/>
      <c r="C124" s="348"/>
      <c r="D124" s="348"/>
      <c r="E124" s="348"/>
      <c r="J124" s="344"/>
      <c r="K124" s="344"/>
      <c r="L124" s="344"/>
      <c r="M124" s="344"/>
      <c r="N124" s="345"/>
      <c r="O124" s="345"/>
      <c r="Q124" s="339">
        <v>0</v>
      </c>
      <c r="R124" s="339">
        <v>0</v>
      </c>
      <c r="S124" s="346"/>
      <c r="T124" s="344"/>
    </row>
    <row r="125" spans="1:20">
      <c r="A125" s="336" t="s">
        <v>671</v>
      </c>
      <c r="B125" s="348"/>
      <c r="C125" s="348"/>
      <c r="D125" s="348"/>
      <c r="E125" s="348"/>
      <c r="J125" s="344"/>
      <c r="K125" s="344"/>
      <c r="L125" s="344"/>
      <c r="M125" s="344"/>
      <c r="N125" s="345"/>
      <c r="O125" s="345"/>
      <c r="Q125" s="339">
        <v>0</v>
      </c>
      <c r="R125" s="339">
        <v>0</v>
      </c>
      <c r="S125" s="346"/>
      <c r="T125" s="344"/>
    </row>
    <row r="126" spans="1:20">
      <c r="A126" s="336" t="s">
        <v>672</v>
      </c>
      <c r="B126" s="348"/>
      <c r="C126" s="348"/>
      <c r="D126" s="348"/>
      <c r="E126" s="348"/>
      <c r="J126" s="344"/>
      <c r="K126" s="344"/>
      <c r="L126" s="344"/>
      <c r="M126" s="344"/>
      <c r="N126" s="345"/>
      <c r="O126" s="345"/>
      <c r="Q126" s="339">
        <v>0</v>
      </c>
      <c r="R126" s="339">
        <v>0</v>
      </c>
      <c r="S126" s="339"/>
      <c r="T126" s="344"/>
    </row>
    <row r="127" spans="1:20">
      <c r="A127" s="336" t="s">
        <v>673</v>
      </c>
      <c r="B127" s="348"/>
      <c r="C127" s="348"/>
      <c r="D127" s="348"/>
      <c r="E127" s="348"/>
      <c r="J127" s="344"/>
      <c r="K127" s="344"/>
      <c r="L127" s="344"/>
      <c r="M127" s="344"/>
      <c r="N127" s="345"/>
      <c r="O127" s="345"/>
      <c r="Q127" s="339">
        <v>0</v>
      </c>
      <c r="R127" s="339">
        <v>0</v>
      </c>
      <c r="S127" s="339"/>
      <c r="T127" s="344"/>
    </row>
    <row r="128" spans="1:20">
      <c r="A128" s="336" t="s">
        <v>674</v>
      </c>
      <c r="B128" s="348"/>
      <c r="C128" s="348"/>
      <c r="D128" s="348"/>
      <c r="E128" s="348"/>
      <c r="J128" s="344"/>
      <c r="K128" s="344"/>
      <c r="L128" s="344"/>
      <c r="M128" s="344"/>
      <c r="N128" s="345"/>
      <c r="O128" s="345"/>
      <c r="Q128" s="339">
        <v>0</v>
      </c>
      <c r="R128" s="339">
        <v>0</v>
      </c>
      <c r="S128" s="346"/>
      <c r="T128" s="344"/>
    </row>
    <row r="129" spans="1:20">
      <c r="A129" s="336" t="s">
        <v>675</v>
      </c>
      <c r="B129" s="348"/>
      <c r="C129" s="348"/>
      <c r="D129" s="348"/>
      <c r="E129" s="348"/>
      <c r="J129" s="344"/>
      <c r="K129" s="344"/>
      <c r="L129" s="344"/>
      <c r="M129" s="344"/>
      <c r="N129" s="345"/>
      <c r="O129" s="345"/>
      <c r="Q129" s="339">
        <v>0</v>
      </c>
      <c r="R129" s="339">
        <v>0</v>
      </c>
      <c r="S129" s="339"/>
      <c r="T129" s="344"/>
    </row>
    <row r="130" spans="1:20">
      <c r="A130" s="336" t="s">
        <v>676</v>
      </c>
      <c r="B130" s="348"/>
      <c r="C130" s="348"/>
      <c r="D130" s="348"/>
      <c r="E130" s="348"/>
      <c r="J130" s="344"/>
      <c r="K130" s="344"/>
      <c r="L130" s="344"/>
      <c r="M130" s="344"/>
      <c r="N130" s="345"/>
      <c r="O130" s="345"/>
      <c r="Q130" s="339">
        <v>0</v>
      </c>
      <c r="R130" s="339">
        <v>0</v>
      </c>
      <c r="S130" s="346"/>
      <c r="T130" s="344"/>
    </row>
    <row r="131" spans="1:20">
      <c r="A131" s="336" t="s">
        <v>677</v>
      </c>
      <c r="B131" s="348"/>
      <c r="C131" s="348"/>
      <c r="D131" s="348"/>
      <c r="E131" s="348"/>
      <c r="J131" s="344"/>
      <c r="K131" s="344"/>
      <c r="L131" s="344"/>
      <c r="M131" s="344"/>
      <c r="N131" s="345"/>
      <c r="O131" s="345"/>
      <c r="Q131" s="339">
        <v>268444</v>
      </c>
      <c r="R131" s="339">
        <v>144751.28</v>
      </c>
      <c r="S131" s="339"/>
      <c r="T131" s="344"/>
    </row>
    <row r="132" spans="1:20">
      <c r="A132" s="336" t="s">
        <v>678</v>
      </c>
      <c r="B132" s="348"/>
      <c r="C132" s="348"/>
      <c r="D132" s="348"/>
      <c r="E132" s="348"/>
      <c r="J132" s="345">
        <v>50468768.020000003</v>
      </c>
      <c r="K132" s="345">
        <v>83034718.340000004</v>
      </c>
      <c r="L132" s="345">
        <v>74017697.829999998</v>
      </c>
      <c r="M132" s="345">
        <v>477453225.76999998</v>
      </c>
      <c r="N132" s="345">
        <v>464620565.06999999</v>
      </c>
      <c r="O132" s="346">
        <v>246760760.41</v>
      </c>
      <c r="P132" s="339">
        <v>219820947.81</v>
      </c>
      <c r="Q132" s="339">
        <v>467161757.39999998</v>
      </c>
      <c r="R132" s="339">
        <v>258857365.90000001</v>
      </c>
      <c r="S132" s="339"/>
      <c r="T132" s="345">
        <v>487310952.67000002</v>
      </c>
    </row>
    <row r="133" spans="1:20">
      <c r="A133" s="341" t="s">
        <v>679</v>
      </c>
      <c r="B133" s="348"/>
      <c r="C133" s="348"/>
      <c r="D133" s="348"/>
      <c r="E133" s="348"/>
      <c r="J133" s="345">
        <v>50468768.020000003</v>
      </c>
      <c r="K133" s="345">
        <v>83034718.340000004</v>
      </c>
      <c r="L133" s="345">
        <v>74017697.829999998</v>
      </c>
      <c r="M133" s="345">
        <v>477453225.76999998</v>
      </c>
      <c r="N133" s="345">
        <v>506338564.49000001</v>
      </c>
      <c r="O133" s="346">
        <v>288455074.06999999</v>
      </c>
      <c r="P133" s="339">
        <v>225325993.50999999</v>
      </c>
      <c r="Q133" s="349">
        <v>469196958.67000002</v>
      </c>
      <c r="R133" s="339">
        <v>261491479.03</v>
      </c>
      <c r="S133" s="339"/>
      <c r="T133" s="345">
        <v>582088784.49000001</v>
      </c>
    </row>
    <row r="134" spans="1:20">
      <c r="A134" s="341" t="s">
        <v>680</v>
      </c>
      <c r="B134" s="348"/>
      <c r="C134" s="350"/>
      <c r="D134" s="348"/>
      <c r="E134" s="348"/>
      <c r="J134" s="345">
        <v>557108047.05999994</v>
      </c>
      <c r="K134" s="345">
        <v>2530809191.3299999</v>
      </c>
      <c r="L134" s="345">
        <v>311992772.79000002</v>
      </c>
      <c r="M134" s="345">
        <v>878027439.09000003</v>
      </c>
      <c r="N134" s="345">
        <v>1008934855.5</v>
      </c>
      <c r="O134" s="346">
        <v>830599733.11000001</v>
      </c>
      <c r="P134" s="339">
        <v>688507033.00999999</v>
      </c>
      <c r="Q134" s="349">
        <v>1287332938.05</v>
      </c>
      <c r="R134" s="339">
        <v>1594460330.4400001</v>
      </c>
      <c r="S134" s="339"/>
      <c r="T134" s="345">
        <v>734052342.36000001</v>
      </c>
    </row>
    <row r="135" spans="1:20">
      <c r="A135" s="341" t="s">
        <v>63</v>
      </c>
      <c r="B135" s="348"/>
      <c r="C135" s="348"/>
      <c r="D135" s="348"/>
      <c r="E135" s="348"/>
      <c r="J135" s="344"/>
      <c r="K135" s="344"/>
      <c r="L135" s="344"/>
      <c r="M135" s="344"/>
      <c r="N135" s="345"/>
      <c r="O135" s="345"/>
      <c r="Q135" s="339">
        <v>0</v>
      </c>
      <c r="R135" s="339">
        <v>0</v>
      </c>
      <c r="S135" s="346"/>
      <c r="T135" s="344"/>
    </row>
    <row r="136" spans="1:20">
      <c r="A136" s="336" t="s">
        <v>681</v>
      </c>
      <c r="B136" s="348"/>
      <c r="C136" s="348"/>
      <c r="D136" s="348"/>
      <c r="E136" s="348"/>
      <c r="J136" s="345">
        <v>1004650.5</v>
      </c>
      <c r="K136" s="345">
        <v>1128028.8</v>
      </c>
      <c r="L136" s="345">
        <v>360000000</v>
      </c>
      <c r="M136" s="345">
        <v>400100000</v>
      </c>
      <c r="N136" s="345">
        <v>400100000</v>
      </c>
      <c r="O136" s="346">
        <v>400814650</v>
      </c>
      <c r="P136" s="346">
        <v>416594451</v>
      </c>
      <c r="Q136" s="339">
        <v>417456753</v>
      </c>
      <c r="R136" s="339">
        <v>421685170</v>
      </c>
      <c r="S136" s="339"/>
      <c r="T136" s="345">
        <v>400100000</v>
      </c>
    </row>
    <row r="137" spans="1:20">
      <c r="A137" s="336" t="s">
        <v>682</v>
      </c>
      <c r="B137" s="348"/>
      <c r="C137" s="348"/>
      <c r="D137" s="348"/>
      <c r="E137" s="348"/>
      <c r="J137" s="344"/>
      <c r="K137" s="344"/>
      <c r="L137" s="344"/>
      <c r="M137" s="344"/>
      <c r="N137" s="345"/>
      <c r="O137" s="345"/>
      <c r="Q137" s="339">
        <v>0</v>
      </c>
      <c r="R137" s="339">
        <v>0</v>
      </c>
      <c r="S137" s="339"/>
      <c r="T137" s="344"/>
    </row>
    <row r="138" spans="1:20">
      <c r="A138" s="336" t="s">
        <v>683</v>
      </c>
      <c r="B138" s="348"/>
      <c r="C138" s="348"/>
      <c r="D138" s="348"/>
      <c r="E138" s="348"/>
      <c r="J138" s="344"/>
      <c r="K138" s="344"/>
      <c r="L138" s="344"/>
      <c r="M138" s="344"/>
      <c r="N138" s="345"/>
      <c r="O138" s="345"/>
      <c r="Q138" s="339">
        <v>0</v>
      </c>
      <c r="R138" s="339">
        <v>0</v>
      </c>
      <c r="S138" s="339"/>
      <c r="T138" s="344"/>
    </row>
    <row r="139" spans="1:20">
      <c r="A139" s="336" t="s">
        <v>684</v>
      </c>
      <c r="B139" s="348"/>
      <c r="C139" s="348"/>
      <c r="D139" s="348"/>
      <c r="E139" s="348"/>
      <c r="J139" s="344"/>
      <c r="K139" s="344"/>
      <c r="L139" s="344"/>
      <c r="M139" s="344"/>
      <c r="N139" s="345"/>
      <c r="O139" s="345"/>
      <c r="Q139" s="339">
        <v>0</v>
      </c>
      <c r="R139" s="339">
        <v>0</v>
      </c>
      <c r="S139" s="339"/>
      <c r="T139" s="344"/>
    </row>
    <row r="140" spans="1:20">
      <c r="A140" s="336" t="s">
        <v>685</v>
      </c>
      <c r="B140" s="348"/>
      <c r="C140" s="348"/>
      <c r="D140" s="348"/>
      <c r="E140" s="348"/>
      <c r="J140" s="345">
        <v>413881090.19</v>
      </c>
      <c r="K140" s="345">
        <v>932370039.75</v>
      </c>
      <c r="L140" s="345">
        <v>4851116552.6300001</v>
      </c>
      <c r="M140" s="345">
        <v>7320547607.5900002</v>
      </c>
      <c r="N140" s="345">
        <v>7606714401.7600002</v>
      </c>
      <c r="O140" s="346">
        <v>7874264442.7799997</v>
      </c>
      <c r="P140" s="346">
        <v>9577337696.0100002</v>
      </c>
      <c r="Q140" s="339">
        <v>9808846937.1000004</v>
      </c>
      <c r="R140" s="339">
        <v>11270304648.82</v>
      </c>
      <c r="S140" s="339"/>
      <c r="T140" s="345">
        <v>7454986137.4099998</v>
      </c>
    </row>
    <row r="141" spans="1:20">
      <c r="A141" s="336" t="s">
        <v>686</v>
      </c>
      <c r="B141" s="348"/>
      <c r="C141" s="348"/>
      <c r="D141" s="348"/>
      <c r="E141" s="348"/>
      <c r="J141" s="344"/>
      <c r="K141" s="344"/>
      <c r="L141" s="344"/>
      <c r="M141" s="344"/>
      <c r="N141" s="345"/>
      <c r="O141" s="346">
        <v>47612531.299999997</v>
      </c>
      <c r="P141" s="346">
        <v>123079952.03</v>
      </c>
      <c r="Q141" s="339">
        <v>130292821</v>
      </c>
      <c r="R141" s="339">
        <v>20064542.940000001</v>
      </c>
      <c r="S141" s="346"/>
      <c r="T141" s="344"/>
    </row>
    <row r="142" spans="1:20">
      <c r="A142" s="336" t="s">
        <v>687</v>
      </c>
      <c r="B142" s="348"/>
      <c r="C142" s="348"/>
      <c r="D142" s="348"/>
      <c r="E142" s="348"/>
      <c r="J142" s="344"/>
      <c r="K142" s="344"/>
      <c r="L142" s="344"/>
      <c r="M142" s="344"/>
      <c r="N142" s="345"/>
      <c r="O142" s="345"/>
      <c r="Q142" s="339">
        <v>0</v>
      </c>
      <c r="R142" s="339">
        <v>0</v>
      </c>
      <c r="S142" s="339"/>
      <c r="T142" s="344"/>
    </row>
    <row r="143" spans="1:20">
      <c r="A143" s="336" t="s">
        <v>688</v>
      </c>
      <c r="B143" s="348"/>
      <c r="C143" s="348"/>
      <c r="D143" s="348"/>
      <c r="E143" s="348"/>
      <c r="J143" s="344"/>
      <c r="K143" s="344"/>
      <c r="L143" s="344"/>
      <c r="M143" s="344"/>
      <c r="N143" s="345"/>
      <c r="O143" s="345"/>
      <c r="Q143" s="339">
        <v>0</v>
      </c>
      <c r="R143" s="339">
        <v>0</v>
      </c>
      <c r="S143" s="339"/>
      <c r="T143" s="344"/>
    </row>
    <row r="144" spans="1:20">
      <c r="A144" s="336" t="s">
        <v>689</v>
      </c>
      <c r="B144" s="348"/>
      <c r="C144" s="348"/>
      <c r="D144" s="348"/>
      <c r="E144" s="348"/>
      <c r="J144" s="344"/>
      <c r="K144" s="344"/>
      <c r="L144" s="344"/>
      <c r="M144" s="344"/>
      <c r="N144" s="345"/>
      <c r="O144" s="345"/>
      <c r="Q144" s="339">
        <v>0</v>
      </c>
      <c r="R144" s="339">
        <v>176009366.78999999</v>
      </c>
      <c r="S144" s="339"/>
      <c r="T144" s="344"/>
    </row>
    <row r="145" spans="1:20">
      <c r="A145" s="336" t="s">
        <v>690</v>
      </c>
      <c r="B145" s="348"/>
      <c r="C145" s="348"/>
      <c r="D145" s="348"/>
      <c r="E145" s="348"/>
      <c r="J145" s="345">
        <v>-381809172.04000002</v>
      </c>
      <c r="K145" s="345">
        <v>-422855679.41000003</v>
      </c>
      <c r="L145" s="345">
        <v>-854637043.86000001</v>
      </c>
      <c r="M145" s="345">
        <v>-1289146375.02</v>
      </c>
      <c r="N145" s="345">
        <v>-2115857127.1800001</v>
      </c>
      <c r="O145" s="346">
        <v>-3372419649.1799998</v>
      </c>
      <c r="P145" s="346">
        <v>-4221013418.3800001</v>
      </c>
      <c r="Q145" s="339">
        <v>-4673352209.3999996</v>
      </c>
      <c r="R145" s="339">
        <v>-11760669.859999999</v>
      </c>
      <c r="S145" s="339"/>
      <c r="T145" s="345">
        <v>-1920366194.3900001</v>
      </c>
    </row>
    <row r="146" spans="1:20">
      <c r="A146" s="336" t="s">
        <v>691</v>
      </c>
      <c r="B146" s="348"/>
      <c r="C146" s="348"/>
      <c r="D146" s="348"/>
      <c r="E146" s="348"/>
      <c r="J146" s="344"/>
      <c r="K146" s="344"/>
      <c r="L146" s="344"/>
      <c r="M146" s="344"/>
      <c r="N146" s="345"/>
      <c r="O146" s="345"/>
      <c r="Q146" s="339">
        <v>0</v>
      </c>
      <c r="R146" s="339">
        <v>0</v>
      </c>
      <c r="S146" s="346"/>
      <c r="T146" s="344"/>
    </row>
    <row r="147" spans="1:20">
      <c r="A147" s="341" t="s">
        <v>692</v>
      </c>
      <c r="B147" s="348"/>
      <c r="C147" s="348"/>
      <c r="D147" s="348"/>
      <c r="E147" s="348"/>
      <c r="J147" s="345">
        <v>33076568.649999999</v>
      </c>
      <c r="K147" s="345">
        <v>510642389.13999999</v>
      </c>
      <c r="L147" s="345">
        <v>4356479508.7700005</v>
      </c>
      <c r="M147" s="345">
        <v>6431501232.5699997</v>
      </c>
      <c r="N147" s="345">
        <v>5890957274.5799999</v>
      </c>
      <c r="O147" s="346">
        <v>4855046912.3000002</v>
      </c>
      <c r="P147" s="339">
        <v>5649838776.6000004</v>
      </c>
      <c r="Q147" s="339">
        <v>5422658659.6999998</v>
      </c>
      <c r="R147" s="339">
        <v>11836173972.809999</v>
      </c>
      <c r="S147" s="346"/>
      <c r="T147" s="345">
        <v>5934719943.0200005</v>
      </c>
    </row>
    <row r="148" spans="1:20">
      <c r="A148" s="336" t="s">
        <v>693</v>
      </c>
      <c r="B148" s="348"/>
      <c r="C148" s="348"/>
      <c r="D148" s="348"/>
      <c r="E148" s="348"/>
      <c r="J148" s="344"/>
      <c r="K148" s="344"/>
      <c r="L148" s="344"/>
      <c r="M148" s="344"/>
      <c r="N148" s="345">
        <v>89254190.799999997</v>
      </c>
      <c r="O148" s="346">
        <v>84772947.180000007</v>
      </c>
      <c r="P148" s="339">
        <v>79690312.719999999</v>
      </c>
      <c r="Q148" s="339">
        <v>7820912</v>
      </c>
      <c r="R148" s="339">
        <v>7079762.6600000001</v>
      </c>
      <c r="S148" s="346"/>
      <c r="T148" s="345">
        <v>63097668.659999996</v>
      </c>
    </row>
    <row r="149" spans="1:20">
      <c r="A149" s="341" t="s">
        <v>694</v>
      </c>
      <c r="B149" s="348"/>
      <c r="C149" s="350"/>
      <c r="D149" s="348"/>
      <c r="E149" s="348"/>
      <c r="J149" s="345">
        <v>33076568.649999999</v>
      </c>
      <c r="K149" s="345">
        <v>510642389.13999999</v>
      </c>
      <c r="L149" s="345">
        <v>4356479508.7700005</v>
      </c>
      <c r="M149" s="345">
        <v>6431501232.5699997</v>
      </c>
      <c r="N149" s="345">
        <v>5980211465.3800001</v>
      </c>
      <c r="O149" s="346">
        <v>4939819859.4799995</v>
      </c>
      <c r="P149" s="339">
        <v>5729529089.3199997</v>
      </c>
      <c r="Q149" s="349">
        <v>5430479571.6499996</v>
      </c>
      <c r="R149" s="339">
        <v>11843253735.469999</v>
      </c>
      <c r="S149" s="339"/>
      <c r="T149" s="345">
        <v>5997817611.6800003</v>
      </c>
    </row>
    <row r="150" spans="1:20">
      <c r="A150" s="336" t="s">
        <v>138</v>
      </c>
      <c r="B150" s="348"/>
      <c r="C150" s="348"/>
      <c r="D150" s="348"/>
      <c r="E150" s="348"/>
      <c r="J150" s="345">
        <v>590184615.71000004</v>
      </c>
      <c r="K150" s="345">
        <v>3041451580.4699998</v>
      </c>
      <c r="L150" s="345">
        <v>4668472281.5600004</v>
      </c>
      <c r="M150" s="345">
        <v>7309528671.6599998</v>
      </c>
      <c r="N150" s="345">
        <v>6989146320.8800001</v>
      </c>
      <c r="O150" s="346">
        <v>5770419592.5900002</v>
      </c>
      <c r="P150" s="339">
        <v>6418036122.3299999</v>
      </c>
      <c r="Q150" s="349">
        <v>6717812509.6999998</v>
      </c>
      <c r="R150" s="339">
        <v>13437714065.91</v>
      </c>
      <c r="S150" s="339"/>
      <c r="T150" s="345">
        <v>6731869954.04</v>
      </c>
    </row>
    <row r="151" spans="1:20">
      <c r="A151" s="336" t="s">
        <v>91</v>
      </c>
      <c r="B151" s="348"/>
      <c r="C151" s="348"/>
      <c r="D151" s="348"/>
      <c r="E151" s="348"/>
      <c r="J151" s="338" t="s">
        <v>26</v>
      </c>
      <c r="K151" s="338" t="s">
        <v>26</v>
      </c>
      <c r="L151" s="338" t="s">
        <v>26</v>
      </c>
      <c r="M151" s="338" t="s">
        <v>26</v>
      </c>
      <c r="N151" s="345" t="s">
        <v>26</v>
      </c>
      <c r="O151" s="345"/>
      <c r="P151" s="339" t="s">
        <v>26</v>
      </c>
      <c r="Q151" s="339" t="s">
        <v>26</v>
      </c>
      <c r="R151" s="339" t="s">
        <v>26</v>
      </c>
      <c r="S151" s="346"/>
      <c r="T151" s="338" t="s">
        <v>26</v>
      </c>
    </row>
    <row r="152" spans="1:20">
      <c r="A152" s="336" t="s">
        <v>90</v>
      </c>
      <c r="B152" s="348"/>
      <c r="C152" s="348"/>
      <c r="D152" s="348"/>
      <c r="E152" s="348"/>
      <c r="J152" s="338" t="s">
        <v>26</v>
      </c>
      <c r="K152" s="338" t="s">
        <v>26</v>
      </c>
      <c r="L152" s="338" t="s">
        <v>26</v>
      </c>
      <c r="M152" s="338" t="s">
        <v>26</v>
      </c>
      <c r="N152" s="345" t="s">
        <v>26</v>
      </c>
      <c r="O152" s="345"/>
      <c r="P152" s="339" t="s">
        <v>26</v>
      </c>
      <c r="Q152" s="339" t="s">
        <v>26</v>
      </c>
      <c r="R152" s="339" t="s">
        <v>26</v>
      </c>
      <c r="T152" s="338" t="s">
        <v>26</v>
      </c>
    </row>
    <row r="153" spans="1:20">
      <c r="A153" s="336" t="s">
        <v>89</v>
      </c>
      <c r="B153" s="348"/>
      <c r="C153" s="348"/>
      <c r="D153" s="348"/>
      <c r="E153" s="348"/>
      <c r="J153" s="338" t="s">
        <v>365</v>
      </c>
      <c r="K153" s="338" t="s">
        <v>365</v>
      </c>
      <c r="L153" s="338" t="s">
        <v>365</v>
      </c>
      <c r="M153" s="338" t="s">
        <v>365</v>
      </c>
      <c r="N153" s="338" t="s">
        <v>365</v>
      </c>
      <c r="O153" s="338"/>
      <c r="P153" s="339">
        <v>1</v>
      </c>
      <c r="Q153" s="339">
        <v>1</v>
      </c>
      <c r="R153" s="339">
        <v>1</v>
      </c>
      <c r="S153" s="344"/>
      <c r="T153" s="338" t="s">
        <v>365</v>
      </c>
    </row>
    <row r="154" spans="1:20">
      <c r="A154" s="336" t="s">
        <v>88</v>
      </c>
      <c r="B154" s="348"/>
      <c r="C154" s="348"/>
      <c r="D154" s="348"/>
      <c r="E154" s="348"/>
      <c r="J154" s="338" t="s">
        <v>158</v>
      </c>
      <c r="K154" s="338" t="s">
        <v>158</v>
      </c>
      <c r="L154" s="338" t="s">
        <v>158</v>
      </c>
      <c r="M154" s="338" t="s">
        <v>158</v>
      </c>
      <c r="N154" s="338" t="s">
        <v>158</v>
      </c>
      <c r="O154" s="338"/>
      <c r="P154" s="346" t="s">
        <v>158</v>
      </c>
      <c r="Q154" s="339" t="s">
        <v>158</v>
      </c>
      <c r="R154" s="339" t="s">
        <v>158</v>
      </c>
      <c r="S154" s="345"/>
      <c r="T154" s="338" t="s">
        <v>158</v>
      </c>
    </row>
    <row r="155" spans="1:20">
      <c r="A155" s="336" t="s">
        <v>252</v>
      </c>
      <c r="B155" s="348"/>
      <c r="C155" s="348"/>
      <c r="D155" s="348"/>
      <c r="E155" s="348"/>
      <c r="J155" s="338" t="s">
        <v>420</v>
      </c>
      <c r="K155" s="338" t="s">
        <v>420</v>
      </c>
      <c r="L155" s="338" t="s">
        <v>420</v>
      </c>
      <c r="M155" s="338" t="s">
        <v>420</v>
      </c>
      <c r="N155" s="338"/>
      <c r="O155" s="338"/>
      <c r="P155" s="346"/>
      <c r="Q155" s="339">
        <v>0</v>
      </c>
      <c r="R155" s="339">
        <v>0</v>
      </c>
      <c r="S155" s="344"/>
      <c r="T155" s="344"/>
    </row>
    <row r="156" spans="1:20">
      <c r="A156" s="336" t="s">
        <v>253</v>
      </c>
      <c r="B156" s="348"/>
      <c r="C156" s="348"/>
      <c r="D156" s="348"/>
      <c r="E156" s="348"/>
      <c r="J156" s="338" t="s">
        <v>421</v>
      </c>
      <c r="K156" s="338" t="s">
        <v>421</v>
      </c>
      <c r="L156" s="338" t="s">
        <v>421</v>
      </c>
      <c r="M156" s="338" t="s">
        <v>421</v>
      </c>
      <c r="N156" s="344"/>
      <c r="O156" s="344"/>
      <c r="P156" s="346"/>
      <c r="Q156" s="339">
        <v>0</v>
      </c>
      <c r="R156" s="339">
        <v>0</v>
      </c>
      <c r="S156" s="345"/>
      <c r="T156" s="344"/>
    </row>
    <row r="157" spans="1:20">
      <c r="A157" s="336" t="s">
        <v>129</v>
      </c>
      <c r="B157" s="348"/>
      <c r="C157" s="348"/>
      <c r="D157" s="348"/>
      <c r="E157" s="348"/>
      <c r="J157" s="338" t="s">
        <v>408</v>
      </c>
      <c r="K157" s="338" t="s">
        <v>408</v>
      </c>
      <c r="L157" s="338" t="s">
        <v>408</v>
      </c>
      <c r="M157" s="338" t="s">
        <v>408</v>
      </c>
      <c r="N157" s="344" t="s">
        <v>408</v>
      </c>
      <c r="O157" s="344"/>
      <c r="P157" s="339" t="s">
        <v>408</v>
      </c>
      <c r="Q157" s="339" t="s">
        <v>408</v>
      </c>
      <c r="R157" s="339">
        <v>0</v>
      </c>
      <c r="S157" s="345"/>
      <c r="T157" s="344"/>
    </row>
    <row r="158" spans="1:20">
      <c r="A158" s="336" t="s">
        <v>254</v>
      </c>
      <c r="B158" s="348"/>
      <c r="C158" s="348"/>
      <c r="D158" s="348"/>
      <c r="E158" s="348"/>
      <c r="J158" s="344"/>
      <c r="K158" s="344"/>
      <c r="L158" s="344"/>
      <c r="M158" s="344"/>
      <c r="N158" s="338"/>
      <c r="O158" s="338"/>
      <c r="Q158" s="339">
        <v>0</v>
      </c>
      <c r="R158" s="339">
        <v>0</v>
      </c>
      <c r="S158" s="344"/>
      <c r="T158" s="344"/>
    </row>
    <row r="159" spans="1:20">
      <c r="A159" s="336" t="s">
        <v>255</v>
      </c>
      <c r="B159" s="348"/>
      <c r="C159" s="348"/>
      <c r="D159" s="348"/>
      <c r="E159" s="348"/>
      <c r="J159" s="344"/>
      <c r="K159" s="344"/>
      <c r="L159" s="344"/>
      <c r="M159" s="344"/>
      <c r="N159" s="338"/>
      <c r="O159" s="338"/>
      <c r="Q159" s="339">
        <v>0</v>
      </c>
      <c r="R159" s="339">
        <v>0</v>
      </c>
      <c r="S159" s="345"/>
      <c r="T159" s="344"/>
    </row>
    <row r="160" spans="1:20">
      <c r="A160" s="336" t="s">
        <v>87</v>
      </c>
      <c r="B160" s="348"/>
      <c r="C160" s="348"/>
      <c r="D160" s="348"/>
      <c r="E160" s="348"/>
      <c r="J160" s="338" t="s">
        <v>350</v>
      </c>
      <c r="K160" s="338" t="s">
        <v>350</v>
      </c>
      <c r="L160" s="338" t="s">
        <v>350</v>
      </c>
      <c r="M160" s="338" t="s">
        <v>422</v>
      </c>
      <c r="N160" s="336" t="s">
        <v>454</v>
      </c>
      <c r="P160" s="346" t="s">
        <v>494</v>
      </c>
      <c r="Q160" s="339" t="s">
        <v>695</v>
      </c>
      <c r="R160" s="339" t="s">
        <v>774</v>
      </c>
      <c r="S160" s="344"/>
      <c r="T160" s="338" t="s">
        <v>423</v>
      </c>
    </row>
    <row r="161" spans="1:20">
      <c r="A161" s="336" t="s">
        <v>128</v>
      </c>
      <c r="B161" s="348"/>
      <c r="C161" s="348"/>
      <c r="D161" s="348"/>
      <c r="E161" s="348"/>
      <c r="J161" s="338" t="s">
        <v>409</v>
      </c>
      <c r="K161" s="338" t="s">
        <v>409</v>
      </c>
      <c r="L161" s="338" t="s">
        <v>409</v>
      </c>
      <c r="M161" s="338" t="s">
        <v>409</v>
      </c>
      <c r="N161" s="336" t="s">
        <v>409</v>
      </c>
      <c r="P161" s="339" t="s">
        <v>409</v>
      </c>
      <c r="Q161" s="339" t="s">
        <v>409</v>
      </c>
      <c r="R161" s="339" t="s">
        <v>409</v>
      </c>
      <c r="S161" s="345"/>
      <c r="T161" s="338" t="s">
        <v>409</v>
      </c>
    </row>
    <row r="162" spans="1:20">
      <c r="B162" s="348"/>
      <c r="C162" s="348"/>
      <c r="N162" s="350"/>
      <c r="O162" s="350"/>
      <c r="S162" s="344"/>
    </row>
    <row r="163" spans="1:20">
      <c r="A163" s="336" t="s">
        <v>256</v>
      </c>
      <c r="B163" s="351"/>
      <c r="C163" s="351"/>
      <c r="D163" s="351"/>
      <c r="E163" s="351"/>
      <c r="L163" s="350">
        <v>115564536.7</v>
      </c>
      <c r="M163" s="350">
        <v>206918122.86000001</v>
      </c>
      <c r="N163" s="350">
        <v>415922279.69</v>
      </c>
      <c r="O163" s="350">
        <v>469952567.32999998</v>
      </c>
      <c r="S163" s="345"/>
    </row>
    <row r="164" spans="1:20" ht="13.5" customHeight="1">
      <c r="A164" s="336" t="s">
        <v>156</v>
      </c>
      <c r="B164" s="351"/>
      <c r="C164" s="351"/>
      <c r="D164" s="351"/>
      <c r="E164" s="351"/>
      <c r="L164" s="350">
        <v>29516656.23</v>
      </c>
      <c r="M164" s="350">
        <v>71296881.799999997</v>
      </c>
      <c r="N164" s="350">
        <v>135990039.86000001</v>
      </c>
      <c r="O164" s="350">
        <v>236711503.83000001</v>
      </c>
      <c r="P164" s="339">
        <v>328584155.12</v>
      </c>
      <c r="Q164" s="339">
        <v>413696488.58999997</v>
      </c>
      <c r="S164" s="344"/>
    </row>
    <row r="165" spans="1:20">
      <c r="A165" s="336" t="s">
        <v>257</v>
      </c>
      <c r="B165" s="351"/>
      <c r="C165" s="351"/>
      <c r="D165" s="351"/>
      <c r="E165" s="351"/>
      <c r="L165" s="350">
        <f>L97</f>
        <v>86047880.469999999</v>
      </c>
      <c r="M165" s="350">
        <f>M97</f>
        <v>135621241.06</v>
      </c>
      <c r="N165" s="350">
        <f>N97</f>
        <v>279932239.82999998</v>
      </c>
      <c r="O165" s="350">
        <v>233241063.5</v>
      </c>
      <c r="S165" s="352"/>
    </row>
    <row r="166" spans="1:20">
      <c r="A166" s="336" t="s">
        <v>258</v>
      </c>
      <c r="B166" s="351"/>
      <c r="C166" s="351"/>
      <c r="D166" s="351"/>
      <c r="E166" s="351"/>
      <c r="M166" s="336">
        <v>0</v>
      </c>
      <c r="S166" s="352"/>
    </row>
    <row r="167" spans="1:20">
      <c r="A167" s="336" t="s">
        <v>259</v>
      </c>
      <c r="B167" s="351"/>
      <c r="C167" s="351"/>
      <c r="D167" s="351"/>
      <c r="E167" s="351"/>
      <c r="N167" s="350"/>
      <c r="O167" s="350"/>
      <c r="S167" s="338"/>
    </row>
    <row r="168" spans="1:20">
      <c r="A168" s="336" t="s">
        <v>260</v>
      </c>
      <c r="B168" s="351"/>
      <c r="C168" s="351"/>
      <c r="D168" s="351"/>
      <c r="E168" s="351"/>
      <c r="S168" s="338"/>
    </row>
    <row r="169" spans="1:20">
      <c r="A169" s="336" t="s">
        <v>157</v>
      </c>
      <c r="B169" s="351"/>
      <c r="C169" s="351"/>
      <c r="D169" s="351"/>
      <c r="E169" s="351"/>
      <c r="L169" s="350">
        <v>36784449.520000003</v>
      </c>
      <c r="M169" s="350">
        <v>116074682.58</v>
      </c>
      <c r="N169" s="350">
        <v>241076171.63999999</v>
      </c>
      <c r="O169" s="350">
        <v>424915371.88999999</v>
      </c>
      <c r="P169" s="339">
        <v>576960215.15999997</v>
      </c>
      <c r="Q169" s="349">
        <v>660223037.54999995</v>
      </c>
      <c r="S169" s="338"/>
    </row>
    <row r="170" spans="1:20" ht="9.75" customHeight="1">
      <c r="B170" s="348"/>
      <c r="C170" s="348"/>
      <c r="N170" s="348"/>
      <c r="O170" s="348"/>
      <c r="S170" s="338"/>
    </row>
    <row r="171" spans="1:20">
      <c r="B171" s="348"/>
      <c r="C171" s="348"/>
      <c r="M171" s="348"/>
      <c r="N171" s="348"/>
      <c r="O171" s="348"/>
      <c r="S171" s="338"/>
    </row>
    <row r="172" spans="1:20">
      <c r="A172" s="336" t="s">
        <v>267</v>
      </c>
      <c r="B172" s="348"/>
      <c r="C172" s="348"/>
      <c r="D172" s="348"/>
      <c r="E172" s="348"/>
      <c r="F172" s="348"/>
      <c r="G172" s="348"/>
      <c r="H172" s="348"/>
      <c r="I172" s="348"/>
      <c r="J172" s="348">
        <v>0</v>
      </c>
      <c r="K172" s="348">
        <v>0</v>
      </c>
      <c r="L172" s="348">
        <v>0</v>
      </c>
      <c r="M172" s="348">
        <v>0</v>
      </c>
      <c r="N172" s="348"/>
      <c r="O172" s="348"/>
      <c r="S172" s="338"/>
    </row>
    <row r="173" spans="1:20">
      <c r="A173" s="336" t="s">
        <v>268</v>
      </c>
      <c r="B173" s="348"/>
      <c r="C173" s="348"/>
      <c r="D173" s="348"/>
      <c r="E173" s="348"/>
      <c r="F173" s="348"/>
      <c r="G173" s="348"/>
      <c r="H173" s="348"/>
      <c r="I173" s="348"/>
      <c r="J173" s="348">
        <v>0</v>
      </c>
      <c r="K173" s="348">
        <v>0</v>
      </c>
      <c r="L173" s="348">
        <v>0</v>
      </c>
      <c r="M173" s="348">
        <v>0</v>
      </c>
      <c r="N173" s="348"/>
      <c r="O173" s="348"/>
      <c r="S173" s="338"/>
    </row>
    <row r="174" spans="1:20">
      <c r="B174" s="348"/>
      <c r="C174" s="348"/>
      <c r="M174" s="348"/>
      <c r="N174" s="350"/>
      <c r="O174" s="350"/>
      <c r="S174" s="344"/>
    </row>
    <row r="175" spans="1:20">
      <c r="A175" s="336" t="s">
        <v>291</v>
      </c>
      <c r="B175" s="348"/>
      <c r="C175" s="348"/>
      <c r="D175" s="348"/>
      <c r="E175" s="348"/>
      <c r="F175" s="348"/>
      <c r="G175" s="348"/>
      <c r="H175" s="348"/>
      <c r="I175" s="348"/>
      <c r="J175" s="348"/>
      <c r="K175" s="348"/>
      <c r="L175" s="353">
        <v>3898697899.5599999</v>
      </c>
      <c r="M175" s="350">
        <v>1635992308.8699999</v>
      </c>
      <c r="N175" s="350">
        <v>2286049190.4299998</v>
      </c>
      <c r="O175" s="350">
        <v>620988009.38999999</v>
      </c>
      <c r="P175" s="339">
        <v>700267511.00999999</v>
      </c>
      <c r="Q175" s="339">
        <v>760184802.27999997</v>
      </c>
      <c r="S175" s="344"/>
    </row>
    <row r="176" spans="1:20">
      <c r="B176" s="348"/>
      <c r="C176" s="348"/>
      <c r="L176" s="353"/>
      <c r="M176" s="350"/>
      <c r="N176" s="350"/>
      <c r="O176" s="350"/>
      <c r="S176" s="344"/>
    </row>
    <row r="177" spans="1:20">
      <c r="A177" s="336" t="s">
        <v>292</v>
      </c>
      <c r="B177" s="348"/>
      <c r="C177" s="348"/>
      <c r="D177" s="348"/>
      <c r="E177" s="348"/>
      <c r="F177" s="348"/>
      <c r="G177" s="348"/>
      <c r="H177" s="348"/>
      <c r="I177" s="348"/>
      <c r="J177" s="348"/>
      <c r="K177" s="348"/>
      <c r="L177" s="348"/>
      <c r="M177" s="350">
        <v>221018803.97999999</v>
      </c>
      <c r="N177" s="354">
        <v>125155757.89</v>
      </c>
      <c r="O177" s="354">
        <v>213952168.11000001</v>
      </c>
      <c r="S177" s="338"/>
    </row>
    <row r="178" spans="1:20">
      <c r="A178" s="336" t="s">
        <v>288</v>
      </c>
      <c r="B178" s="342"/>
      <c r="C178" s="342"/>
      <c r="D178" s="342"/>
      <c r="E178" s="342"/>
      <c r="F178" s="342"/>
      <c r="G178" s="342"/>
      <c r="H178" s="342"/>
      <c r="I178" s="342"/>
      <c r="J178" s="342">
        <f>I178+1</f>
        <v>1</v>
      </c>
      <c r="K178" s="342">
        <f>J178+1</f>
        <v>2</v>
      </c>
      <c r="L178" s="342">
        <f>K178+1</f>
        <v>3</v>
      </c>
      <c r="N178" s="337"/>
      <c r="O178" s="337"/>
      <c r="S178" s="338"/>
    </row>
    <row r="179" spans="1:20">
      <c r="B179" s="337"/>
      <c r="C179" s="337"/>
      <c r="D179" s="337"/>
      <c r="E179" s="337"/>
      <c r="F179" s="337"/>
      <c r="G179" s="337"/>
      <c r="H179" s="337"/>
      <c r="I179" s="337"/>
      <c r="J179" s="337" t="s">
        <v>122</v>
      </c>
      <c r="K179" s="337" t="s">
        <v>153</v>
      </c>
      <c r="L179" s="337" t="s">
        <v>334</v>
      </c>
      <c r="M179" s="337" t="s">
        <v>407</v>
      </c>
      <c r="N179" s="338" t="s">
        <v>455</v>
      </c>
      <c r="O179" s="338"/>
    </row>
    <row r="180" spans="1:20">
      <c r="A180" s="336" t="s">
        <v>120</v>
      </c>
      <c r="B180" s="337"/>
      <c r="C180" s="337"/>
      <c r="D180" s="337"/>
      <c r="E180" s="337"/>
      <c r="F180" s="337"/>
      <c r="G180" s="337"/>
      <c r="H180" s="337"/>
      <c r="I180" s="337"/>
      <c r="J180" s="337" t="s">
        <v>134</v>
      </c>
      <c r="K180" s="337" t="s">
        <v>134</v>
      </c>
      <c r="L180" s="337" t="s">
        <v>134</v>
      </c>
      <c r="M180" s="337" t="s">
        <v>134</v>
      </c>
      <c r="N180" s="338" t="s">
        <v>134</v>
      </c>
      <c r="O180" s="338"/>
      <c r="S180" s="351"/>
    </row>
    <row r="181" spans="1:20">
      <c r="A181" s="336" t="s">
        <v>59</v>
      </c>
      <c r="B181" s="337"/>
      <c r="C181" s="337"/>
      <c r="D181" s="337"/>
      <c r="E181" s="337"/>
      <c r="F181" s="337"/>
      <c r="G181" s="337"/>
      <c r="H181" s="337"/>
      <c r="I181" s="337"/>
      <c r="J181" s="337" t="s">
        <v>273</v>
      </c>
      <c r="K181" s="337" t="s">
        <v>60</v>
      </c>
      <c r="L181" s="337" t="s">
        <v>60</v>
      </c>
      <c r="M181" s="337" t="s">
        <v>60</v>
      </c>
      <c r="N181" s="338" t="s">
        <v>60</v>
      </c>
      <c r="O181" s="338"/>
      <c r="S181" s="351"/>
    </row>
    <row r="182" spans="1:20">
      <c r="A182" s="341" t="s">
        <v>115</v>
      </c>
      <c r="B182" s="351"/>
      <c r="C182" s="351"/>
      <c r="D182" s="351"/>
      <c r="E182" s="351"/>
      <c r="J182" s="345">
        <v>7843274.1399999997</v>
      </c>
      <c r="K182" s="345">
        <v>117025238.76000001</v>
      </c>
      <c r="L182" s="345">
        <v>443938465.81999999</v>
      </c>
      <c r="M182" s="345">
        <v>458927330.67000002</v>
      </c>
      <c r="N182" s="345">
        <v>721045278.97000003</v>
      </c>
      <c r="O182" s="346">
        <v>729034623.04999995</v>
      </c>
      <c r="P182" s="346"/>
      <c r="Q182" s="346"/>
      <c r="R182" s="346"/>
      <c r="S182" s="350"/>
      <c r="T182" s="345">
        <v>222418738.96000001</v>
      </c>
    </row>
    <row r="183" spans="1:20">
      <c r="A183" s="336" t="s">
        <v>114</v>
      </c>
      <c r="B183" s="351"/>
      <c r="C183" s="351"/>
      <c r="D183" s="351"/>
      <c r="E183" s="351"/>
      <c r="J183" s="345">
        <v>7843274.1399999997</v>
      </c>
      <c r="K183" s="345">
        <v>117025238.76000001</v>
      </c>
      <c r="L183" s="345">
        <v>443938465.81999999</v>
      </c>
      <c r="M183" s="345">
        <v>458927330.67000002</v>
      </c>
      <c r="N183" s="345">
        <v>721045278.97000003</v>
      </c>
      <c r="O183" s="346">
        <v>729034623.04999995</v>
      </c>
      <c r="P183" s="346"/>
      <c r="Q183" s="346"/>
      <c r="R183" s="346"/>
      <c r="S183" s="350"/>
      <c r="T183" s="345">
        <v>222418738.96000001</v>
      </c>
    </row>
    <row r="184" spans="1:20">
      <c r="A184" s="341" t="s">
        <v>113</v>
      </c>
      <c r="B184" s="351"/>
      <c r="C184" s="351"/>
      <c r="D184" s="351"/>
      <c r="E184" s="351"/>
      <c r="J184" s="345">
        <v>400689719.94999999</v>
      </c>
      <c r="K184" s="345">
        <v>288940221.55000001</v>
      </c>
      <c r="L184" s="345">
        <v>1757599595.1800001</v>
      </c>
      <c r="M184" s="345">
        <v>1117345418.45</v>
      </c>
      <c r="N184" s="345">
        <v>1823089178.95</v>
      </c>
      <c r="O184" s="346">
        <v>2103401434.0799999</v>
      </c>
      <c r="P184" s="346"/>
      <c r="Q184" s="346"/>
      <c r="R184" s="346"/>
      <c r="S184" s="348"/>
      <c r="T184" s="345">
        <v>1076249772.6300001</v>
      </c>
    </row>
    <row r="185" spans="1:20">
      <c r="A185" s="336" t="s">
        <v>112</v>
      </c>
      <c r="B185" s="351"/>
      <c r="C185" s="351"/>
      <c r="D185" s="351"/>
      <c r="E185" s="351"/>
      <c r="J185" s="345">
        <v>3000</v>
      </c>
      <c r="K185" s="345">
        <v>117141.89</v>
      </c>
      <c r="L185" s="345">
        <v>141225372.44</v>
      </c>
      <c r="M185" s="345">
        <v>158869961.03999999</v>
      </c>
      <c r="N185" s="345">
        <v>271150663.79000002</v>
      </c>
      <c r="O185" s="346">
        <v>249622353.63999999</v>
      </c>
      <c r="T185" s="345">
        <v>109538425.31999999</v>
      </c>
    </row>
    <row r="186" spans="1:20">
      <c r="A186" s="336" t="s">
        <v>133</v>
      </c>
      <c r="B186" s="351"/>
      <c r="C186" s="351"/>
      <c r="D186" s="351"/>
      <c r="E186" s="351"/>
      <c r="J186" s="345">
        <v>107691.24</v>
      </c>
      <c r="K186" s="345">
        <v>1116731.8700000001</v>
      </c>
      <c r="L186" s="345">
        <v>2550349.44</v>
      </c>
      <c r="M186" s="345">
        <v>2418266.77</v>
      </c>
      <c r="N186" s="345">
        <v>2014980.48</v>
      </c>
      <c r="O186" s="346">
        <v>3215962.98</v>
      </c>
      <c r="T186" s="345">
        <v>580122.13</v>
      </c>
    </row>
    <row r="187" spans="1:20">
      <c r="A187" s="336" t="s">
        <v>111</v>
      </c>
      <c r="B187" s="351"/>
      <c r="C187" s="351"/>
      <c r="D187" s="351"/>
      <c r="E187" s="351"/>
      <c r="J187" s="345">
        <v>120000</v>
      </c>
      <c r="K187" s="345">
        <v>6215957.8799999999</v>
      </c>
      <c r="L187" s="345">
        <v>19013061.899999999</v>
      </c>
      <c r="M187" s="345">
        <v>44926320.270000003</v>
      </c>
      <c r="N187" s="345">
        <v>71424956.120000005</v>
      </c>
      <c r="O187" s="346">
        <v>82709467.680000007</v>
      </c>
      <c r="P187" s="346"/>
      <c r="Q187" s="346"/>
      <c r="R187" s="346"/>
      <c r="T187" s="345">
        <v>43530471.210000001</v>
      </c>
    </row>
    <row r="188" spans="1:20">
      <c r="A188" s="336" t="s">
        <v>110</v>
      </c>
      <c r="B188" s="351"/>
      <c r="C188" s="351"/>
      <c r="D188" s="351"/>
      <c r="E188" s="351"/>
      <c r="J188" s="345">
        <v>372041386.94999999</v>
      </c>
      <c r="K188" s="345">
        <v>44075626.990000002</v>
      </c>
      <c r="L188" s="345">
        <v>1056078874.58</v>
      </c>
      <c r="M188" s="345">
        <v>165096278.74000001</v>
      </c>
      <c r="N188" s="345">
        <v>395692250.36000001</v>
      </c>
      <c r="O188" s="346">
        <v>296634234.19</v>
      </c>
      <c r="P188" s="346"/>
      <c r="Q188" s="346"/>
      <c r="R188" s="346"/>
      <c r="T188" s="345">
        <v>256846368.88</v>
      </c>
    </row>
    <row r="189" spans="1:20">
      <c r="A189" s="336" t="s">
        <v>248</v>
      </c>
      <c r="B189" s="351"/>
      <c r="C189" s="348"/>
      <c r="D189" s="351"/>
      <c r="E189" s="351"/>
      <c r="J189" s="345">
        <v>29861853.170000002</v>
      </c>
      <c r="K189" s="345">
        <v>240111843.41</v>
      </c>
      <c r="L189" s="345">
        <v>543045384.14999998</v>
      </c>
      <c r="M189" s="345">
        <v>768280263.58000004</v>
      </c>
      <c r="N189" s="345">
        <v>1135740569.8599999</v>
      </c>
      <c r="O189" s="346">
        <v>1523106378.3800001</v>
      </c>
      <c r="P189" s="346"/>
      <c r="Q189" s="346"/>
      <c r="R189" s="346"/>
      <c r="T189" s="345">
        <v>704440111.26999998</v>
      </c>
    </row>
    <row r="190" spans="1:20">
      <c r="A190" s="336" t="s">
        <v>109</v>
      </c>
      <c r="B190" s="351"/>
      <c r="C190" s="351"/>
      <c r="D190" s="351"/>
      <c r="E190" s="351"/>
      <c r="J190" s="345">
        <v>-1444211.41</v>
      </c>
      <c r="K190" s="345">
        <v>-2697080.49</v>
      </c>
      <c r="L190" s="345">
        <v>-4313447.33</v>
      </c>
      <c r="M190" s="345">
        <v>-22245671.949999999</v>
      </c>
      <c r="N190" s="345">
        <v>-52934241.659999996</v>
      </c>
      <c r="O190" s="346">
        <v>-51886962.789999999</v>
      </c>
      <c r="P190" s="346"/>
      <c r="Q190" s="346"/>
      <c r="R190" s="346"/>
      <c r="T190" s="345">
        <v>-38685726.18</v>
      </c>
    </row>
    <row r="191" spans="1:20">
      <c r="A191" s="336" t="s">
        <v>249</v>
      </c>
      <c r="B191" s="351"/>
      <c r="C191" s="351"/>
      <c r="D191" s="351"/>
      <c r="E191" s="351"/>
      <c r="J191" s="344"/>
      <c r="K191" s="344"/>
      <c r="L191" s="344"/>
      <c r="M191" s="344"/>
      <c r="N191" s="345">
        <v>3402646.44</v>
      </c>
      <c r="O191" s="346">
        <v>4022428.34</v>
      </c>
      <c r="S191" s="351"/>
      <c r="T191" s="345">
        <v>2296743.86</v>
      </c>
    </row>
    <row r="192" spans="1:20">
      <c r="A192" s="336" t="s">
        <v>250</v>
      </c>
      <c r="B192" s="351"/>
      <c r="C192" s="348"/>
      <c r="D192" s="351"/>
      <c r="E192" s="351"/>
      <c r="J192" s="345">
        <v>1453726.52</v>
      </c>
      <c r="K192" s="345">
        <v>3716668.49</v>
      </c>
      <c r="L192" s="345">
        <v>5125345.96</v>
      </c>
      <c r="M192" s="345">
        <v>22136749.280000001</v>
      </c>
      <c r="N192" s="345">
        <v>59527839.390000001</v>
      </c>
      <c r="O192" s="346">
        <v>50460995.520000003</v>
      </c>
      <c r="T192" s="345">
        <v>43023935.07</v>
      </c>
    </row>
    <row r="193" spans="1:20">
      <c r="A193" s="336" t="s">
        <v>108</v>
      </c>
      <c r="B193" s="351"/>
      <c r="C193" s="351"/>
      <c r="D193" s="351"/>
      <c r="E193" s="351"/>
      <c r="J193" s="344"/>
      <c r="K193" s="344"/>
      <c r="L193" s="345">
        <v>-2329542.21</v>
      </c>
      <c r="M193" s="345">
        <v>-8647670.3200000003</v>
      </c>
      <c r="N193" s="345">
        <v>-24517980.530000001</v>
      </c>
      <c r="O193" s="346">
        <v>-196429673.19</v>
      </c>
      <c r="P193" s="346"/>
      <c r="Q193" s="346"/>
      <c r="R193" s="346"/>
      <c r="T193" s="345">
        <v>-13791348.109999999</v>
      </c>
    </row>
    <row r="194" spans="1:20">
      <c r="A194" s="336" t="s">
        <v>251</v>
      </c>
      <c r="B194" s="351"/>
      <c r="C194" s="351"/>
      <c r="D194" s="351"/>
      <c r="E194" s="351"/>
      <c r="J194" s="344"/>
      <c r="K194" s="344"/>
      <c r="L194" s="345">
        <v>-174935</v>
      </c>
      <c r="M194" s="345">
        <v>-5045443.8499999996</v>
      </c>
      <c r="N194" s="345">
        <v>-8889772.2599999998</v>
      </c>
      <c r="O194" s="346">
        <v>-117216228.59</v>
      </c>
      <c r="P194" s="346"/>
      <c r="Q194" s="346"/>
      <c r="R194" s="346"/>
      <c r="T194" s="345">
        <v>-5329439.38</v>
      </c>
    </row>
    <row r="195" spans="1:20">
      <c r="A195" s="336" t="s">
        <v>274</v>
      </c>
      <c r="B195" s="351"/>
      <c r="C195" s="351"/>
      <c r="D195" s="351"/>
      <c r="E195" s="351"/>
      <c r="J195" s="345">
        <v>8240134.7199999997</v>
      </c>
      <c r="K195" s="345">
        <v>69144705.799999997</v>
      </c>
      <c r="L195" s="345">
        <v>33873075.909999996</v>
      </c>
      <c r="M195" s="345">
        <v>119213779.27</v>
      </c>
      <c r="N195" s="345">
        <v>221140152.24000001</v>
      </c>
      <c r="O195" s="346">
        <v>272792561.04000002</v>
      </c>
      <c r="P195" s="346"/>
      <c r="Q195" s="346"/>
      <c r="R195" s="346"/>
      <c r="T195" s="345">
        <v>172735486.25999999</v>
      </c>
    </row>
    <row r="196" spans="1:20">
      <c r="A196" s="336" t="s">
        <v>106</v>
      </c>
      <c r="B196" s="351"/>
      <c r="C196" s="351"/>
      <c r="D196" s="351"/>
      <c r="E196" s="351"/>
      <c r="J196" s="345">
        <v>2992160.45</v>
      </c>
      <c r="K196" s="345">
        <v>62381326.899999999</v>
      </c>
      <c r="L196" s="345">
        <v>103975338.16</v>
      </c>
      <c r="M196" s="345">
        <v>118437631.09</v>
      </c>
      <c r="N196" s="345">
        <v>90102977.420000002</v>
      </c>
      <c r="O196" s="346">
        <v>91394863.859999999</v>
      </c>
      <c r="T196" s="345">
        <v>70706030.060000002</v>
      </c>
    </row>
    <row r="197" spans="1:20">
      <c r="A197" s="336" t="s">
        <v>105</v>
      </c>
      <c r="B197" s="351"/>
      <c r="C197" s="351"/>
      <c r="D197" s="351"/>
      <c r="E197" s="351"/>
      <c r="J197" s="344"/>
      <c r="K197" s="344"/>
      <c r="L197" s="345">
        <v>-8.92</v>
      </c>
      <c r="M197" s="345">
        <v>-21285.46</v>
      </c>
      <c r="N197" s="345">
        <v>-529681.4</v>
      </c>
      <c r="O197" s="346">
        <v>28208865.25</v>
      </c>
      <c r="T197" s="345">
        <v>-458388.35</v>
      </c>
    </row>
    <row r="198" spans="1:20">
      <c r="A198" s="336" t="s">
        <v>107</v>
      </c>
      <c r="B198" s="351"/>
      <c r="C198" s="351"/>
      <c r="D198" s="351"/>
      <c r="E198" s="351"/>
      <c r="J198" s="345">
        <v>913737.4</v>
      </c>
      <c r="K198" s="345">
        <v>-913737.4</v>
      </c>
      <c r="L198" s="344"/>
      <c r="M198" s="344"/>
      <c r="N198" s="345"/>
      <c r="O198" s="345"/>
      <c r="T198" s="344"/>
    </row>
    <row r="199" spans="1:20">
      <c r="A199" s="336" t="s">
        <v>155</v>
      </c>
      <c r="B199" s="351"/>
      <c r="C199" s="351"/>
      <c r="D199" s="351"/>
      <c r="E199" s="351"/>
      <c r="J199" s="344"/>
      <c r="K199" s="345">
        <v>-28796.720000000001</v>
      </c>
      <c r="L199" s="344"/>
      <c r="M199" s="344"/>
      <c r="N199" s="345"/>
      <c r="O199" s="345"/>
      <c r="P199" s="346"/>
      <c r="Q199" s="346"/>
      <c r="R199" s="346"/>
      <c r="T199" s="344"/>
    </row>
    <row r="200" spans="1:20">
      <c r="A200" s="341" t="s">
        <v>104</v>
      </c>
      <c r="B200" s="351"/>
      <c r="C200" s="351"/>
      <c r="D200" s="351"/>
      <c r="E200" s="351"/>
      <c r="J200" s="345">
        <v>-380700413.24000001</v>
      </c>
      <c r="K200" s="345">
        <v>-41331484.210000001</v>
      </c>
      <c r="L200" s="345">
        <v>-1178317192.5</v>
      </c>
      <c r="M200" s="345">
        <v>-434459791.58999997</v>
      </c>
      <c r="N200" s="345">
        <v>-824208523.11000001</v>
      </c>
      <c r="O200" s="346">
        <v>-1324251254.5699999</v>
      </c>
      <c r="P200" s="346"/>
      <c r="Q200" s="346"/>
      <c r="R200" s="346"/>
      <c r="T200" s="345">
        <v>-629510304.84000003</v>
      </c>
    </row>
    <row r="201" spans="1:20">
      <c r="A201" s="336" t="s">
        <v>103</v>
      </c>
      <c r="B201" s="351"/>
      <c r="C201" s="351"/>
      <c r="D201" s="351"/>
      <c r="E201" s="351"/>
      <c r="J201" s="344"/>
      <c r="K201" s="345">
        <v>285613.78999999998</v>
      </c>
      <c r="L201" s="344"/>
      <c r="M201" s="345">
        <v>150710.07999999999</v>
      </c>
      <c r="N201" s="345">
        <v>461927.24</v>
      </c>
      <c r="O201" s="346">
        <v>1613622.14</v>
      </c>
      <c r="T201" s="345">
        <v>205873</v>
      </c>
    </row>
    <row r="202" spans="1:20">
      <c r="A202" s="336" t="s">
        <v>102</v>
      </c>
      <c r="B202" s="351"/>
      <c r="C202" s="351"/>
      <c r="D202" s="351"/>
      <c r="E202" s="351"/>
      <c r="J202" s="344"/>
      <c r="K202" s="345">
        <v>636.95000000000005</v>
      </c>
      <c r="L202" s="345">
        <v>808138.93</v>
      </c>
      <c r="M202" s="345">
        <v>200249.65</v>
      </c>
      <c r="N202" s="345">
        <v>76430.039999999994</v>
      </c>
      <c r="O202" s="346">
        <v>93256.69</v>
      </c>
      <c r="T202" s="345">
        <v>42844.26</v>
      </c>
    </row>
    <row r="203" spans="1:20">
      <c r="A203" s="336" t="s">
        <v>101</v>
      </c>
      <c r="B203" s="351"/>
      <c r="C203" s="351"/>
      <c r="D203" s="351"/>
      <c r="E203" s="351"/>
      <c r="J203" s="344"/>
      <c r="K203" s="344"/>
      <c r="L203" s="344"/>
      <c r="M203" s="344"/>
      <c r="N203" s="345"/>
      <c r="O203" s="345"/>
      <c r="T203" s="344"/>
    </row>
    <row r="204" spans="1:20" ht="16.5" customHeight="1">
      <c r="A204" s="341" t="s">
        <v>100</v>
      </c>
      <c r="B204" s="351"/>
      <c r="C204" s="351"/>
      <c r="D204" s="351"/>
      <c r="E204" s="351"/>
      <c r="J204" s="345">
        <v>-380700413.24000001</v>
      </c>
      <c r="K204" s="345">
        <v>-41046507.369999997</v>
      </c>
      <c r="L204" s="345">
        <v>-1179125331.4300001</v>
      </c>
      <c r="M204" s="345">
        <v>-434509331.16000003</v>
      </c>
      <c r="N204" s="345">
        <v>-823823025.90999997</v>
      </c>
      <c r="O204" s="346">
        <v>-1322730889.1199999</v>
      </c>
      <c r="T204" s="345">
        <v>-629347276.10000002</v>
      </c>
    </row>
    <row r="205" spans="1:20">
      <c r="A205" s="336" t="s">
        <v>99</v>
      </c>
      <c r="B205" s="351"/>
      <c r="C205" s="351"/>
      <c r="D205" s="351"/>
      <c r="E205" s="351"/>
      <c r="J205" s="344"/>
      <c r="K205" s="344"/>
      <c r="L205" s="344"/>
      <c r="M205" s="344"/>
      <c r="N205" s="345">
        <v>5991451.5199999996</v>
      </c>
      <c r="O205" s="346">
        <v>2275952.0499999998</v>
      </c>
      <c r="T205" s="345">
        <v>128577.92</v>
      </c>
    </row>
    <row r="206" spans="1:20">
      <c r="A206" s="341" t="s">
        <v>98</v>
      </c>
      <c r="B206" s="351"/>
      <c r="C206" s="351"/>
      <c r="D206" s="351"/>
      <c r="E206" s="351"/>
      <c r="J206" s="345">
        <v>-380700413.24000001</v>
      </c>
      <c r="K206" s="345">
        <v>-41046507.369999997</v>
      </c>
      <c r="L206" s="345">
        <v>-1179125331.4300001</v>
      </c>
      <c r="M206" s="345">
        <v>-434509331.16000003</v>
      </c>
      <c r="N206" s="345">
        <v>-829814477.42999995</v>
      </c>
      <c r="O206" s="346">
        <v>-1325006841.1700001</v>
      </c>
      <c r="T206" s="345">
        <v>-629475854.01999998</v>
      </c>
    </row>
    <row r="207" spans="1:20">
      <c r="A207" s="336" t="s">
        <v>154</v>
      </c>
      <c r="B207" s="351"/>
      <c r="C207" s="351"/>
      <c r="D207" s="351"/>
      <c r="E207" s="351"/>
      <c r="J207" s="345">
        <v>-380700413.24000001</v>
      </c>
      <c r="K207" s="345">
        <v>-41046507.369999997</v>
      </c>
      <c r="L207" s="345">
        <v>-1179125331.4300001</v>
      </c>
      <c r="M207" s="345">
        <v>-434509331.16000003</v>
      </c>
      <c r="N207" s="345">
        <v>-829814477.42999995</v>
      </c>
      <c r="O207" s="346">
        <v>-1325006841.1700001</v>
      </c>
      <c r="T207" s="345">
        <v>-629475854.01999998</v>
      </c>
    </row>
    <row r="208" spans="1:20">
      <c r="A208" s="336" t="s">
        <v>97</v>
      </c>
      <c r="B208" s="351"/>
      <c r="C208" s="351"/>
      <c r="D208" s="351"/>
      <c r="E208" s="351"/>
      <c r="J208" s="344"/>
      <c r="K208" s="344"/>
      <c r="L208" s="345">
        <v>-139681.9</v>
      </c>
      <c r="M208" s="344"/>
      <c r="N208" s="345">
        <v>-4865068.32</v>
      </c>
      <c r="O208" s="346">
        <v>-68444319.170000002</v>
      </c>
      <c r="T208" s="345">
        <v>-17377.7</v>
      </c>
    </row>
    <row r="209" spans="1:20">
      <c r="A209" s="336" t="s">
        <v>96</v>
      </c>
      <c r="B209" s="351"/>
      <c r="C209" s="351"/>
      <c r="D209" s="351"/>
      <c r="E209" s="351"/>
      <c r="J209" s="345">
        <v>-380700413.24000001</v>
      </c>
      <c r="K209" s="345">
        <v>-41046507.369999997</v>
      </c>
      <c r="L209" s="345">
        <v>-1178985649.53</v>
      </c>
      <c r="M209" s="345">
        <v>-434509331.16000003</v>
      </c>
      <c r="N209" s="345">
        <v>-824949409.11000001</v>
      </c>
      <c r="O209" s="346">
        <v>-1256562522</v>
      </c>
      <c r="T209" s="345">
        <v>-629458476.32000005</v>
      </c>
    </row>
    <row r="210" spans="1:20">
      <c r="A210" s="336" t="s">
        <v>95</v>
      </c>
      <c r="B210" s="351"/>
      <c r="C210" s="351"/>
      <c r="D210" s="351"/>
      <c r="E210" s="351"/>
      <c r="J210" s="344"/>
      <c r="K210" s="344"/>
      <c r="L210" s="344"/>
      <c r="M210" s="344"/>
      <c r="N210" s="345"/>
      <c r="O210" s="345"/>
      <c r="T210" s="344"/>
    </row>
    <row r="211" spans="1:20">
      <c r="A211" s="341" t="s">
        <v>94</v>
      </c>
      <c r="B211" s="351"/>
      <c r="C211" s="351"/>
      <c r="D211" s="351"/>
      <c r="E211" s="351"/>
      <c r="J211" s="345">
        <v>-380700413.24000001</v>
      </c>
      <c r="K211" s="345">
        <v>-41046507.369999997</v>
      </c>
      <c r="L211" s="345">
        <v>-1179125331.4300001</v>
      </c>
      <c r="M211" s="345">
        <v>-434509331.16000003</v>
      </c>
      <c r="N211" s="345">
        <v>-829814477.42999995</v>
      </c>
      <c r="O211" s="346">
        <v>-1325006841.1700001</v>
      </c>
      <c r="T211" s="345">
        <v>-629475854.01999998</v>
      </c>
    </row>
    <row r="212" spans="1:20">
      <c r="A212" s="336" t="s">
        <v>93</v>
      </c>
      <c r="B212" s="351"/>
      <c r="C212" s="351"/>
      <c r="D212" s="351"/>
      <c r="E212" s="351"/>
      <c r="J212" s="344"/>
      <c r="K212" s="344"/>
      <c r="L212" s="345">
        <v>-139681.9</v>
      </c>
      <c r="M212" s="344"/>
      <c r="N212" s="345">
        <v>-4865068.32</v>
      </c>
      <c r="O212" s="346">
        <v>-68444319.170000002</v>
      </c>
      <c r="T212" s="345">
        <v>-17377.7</v>
      </c>
    </row>
    <row r="213" spans="1:20">
      <c r="A213" s="336" t="s">
        <v>92</v>
      </c>
      <c r="B213" s="351"/>
      <c r="C213" s="351"/>
      <c r="D213" s="351"/>
      <c r="E213" s="351"/>
      <c r="J213" s="345">
        <v>-380700413.24000001</v>
      </c>
      <c r="K213" s="345">
        <v>-41046507.369999997</v>
      </c>
      <c r="L213" s="345">
        <v>-1178985649.53</v>
      </c>
      <c r="M213" s="345">
        <v>-434509331.16000003</v>
      </c>
      <c r="N213" s="345">
        <v>-824949409.11000001</v>
      </c>
      <c r="O213" s="346">
        <v>-1256562522</v>
      </c>
      <c r="T213" s="345">
        <v>-629458476.32000005</v>
      </c>
    </row>
    <row r="214" spans="1:20">
      <c r="A214" s="341" t="s">
        <v>132</v>
      </c>
      <c r="B214" s="351"/>
      <c r="C214" s="351"/>
      <c r="D214" s="351"/>
      <c r="E214" s="351"/>
      <c r="J214" s="344"/>
      <c r="K214" s="344"/>
      <c r="L214" s="344"/>
      <c r="M214" s="344"/>
      <c r="N214" s="345"/>
      <c r="O214" s="339"/>
      <c r="T214" s="344"/>
    </row>
    <row r="215" spans="1:20">
      <c r="A215" s="336" t="s">
        <v>131</v>
      </c>
      <c r="B215" s="351"/>
      <c r="C215" s="351"/>
      <c r="D215" s="351"/>
      <c r="E215" s="351"/>
      <c r="J215" s="344"/>
      <c r="K215" s="344"/>
      <c r="L215" s="352">
        <v>-3.27</v>
      </c>
      <c r="M215" s="352">
        <v>-1.1499999999999999</v>
      </c>
      <c r="N215" s="338">
        <v>-2.06</v>
      </c>
      <c r="O215" s="346">
        <v>-3.14</v>
      </c>
      <c r="T215" s="352">
        <v>-1.57</v>
      </c>
    </row>
    <row r="216" spans="1:20">
      <c r="A216" s="336" t="s">
        <v>130</v>
      </c>
      <c r="B216" s="351"/>
      <c r="C216" s="351"/>
      <c r="D216" s="351"/>
      <c r="E216" s="351"/>
      <c r="J216" s="344"/>
      <c r="K216" s="344"/>
      <c r="L216" s="352">
        <v>-3.27</v>
      </c>
      <c r="M216" s="352">
        <v>-1.1499999999999999</v>
      </c>
      <c r="N216" s="338">
        <v>-2.06</v>
      </c>
      <c r="O216" s="346">
        <v>-3.14</v>
      </c>
      <c r="T216" s="352">
        <v>-1.57</v>
      </c>
    </row>
    <row r="217" spans="1:20">
      <c r="A217" s="336" t="s">
        <v>91</v>
      </c>
      <c r="B217" s="351"/>
      <c r="C217" s="351"/>
      <c r="D217" s="351"/>
      <c r="E217" s="351"/>
      <c r="J217" s="338" t="s">
        <v>26</v>
      </c>
      <c r="K217" s="338" t="s">
        <v>26</v>
      </c>
      <c r="L217" s="338" t="s">
        <v>26</v>
      </c>
      <c r="M217" s="338" t="s">
        <v>26</v>
      </c>
      <c r="N217" s="338"/>
      <c r="O217" s="339" t="s">
        <v>26</v>
      </c>
      <c r="T217" s="338" t="s">
        <v>26</v>
      </c>
    </row>
    <row r="218" spans="1:20">
      <c r="A218" s="336" t="s">
        <v>90</v>
      </c>
      <c r="B218" s="351"/>
      <c r="C218" s="351"/>
      <c r="D218" s="351"/>
      <c r="E218" s="351"/>
      <c r="J218" s="338" t="s">
        <v>26</v>
      </c>
      <c r="K218" s="338" t="s">
        <v>26</v>
      </c>
      <c r="L218" s="338" t="s">
        <v>26</v>
      </c>
      <c r="M218" s="338" t="s">
        <v>26</v>
      </c>
      <c r="N218" s="338"/>
      <c r="O218" s="339" t="s">
        <v>26</v>
      </c>
      <c r="T218" s="338" t="s">
        <v>26</v>
      </c>
    </row>
    <row r="219" spans="1:20">
      <c r="A219" s="336" t="s">
        <v>89</v>
      </c>
      <c r="B219" s="351"/>
      <c r="C219" s="351"/>
      <c r="D219" s="351"/>
      <c r="E219" s="351"/>
      <c r="J219" s="338" t="s">
        <v>365</v>
      </c>
      <c r="K219" s="338" t="s">
        <v>365</v>
      </c>
      <c r="L219" s="338" t="s">
        <v>365</v>
      </c>
      <c r="M219" s="338" t="s">
        <v>365</v>
      </c>
      <c r="N219" s="338"/>
      <c r="O219" s="355">
        <v>1</v>
      </c>
      <c r="T219" s="338" t="s">
        <v>365</v>
      </c>
    </row>
    <row r="220" spans="1:20">
      <c r="A220" s="336" t="s">
        <v>88</v>
      </c>
      <c r="B220" s="351"/>
      <c r="C220" s="351"/>
      <c r="D220" s="351"/>
      <c r="E220" s="351"/>
      <c r="J220" s="338" t="s">
        <v>158</v>
      </c>
      <c r="K220" s="338" t="s">
        <v>158</v>
      </c>
      <c r="L220" s="338" t="s">
        <v>158</v>
      </c>
      <c r="M220" s="338" t="s">
        <v>158</v>
      </c>
      <c r="N220" s="338"/>
      <c r="O220" s="339" t="s">
        <v>158</v>
      </c>
      <c r="T220" s="338" t="s">
        <v>158</v>
      </c>
    </row>
    <row r="221" spans="1:20">
      <c r="A221" s="336" t="s">
        <v>252</v>
      </c>
      <c r="B221" s="351"/>
      <c r="C221" s="351"/>
      <c r="D221" s="351"/>
      <c r="E221" s="351"/>
      <c r="J221" s="338" t="s">
        <v>420</v>
      </c>
      <c r="K221" s="338" t="s">
        <v>420</v>
      </c>
      <c r="L221" s="338" t="s">
        <v>420</v>
      </c>
      <c r="M221" s="338" t="s">
        <v>420</v>
      </c>
      <c r="N221" s="338"/>
      <c r="O221" s="346">
        <v>15</v>
      </c>
      <c r="T221" s="344"/>
    </row>
    <row r="222" spans="1:20">
      <c r="A222" s="336" t="s">
        <v>253</v>
      </c>
      <c r="B222" s="351"/>
      <c r="C222" s="351"/>
      <c r="D222" s="351"/>
      <c r="E222" s="351"/>
      <c r="J222" s="338" t="s">
        <v>421</v>
      </c>
      <c r="K222" s="338" t="s">
        <v>421</v>
      </c>
      <c r="L222" s="338" t="s">
        <v>421</v>
      </c>
      <c r="M222" s="338" t="s">
        <v>421</v>
      </c>
      <c r="N222" s="344"/>
      <c r="O222" s="339"/>
      <c r="T222" s="344"/>
    </row>
    <row r="223" spans="1:20">
      <c r="A223" s="336" t="s">
        <v>129</v>
      </c>
      <c r="B223" s="351"/>
      <c r="C223" s="351"/>
      <c r="D223" s="351"/>
      <c r="E223" s="351"/>
      <c r="J223" s="338" t="s">
        <v>408</v>
      </c>
      <c r="K223" s="338" t="s">
        <v>408</v>
      </c>
      <c r="L223" s="338" t="s">
        <v>408</v>
      </c>
      <c r="M223" s="338" t="s">
        <v>408</v>
      </c>
      <c r="N223" s="344"/>
      <c r="O223" s="339" t="s">
        <v>408</v>
      </c>
      <c r="T223" s="344"/>
    </row>
    <row r="224" spans="1:20">
      <c r="A224" s="336" t="s">
        <v>254</v>
      </c>
      <c r="B224" s="351"/>
      <c r="C224" s="351"/>
      <c r="D224" s="351"/>
      <c r="E224" s="351"/>
      <c r="J224" s="344"/>
      <c r="K224" s="344"/>
      <c r="L224" s="344"/>
      <c r="M224" s="344"/>
      <c r="N224" s="344"/>
      <c r="O224" s="344"/>
      <c r="T224" s="344"/>
    </row>
    <row r="225" spans="1:20">
      <c r="A225" s="336" t="s">
        <v>255</v>
      </c>
      <c r="B225" s="351"/>
      <c r="C225" s="351"/>
      <c r="D225" s="351"/>
      <c r="E225" s="351"/>
      <c r="J225" s="344"/>
      <c r="K225" s="344"/>
      <c r="L225" s="344"/>
      <c r="M225" s="344"/>
      <c r="N225" s="338"/>
      <c r="O225" s="338"/>
      <c r="T225" s="344"/>
    </row>
    <row r="226" spans="1:20">
      <c r="A226" s="336" t="s">
        <v>87</v>
      </c>
      <c r="B226" s="351"/>
      <c r="C226" s="351"/>
      <c r="D226" s="351"/>
      <c r="E226" s="351"/>
      <c r="J226" s="344"/>
      <c r="K226" s="344"/>
      <c r="L226" s="344"/>
      <c r="M226" s="344"/>
      <c r="N226" s="338"/>
      <c r="O226" s="338"/>
      <c r="T226" s="344"/>
    </row>
    <row r="227" spans="1:20">
      <c r="A227" s="336" t="s">
        <v>128</v>
      </c>
      <c r="B227" s="351"/>
      <c r="C227" s="351"/>
      <c r="D227" s="351"/>
      <c r="E227" s="351"/>
      <c r="J227" s="338" t="s">
        <v>350</v>
      </c>
      <c r="K227" s="338" t="s">
        <v>350</v>
      </c>
      <c r="L227" s="338" t="s">
        <v>350</v>
      </c>
      <c r="M227" s="338" t="s">
        <v>422</v>
      </c>
      <c r="T227" s="338" t="s">
        <v>423</v>
      </c>
    </row>
    <row r="228" spans="1:20">
      <c r="J228" s="338" t="s">
        <v>409</v>
      </c>
      <c r="K228" s="338" t="s">
        <v>409</v>
      </c>
      <c r="L228" s="338" t="s">
        <v>409</v>
      </c>
      <c r="M228" s="338" t="s">
        <v>409</v>
      </c>
      <c r="N228" s="351"/>
      <c r="O228" s="351"/>
      <c r="T228" s="338" t="s">
        <v>409</v>
      </c>
    </row>
    <row r="229" spans="1:20">
      <c r="A229" s="356" t="s">
        <v>146</v>
      </c>
      <c r="B229" s="356"/>
      <c r="C229" s="356"/>
      <c r="N229" s="351"/>
      <c r="O229" s="351"/>
    </row>
    <row r="230" spans="1:20">
      <c r="A230" s="336" t="s">
        <v>170</v>
      </c>
      <c r="B230" s="351"/>
      <c r="C230" s="351"/>
      <c r="D230" s="351"/>
      <c r="E230" s="351"/>
      <c r="F230" s="351"/>
      <c r="G230" s="351"/>
      <c r="H230" s="351"/>
      <c r="I230" s="351"/>
      <c r="J230" s="351">
        <v>0</v>
      </c>
      <c r="K230" s="351">
        <v>993500</v>
      </c>
      <c r="L230" s="351">
        <v>740847.66</v>
      </c>
      <c r="M230" s="351">
        <v>-200410.13</v>
      </c>
      <c r="N230" s="351">
        <v>3103447.12</v>
      </c>
      <c r="O230" s="351">
        <v>-5577534.6600000001</v>
      </c>
    </row>
    <row r="231" spans="1:20">
      <c r="D231" s="351"/>
      <c r="K231" s="351"/>
      <c r="L231" s="351"/>
      <c r="M231" s="351"/>
      <c r="N231" s="351"/>
      <c r="O231" s="351"/>
    </row>
    <row r="232" spans="1:20">
      <c r="A232" s="336" t="s">
        <v>293</v>
      </c>
      <c r="B232" s="350"/>
      <c r="C232" s="350"/>
      <c r="D232" s="350"/>
      <c r="E232" s="350"/>
      <c r="F232" s="350"/>
      <c r="G232" s="350"/>
      <c r="H232" s="350"/>
      <c r="I232" s="350"/>
      <c r="J232" s="350"/>
      <c r="K232" s="350"/>
      <c r="L232" s="350"/>
      <c r="M232" s="350"/>
      <c r="N232" s="351"/>
      <c r="O232" s="351"/>
    </row>
    <row r="233" spans="1:20">
      <c r="A233" s="336" t="s">
        <v>294</v>
      </c>
      <c r="B233" s="350"/>
      <c r="C233" s="350"/>
      <c r="D233" s="350"/>
      <c r="E233" s="350"/>
      <c r="F233" s="350"/>
      <c r="G233" s="350"/>
      <c r="H233" s="350"/>
      <c r="I233" s="350"/>
      <c r="J233" s="350">
        <f>J195</f>
        <v>8240134.7199999997</v>
      </c>
      <c r="K233" s="350">
        <f>K195</f>
        <v>69144705.799999997</v>
      </c>
      <c r="L233" s="350">
        <f>33873075.91</f>
        <v>33873075.909999996</v>
      </c>
      <c r="M233" s="350">
        <v>119213779.27</v>
      </c>
      <c r="N233" s="351">
        <v>221140152.24000001</v>
      </c>
      <c r="O233" s="351">
        <v>272792561.04000002</v>
      </c>
    </row>
    <row r="234" spans="1:20">
      <c r="A234" s="336" t="s">
        <v>295</v>
      </c>
      <c r="B234" s="350"/>
      <c r="C234" s="350"/>
      <c r="D234" s="350"/>
      <c r="E234" s="350"/>
      <c r="F234" s="350"/>
      <c r="G234" s="348"/>
      <c r="H234" s="348"/>
      <c r="I234" s="348"/>
      <c r="J234" s="348"/>
      <c r="K234" s="348"/>
      <c r="L234" s="348"/>
      <c r="M234" s="348"/>
    </row>
    <row r="235" spans="1:20">
      <c r="D235" s="357"/>
      <c r="E235" s="357"/>
      <c r="F235" s="357"/>
      <c r="G235" s="357"/>
      <c r="H235" s="357"/>
      <c r="I235" s="357"/>
      <c r="J235" s="350"/>
      <c r="K235" s="350"/>
      <c r="L235" s="350"/>
    </row>
    <row r="236" spans="1:20">
      <c r="A236" s="358" t="s">
        <v>298</v>
      </c>
      <c r="B236" s="359"/>
      <c r="C236" s="359"/>
      <c r="D236" s="359"/>
      <c r="E236" s="359"/>
      <c r="F236" s="359"/>
      <c r="G236" s="359"/>
      <c r="H236" s="359"/>
      <c r="I236" s="359"/>
      <c r="J236" s="359"/>
      <c r="K236" s="359"/>
      <c r="L236" s="359"/>
    </row>
    <row r="237" spans="1:20">
      <c r="A237" s="336" t="s">
        <v>299</v>
      </c>
      <c r="B237" s="360"/>
      <c r="C237" s="360"/>
      <c r="D237" s="360"/>
      <c r="E237" s="360"/>
      <c r="F237" s="360"/>
      <c r="G237" s="360"/>
      <c r="H237" s="360"/>
      <c r="I237" s="360"/>
      <c r="J237" s="360"/>
      <c r="K237" s="360"/>
      <c r="L237" s="350"/>
    </row>
    <row r="238" spans="1:20">
      <c r="A238" s="336" t="s">
        <v>297</v>
      </c>
      <c r="D238" s="350"/>
      <c r="E238" s="350"/>
      <c r="F238" s="350"/>
      <c r="G238" s="350"/>
      <c r="H238" s="350"/>
      <c r="I238" s="350"/>
      <c r="J238" s="350"/>
      <c r="K238" s="350"/>
      <c r="L238" s="350"/>
    </row>
    <row r="239" spans="1:20">
      <c r="A239" s="336" t="s">
        <v>300</v>
      </c>
      <c r="D239" s="350"/>
      <c r="E239" s="350"/>
      <c r="F239" s="350"/>
      <c r="G239" s="350"/>
      <c r="H239" s="350"/>
      <c r="I239" s="350"/>
      <c r="J239" s="350"/>
      <c r="K239" s="350"/>
      <c r="L239" s="350"/>
      <c r="N239" s="351"/>
      <c r="O239" s="351"/>
    </row>
    <row r="240" spans="1:20">
      <c r="A240" s="336" t="s">
        <v>301</v>
      </c>
      <c r="D240" s="360"/>
      <c r="E240" s="360"/>
      <c r="F240" s="360"/>
      <c r="G240" s="350"/>
      <c r="H240" s="350"/>
      <c r="I240" s="350"/>
      <c r="J240" s="350"/>
      <c r="K240" s="350"/>
      <c r="L240" s="350"/>
    </row>
    <row r="241" spans="1:13">
      <c r="A241" s="336" t="s">
        <v>0</v>
      </c>
      <c r="G241" s="351"/>
      <c r="H241" s="351"/>
      <c r="I241" s="351"/>
      <c r="J241" s="351"/>
      <c r="K241" s="351"/>
      <c r="L241" s="351"/>
      <c r="M241" s="351"/>
    </row>
    <row r="242" spans="1:13">
      <c r="I242" s="360"/>
    </row>
    <row r="250" spans="1:13">
      <c r="A250" s="336" t="s">
        <v>312</v>
      </c>
      <c r="B250" s="361"/>
      <c r="C250" s="361"/>
      <c r="D250" s="361"/>
      <c r="E250" s="361"/>
      <c r="F250" s="361"/>
      <c r="G250" s="361"/>
      <c r="H250" s="361"/>
      <c r="I250" s="361"/>
      <c r="J250" s="361"/>
      <c r="K250" s="361"/>
      <c r="L250" s="361"/>
    </row>
  </sheetData>
  <pageMargins left="0.7" right="0.7" top="0.75" bottom="0.75" header="0.3" footer="0.3"/>
  <pageSetup paperSize="9" orientation="portrait" horizontalDpi="300" verticalDpi="300" r:id="rId1"/>
  <customProperties>
    <customPr name="Qube.Worksheet.Visibility" r:id="rId2"/>
    <customPr name="SHEET_UNIQUE_ID" r:id="rId3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BW463"/>
  <sheetViews>
    <sheetView topLeftCell="AU1" workbookViewId="0">
      <selection activeCell="A23" sqref="A1:XFD1048576"/>
    </sheetView>
  </sheetViews>
  <sheetFormatPr defaultColWidth="9.28515625" defaultRowHeight="12.75"/>
  <cols>
    <col min="1" max="1" width="42.42578125" style="357" customWidth="1"/>
    <col min="2" max="2" width="19.7109375" style="357" hidden="1" customWidth="1"/>
    <col min="3" max="6" width="13.7109375" style="357" hidden="1" customWidth="1"/>
    <col min="7" max="7" width="17" style="357" hidden="1" customWidth="1"/>
    <col min="8" max="8" width="15.28515625" style="357" hidden="1" customWidth="1"/>
    <col min="9" max="9" width="15.42578125" style="357" hidden="1" customWidth="1"/>
    <col min="10" max="10" width="17.28515625" style="357" hidden="1" customWidth="1"/>
    <col min="11" max="16" width="15.42578125" style="357" hidden="1" customWidth="1"/>
    <col min="17" max="17" width="13.28515625" style="357" hidden="1" customWidth="1"/>
    <col min="18" max="20" width="15.42578125" style="357" hidden="1" customWidth="1"/>
    <col min="21" max="21" width="6.42578125" style="357" hidden="1" customWidth="1"/>
    <col min="22" max="22" width="7" style="357" hidden="1" customWidth="1"/>
    <col min="23" max="23" width="5" style="357" hidden="1" customWidth="1"/>
    <col min="24" max="24" width="8.5703125" style="357" hidden="1" customWidth="1"/>
    <col min="25" max="27" width="15.42578125" style="357" hidden="1" customWidth="1"/>
    <col min="28" max="29" width="16.28515625" style="357" hidden="1" customWidth="1"/>
    <col min="30" max="30" width="16.42578125" style="357" hidden="1" customWidth="1"/>
    <col min="31" max="31" width="18.5703125" style="357" hidden="1" customWidth="1"/>
    <col min="32" max="32" width="16.7109375" style="357" hidden="1" customWidth="1"/>
    <col min="33" max="33" width="17.7109375" style="357" hidden="1" customWidth="1"/>
    <col min="34" max="34" width="18.5703125" style="357" customWidth="1"/>
    <col min="35" max="35" width="20.28515625" style="357" customWidth="1"/>
    <col min="36" max="36" width="15.7109375" style="357" customWidth="1"/>
    <col min="37" max="37" width="18.140625" style="357" customWidth="1"/>
    <col min="38" max="38" width="15.5703125" style="357" customWidth="1"/>
    <col min="39" max="40" width="16.28515625" style="357" customWidth="1"/>
    <col min="41" max="43" width="16.85546875" style="357" customWidth="1"/>
    <col min="44" max="44" width="17.28515625" style="357" customWidth="1"/>
    <col min="45" max="59" width="16.140625" style="357" customWidth="1"/>
    <col min="60" max="61" width="18.5703125" style="357" bestFit="1" customWidth="1"/>
    <col min="62" max="64" width="16.140625" style="357" customWidth="1"/>
    <col min="65" max="65" width="15.140625" style="357" customWidth="1"/>
    <col min="66" max="66" width="11.140625" style="357" customWidth="1"/>
    <col min="67" max="74" width="11.42578125" style="357" bestFit="1" customWidth="1"/>
    <col min="75" max="16384" width="9.28515625" style="357"/>
  </cols>
  <sheetData>
    <row r="1" spans="1:75" ht="15">
      <c r="A1" s="350"/>
      <c r="B1" s="337" t="s">
        <v>178</v>
      </c>
      <c r="C1" s="337" t="s">
        <v>179</v>
      </c>
      <c r="D1" s="337" t="s">
        <v>180</v>
      </c>
      <c r="E1" s="337" t="s">
        <v>137</v>
      </c>
      <c r="F1" s="337" t="s">
        <v>181</v>
      </c>
      <c r="G1" s="337" t="s">
        <v>182</v>
      </c>
      <c r="H1" s="337" t="s">
        <v>183</v>
      </c>
      <c r="I1" s="337" t="s">
        <v>136</v>
      </c>
      <c r="J1" s="337" t="s">
        <v>184</v>
      </c>
      <c r="K1" s="337" t="s">
        <v>185</v>
      </c>
      <c r="L1" s="337" t="s">
        <v>186</v>
      </c>
      <c r="M1" s="337" t="s">
        <v>135</v>
      </c>
      <c r="N1" s="337" t="s">
        <v>127</v>
      </c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 t="s">
        <v>177</v>
      </c>
      <c r="AI1" s="337" t="s">
        <v>289</v>
      </c>
      <c r="AJ1" s="337" t="s">
        <v>302</v>
      </c>
      <c r="AK1" s="337" t="s">
        <v>334</v>
      </c>
      <c r="AL1" s="337" t="s">
        <v>335</v>
      </c>
      <c r="AM1" s="337" t="s">
        <v>341</v>
      </c>
      <c r="AN1" s="337" t="s">
        <v>344</v>
      </c>
      <c r="AO1" s="337" t="s">
        <v>407</v>
      </c>
      <c r="AP1" s="337" t="s">
        <v>411</v>
      </c>
      <c r="AQ1" s="337" t="s">
        <v>414</v>
      </c>
      <c r="AR1" s="338" t="s">
        <v>424</v>
      </c>
      <c r="AS1" s="338" t="s">
        <v>455</v>
      </c>
      <c r="AT1" s="338" t="s">
        <v>468</v>
      </c>
      <c r="AU1" s="337" t="s">
        <v>475</v>
      </c>
      <c r="AV1" s="337" t="s">
        <v>476</v>
      </c>
      <c r="AW1" s="339" t="s">
        <v>482</v>
      </c>
      <c r="AX1" s="339" t="s">
        <v>481</v>
      </c>
      <c r="AY1" s="362">
        <v>45107</v>
      </c>
      <c r="AZ1" s="362" t="s">
        <v>488</v>
      </c>
      <c r="BA1" s="362" t="s">
        <v>490</v>
      </c>
      <c r="BB1" s="362" t="s">
        <v>491</v>
      </c>
      <c r="BC1" s="362" t="s">
        <v>492</v>
      </c>
      <c r="BD1" s="362" t="s">
        <v>493</v>
      </c>
      <c r="BE1" s="362">
        <v>45657</v>
      </c>
      <c r="BF1" s="340" t="s">
        <v>571</v>
      </c>
      <c r="BG1" s="336" t="s">
        <v>769</v>
      </c>
      <c r="BH1" s="340" t="s">
        <v>772</v>
      </c>
      <c r="BI1" s="340" t="s">
        <v>773</v>
      </c>
      <c r="BJ1" s="350"/>
      <c r="BK1" s="362"/>
      <c r="BL1" s="339"/>
      <c r="BM1" s="362"/>
    </row>
    <row r="2" spans="1:75" ht="15">
      <c r="A2" s="350" t="s">
        <v>120</v>
      </c>
      <c r="B2" s="337" t="s">
        <v>118</v>
      </c>
      <c r="C2" s="337" t="s">
        <v>117</v>
      </c>
      <c r="D2" s="337" t="s">
        <v>116</v>
      </c>
      <c r="E2" s="337" t="s">
        <v>119</v>
      </c>
      <c r="F2" s="337" t="s">
        <v>118</v>
      </c>
      <c r="G2" s="337" t="s">
        <v>117</v>
      </c>
      <c r="H2" s="337" t="s">
        <v>116</v>
      </c>
      <c r="I2" s="337" t="s">
        <v>119</v>
      </c>
      <c r="J2" s="337" t="s">
        <v>118</v>
      </c>
      <c r="K2" s="337" t="s">
        <v>117</v>
      </c>
      <c r="L2" s="337" t="s">
        <v>116</v>
      </c>
      <c r="M2" s="337" t="s">
        <v>119</v>
      </c>
      <c r="N2" s="337" t="s">
        <v>118</v>
      </c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7"/>
      <c r="AF2" s="337"/>
      <c r="AG2" s="337"/>
      <c r="AH2" s="337" t="s">
        <v>118</v>
      </c>
      <c r="AI2" s="337" t="s">
        <v>117</v>
      </c>
      <c r="AJ2" s="337" t="s">
        <v>116</v>
      </c>
      <c r="AK2" s="337" t="s">
        <v>119</v>
      </c>
      <c r="AL2" s="337" t="s">
        <v>118</v>
      </c>
      <c r="AM2" s="337" t="s">
        <v>117</v>
      </c>
      <c r="AN2" s="337" t="s">
        <v>116</v>
      </c>
      <c r="AO2" s="337" t="s">
        <v>119</v>
      </c>
      <c r="AP2" s="337" t="s">
        <v>118</v>
      </c>
      <c r="AQ2" s="337" t="s">
        <v>117</v>
      </c>
      <c r="AR2" s="338" t="s">
        <v>116</v>
      </c>
      <c r="AS2" s="338" t="s">
        <v>119</v>
      </c>
      <c r="AT2" s="338" t="s">
        <v>118</v>
      </c>
      <c r="AU2" s="337" t="s">
        <v>117</v>
      </c>
      <c r="AV2" s="337" t="s">
        <v>116</v>
      </c>
      <c r="AW2" s="339" t="s">
        <v>119</v>
      </c>
      <c r="AX2" s="339" t="s">
        <v>118</v>
      </c>
      <c r="AY2" s="337" t="s">
        <v>117</v>
      </c>
      <c r="AZ2" s="337" t="s">
        <v>116</v>
      </c>
      <c r="BA2" s="337" t="s">
        <v>119</v>
      </c>
      <c r="BB2" s="337" t="s">
        <v>118</v>
      </c>
      <c r="BC2" s="337" t="s">
        <v>117</v>
      </c>
      <c r="BD2" s="337" t="s">
        <v>116</v>
      </c>
      <c r="BE2" s="337" t="s">
        <v>119</v>
      </c>
      <c r="BF2" s="340" t="s">
        <v>572</v>
      </c>
      <c r="BG2" s="336" t="s">
        <v>117</v>
      </c>
      <c r="BH2" s="340" t="s">
        <v>116</v>
      </c>
      <c r="BI2" s="340" t="s">
        <v>119</v>
      </c>
      <c r="BJ2" s="350" t="s">
        <v>120</v>
      </c>
      <c r="BK2" s="337"/>
      <c r="BL2" s="339"/>
      <c r="BM2" s="337"/>
    </row>
    <row r="3" spans="1:75" ht="15">
      <c r="A3" s="350" t="s">
        <v>59</v>
      </c>
      <c r="B3" s="337" t="s">
        <v>60</v>
      </c>
      <c r="C3" s="337" t="s">
        <v>60</v>
      </c>
      <c r="D3" s="337" t="s">
        <v>60</v>
      </c>
      <c r="E3" s="337" t="s">
        <v>60</v>
      </c>
      <c r="F3" s="337" t="s">
        <v>60</v>
      </c>
      <c r="G3" s="337" t="s">
        <v>60</v>
      </c>
      <c r="H3" s="337" t="s">
        <v>60</v>
      </c>
      <c r="I3" s="337" t="s">
        <v>60</v>
      </c>
      <c r="J3" s="337" t="s">
        <v>60</v>
      </c>
      <c r="K3" s="337" t="s">
        <v>60</v>
      </c>
      <c r="L3" s="337" t="s">
        <v>60</v>
      </c>
      <c r="M3" s="337" t="s">
        <v>290</v>
      </c>
      <c r="N3" s="337" t="s">
        <v>60</v>
      </c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 t="s">
        <v>60</v>
      </c>
      <c r="AI3" s="337" t="s">
        <v>60</v>
      </c>
      <c r="AJ3" s="337" t="s">
        <v>60</v>
      </c>
      <c r="AK3" s="337" t="s">
        <v>60</v>
      </c>
      <c r="AL3" s="337" t="s">
        <v>60</v>
      </c>
      <c r="AM3" s="337" t="s">
        <v>60</v>
      </c>
      <c r="AN3" s="337" t="s">
        <v>60</v>
      </c>
      <c r="AO3" s="337" t="s">
        <v>60</v>
      </c>
      <c r="AP3" s="337" t="s">
        <v>60</v>
      </c>
      <c r="AQ3" s="337" t="s">
        <v>60</v>
      </c>
      <c r="AR3" s="338" t="s">
        <v>425</v>
      </c>
      <c r="AS3" s="338" t="s">
        <v>425</v>
      </c>
      <c r="AT3" s="338" t="s">
        <v>425</v>
      </c>
      <c r="AU3" s="337" t="s">
        <v>60</v>
      </c>
      <c r="AV3" s="337" t="s">
        <v>425</v>
      </c>
      <c r="AW3" s="339" t="s">
        <v>425</v>
      </c>
      <c r="AX3" s="339" t="s">
        <v>425</v>
      </c>
      <c r="AY3" s="339" t="s">
        <v>425</v>
      </c>
      <c r="AZ3" s="339" t="s">
        <v>425</v>
      </c>
      <c r="BA3" s="339" t="s">
        <v>425</v>
      </c>
      <c r="BB3" s="339" t="s">
        <v>425</v>
      </c>
      <c r="BC3" s="339" t="s">
        <v>425</v>
      </c>
      <c r="BD3" s="339" t="s">
        <v>425</v>
      </c>
      <c r="BE3" s="339" t="s">
        <v>425</v>
      </c>
      <c r="BF3" s="340" t="s">
        <v>60</v>
      </c>
      <c r="BG3" s="336" t="s">
        <v>425</v>
      </c>
      <c r="BH3" s="340" t="s">
        <v>425</v>
      </c>
      <c r="BI3" s="340" t="s">
        <v>425</v>
      </c>
      <c r="BJ3" s="350" t="s">
        <v>59</v>
      </c>
      <c r="BK3" s="339"/>
      <c r="BL3" s="339"/>
      <c r="BM3" s="339"/>
    </row>
    <row r="4" spans="1:75">
      <c r="A4" s="350"/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>
        <v>11</v>
      </c>
      <c r="AI4" s="337">
        <v>12</v>
      </c>
      <c r="AJ4" s="337">
        <v>13</v>
      </c>
      <c r="AK4" s="337">
        <v>14</v>
      </c>
      <c r="AL4" s="337">
        <v>15</v>
      </c>
      <c r="AM4" s="337">
        <v>16</v>
      </c>
      <c r="AN4" s="337">
        <v>17</v>
      </c>
      <c r="AO4" s="337">
        <v>18</v>
      </c>
      <c r="AP4" s="337">
        <v>19</v>
      </c>
      <c r="AQ4" s="337"/>
      <c r="BH4" s="357">
        <v>3</v>
      </c>
      <c r="BI4" s="357">
        <v>4</v>
      </c>
      <c r="BJ4" s="350"/>
    </row>
    <row r="5" spans="1:75" ht="15">
      <c r="A5" s="363" t="s">
        <v>115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45">
        <v>14246659.359999999</v>
      </c>
      <c r="AI5" s="345">
        <v>83743849.120000005</v>
      </c>
      <c r="AJ5" s="345">
        <v>12195267.779999999</v>
      </c>
      <c r="AK5" s="345">
        <v>333752689.56</v>
      </c>
      <c r="AL5" s="345">
        <v>11552641.24</v>
      </c>
      <c r="AM5" s="345">
        <v>75650784.810000002</v>
      </c>
      <c r="AN5" s="345">
        <v>70326531.870000005</v>
      </c>
      <c r="AO5" s="345">
        <v>301397372.75</v>
      </c>
      <c r="AP5" s="345">
        <v>36131025.539999999</v>
      </c>
      <c r="AQ5" s="345">
        <v>101741163.65000001</v>
      </c>
      <c r="AR5" s="345">
        <v>84546549.769999996</v>
      </c>
      <c r="AS5" s="345">
        <v>498626540.00999999</v>
      </c>
      <c r="AT5" s="345">
        <v>62990732.030000001</v>
      </c>
      <c r="AU5" s="345">
        <v>108792861.71000001</v>
      </c>
      <c r="AV5" s="345">
        <v>92581133.969999999</v>
      </c>
      <c r="AW5" s="346">
        <v>464669895.33999997</v>
      </c>
      <c r="AX5" s="346">
        <v>75287960.030000001</v>
      </c>
      <c r="AY5" s="345">
        <v>39180005.260000005</v>
      </c>
      <c r="AZ5" s="345">
        <f t="shared" ref="AZ5:AZ37" si="0">BL5-AX5-AY5</f>
        <v>31342826.029999986</v>
      </c>
      <c r="BA5" s="345">
        <v>563575792.94000006</v>
      </c>
      <c r="BB5" s="345">
        <v>25666105.859999999</v>
      </c>
      <c r="BC5" s="345">
        <v>39099237.299999997</v>
      </c>
      <c r="BD5" s="345">
        <v>120541234.02</v>
      </c>
      <c r="BE5" s="345">
        <v>989157800.20000005</v>
      </c>
      <c r="BF5" s="345">
        <v>1111398926.8</v>
      </c>
      <c r="BG5" s="345">
        <v>1769244544.29</v>
      </c>
      <c r="BH5" s="345">
        <v>1726780892.5699999</v>
      </c>
      <c r="BI5" s="345">
        <v>1889771835.02</v>
      </c>
      <c r="BJ5" s="363" t="s">
        <v>115</v>
      </c>
      <c r="BK5" s="345"/>
      <c r="BL5" s="346">
        <v>145810791.31999999</v>
      </c>
      <c r="BM5" s="345">
        <f t="shared" ref="BM5:BM37" si="1">SUM(AT5:AV5)</f>
        <v>264364727.71000001</v>
      </c>
      <c r="BN5" s="364"/>
    </row>
    <row r="6" spans="1:75" ht="15">
      <c r="A6" s="336" t="s">
        <v>542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45">
        <v>14246659.359999999</v>
      </c>
      <c r="AI6" s="345">
        <v>83743849.120000005</v>
      </c>
      <c r="AJ6" s="345">
        <v>12195267.779999999</v>
      </c>
      <c r="AK6" s="345">
        <v>333752689.56</v>
      </c>
      <c r="AL6" s="345">
        <v>11552641.24</v>
      </c>
      <c r="AM6" s="345">
        <v>75650784.810000002</v>
      </c>
      <c r="AN6" s="345">
        <v>70326531.870000005</v>
      </c>
      <c r="AO6" s="345">
        <v>301397372.75</v>
      </c>
      <c r="AP6" s="345">
        <v>36131025.539999999</v>
      </c>
      <c r="AQ6" s="345">
        <v>101741163.65000001</v>
      </c>
      <c r="AR6" s="345">
        <v>84546549.769999996</v>
      </c>
      <c r="AS6" s="345">
        <v>498626540.00999999</v>
      </c>
      <c r="AT6" s="345">
        <v>62990732.030000001</v>
      </c>
      <c r="AU6" s="345">
        <v>108792861.71000001</v>
      </c>
      <c r="AV6" s="345">
        <v>92581133.969999999</v>
      </c>
      <c r="AW6" s="346">
        <v>464669895.33999997</v>
      </c>
      <c r="AX6" s="346">
        <v>75287960.030000001</v>
      </c>
      <c r="AY6" s="345">
        <v>39180005.260000005</v>
      </c>
      <c r="AZ6" s="345">
        <f t="shared" si="0"/>
        <v>31342826.029999986</v>
      </c>
      <c r="BA6" s="345">
        <v>563575792.94000006</v>
      </c>
      <c r="BB6" s="345">
        <v>25666105.859999999</v>
      </c>
      <c r="BC6" s="345">
        <v>39099237.299999997</v>
      </c>
      <c r="BD6" s="345">
        <v>120541234.02</v>
      </c>
      <c r="BE6" s="345">
        <v>989157800.20000005</v>
      </c>
      <c r="BF6" s="345">
        <v>1111398926.8</v>
      </c>
      <c r="BG6" s="345">
        <v>1769244544.29</v>
      </c>
      <c r="BH6" s="345">
        <v>1726780892.5699999</v>
      </c>
      <c r="BI6" s="345">
        <v>1889771835.02</v>
      </c>
      <c r="BJ6" s="336" t="s">
        <v>542</v>
      </c>
      <c r="BK6" s="345"/>
      <c r="BL6" s="346">
        <v>145810791.31999999</v>
      </c>
      <c r="BM6" s="345">
        <f t="shared" si="1"/>
        <v>264364727.71000001</v>
      </c>
      <c r="BN6" s="364"/>
    </row>
    <row r="7" spans="1:75" ht="15">
      <c r="A7" s="363" t="s">
        <v>113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45">
        <v>65884365.979999997</v>
      </c>
      <c r="AI7" s="345">
        <v>124119901.86</v>
      </c>
      <c r="AJ7" s="345">
        <v>602287968</v>
      </c>
      <c r="AK7" s="345">
        <v>967111289.30999994</v>
      </c>
      <c r="AL7" s="345">
        <v>158949873.50999999</v>
      </c>
      <c r="AM7" s="345">
        <v>212833456.47</v>
      </c>
      <c r="AN7" s="345">
        <v>235924740.13</v>
      </c>
      <c r="AO7" s="345">
        <v>509637348.33999997</v>
      </c>
      <c r="AP7" s="345">
        <v>291042854.10000002</v>
      </c>
      <c r="AQ7" s="345">
        <v>349267807.89999998</v>
      </c>
      <c r="AR7" s="345">
        <v>435939110.63</v>
      </c>
      <c r="AS7" s="345">
        <v>746839406.32000005</v>
      </c>
      <c r="AT7" s="345">
        <v>401828911.10000002</v>
      </c>
      <c r="AU7" s="345">
        <v>502967168.89999998</v>
      </c>
      <c r="AV7" s="345">
        <v>452292534.06999999</v>
      </c>
      <c r="AW7" s="346">
        <v>746312820.00999999</v>
      </c>
      <c r="AX7" s="346">
        <v>318612579.26999998</v>
      </c>
      <c r="AY7" s="345">
        <v>339002414.56000006</v>
      </c>
      <c r="AZ7" s="345">
        <f t="shared" si="0"/>
        <v>330214465.04999995</v>
      </c>
      <c r="BA7" s="345">
        <v>543684368.21000004</v>
      </c>
      <c r="BB7" s="345">
        <v>274105464.31999999</v>
      </c>
      <c r="BC7" s="345">
        <v>383801961.51999998</v>
      </c>
      <c r="BD7" s="345">
        <v>371165345.57999998</v>
      </c>
      <c r="BE7" s="345">
        <v>929445366.5</v>
      </c>
      <c r="BF7" s="345">
        <v>831695649</v>
      </c>
      <c r="BG7" s="345">
        <v>1118108178.02</v>
      </c>
      <c r="BH7" s="345">
        <v>1166456145.3399999</v>
      </c>
      <c r="BI7" s="345">
        <v>1451337842.8099999</v>
      </c>
      <c r="BJ7" s="363" t="s">
        <v>113</v>
      </c>
      <c r="BK7" s="345"/>
      <c r="BL7" s="346">
        <v>987829458.88</v>
      </c>
      <c r="BM7" s="345">
        <f t="shared" si="1"/>
        <v>1357088614.0699999</v>
      </c>
      <c r="BN7" s="364"/>
      <c r="BP7" s="365"/>
      <c r="BQ7" s="365"/>
      <c r="BR7" s="365"/>
      <c r="BS7" s="365"/>
      <c r="BT7" s="365"/>
      <c r="BU7" s="365"/>
      <c r="BV7" s="365"/>
      <c r="BW7" s="365"/>
    </row>
    <row r="8" spans="1:75" ht="15">
      <c r="A8" s="350" t="s">
        <v>543</v>
      </c>
      <c r="B8" s="350"/>
      <c r="C8" s="350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  <c r="AC8" s="350"/>
      <c r="AD8" s="350"/>
      <c r="AE8" s="350"/>
      <c r="AF8" s="350"/>
      <c r="AG8" s="350"/>
      <c r="AH8" s="345">
        <v>306805.99</v>
      </c>
      <c r="AI8" s="345">
        <v>13294965.529999999</v>
      </c>
      <c r="AJ8" s="345">
        <v>1456527.23</v>
      </c>
      <c r="AK8" s="345">
        <v>126167073.69</v>
      </c>
      <c r="AL8" s="345">
        <v>3544873.02</v>
      </c>
      <c r="AM8" s="345">
        <v>15962055.59</v>
      </c>
      <c r="AN8" s="345">
        <v>36087282.009999998</v>
      </c>
      <c r="AO8" s="345">
        <v>103275750.42</v>
      </c>
      <c r="AP8" s="345">
        <v>20191787.5</v>
      </c>
      <c r="AQ8" s="345">
        <v>44652948.109999999</v>
      </c>
      <c r="AR8" s="345">
        <v>44693689.710000001</v>
      </c>
      <c r="AS8" s="345">
        <v>161612238.47</v>
      </c>
      <c r="AT8" s="345">
        <v>27350072.710000001</v>
      </c>
      <c r="AU8" s="345">
        <v>50073076.440000005</v>
      </c>
      <c r="AV8" s="345">
        <v>33182535.07</v>
      </c>
      <c r="AW8" s="346">
        <v>139016669.41999999</v>
      </c>
      <c r="AX8" s="346">
        <v>17472752.23</v>
      </c>
      <c r="AY8" s="345">
        <v>15885542.07</v>
      </c>
      <c r="AZ8" s="345">
        <f t="shared" si="0"/>
        <v>10619693.260000002</v>
      </c>
      <c r="BA8" s="345">
        <v>174821661.90000001</v>
      </c>
      <c r="BB8" s="345">
        <v>10879898.289999999</v>
      </c>
      <c r="BC8" s="345">
        <v>13264352.390000001</v>
      </c>
      <c r="BD8" s="345">
        <v>58818893.960000001</v>
      </c>
      <c r="BE8" s="345">
        <v>425446565</v>
      </c>
      <c r="BF8" s="345">
        <v>489129860.80000001</v>
      </c>
      <c r="BG8" s="345">
        <v>780503553.04999995</v>
      </c>
      <c r="BH8" s="345">
        <v>790213138.13</v>
      </c>
      <c r="BI8" s="345">
        <v>854036642.5</v>
      </c>
      <c r="BJ8" s="350" t="s">
        <v>543</v>
      </c>
      <c r="BK8" s="345"/>
      <c r="BL8" s="346">
        <v>43977987.560000002</v>
      </c>
      <c r="BM8" s="345">
        <f t="shared" si="1"/>
        <v>110605684.22</v>
      </c>
      <c r="BN8" s="364"/>
      <c r="BP8" s="365"/>
      <c r="BQ8" s="365"/>
      <c r="BR8" s="365"/>
      <c r="BS8" s="365"/>
      <c r="BT8" s="365"/>
      <c r="BU8" s="365"/>
      <c r="BV8" s="365"/>
      <c r="BW8" s="365"/>
    </row>
    <row r="9" spans="1:75" ht="15">
      <c r="A9" s="350" t="s">
        <v>544</v>
      </c>
      <c r="B9" s="350"/>
      <c r="C9" s="350"/>
      <c r="D9" s="350"/>
      <c r="E9" s="350"/>
      <c r="F9" s="350"/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50"/>
      <c r="AE9" s="350"/>
      <c r="AF9" s="350"/>
      <c r="AG9" s="350"/>
      <c r="AH9" s="345">
        <v>641083.71</v>
      </c>
      <c r="AI9" s="345">
        <v>55735.6</v>
      </c>
      <c r="AJ9" s="345">
        <v>391400.48</v>
      </c>
      <c r="AK9" s="345">
        <v>1462129.65</v>
      </c>
      <c r="AL9" s="345">
        <v>997902.44</v>
      </c>
      <c r="AM9" s="345">
        <v>254504.91</v>
      </c>
      <c r="AN9" s="345">
        <v>458638.41</v>
      </c>
      <c r="AO9" s="345">
        <v>707221.01</v>
      </c>
      <c r="AP9" s="345">
        <v>182690.93</v>
      </c>
      <c r="AQ9" s="345">
        <v>293365.89</v>
      </c>
      <c r="AR9" s="345">
        <v>104065.31</v>
      </c>
      <c r="AS9" s="345">
        <v>1434858.35</v>
      </c>
      <c r="AT9" s="345">
        <v>149279.43</v>
      </c>
      <c r="AU9" s="345">
        <v>157025.07</v>
      </c>
      <c r="AV9" s="345">
        <v>356733.91</v>
      </c>
      <c r="AW9" s="346">
        <v>2552924.5699999998</v>
      </c>
      <c r="AX9" s="346">
        <v>185402.26</v>
      </c>
      <c r="AY9" s="345">
        <v>100785.89999999997</v>
      </c>
      <c r="AZ9" s="345">
        <f t="shared" si="0"/>
        <v>3414325.6999999997</v>
      </c>
      <c r="BA9" s="345">
        <v>647675.22</v>
      </c>
      <c r="BB9" s="345">
        <v>171945.52</v>
      </c>
      <c r="BC9" s="345">
        <v>275121.87</v>
      </c>
      <c r="BD9" s="345">
        <v>553156.11</v>
      </c>
      <c r="BE9" s="345">
        <v>1971205.3</v>
      </c>
      <c r="BF9" s="345">
        <v>2347080.7999999998</v>
      </c>
      <c r="BG9" s="345">
        <v>1737935.08</v>
      </c>
      <c r="BH9" s="345">
        <v>12817366.74</v>
      </c>
      <c r="BI9" s="345">
        <v>8926908.2300000004</v>
      </c>
      <c r="BJ9" s="350" t="s">
        <v>544</v>
      </c>
      <c r="BK9" s="345"/>
      <c r="BL9" s="346">
        <v>3700513.86</v>
      </c>
      <c r="BM9" s="345">
        <f t="shared" si="1"/>
        <v>663038.40999999992</v>
      </c>
      <c r="BN9" s="364"/>
      <c r="BP9" s="365"/>
      <c r="BQ9" s="365"/>
      <c r="BR9" s="365"/>
      <c r="BS9" s="365"/>
      <c r="BT9" s="365"/>
      <c r="BU9" s="365"/>
      <c r="BV9" s="365"/>
      <c r="BW9" s="365"/>
    </row>
    <row r="10" spans="1:75" ht="15">
      <c r="A10" s="350" t="s">
        <v>545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350"/>
      <c r="AD10" s="350"/>
      <c r="AE10" s="350"/>
      <c r="AF10" s="350"/>
      <c r="AG10" s="350"/>
      <c r="AH10" s="345">
        <v>1633571.38</v>
      </c>
      <c r="AI10" s="345">
        <v>2210605.23</v>
      </c>
      <c r="AJ10" s="345">
        <v>3600188.4</v>
      </c>
      <c r="AK10" s="345">
        <v>11568696.890000001</v>
      </c>
      <c r="AL10" s="345">
        <v>5098964.63</v>
      </c>
      <c r="AM10" s="345">
        <v>8327029.4699999997</v>
      </c>
      <c r="AN10" s="345">
        <v>11330385.85</v>
      </c>
      <c r="AO10" s="345">
        <v>20169940.32</v>
      </c>
      <c r="AP10" s="345">
        <v>11414144.220000001</v>
      </c>
      <c r="AQ10" s="345">
        <v>13348176.58</v>
      </c>
      <c r="AR10" s="345">
        <v>18768150.41</v>
      </c>
      <c r="AS10" s="345">
        <v>27894484.91</v>
      </c>
      <c r="AT10" s="345">
        <v>17732279.350000001</v>
      </c>
      <c r="AU10" s="345">
        <v>15157773.239999998</v>
      </c>
      <c r="AV10" s="345">
        <v>17084830.949999999</v>
      </c>
      <c r="AW10" s="346">
        <v>32734584.140000001</v>
      </c>
      <c r="AX10" s="346">
        <v>18533261.16</v>
      </c>
      <c r="AY10" s="345">
        <v>19839750.940000001</v>
      </c>
      <c r="AZ10" s="345">
        <f t="shared" si="0"/>
        <v>17186293.760000002</v>
      </c>
      <c r="BA10" s="345">
        <v>26507458.510000002</v>
      </c>
      <c r="BB10" s="345">
        <v>13021426.68</v>
      </c>
      <c r="BC10" s="345">
        <v>12925927.199999999</v>
      </c>
      <c r="BD10" s="345">
        <v>14875356.27</v>
      </c>
      <c r="BE10" s="345">
        <v>29232397.100000001</v>
      </c>
      <c r="BF10" s="345">
        <v>14391709.9</v>
      </c>
      <c r="BG10" s="345">
        <v>13726338.119999999</v>
      </c>
      <c r="BH10" s="345">
        <v>14553589.77</v>
      </c>
      <c r="BI10" s="345">
        <v>25353031.780000001</v>
      </c>
      <c r="BJ10" s="350" t="s">
        <v>545</v>
      </c>
      <c r="BK10" s="345"/>
      <c r="BL10" s="346">
        <v>55559305.859999999</v>
      </c>
      <c r="BM10" s="345">
        <f t="shared" si="1"/>
        <v>49974883.539999999</v>
      </c>
      <c r="BN10" s="364"/>
      <c r="BP10" s="365"/>
      <c r="BQ10" s="365"/>
      <c r="BR10" s="365"/>
      <c r="BS10" s="365"/>
      <c r="BT10" s="365"/>
      <c r="BU10" s="365"/>
      <c r="BV10" s="365"/>
      <c r="BW10" s="365"/>
    </row>
    <row r="11" spans="1:75" ht="15">
      <c r="A11" s="350" t="s">
        <v>546</v>
      </c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  <c r="AA11" s="350"/>
      <c r="AB11" s="350"/>
      <c r="AC11" s="350"/>
      <c r="AD11" s="350"/>
      <c r="AE11" s="350"/>
      <c r="AF11" s="350"/>
      <c r="AG11" s="350"/>
      <c r="AH11" s="345">
        <v>16062280.65</v>
      </c>
      <c r="AI11" s="345">
        <v>23381180.23</v>
      </c>
      <c r="AJ11" s="345">
        <v>404337344.81</v>
      </c>
      <c r="AK11" s="345">
        <v>612298068.88999999</v>
      </c>
      <c r="AL11" s="345">
        <v>30180999.27</v>
      </c>
      <c r="AM11" s="345">
        <v>32982105.309999999</v>
      </c>
      <c r="AN11" s="345">
        <v>36980231.520000003</v>
      </c>
      <c r="AO11" s="345">
        <v>64952942.640000001</v>
      </c>
      <c r="AP11" s="345">
        <v>75888677.760000005</v>
      </c>
      <c r="AQ11" s="345">
        <v>83033599.680000007</v>
      </c>
      <c r="AR11" s="345">
        <v>97924091.439999998</v>
      </c>
      <c r="AS11" s="345">
        <v>138845881.47999999</v>
      </c>
      <c r="AT11" s="345">
        <v>93553441.069999993</v>
      </c>
      <c r="AU11" s="345">
        <v>92974856.560000002</v>
      </c>
      <c r="AV11" s="345">
        <v>95625875.909999996</v>
      </c>
      <c r="AW11" s="346">
        <v>14480060.65</v>
      </c>
      <c r="AX11" s="346">
        <v>58507542.359999999</v>
      </c>
      <c r="AY11" s="345">
        <v>69072954.950000003</v>
      </c>
      <c r="AZ11" s="345">
        <f t="shared" si="0"/>
        <v>75636291.37999998</v>
      </c>
      <c r="BA11" s="345">
        <v>-49660263.740000002</v>
      </c>
      <c r="BB11" s="345">
        <v>95670887.319999993</v>
      </c>
      <c r="BC11" s="345">
        <v>86628937.879999995</v>
      </c>
      <c r="BD11" s="345">
        <v>88007596.450000003</v>
      </c>
      <c r="BE11" s="345">
        <v>-89780526.599999994</v>
      </c>
      <c r="BF11" s="345">
        <v>43074187.600000001</v>
      </c>
      <c r="BG11" s="345">
        <v>54920774.770000003</v>
      </c>
      <c r="BH11" s="345">
        <v>39747907.5</v>
      </c>
      <c r="BI11" s="345">
        <v>60352038.719999999</v>
      </c>
      <c r="BJ11" s="350" t="s">
        <v>546</v>
      </c>
      <c r="BK11" s="345"/>
      <c r="BL11" s="346">
        <v>203216788.69</v>
      </c>
      <c r="BM11" s="345">
        <f t="shared" si="1"/>
        <v>282154173.53999996</v>
      </c>
      <c r="BN11" s="364"/>
      <c r="BP11" s="365"/>
      <c r="BQ11" s="365"/>
      <c r="BR11" s="365"/>
      <c r="BS11" s="365"/>
      <c r="BT11" s="365"/>
      <c r="BU11" s="365"/>
      <c r="BV11" s="365"/>
      <c r="BW11" s="365"/>
    </row>
    <row r="12" spans="1:75" ht="15">
      <c r="A12" s="350" t="s">
        <v>547</v>
      </c>
      <c r="B12" s="350"/>
      <c r="C12" s="350"/>
      <c r="D12" s="350"/>
      <c r="E12" s="350"/>
      <c r="F12" s="350"/>
      <c r="G12" s="350"/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45">
        <v>46911740.890000001</v>
      </c>
      <c r="AI12" s="345">
        <v>85774292.049999997</v>
      </c>
      <c r="AJ12" s="345">
        <v>193544238.44</v>
      </c>
      <c r="AK12" s="345">
        <v>216815112.77000001</v>
      </c>
      <c r="AL12" s="345">
        <v>120359233.31</v>
      </c>
      <c r="AM12" s="345">
        <v>157032953.53999999</v>
      </c>
      <c r="AN12" s="345">
        <v>155791355.24000001</v>
      </c>
      <c r="AO12" s="345">
        <v>335096721.49000001</v>
      </c>
      <c r="AP12" s="345">
        <v>195284588.59</v>
      </c>
      <c r="AQ12" s="345">
        <v>220236259.65000001</v>
      </c>
      <c r="AR12" s="345">
        <v>288919263.02999997</v>
      </c>
      <c r="AS12" s="345">
        <v>431300458.58999997</v>
      </c>
      <c r="AT12" s="345">
        <v>278627196.83999997</v>
      </c>
      <c r="AU12" s="345">
        <v>350687333.63000005</v>
      </c>
      <c r="AV12" s="345">
        <v>319782043.37</v>
      </c>
      <c r="AW12" s="346">
        <v>574009804.53999996</v>
      </c>
      <c r="AX12" s="346">
        <v>234920847.38</v>
      </c>
      <c r="AY12" s="345">
        <v>247630844.28000003</v>
      </c>
      <c r="AZ12" s="345">
        <f t="shared" si="0"/>
        <v>234847831.94</v>
      </c>
      <c r="BA12" s="345">
        <v>400108639.13999999</v>
      </c>
      <c r="BB12" s="345">
        <v>169608577.12</v>
      </c>
      <c r="BC12" s="345">
        <v>277867386.04000002</v>
      </c>
      <c r="BD12" s="345">
        <v>211570437.75</v>
      </c>
      <c r="BE12" s="345">
        <v>556827156.5</v>
      </c>
      <c r="BF12" s="345">
        <v>272571507.5</v>
      </c>
      <c r="BG12" s="345">
        <v>269323971.17000002</v>
      </c>
      <c r="BH12" s="345">
        <v>300928851.17000002</v>
      </c>
      <c r="BI12" s="345">
        <v>507980242.14999998</v>
      </c>
      <c r="BJ12" s="350" t="s">
        <v>547</v>
      </c>
      <c r="BK12" s="345"/>
      <c r="BL12" s="346">
        <v>717399523.60000002</v>
      </c>
      <c r="BM12" s="345">
        <f t="shared" si="1"/>
        <v>949096573.84000003</v>
      </c>
      <c r="BN12" s="364"/>
      <c r="BP12" s="365"/>
      <c r="BQ12" s="365"/>
      <c r="BR12" s="365"/>
      <c r="BS12" s="365"/>
      <c r="BT12" s="365"/>
      <c r="BU12" s="365"/>
      <c r="BV12" s="365"/>
      <c r="BW12" s="365"/>
    </row>
    <row r="13" spans="1:75" ht="15">
      <c r="A13" s="350" t="s">
        <v>548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350"/>
      <c r="N13" s="350"/>
      <c r="O13" s="350"/>
      <c r="P13" s="350"/>
      <c r="Q13" s="350"/>
      <c r="R13" s="350"/>
      <c r="S13" s="350"/>
      <c r="T13" s="350"/>
      <c r="U13" s="350"/>
      <c r="V13" s="350"/>
      <c r="W13" s="350"/>
      <c r="X13" s="350"/>
      <c r="Y13" s="350"/>
      <c r="Z13" s="350"/>
      <c r="AA13" s="350"/>
      <c r="AB13" s="350"/>
      <c r="AC13" s="350"/>
      <c r="AD13" s="350"/>
      <c r="AE13" s="350"/>
      <c r="AF13" s="350"/>
      <c r="AG13" s="350"/>
      <c r="AH13" s="345">
        <v>-595721.01</v>
      </c>
      <c r="AI13" s="345">
        <v>-1476202.38</v>
      </c>
      <c r="AJ13" s="345">
        <v>-1041731.36</v>
      </c>
      <c r="AK13" s="345">
        <v>-1199792.58</v>
      </c>
      <c r="AL13" s="345">
        <v>-1232099.1599999999</v>
      </c>
      <c r="AM13" s="345">
        <v>-1725192.35</v>
      </c>
      <c r="AN13" s="345">
        <v>-4723152.9000000004</v>
      </c>
      <c r="AO13" s="345">
        <v>-14565227.539999999</v>
      </c>
      <c r="AP13" s="345">
        <v>-11919034.9</v>
      </c>
      <c r="AQ13" s="345">
        <v>-12296542.01</v>
      </c>
      <c r="AR13" s="345">
        <v>-14470149.27</v>
      </c>
      <c r="AS13" s="345">
        <v>-14248515.48</v>
      </c>
      <c r="AT13" s="345">
        <v>-15583358.300000001</v>
      </c>
      <c r="AU13" s="345">
        <v>-6082896.0399999991</v>
      </c>
      <c r="AV13" s="345">
        <v>-13739485.140000001</v>
      </c>
      <c r="AW13" s="346">
        <v>-16481223.310000001</v>
      </c>
      <c r="AX13" s="346">
        <v>-11007226.119999999</v>
      </c>
      <c r="AY13" s="345">
        <v>-13527463.58</v>
      </c>
      <c r="AZ13" s="345">
        <f t="shared" si="0"/>
        <v>-11489970.99</v>
      </c>
      <c r="BA13" s="345">
        <v>-8740802.8200000003</v>
      </c>
      <c r="BB13" s="345">
        <v>-15247270.609999999</v>
      </c>
      <c r="BC13" s="345">
        <v>-7159763.8600000003</v>
      </c>
      <c r="BD13" s="345">
        <v>-2660094.96</v>
      </c>
      <c r="BE13" s="345">
        <v>5748569.2999999998</v>
      </c>
      <c r="BF13" s="345">
        <v>10181302.4</v>
      </c>
      <c r="BG13" s="345">
        <v>-2104394.17</v>
      </c>
      <c r="BH13" s="345">
        <v>8195292.0300000003</v>
      </c>
      <c r="BI13" s="345">
        <v>-5311020.57</v>
      </c>
      <c r="BJ13" s="350" t="s">
        <v>548</v>
      </c>
      <c r="BK13" s="345"/>
      <c r="BL13" s="346">
        <v>-36024660.689999998</v>
      </c>
      <c r="BM13" s="345">
        <f t="shared" si="1"/>
        <v>-35405739.480000004</v>
      </c>
      <c r="BN13" s="364"/>
      <c r="BP13" s="365"/>
      <c r="BQ13" s="365"/>
      <c r="BR13" s="365"/>
      <c r="BS13" s="365"/>
      <c r="BT13" s="365"/>
      <c r="BU13" s="365"/>
      <c r="BV13" s="365"/>
      <c r="BW13" s="365"/>
    </row>
    <row r="14" spans="1:75" ht="15">
      <c r="A14" s="350" t="s">
        <v>549</v>
      </c>
      <c r="B14" s="350"/>
      <c r="C14" s="350"/>
      <c r="D14" s="350"/>
      <c r="E14" s="350"/>
      <c r="F14" s="350"/>
      <c r="G14" s="350"/>
      <c r="H14" s="350"/>
      <c r="I14" s="350"/>
      <c r="J14" s="350"/>
      <c r="K14" s="350"/>
      <c r="L14" s="350"/>
      <c r="M14" s="350"/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  <c r="AA14" s="350"/>
      <c r="AB14" s="350"/>
      <c r="AC14" s="350"/>
      <c r="AD14" s="350"/>
      <c r="AE14" s="350"/>
      <c r="AF14" s="350"/>
      <c r="AG14" s="350"/>
      <c r="AH14" s="344"/>
      <c r="AI14" s="344"/>
      <c r="AJ14" s="344"/>
      <c r="AK14" s="344"/>
      <c r="AL14" s="344"/>
      <c r="AM14" s="344"/>
      <c r="AN14" s="344"/>
      <c r="AO14" s="344"/>
      <c r="AP14" s="345">
        <v>1138278.25</v>
      </c>
      <c r="AQ14" s="345">
        <v>1074332.24</v>
      </c>
      <c r="AR14" s="345">
        <v>84133.37</v>
      </c>
      <c r="AS14" s="345">
        <v>1105902.58</v>
      </c>
      <c r="AT14" s="345">
        <v>926120.16</v>
      </c>
      <c r="AU14" s="345">
        <v>732614.12</v>
      </c>
      <c r="AV14" s="345">
        <v>1130048.83</v>
      </c>
      <c r="AW14" s="346">
        <v>1233645.23</v>
      </c>
      <c r="AX14" s="346">
        <v>1217771.31</v>
      </c>
      <c r="AY14" s="345">
        <v>990465.25</v>
      </c>
      <c r="AZ14" s="345">
        <f t="shared" si="0"/>
        <v>795903.29999999981</v>
      </c>
      <c r="BA14" s="345">
        <v>408445.62</v>
      </c>
      <c r="BB14" s="345">
        <v>-1397974.64</v>
      </c>
      <c r="BC14" s="345">
        <v>369580.4</v>
      </c>
      <c r="BD14" s="345">
        <v>273547.48</v>
      </c>
      <c r="BE14" s="345">
        <v>1911736.5</v>
      </c>
      <c r="BF14" s="345">
        <v>158773.70000000001</v>
      </c>
      <c r="BG14" s="345">
        <v>249680.22</v>
      </c>
      <c r="BH14" s="345">
        <v>472574.85</v>
      </c>
      <c r="BI14" s="345">
        <v>1206876.5</v>
      </c>
      <c r="BJ14" s="350" t="s">
        <v>549</v>
      </c>
      <c r="BK14" s="345"/>
      <c r="BL14" s="346">
        <v>3004139.86</v>
      </c>
      <c r="BM14" s="345">
        <f t="shared" si="1"/>
        <v>2788783.1100000003</v>
      </c>
      <c r="BN14" s="364"/>
      <c r="BP14" s="365"/>
      <c r="BQ14" s="365"/>
      <c r="BR14" s="365"/>
      <c r="BS14" s="365"/>
      <c r="BT14" s="365"/>
      <c r="BU14" s="365"/>
      <c r="BV14" s="365"/>
      <c r="BW14" s="365"/>
    </row>
    <row r="15" spans="1:75" ht="15">
      <c r="A15" s="350" t="s">
        <v>550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50"/>
      <c r="R15" s="350"/>
      <c r="S15" s="350"/>
      <c r="T15" s="350"/>
      <c r="U15" s="350"/>
      <c r="V15" s="350"/>
      <c r="W15" s="350"/>
      <c r="X15" s="350"/>
      <c r="Y15" s="350"/>
      <c r="Z15" s="350"/>
      <c r="AA15" s="350"/>
      <c r="AB15" s="350"/>
      <c r="AC15" s="350"/>
      <c r="AD15" s="350"/>
      <c r="AE15" s="350"/>
      <c r="AF15" s="350"/>
      <c r="AG15" s="350"/>
      <c r="AH15" s="345">
        <v>601387.99</v>
      </c>
      <c r="AI15" s="345">
        <v>1512284.2</v>
      </c>
      <c r="AJ15" s="345">
        <v>1829331.99</v>
      </c>
      <c r="AK15" s="345">
        <v>1182341.78</v>
      </c>
      <c r="AL15" s="345">
        <v>976528.83</v>
      </c>
      <c r="AM15" s="345">
        <v>1695718.23</v>
      </c>
      <c r="AN15" s="345">
        <v>4006150.85</v>
      </c>
      <c r="AO15" s="345">
        <v>15458351.369999999</v>
      </c>
      <c r="AP15" s="345">
        <v>13705650.02</v>
      </c>
      <c r="AQ15" s="345">
        <v>13973681.039999999</v>
      </c>
      <c r="AR15" s="345">
        <v>15344604.01</v>
      </c>
      <c r="AS15" s="345">
        <v>16503904.32</v>
      </c>
      <c r="AT15" s="345">
        <v>17311352.93</v>
      </c>
      <c r="AU15" s="345">
        <v>11728195.25</v>
      </c>
      <c r="AV15" s="345">
        <v>12655512.689999999</v>
      </c>
      <c r="AW15" s="346">
        <v>8765934.6500000004</v>
      </c>
      <c r="AX15" s="346">
        <v>12093552.890000001</v>
      </c>
      <c r="AY15" s="345">
        <v>14291607.899999999</v>
      </c>
      <c r="AZ15" s="345">
        <f t="shared" si="0"/>
        <v>12210355.560000002</v>
      </c>
      <c r="BA15" s="345">
        <v>9904992.8599999994</v>
      </c>
      <c r="BB15" s="345">
        <v>14145137.220000001</v>
      </c>
      <c r="BC15" s="345">
        <v>7834565.8300000001</v>
      </c>
      <c r="BD15" s="345">
        <v>3957326.03</v>
      </c>
      <c r="BE15" s="345">
        <v>3409467.9</v>
      </c>
      <c r="BF15" s="345">
        <v>3931511.4</v>
      </c>
      <c r="BG15" s="345">
        <v>4249404.71</v>
      </c>
      <c r="BH15" s="345">
        <v>2130056.2400000002</v>
      </c>
      <c r="BI15" s="345">
        <v>2845647.82</v>
      </c>
      <c r="BJ15" s="350" t="s">
        <v>550</v>
      </c>
      <c r="BK15" s="345"/>
      <c r="BL15" s="346">
        <v>38595516.350000001</v>
      </c>
      <c r="BM15" s="345">
        <f t="shared" si="1"/>
        <v>41695060.869999997</v>
      </c>
      <c r="BN15" s="364"/>
      <c r="BP15" s="365"/>
      <c r="BQ15" s="365"/>
      <c r="BR15" s="365"/>
      <c r="BS15" s="365"/>
      <c r="BT15" s="365"/>
      <c r="BU15" s="365"/>
      <c r="BV15" s="365"/>
      <c r="BW15" s="365"/>
    </row>
    <row r="16" spans="1:75" ht="15">
      <c r="A16" s="350" t="s">
        <v>551</v>
      </c>
      <c r="B16" s="350"/>
      <c r="C16" s="350"/>
      <c r="D16" s="350"/>
      <c r="E16" s="350"/>
      <c r="F16" s="350"/>
      <c r="G16" s="350"/>
      <c r="H16" s="350"/>
      <c r="I16" s="350"/>
      <c r="J16" s="350"/>
      <c r="K16" s="350"/>
      <c r="L16" s="350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0"/>
      <c r="Z16" s="350"/>
      <c r="AA16" s="350"/>
      <c r="AB16" s="350"/>
      <c r="AC16" s="350"/>
      <c r="AD16" s="350"/>
      <c r="AE16" s="350"/>
      <c r="AF16" s="350"/>
      <c r="AG16" s="350"/>
      <c r="AH16" s="345">
        <v>288139.74</v>
      </c>
      <c r="AI16" s="345">
        <v>-1445559.04</v>
      </c>
      <c r="AJ16" s="345">
        <v>1733698.78</v>
      </c>
      <c r="AK16" s="345">
        <v>-2329542.21</v>
      </c>
      <c r="AL16" s="345">
        <v>-3251826.92</v>
      </c>
      <c r="AM16" s="345">
        <v>-6323560.3300000001</v>
      </c>
      <c r="AN16" s="345">
        <v>-57889.36</v>
      </c>
      <c r="AO16" s="345">
        <v>985606.29</v>
      </c>
      <c r="AP16" s="345">
        <v>-2891530.85</v>
      </c>
      <c r="AQ16" s="345">
        <v>-8859630.7100000009</v>
      </c>
      <c r="AR16" s="345">
        <v>-2040186.55</v>
      </c>
      <c r="AS16" s="345">
        <v>-10726632.42</v>
      </c>
      <c r="AT16" s="345">
        <v>-14230833.74</v>
      </c>
      <c r="AU16" s="345">
        <v>-5967517.8899999987</v>
      </c>
      <c r="AV16" s="345">
        <v>-26826270.829999998</v>
      </c>
      <c r="AW16" s="346">
        <v>-149405050.72999999</v>
      </c>
      <c r="AX16" s="346">
        <v>-53775493.32</v>
      </c>
      <c r="AY16" s="345">
        <v>-56531867.089999996</v>
      </c>
      <c r="AZ16" s="345">
        <f t="shared" si="0"/>
        <v>-2046282.4600000083</v>
      </c>
      <c r="BA16" s="345">
        <v>-25679802.780000001</v>
      </c>
      <c r="BB16" s="345">
        <v>-5418233.1100000003</v>
      </c>
      <c r="BC16" s="345">
        <v>-20771346.609999999</v>
      </c>
      <c r="BD16" s="345">
        <v>-20874297.73</v>
      </c>
      <c r="BE16" s="345">
        <v>-5853730.5</v>
      </c>
      <c r="BF16" s="345">
        <v>-1506908.2</v>
      </c>
      <c r="BG16" s="345">
        <v>-27830537.780000001</v>
      </c>
      <c r="BH16" s="345">
        <v>-57600228.049999997</v>
      </c>
      <c r="BI16" s="345">
        <v>-54622353.880000003</v>
      </c>
      <c r="BJ16" s="350" t="s">
        <v>551</v>
      </c>
      <c r="BK16" s="345"/>
      <c r="BL16" s="346">
        <v>-112353642.87</v>
      </c>
      <c r="BM16" s="345">
        <f t="shared" si="1"/>
        <v>-47024622.459999993</v>
      </c>
      <c r="BN16" s="364"/>
      <c r="BP16" s="365"/>
      <c r="BQ16" s="365"/>
      <c r="BR16" s="365"/>
      <c r="BS16" s="365"/>
      <c r="BT16" s="365"/>
      <c r="BU16" s="365"/>
      <c r="BV16" s="365"/>
      <c r="BW16" s="365"/>
    </row>
    <row r="17" spans="1:75" ht="15">
      <c r="A17" s="350" t="s">
        <v>552</v>
      </c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0"/>
      <c r="M17" s="350"/>
      <c r="N17" s="350"/>
      <c r="O17" s="350"/>
      <c r="P17" s="350"/>
      <c r="Q17" s="350"/>
      <c r="R17" s="350"/>
      <c r="S17" s="350"/>
      <c r="T17" s="350"/>
      <c r="U17" s="350"/>
      <c r="V17" s="350"/>
      <c r="W17" s="350"/>
      <c r="X17" s="350"/>
      <c r="Y17" s="350"/>
      <c r="Z17" s="350"/>
      <c r="AA17" s="350"/>
      <c r="AB17" s="350"/>
      <c r="AC17" s="350"/>
      <c r="AD17" s="350"/>
      <c r="AE17" s="350"/>
      <c r="AF17" s="350"/>
      <c r="AG17" s="350"/>
      <c r="AH17" s="345">
        <v>636464.63</v>
      </c>
      <c r="AI17" s="345">
        <v>566233.43999999994</v>
      </c>
      <c r="AJ17" s="345">
        <v>70231.19</v>
      </c>
      <c r="AK17" s="345">
        <v>-174935</v>
      </c>
      <c r="AL17" s="345">
        <v>-148124.59</v>
      </c>
      <c r="AM17" s="345">
        <v>-39646.82</v>
      </c>
      <c r="AN17" s="345">
        <v>-3157633.88</v>
      </c>
      <c r="AO17" s="345">
        <v>-1700038.56</v>
      </c>
      <c r="AP17" s="345">
        <v>-4938656.91</v>
      </c>
      <c r="AQ17" s="345">
        <v>2090188.69</v>
      </c>
      <c r="AR17" s="345">
        <v>-2480971.16</v>
      </c>
      <c r="AS17" s="345">
        <v>-3560332.88</v>
      </c>
      <c r="AT17" s="345">
        <v>-16248542.390000001</v>
      </c>
      <c r="AU17" s="345">
        <v>-6647032.7399999984</v>
      </c>
      <c r="AV17" s="345">
        <v>-22011169.199999999</v>
      </c>
      <c r="AW17" s="346">
        <v>-72309484.260000005</v>
      </c>
      <c r="AX17" s="346">
        <v>-17782979.010000002</v>
      </c>
      <c r="AY17" s="345">
        <v>6733894.4800000023</v>
      </c>
      <c r="AZ17" s="345">
        <f t="shared" si="0"/>
        <v>-18062849.490000002</v>
      </c>
      <c r="BA17" s="345">
        <v>-104873375.63</v>
      </c>
      <c r="BB17" s="345">
        <v>-13431554.93</v>
      </c>
      <c r="BC17" s="345">
        <v>15689808.619999999</v>
      </c>
      <c r="BD17" s="345">
        <v>17550167.27</v>
      </c>
      <c r="BE17" s="345">
        <v>117418109.8</v>
      </c>
      <c r="BF17" s="345">
        <v>-3284864.1</v>
      </c>
      <c r="BG17" s="345">
        <v>-28268080.210000001</v>
      </c>
      <c r="BH17" s="345">
        <v>-459464.68</v>
      </c>
      <c r="BI17" s="345">
        <v>-15670884.289999999</v>
      </c>
      <c r="BJ17" s="350" t="s">
        <v>552</v>
      </c>
      <c r="BK17" s="345"/>
      <c r="BL17" s="346">
        <v>-29111934.02</v>
      </c>
      <c r="BM17" s="345">
        <f t="shared" si="1"/>
        <v>-44906744.329999998</v>
      </c>
      <c r="BN17" s="364"/>
      <c r="BP17" s="365"/>
      <c r="BQ17" s="365"/>
      <c r="BR17" s="365"/>
      <c r="BS17" s="365"/>
      <c r="BT17" s="365"/>
      <c r="BU17" s="365"/>
      <c r="BV17" s="365"/>
      <c r="BW17" s="365"/>
    </row>
    <row r="18" spans="1:75" ht="15">
      <c r="A18" s="350" t="s">
        <v>553</v>
      </c>
      <c r="B18" s="350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350"/>
      <c r="V18" s="350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45">
        <v>5553836.7699999996</v>
      </c>
      <c r="AI18" s="345">
        <v>10879930.74</v>
      </c>
      <c r="AJ18" s="345">
        <v>8366784.4800000004</v>
      </c>
      <c r="AK18" s="345">
        <v>9072523.9199999999</v>
      </c>
      <c r="AL18" s="345">
        <v>8488023.5199999996</v>
      </c>
      <c r="AM18" s="345">
        <v>18508038.699999999</v>
      </c>
      <c r="AN18" s="345">
        <v>32947736.559999999</v>
      </c>
      <c r="AO18" s="345">
        <v>59269980.490000002</v>
      </c>
      <c r="AP18" s="345">
        <v>30694311.190000001</v>
      </c>
      <c r="AQ18" s="345">
        <v>46043710.859999999</v>
      </c>
      <c r="AR18" s="345">
        <v>95997464.209999993</v>
      </c>
      <c r="AS18" s="345">
        <v>48404665.979999997</v>
      </c>
      <c r="AT18" s="345">
        <v>55380324.799999997</v>
      </c>
      <c r="AU18" s="345">
        <v>45744835.659999996</v>
      </c>
      <c r="AV18" s="345">
        <v>53430163.259999998</v>
      </c>
      <c r="AW18" s="346">
        <v>118237237.31999999</v>
      </c>
      <c r="AX18" s="346">
        <v>42489387.939999998</v>
      </c>
      <c r="AY18" s="345">
        <v>33841117.680000007</v>
      </c>
      <c r="AZ18" s="345">
        <f t="shared" si="0"/>
        <v>27353982.420000002</v>
      </c>
      <c r="BA18" s="345">
        <v>40545728.700000003</v>
      </c>
      <c r="BB18" s="345">
        <v>23460960.449999999</v>
      </c>
      <c r="BC18" s="345">
        <v>31982600.289999999</v>
      </c>
      <c r="BD18" s="345">
        <v>52543340.670000002</v>
      </c>
      <c r="BE18" s="345">
        <v>112137704.90000001</v>
      </c>
      <c r="BF18" s="345" t="e">
        <v>#N/A</v>
      </c>
      <c r="BG18" s="345" t="e">
        <v>#N/A</v>
      </c>
      <c r="BH18" s="345">
        <v>53602851.469999999</v>
      </c>
      <c r="BI18" s="345">
        <v>91227279.959999993</v>
      </c>
      <c r="BJ18" s="350" t="s">
        <v>553</v>
      </c>
      <c r="BK18" s="345"/>
      <c r="BL18" s="346">
        <v>103684488.04000001</v>
      </c>
      <c r="BM18" s="345">
        <f t="shared" si="1"/>
        <v>154555323.72</v>
      </c>
      <c r="BN18" s="364"/>
      <c r="BP18" s="365"/>
      <c r="BQ18" s="365"/>
      <c r="BR18" s="365"/>
      <c r="BS18" s="365"/>
      <c r="BT18" s="365"/>
      <c r="BU18" s="365"/>
      <c r="BV18" s="365"/>
      <c r="BW18" s="365"/>
    </row>
    <row r="19" spans="1:75" ht="15">
      <c r="A19" s="350" t="s">
        <v>554</v>
      </c>
      <c r="B19" s="350"/>
      <c r="C19" s="350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45">
        <v>23377522.899999999</v>
      </c>
      <c r="AI19" s="345">
        <v>21402291.530000001</v>
      </c>
      <c r="AJ19" s="345">
        <v>25531609.199999999</v>
      </c>
      <c r="AK19" s="345">
        <v>33663914.530000001</v>
      </c>
      <c r="AL19" s="345">
        <v>33951574.270000003</v>
      </c>
      <c r="AM19" s="345">
        <v>31535101.649999999</v>
      </c>
      <c r="AN19" s="345">
        <v>28215274.949999999</v>
      </c>
      <c r="AO19" s="345">
        <v>24735680.219999999</v>
      </c>
      <c r="AP19" s="345">
        <v>26486215.199999999</v>
      </c>
      <c r="AQ19" s="345">
        <v>22266102.690000001</v>
      </c>
      <c r="AR19" s="345">
        <v>21953712.170000002</v>
      </c>
      <c r="AS19" s="345">
        <v>19396947.359999999</v>
      </c>
      <c r="AT19" s="345">
        <v>15160330.93</v>
      </c>
      <c r="AU19" s="345">
        <v>16732457.949999999</v>
      </c>
      <c r="AV19" s="345">
        <v>14128982.68</v>
      </c>
      <c r="AW19" s="346">
        <v>45373092.299999997</v>
      </c>
      <c r="AX19" s="346">
        <v>9600257.7200000007</v>
      </c>
      <c r="AY19" s="345">
        <v>18419808.82</v>
      </c>
      <c r="AZ19" s="345">
        <f t="shared" si="0"/>
        <v>20738009.810000002</v>
      </c>
      <c r="BA19" s="345">
        <v>25490935.719999999</v>
      </c>
      <c r="BB19" s="345">
        <v>15396862.140000001</v>
      </c>
      <c r="BC19" s="345">
        <v>1505838.35</v>
      </c>
      <c r="BD19" s="345">
        <v>12900324.390000001</v>
      </c>
      <c r="BE19" s="345">
        <v>-7124696</v>
      </c>
      <c r="BF19" s="345">
        <v>1115843.6000000001</v>
      </c>
      <c r="BG19" s="345">
        <v>2115072.15</v>
      </c>
      <c r="BH19" s="345">
        <v>10416546.060000001</v>
      </c>
      <c r="BI19" s="345">
        <v>-4760399.3899999997</v>
      </c>
      <c r="BJ19" s="350" t="s">
        <v>554</v>
      </c>
      <c r="BK19" s="345"/>
      <c r="BL19" s="346">
        <v>48758076.350000001</v>
      </c>
      <c r="BM19" s="345">
        <f t="shared" si="1"/>
        <v>46021771.560000002</v>
      </c>
      <c r="BN19" s="364"/>
      <c r="BP19" s="365"/>
      <c r="BQ19" s="365"/>
      <c r="BR19" s="365"/>
      <c r="BS19" s="365"/>
      <c r="BT19" s="365"/>
      <c r="BU19" s="365"/>
      <c r="BV19" s="365"/>
      <c r="BW19" s="365"/>
    </row>
    <row r="20" spans="1:75" ht="15">
      <c r="A20" s="350" t="s">
        <v>555</v>
      </c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44"/>
      <c r="AI20" s="344"/>
      <c r="AJ20" s="344"/>
      <c r="AK20" s="345">
        <v>-8.92</v>
      </c>
      <c r="AL20" s="345">
        <v>-127751.44</v>
      </c>
      <c r="AM20" s="345">
        <v>173651.24</v>
      </c>
      <c r="AN20" s="345">
        <v>21874.97</v>
      </c>
      <c r="AO20" s="345">
        <v>-89060.23</v>
      </c>
      <c r="AP20" s="345">
        <v>-153315.91</v>
      </c>
      <c r="AQ20" s="345">
        <v>-198669.84</v>
      </c>
      <c r="AR20" s="345">
        <v>-106402.6</v>
      </c>
      <c r="AS20" s="345">
        <v>-71293.05</v>
      </c>
      <c r="AT20" s="345">
        <v>-599601.84</v>
      </c>
      <c r="AU20" s="345">
        <v>-1181586.2400000002</v>
      </c>
      <c r="AV20" s="345">
        <v>309883.24</v>
      </c>
      <c r="AW20" s="346">
        <v>29680170.09</v>
      </c>
      <c r="AX20" s="346">
        <v>-1439833.42</v>
      </c>
      <c r="AY20" s="345">
        <v>14039.10999999987</v>
      </c>
      <c r="AZ20" s="345">
        <f t="shared" si="0"/>
        <v>97227.790000000037</v>
      </c>
      <c r="BA20" s="345">
        <v>5684774.0999999996</v>
      </c>
      <c r="BB20" s="345">
        <v>133740.68</v>
      </c>
      <c r="BC20" s="345">
        <v>908662.69</v>
      </c>
      <c r="BD20" s="345">
        <v>-547354.86</v>
      </c>
      <c r="BE20" s="345">
        <v>-15144722.6</v>
      </c>
      <c r="BF20" s="345">
        <v>-1411592</v>
      </c>
      <c r="BG20" s="345">
        <v>-1363393.78</v>
      </c>
      <c r="BH20" s="345">
        <v>2924217.21</v>
      </c>
      <c r="BI20" s="345">
        <v>-7036426.8899999997</v>
      </c>
      <c r="BJ20" s="350" t="s">
        <v>555</v>
      </c>
      <c r="BK20" s="345"/>
      <c r="BL20" s="346">
        <v>-1328566.52</v>
      </c>
      <c r="BM20" s="345">
        <f t="shared" si="1"/>
        <v>-1471304.84</v>
      </c>
      <c r="BN20" s="364"/>
      <c r="BP20" s="365"/>
      <c r="BQ20" s="365"/>
      <c r="BR20" s="365"/>
      <c r="BS20" s="365"/>
      <c r="BT20" s="365"/>
      <c r="BU20" s="365"/>
      <c r="BV20" s="365"/>
      <c r="BW20" s="365"/>
    </row>
    <row r="21" spans="1:75">
      <c r="A21" s="350" t="s">
        <v>556</v>
      </c>
      <c r="B21" s="350"/>
      <c r="C21" s="350"/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350"/>
      <c r="P21" s="350"/>
      <c r="Q21" s="350"/>
      <c r="R21" s="350"/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350"/>
      <c r="AD21" s="350"/>
      <c r="AE21" s="350"/>
      <c r="AF21" s="350"/>
      <c r="AG21" s="350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5">
        <v>0</v>
      </c>
      <c r="AV21" s="345"/>
      <c r="AW21" s="345"/>
      <c r="AX21" s="345"/>
      <c r="AY21" s="345">
        <v>0</v>
      </c>
      <c r="AZ21" s="345">
        <f t="shared" si="0"/>
        <v>0</v>
      </c>
      <c r="BE21" s="345">
        <v>-5367858.0999999996</v>
      </c>
      <c r="BF21" s="345">
        <v>632153</v>
      </c>
      <c r="BG21" s="345">
        <v>2286484.4700000002</v>
      </c>
      <c r="BH21" s="345">
        <v>962261.99</v>
      </c>
      <c r="BI21" s="345">
        <v>1084837.06</v>
      </c>
      <c r="BJ21" s="350" t="s">
        <v>556</v>
      </c>
      <c r="BK21" s="345"/>
      <c r="BL21" s="345"/>
      <c r="BM21" s="345">
        <f t="shared" si="1"/>
        <v>0</v>
      </c>
      <c r="BN21" s="364"/>
      <c r="BP21" s="365"/>
      <c r="BQ21" s="365"/>
      <c r="BR21" s="365"/>
      <c r="BS21" s="365"/>
      <c r="BT21" s="365"/>
      <c r="BU21" s="365"/>
      <c r="BV21" s="365"/>
      <c r="BW21" s="365"/>
    </row>
    <row r="22" spans="1:75" ht="15">
      <c r="A22" s="350" t="s">
        <v>557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4"/>
      <c r="AU22" s="345">
        <v>0</v>
      </c>
      <c r="AV22" s="345">
        <v>-425966.66</v>
      </c>
      <c r="AW22" s="346">
        <v>0</v>
      </c>
      <c r="AX22" s="345"/>
      <c r="AY22" s="345">
        <v>0</v>
      </c>
      <c r="AZ22" s="345">
        <f t="shared" si="0"/>
        <v>0</v>
      </c>
      <c r="BE22" s="345">
        <v>1244839.3999999999</v>
      </c>
      <c r="BF22" s="345">
        <v>931.5</v>
      </c>
      <c r="BG22" s="345">
        <v>11995.45</v>
      </c>
      <c r="BH22" s="345">
        <v>0</v>
      </c>
      <c r="BI22" s="345">
        <v>-1970.96</v>
      </c>
      <c r="BJ22" s="350" t="s">
        <v>557</v>
      </c>
      <c r="BK22" s="345"/>
      <c r="BL22" s="345">
        <v>0</v>
      </c>
      <c r="BM22" s="345">
        <f t="shared" si="1"/>
        <v>-425966.66</v>
      </c>
      <c r="BN22" s="364"/>
      <c r="BP22" s="365"/>
      <c r="BQ22" s="365"/>
      <c r="BR22" s="365"/>
      <c r="BS22" s="365"/>
      <c r="BT22" s="365"/>
      <c r="BU22" s="365"/>
      <c r="BV22" s="365"/>
      <c r="BW22" s="365"/>
    </row>
    <row r="23" spans="1:75" ht="15">
      <c r="A23" s="363" t="s">
        <v>104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45">
        <v>-22706346.949999999</v>
      </c>
      <c r="AI23" s="345">
        <v>-8093830.4699999997</v>
      </c>
      <c r="AJ23" s="345">
        <v>-554390376.57000005</v>
      </c>
      <c r="AK23" s="345">
        <v>-593126638.50999999</v>
      </c>
      <c r="AL23" s="345">
        <v>-108357585.98999999</v>
      </c>
      <c r="AM23" s="345">
        <v>-93502738.459999993</v>
      </c>
      <c r="AN23" s="345">
        <v>-107650719.98999999</v>
      </c>
      <c r="AO23" s="345">
        <v>-124948747.15000001</v>
      </c>
      <c r="AP23" s="345">
        <v>-205561489.93000001</v>
      </c>
      <c r="AQ23" s="345">
        <v>-185986272.72</v>
      </c>
      <c r="AR23" s="345">
        <v>-237962542.19</v>
      </c>
      <c r="AS23" s="345">
        <v>-194698218.27000001</v>
      </c>
      <c r="AT23" s="345">
        <v>-298776899.47000003</v>
      </c>
      <c r="AU23" s="345">
        <v>-344311564.20999992</v>
      </c>
      <c r="AV23" s="345">
        <v>-341415660.85000002</v>
      </c>
      <c r="AW23" s="346">
        <v>-339747130.04000002</v>
      </c>
      <c r="AX23" s="346">
        <v>-262793445.91</v>
      </c>
      <c r="AY23" s="345">
        <v>-297359455.41000009</v>
      </c>
      <c r="AZ23" s="345">
        <f t="shared" si="0"/>
        <v>-270888778.73999989</v>
      </c>
      <c r="BA23" s="345">
        <v>-44764731.310000002</v>
      </c>
      <c r="BB23" s="345">
        <v>-228454218.37</v>
      </c>
      <c r="BC23" s="345">
        <v>-304308796.41000003</v>
      </c>
      <c r="BD23" s="345">
        <v>-195149031.37</v>
      </c>
      <c r="BE23" s="345">
        <v>272166803.19999999</v>
      </c>
      <c r="BF23" s="345">
        <v>355353736.19999999</v>
      </c>
      <c r="BG23" s="345">
        <v>683099083.84000003</v>
      </c>
      <c r="BH23" s="345">
        <v>567246714.01999998</v>
      </c>
      <c r="BI23" s="345">
        <v>455690500.70999998</v>
      </c>
      <c r="BJ23" s="363" t="s">
        <v>104</v>
      </c>
      <c r="BK23" s="345"/>
      <c r="BL23" s="346">
        <v>-831041680.05999994</v>
      </c>
      <c r="BM23" s="345">
        <f t="shared" si="1"/>
        <v>-984504124.52999997</v>
      </c>
      <c r="BN23" s="364"/>
      <c r="BP23" s="365"/>
      <c r="BQ23" s="365"/>
      <c r="BR23" s="365"/>
      <c r="BS23" s="365"/>
      <c r="BT23" s="365"/>
      <c r="BU23" s="365"/>
      <c r="BV23" s="365"/>
      <c r="BW23" s="365"/>
    </row>
    <row r="24" spans="1:75" ht="15">
      <c r="A24" s="350" t="s">
        <v>558</v>
      </c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0"/>
      <c r="M24" s="350"/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  <c r="AA24" s="350"/>
      <c r="AB24" s="350"/>
      <c r="AC24" s="350"/>
      <c r="AD24" s="350"/>
      <c r="AE24" s="350"/>
      <c r="AF24" s="350"/>
      <c r="AG24" s="350"/>
      <c r="AH24" s="344"/>
      <c r="AI24" s="344"/>
      <c r="AJ24" s="344"/>
      <c r="AK24" s="344"/>
      <c r="AL24" s="345">
        <v>1.35</v>
      </c>
      <c r="AM24" s="345">
        <v>766.48</v>
      </c>
      <c r="AN24" s="344"/>
      <c r="AO24" s="345">
        <v>149942.25</v>
      </c>
      <c r="AP24" s="344"/>
      <c r="AQ24" s="345">
        <v>110776</v>
      </c>
      <c r="AR24" s="345">
        <v>95097</v>
      </c>
      <c r="AS24" s="345">
        <v>256054.24</v>
      </c>
      <c r="AT24" s="345">
        <v>692240.42</v>
      </c>
      <c r="AU24" s="345">
        <v>130617.85999999999</v>
      </c>
      <c r="AV24" s="345">
        <v>388363.92</v>
      </c>
      <c r="AW24" s="346">
        <v>402399.94</v>
      </c>
      <c r="AX24" s="346">
        <v>340259.82</v>
      </c>
      <c r="AY24" s="345">
        <v>245145.86999999994</v>
      </c>
      <c r="AZ24" s="345">
        <f t="shared" si="0"/>
        <v>4356.1100000001024</v>
      </c>
      <c r="BA24" s="345">
        <v>723937.6</v>
      </c>
      <c r="BB24" s="345">
        <v>57026.55</v>
      </c>
      <c r="BC24" s="345">
        <v>205900.7</v>
      </c>
      <c r="BD24" s="345">
        <v>127488.48</v>
      </c>
      <c r="BE24" s="345">
        <v>330628.59999999998</v>
      </c>
      <c r="BF24" s="345">
        <v>4690.3999999999996</v>
      </c>
      <c r="BG24" s="345">
        <v>3256.64</v>
      </c>
      <c r="BH24" s="345">
        <v>893.75</v>
      </c>
      <c r="BI24" s="345">
        <v>15394.74</v>
      </c>
      <c r="BJ24" s="350" t="s">
        <v>558</v>
      </c>
      <c r="BK24" s="345"/>
      <c r="BL24" s="346">
        <v>589761.80000000005</v>
      </c>
      <c r="BM24" s="345">
        <f t="shared" si="1"/>
        <v>1211222.2</v>
      </c>
      <c r="BN24" s="364"/>
      <c r="BP24" s="365"/>
      <c r="BQ24" s="365"/>
      <c r="BR24" s="365"/>
      <c r="BS24" s="365"/>
      <c r="BT24" s="365"/>
      <c r="BU24" s="365"/>
      <c r="BV24" s="365"/>
      <c r="BW24" s="365"/>
    </row>
    <row r="25" spans="1:75" ht="15">
      <c r="A25" s="350" t="s">
        <v>559</v>
      </c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44"/>
      <c r="AI25" s="344"/>
      <c r="AJ25" s="345">
        <v>629645.62</v>
      </c>
      <c r="AK25" s="345">
        <v>178493.31</v>
      </c>
      <c r="AL25" s="344"/>
      <c r="AM25" s="344"/>
      <c r="AN25" s="345">
        <v>1937.24</v>
      </c>
      <c r="AO25" s="345">
        <v>198312.41</v>
      </c>
      <c r="AP25" s="345">
        <v>30943.52</v>
      </c>
      <c r="AQ25" s="345">
        <v>6615.57</v>
      </c>
      <c r="AR25" s="345">
        <v>5285.17</v>
      </c>
      <c r="AS25" s="345">
        <v>33585.78</v>
      </c>
      <c r="AT25" s="345">
        <v>1492.35</v>
      </c>
      <c r="AU25" s="345">
        <v>33764.340000000004</v>
      </c>
      <c r="AV25" s="345">
        <v>54000</v>
      </c>
      <c r="AW25" s="346">
        <v>4000</v>
      </c>
      <c r="AX25" s="346">
        <v>144644.01</v>
      </c>
      <c r="AY25" s="345">
        <v>17200</v>
      </c>
      <c r="AZ25" s="345">
        <f t="shared" si="0"/>
        <v>2552.109999999986</v>
      </c>
      <c r="BA25" s="345">
        <v>81682.960000000006</v>
      </c>
      <c r="BB25" s="345">
        <v>606190.63</v>
      </c>
      <c r="BC25" s="345">
        <v>80604.08</v>
      </c>
      <c r="BD25" s="345">
        <v>53662.09</v>
      </c>
      <c r="BE25" s="345">
        <v>4400</v>
      </c>
      <c r="BF25" s="345">
        <v>2300</v>
      </c>
      <c r="BG25" s="345">
        <v>703900</v>
      </c>
      <c r="BH25" s="345">
        <v>1136763.72</v>
      </c>
      <c r="BI25" s="345">
        <v>189736.28</v>
      </c>
      <c r="BJ25" s="350" t="s">
        <v>559</v>
      </c>
      <c r="BK25" s="345"/>
      <c r="BL25" s="346">
        <v>164396.12</v>
      </c>
      <c r="BM25" s="345">
        <f t="shared" si="1"/>
        <v>89256.69</v>
      </c>
      <c r="BN25" s="364"/>
      <c r="BO25" s="365"/>
      <c r="BP25" s="365"/>
      <c r="BQ25" s="365"/>
      <c r="BR25" s="365"/>
      <c r="BS25" s="365"/>
      <c r="BT25" s="365"/>
      <c r="BU25" s="365"/>
      <c r="BV25" s="365"/>
      <c r="BW25" s="365"/>
    </row>
    <row r="26" spans="1:75">
      <c r="A26" s="350" t="s">
        <v>560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350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4"/>
      <c r="AU26" s="345">
        <v>0</v>
      </c>
      <c r="AV26" s="345"/>
      <c r="AW26" s="345"/>
      <c r="AX26" s="345"/>
      <c r="AY26" s="345">
        <v>0</v>
      </c>
      <c r="AZ26" s="345">
        <f t="shared" si="0"/>
        <v>0</v>
      </c>
      <c r="BA26" s="345"/>
      <c r="BB26" s="345"/>
      <c r="BC26" s="345"/>
      <c r="BD26" s="345"/>
      <c r="BE26" s="345">
        <v>0</v>
      </c>
      <c r="BF26" s="345">
        <v>0</v>
      </c>
      <c r="BG26" s="345" t="e">
        <v>#N/A</v>
      </c>
      <c r="BH26" s="345">
        <v>0</v>
      </c>
      <c r="BI26" s="345">
        <v>0</v>
      </c>
      <c r="BJ26" s="350" t="s">
        <v>560</v>
      </c>
      <c r="BK26" s="345"/>
      <c r="BL26" s="345"/>
      <c r="BM26" s="345">
        <f t="shared" si="1"/>
        <v>0</v>
      </c>
      <c r="BN26" s="364"/>
      <c r="BP26" s="365"/>
      <c r="BQ26" s="365"/>
      <c r="BR26" s="365"/>
      <c r="BS26" s="365"/>
      <c r="BT26" s="365"/>
      <c r="BU26" s="365"/>
      <c r="BV26" s="365"/>
      <c r="BW26" s="365"/>
    </row>
    <row r="27" spans="1:75" ht="15">
      <c r="A27" s="363" t="s">
        <v>100</v>
      </c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  <c r="R27" s="350"/>
      <c r="S27" s="350"/>
      <c r="T27" s="350"/>
      <c r="U27" s="350"/>
      <c r="V27" s="350"/>
      <c r="W27" s="350"/>
      <c r="X27" s="350"/>
      <c r="Y27" s="350"/>
      <c r="Z27" s="350"/>
      <c r="AA27" s="350"/>
      <c r="AB27" s="350"/>
      <c r="AC27" s="350"/>
      <c r="AD27" s="350"/>
      <c r="AE27" s="350"/>
      <c r="AF27" s="350"/>
      <c r="AG27" s="350"/>
      <c r="AH27" s="345">
        <v>-22706346.949999999</v>
      </c>
      <c r="AI27" s="345">
        <v>-8093830.4699999997</v>
      </c>
      <c r="AJ27" s="345">
        <v>-555020022.19000006</v>
      </c>
      <c r="AK27" s="345">
        <v>-593305131.82000005</v>
      </c>
      <c r="AL27" s="345">
        <v>-108357584.64</v>
      </c>
      <c r="AM27" s="345">
        <v>-93501971.980000004</v>
      </c>
      <c r="AN27" s="345">
        <v>-107652657.23</v>
      </c>
      <c r="AO27" s="345">
        <v>-124997117.31</v>
      </c>
      <c r="AP27" s="345">
        <v>-205592433.44999999</v>
      </c>
      <c r="AQ27" s="345">
        <v>-185882112.28999999</v>
      </c>
      <c r="AR27" s="345">
        <v>-237872730.36000001</v>
      </c>
      <c r="AS27" s="345">
        <v>-194475749.81</v>
      </c>
      <c r="AT27" s="345">
        <v>-298086151.39999998</v>
      </c>
      <c r="AU27" s="345">
        <v>-344214710.69000006</v>
      </c>
      <c r="AV27" s="345">
        <v>-341081296.93000001</v>
      </c>
      <c r="AW27" s="346">
        <v>-339348730.10000002</v>
      </c>
      <c r="AX27" s="346">
        <v>-262597830.09999999</v>
      </c>
      <c r="AY27" s="345">
        <v>-297131509.53999996</v>
      </c>
      <c r="AZ27" s="345">
        <f t="shared" si="0"/>
        <v>-270886974.74000001</v>
      </c>
      <c r="BA27" s="345">
        <v>-44122476.670000002</v>
      </c>
      <c r="BB27" s="345">
        <v>-229003382.44999999</v>
      </c>
      <c r="BC27" s="345">
        <v>-304183499.79000002</v>
      </c>
      <c r="BD27" s="345">
        <v>-195075204.97999999</v>
      </c>
      <c r="BE27" s="345">
        <v>272493031.80000001</v>
      </c>
      <c r="BF27" s="345">
        <v>355356126.60000002</v>
      </c>
      <c r="BG27" s="345">
        <v>682398440.48000002</v>
      </c>
      <c r="BH27" s="345">
        <v>566110844.04999995</v>
      </c>
      <c r="BI27" s="345">
        <v>455516159.17000002</v>
      </c>
      <c r="BJ27" s="363" t="s">
        <v>100</v>
      </c>
      <c r="BK27" s="345"/>
      <c r="BL27" s="346">
        <v>-830616314.38</v>
      </c>
      <c r="BM27" s="345">
        <f t="shared" si="1"/>
        <v>-983382159.01999998</v>
      </c>
      <c r="BN27" s="364"/>
      <c r="BP27" s="365"/>
      <c r="BQ27" s="365"/>
      <c r="BR27" s="365"/>
      <c r="BS27" s="365"/>
      <c r="BT27" s="365"/>
      <c r="BU27" s="365"/>
      <c r="BV27" s="365"/>
      <c r="BW27" s="365"/>
    </row>
    <row r="28" spans="1:75" ht="15">
      <c r="A28" s="350" t="s">
        <v>561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0"/>
      <c r="AD28" s="350"/>
      <c r="AE28" s="350"/>
      <c r="AF28" s="350"/>
      <c r="AG28" s="350"/>
      <c r="AH28" s="345">
        <v>103.11</v>
      </c>
      <c r="AI28" s="345">
        <v>101.3</v>
      </c>
      <c r="AJ28" s="344"/>
      <c r="AK28" s="344"/>
      <c r="AL28" s="344"/>
      <c r="AM28" s="344"/>
      <c r="AN28" s="344"/>
      <c r="AO28" s="344"/>
      <c r="AP28" s="344"/>
      <c r="AQ28" s="345">
        <v>128577.92</v>
      </c>
      <c r="AR28" s="345">
        <v>0</v>
      </c>
      <c r="AS28" s="345">
        <v>5862873.5999999996</v>
      </c>
      <c r="AT28" s="345">
        <v>13798.55</v>
      </c>
      <c r="AU28" s="345">
        <v>70960.709999999992</v>
      </c>
      <c r="AV28" s="345">
        <v>660.78</v>
      </c>
      <c r="AW28" s="346">
        <v>2190532.0099999998</v>
      </c>
      <c r="AX28" s="339"/>
      <c r="AY28" s="345">
        <v>0</v>
      </c>
      <c r="AZ28" s="345">
        <f t="shared" si="0"/>
        <v>0</v>
      </c>
      <c r="BA28" s="345"/>
      <c r="BB28" s="345"/>
      <c r="BC28" s="345"/>
      <c r="BD28" s="345"/>
      <c r="BE28" s="345">
        <v>938079.2</v>
      </c>
      <c r="BF28" s="345">
        <v>128063.3</v>
      </c>
      <c r="BG28" s="345">
        <v>-29040.37</v>
      </c>
      <c r="BH28" s="345">
        <v>-271667.87</v>
      </c>
      <c r="BI28" s="345">
        <v>1066825.94</v>
      </c>
      <c r="BJ28" s="350" t="s">
        <v>561</v>
      </c>
      <c r="BK28" s="345"/>
      <c r="BL28" s="339">
        <v>0</v>
      </c>
      <c r="BM28" s="345">
        <f t="shared" si="1"/>
        <v>85420.04</v>
      </c>
      <c r="BN28" s="364"/>
      <c r="BP28" s="365"/>
      <c r="BQ28" s="365"/>
      <c r="BR28" s="365"/>
      <c r="BS28" s="365"/>
      <c r="BT28" s="365"/>
      <c r="BU28" s="365"/>
      <c r="BV28" s="365"/>
      <c r="BW28" s="365"/>
    </row>
    <row r="29" spans="1:75" ht="15">
      <c r="A29" s="363" t="s">
        <v>98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45">
        <v>-22706450.059999999</v>
      </c>
      <c r="AI29" s="345">
        <v>-8093931.7699999996</v>
      </c>
      <c r="AJ29" s="345">
        <v>-555020022.19000006</v>
      </c>
      <c r="AK29" s="345">
        <v>-593304927.40999997</v>
      </c>
      <c r="AL29" s="345">
        <v>-108357584.64</v>
      </c>
      <c r="AM29" s="345">
        <v>-93501971.980000004</v>
      </c>
      <c r="AN29" s="345">
        <v>-107652657.23</v>
      </c>
      <c r="AO29" s="345">
        <v>-124997117.31</v>
      </c>
      <c r="AP29" s="345">
        <v>-205592433.44999999</v>
      </c>
      <c r="AQ29" s="345">
        <v>-186010690.21000001</v>
      </c>
      <c r="AR29" s="345">
        <v>-237872730.36000001</v>
      </c>
      <c r="AS29" s="345">
        <v>-200338623.41</v>
      </c>
      <c r="AT29" s="345">
        <v>-298099949.94999999</v>
      </c>
      <c r="AU29" s="345">
        <v>-344285671.40000004</v>
      </c>
      <c r="AV29" s="345">
        <v>-341081957.70999998</v>
      </c>
      <c r="AW29" s="346">
        <v>-341539262.11000001</v>
      </c>
      <c r="AX29" s="346">
        <v>-262597830.09999999</v>
      </c>
      <c r="AY29" s="345">
        <v>-297131509.53999996</v>
      </c>
      <c r="AZ29" s="345">
        <f t="shared" si="0"/>
        <v>-270886974.74000001</v>
      </c>
      <c r="BA29" s="357">
        <v>-47461129.829999998</v>
      </c>
      <c r="BB29" s="357">
        <v>-229051890.24000001</v>
      </c>
      <c r="BC29" s="357">
        <v>-304282152.5</v>
      </c>
      <c r="BD29" s="357">
        <v>-195147562.49000001</v>
      </c>
      <c r="BE29" s="345">
        <v>271554952.60000002</v>
      </c>
      <c r="BF29" s="345">
        <v>355228063.39999998</v>
      </c>
      <c r="BG29" s="345">
        <v>682427480.85000002</v>
      </c>
      <c r="BH29" s="345">
        <v>566382511.91999996</v>
      </c>
      <c r="BI29" s="345">
        <v>454449333.23000002</v>
      </c>
      <c r="BJ29" s="363" t="s">
        <v>98</v>
      </c>
      <c r="BK29" s="345"/>
      <c r="BL29" s="346">
        <v>-830616314.38</v>
      </c>
      <c r="BM29" s="345">
        <f t="shared" si="1"/>
        <v>-983467579.05999994</v>
      </c>
      <c r="BN29" s="364"/>
      <c r="BO29" s="365"/>
      <c r="BP29" s="365"/>
      <c r="BQ29" s="365"/>
      <c r="BR29" s="365"/>
      <c r="BS29" s="365"/>
      <c r="BT29" s="365"/>
      <c r="BU29" s="365"/>
      <c r="BV29" s="365"/>
      <c r="BW29" s="365"/>
    </row>
    <row r="30" spans="1:75" ht="15">
      <c r="A30" s="350" t="s">
        <v>562</v>
      </c>
      <c r="B30" s="350"/>
      <c r="C30" s="350"/>
      <c r="D30" s="350"/>
      <c r="E30" s="350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  <c r="AH30" s="345">
        <v>-22706450.059999999</v>
      </c>
      <c r="AI30" s="345">
        <v>-8093931.7699999996</v>
      </c>
      <c r="AJ30" s="345">
        <v>-555020022.19000006</v>
      </c>
      <c r="AK30" s="345">
        <v>-593304927.40999997</v>
      </c>
      <c r="AL30" s="345">
        <v>-108357584.64</v>
      </c>
      <c r="AM30" s="345">
        <v>-93501971.980000004</v>
      </c>
      <c r="AN30" s="345">
        <v>-107652657.23</v>
      </c>
      <c r="AO30" s="345">
        <v>-124997117.31</v>
      </c>
      <c r="AP30" s="345">
        <v>-205592433.44999999</v>
      </c>
      <c r="AQ30" s="345">
        <v>-186010690.21000001</v>
      </c>
      <c r="AR30" s="345">
        <v>-237872730.36000001</v>
      </c>
      <c r="AS30" s="345">
        <v>-200338623.41</v>
      </c>
      <c r="AT30" s="345">
        <v>-298099949.94999999</v>
      </c>
      <c r="AU30" s="345">
        <v>-344285671.40000004</v>
      </c>
      <c r="AV30" s="345">
        <v>-341081957.70999998</v>
      </c>
      <c r="AW30" s="346">
        <v>-341539262.11000001</v>
      </c>
      <c r="AX30" s="346">
        <v>-262597830.09999999</v>
      </c>
      <c r="AY30" s="345">
        <v>-297131509.53999996</v>
      </c>
      <c r="AZ30" s="345">
        <f t="shared" si="0"/>
        <v>-270886974.74000001</v>
      </c>
      <c r="BA30" s="357">
        <v>-47461129.829999998</v>
      </c>
      <c r="BB30" s="357">
        <v>-229051890.24000001</v>
      </c>
      <c r="BC30" s="357">
        <v>-304282152.5</v>
      </c>
      <c r="BD30" s="357">
        <v>-195147562.49000001</v>
      </c>
      <c r="BE30" s="345">
        <v>271554952.60000002</v>
      </c>
      <c r="BF30" s="345">
        <v>355228063.39999998</v>
      </c>
      <c r="BG30" s="345">
        <v>682427480.85000002</v>
      </c>
      <c r="BH30" s="345">
        <v>566382511.91999996</v>
      </c>
      <c r="BI30" s="345">
        <v>454449333.23000002</v>
      </c>
      <c r="BJ30" s="350" t="s">
        <v>562</v>
      </c>
      <c r="BK30" s="345"/>
      <c r="BL30" s="346">
        <v>-830616314.38</v>
      </c>
      <c r="BM30" s="345">
        <f t="shared" si="1"/>
        <v>-983467579.05999994</v>
      </c>
      <c r="BN30" s="364"/>
      <c r="BO30" s="365"/>
      <c r="BP30" s="365"/>
      <c r="BQ30" s="365"/>
      <c r="BR30" s="365"/>
      <c r="BS30" s="365"/>
      <c r="BT30" s="365"/>
      <c r="BU30" s="365"/>
      <c r="BV30" s="365"/>
      <c r="BW30" s="365"/>
    </row>
    <row r="31" spans="1:75">
      <c r="A31" s="350" t="s">
        <v>563</v>
      </c>
      <c r="B31" s="350"/>
      <c r="C31" s="350"/>
      <c r="D31" s="350"/>
      <c r="E31" s="350"/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0"/>
      <c r="AH31" s="344"/>
      <c r="AI31" s="344"/>
      <c r="AJ31" s="344"/>
      <c r="AK31" s="344"/>
      <c r="AL31" s="344"/>
      <c r="AM31" s="344"/>
      <c r="AN31" s="344"/>
      <c r="AO31" s="344"/>
      <c r="AP31" s="344"/>
      <c r="AQ31" s="344"/>
      <c r="AR31" s="344"/>
      <c r="AS31" s="344"/>
      <c r="AT31" s="344"/>
      <c r="AU31" s="345">
        <v>0</v>
      </c>
      <c r="AV31" s="345"/>
      <c r="AW31" s="345"/>
      <c r="AX31" s="345"/>
      <c r="AY31" s="345">
        <v>0</v>
      </c>
      <c r="AZ31" s="345">
        <f t="shared" si="0"/>
        <v>0</v>
      </c>
      <c r="BE31" s="345">
        <v>0</v>
      </c>
      <c r="BF31" s="345">
        <v>0</v>
      </c>
      <c r="BG31" s="345" t="e">
        <v>#N/A</v>
      </c>
      <c r="BH31" s="345">
        <v>0</v>
      </c>
      <c r="BI31" s="345">
        <v>0</v>
      </c>
      <c r="BJ31" s="350" t="s">
        <v>563</v>
      </c>
      <c r="BK31" s="345"/>
      <c r="BL31" s="345"/>
      <c r="BM31" s="345">
        <f t="shared" si="1"/>
        <v>0</v>
      </c>
      <c r="BN31" s="364"/>
      <c r="BP31" s="365"/>
      <c r="BQ31" s="365"/>
      <c r="BR31" s="365"/>
      <c r="BS31" s="365"/>
      <c r="BT31" s="365"/>
      <c r="BU31" s="365"/>
      <c r="BV31" s="365"/>
      <c r="BW31" s="365"/>
    </row>
    <row r="32" spans="1:75" ht="15">
      <c r="A32" s="350" t="s">
        <v>564</v>
      </c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350"/>
      <c r="W32" s="350"/>
      <c r="X32" s="350"/>
      <c r="Y32" s="350"/>
      <c r="Z32" s="350"/>
      <c r="AA32" s="350"/>
      <c r="AB32" s="350"/>
      <c r="AC32" s="350"/>
      <c r="AD32" s="350"/>
      <c r="AE32" s="350"/>
      <c r="AF32" s="350"/>
      <c r="AG32" s="350"/>
      <c r="AH32" s="344"/>
      <c r="AI32" s="344"/>
      <c r="AJ32" s="345">
        <v>-351.25</v>
      </c>
      <c r="AK32" s="345">
        <v>-139330.65</v>
      </c>
      <c r="AL32" s="344"/>
      <c r="AM32" s="344"/>
      <c r="AN32" s="344"/>
      <c r="AO32" s="344"/>
      <c r="AP32" s="344"/>
      <c r="AQ32" s="344"/>
      <c r="AR32" s="345">
        <v>-17377.7</v>
      </c>
      <c r="AS32" s="345">
        <v>-4847690.62</v>
      </c>
      <c r="AT32" s="345">
        <v>-10716426.07</v>
      </c>
      <c r="AU32" s="345">
        <v>-9259864.5899999999</v>
      </c>
      <c r="AV32" s="345">
        <v>-18712903.280000001</v>
      </c>
      <c r="AW32" s="346">
        <v>-29755125.23</v>
      </c>
      <c r="AX32" s="346">
        <v>-7565499.1900000004</v>
      </c>
      <c r="AY32" s="345">
        <v>-7335244.2000000002</v>
      </c>
      <c r="AZ32" s="345">
        <f t="shared" si="0"/>
        <v>-7981478.3999999976</v>
      </c>
      <c r="BA32" s="357">
        <v>-6755081.4299999997</v>
      </c>
      <c r="BB32" s="357">
        <v>-2374621.86</v>
      </c>
      <c r="BC32" s="357">
        <v>-849853.62</v>
      </c>
      <c r="BD32" s="357">
        <v>-765386.09</v>
      </c>
      <c r="BE32" s="345">
        <v>-598000.1</v>
      </c>
      <c r="BF32" s="345">
        <v>-237177.7</v>
      </c>
      <c r="BG32" s="345">
        <v>-189846.68</v>
      </c>
      <c r="BH32" s="345">
        <v>-180663.62</v>
      </c>
      <c r="BI32" s="345">
        <v>-133461.32999999999</v>
      </c>
      <c r="BJ32" s="350" t="s">
        <v>564</v>
      </c>
      <c r="BK32" s="345"/>
      <c r="BL32" s="346">
        <v>-22882221.789999999</v>
      </c>
      <c r="BM32" s="345">
        <f t="shared" si="1"/>
        <v>-38689193.939999998</v>
      </c>
      <c r="BN32" s="364"/>
      <c r="BO32" s="365"/>
      <c r="BP32" s="365"/>
      <c r="BQ32" s="365"/>
      <c r="BR32" s="365"/>
      <c r="BS32" s="365"/>
      <c r="BT32" s="365"/>
      <c r="BU32" s="365"/>
      <c r="BV32" s="365"/>
      <c r="BW32" s="365"/>
    </row>
    <row r="33" spans="1:75" ht="15">
      <c r="A33" s="350" t="s">
        <v>565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45">
        <v>-22706450.059999999</v>
      </c>
      <c r="AI33" s="345">
        <v>-8093931.7699999996</v>
      </c>
      <c r="AJ33" s="345">
        <v>-555019670.94000006</v>
      </c>
      <c r="AK33" s="345">
        <v>-593165596.75999999</v>
      </c>
      <c r="AL33" s="345">
        <v>-108357584.64</v>
      </c>
      <c r="AM33" s="345">
        <v>-93501971.980000004</v>
      </c>
      <c r="AN33" s="345">
        <v>-107652657.23</v>
      </c>
      <c r="AO33" s="345">
        <v>-124997117.31</v>
      </c>
      <c r="AP33" s="345">
        <v>-205592433.44999999</v>
      </c>
      <c r="AQ33" s="345">
        <v>-186010690.21000001</v>
      </c>
      <c r="AR33" s="345">
        <v>-237855352.66</v>
      </c>
      <c r="AS33" s="345">
        <v>-195490932.78999999</v>
      </c>
      <c r="AT33" s="345">
        <v>-287383523.88</v>
      </c>
      <c r="AU33" s="345">
        <v>-335025806.81000006</v>
      </c>
      <c r="AV33" s="345">
        <v>-322369054.43000001</v>
      </c>
      <c r="AW33" s="346">
        <v>-311784136.88</v>
      </c>
      <c r="AX33" s="346">
        <v>-255032330.91</v>
      </c>
      <c r="AY33" s="345">
        <v>-289796265.34000003</v>
      </c>
      <c r="AZ33" s="345">
        <f t="shared" si="0"/>
        <v>-262905496.34000003</v>
      </c>
      <c r="BA33" s="357">
        <v>-40706048.399999999</v>
      </c>
      <c r="BB33" s="357">
        <v>-226677268.38</v>
      </c>
      <c r="BC33" s="357">
        <v>-303432298.88</v>
      </c>
      <c r="BD33" s="357">
        <v>-194382176.40000001</v>
      </c>
      <c r="BE33" s="345">
        <v>272152952.60000002</v>
      </c>
      <c r="BF33" s="345">
        <v>355465241</v>
      </c>
      <c r="BG33" s="345">
        <v>682617327.52999997</v>
      </c>
      <c r="BH33" s="345">
        <v>566563175.53999996</v>
      </c>
      <c r="BI33" s="345">
        <v>454582794.56</v>
      </c>
      <c r="BJ33" s="350" t="s">
        <v>565</v>
      </c>
      <c r="BK33" s="345"/>
      <c r="BL33" s="346">
        <v>-807734092.59000003</v>
      </c>
      <c r="BM33" s="345">
        <f t="shared" si="1"/>
        <v>-944778385.12000012</v>
      </c>
      <c r="BN33" s="364"/>
      <c r="BO33" s="365"/>
      <c r="BP33" s="365"/>
      <c r="BQ33" s="365"/>
      <c r="BR33" s="365"/>
      <c r="BS33" s="365"/>
      <c r="BT33" s="365"/>
      <c r="BU33" s="365"/>
      <c r="BV33" s="365"/>
      <c r="BW33" s="365"/>
    </row>
    <row r="34" spans="1:75">
      <c r="A34" s="350" t="s">
        <v>566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0"/>
      <c r="M34" s="350"/>
      <c r="N34" s="350"/>
      <c r="O34" s="350"/>
      <c r="P34" s="350"/>
      <c r="Q34" s="350"/>
      <c r="R34" s="350"/>
      <c r="S34" s="350"/>
      <c r="T34" s="350"/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44"/>
      <c r="AI34" s="344"/>
      <c r="AJ34" s="344"/>
      <c r="AK34" s="344"/>
      <c r="AL34" s="344"/>
      <c r="AM34" s="344"/>
      <c r="AN34" s="344"/>
      <c r="AO34" s="344"/>
      <c r="AP34" s="344"/>
      <c r="AQ34" s="344"/>
      <c r="AR34" s="344"/>
      <c r="AS34" s="344"/>
      <c r="AT34" s="344"/>
      <c r="AU34" s="345">
        <v>0</v>
      </c>
      <c r="AV34" s="345"/>
      <c r="AW34" s="345"/>
      <c r="AX34" s="345"/>
      <c r="AY34" s="345">
        <v>0</v>
      </c>
      <c r="AZ34" s="345">
        <f t="shared" si="0"/>
        <v>0</v>
      </c>
      <c r="BA34" s="345"/>
      <c r="BB34" s="345"/>
      <c r="BC34" s="345"/>
      <c r="BD34" s="345"/>
      <c r="BE34" s="345">
        <v>0</v>
      </c>
      <c r="BF34" s="345">
        <v>0</v>
      </c>
      <c r="BG34" s="345" t="e">
        <v>#N/A</v>
      </c>
      <c r="BH34" s="345">
        <v>0</v>
      </c>
      <c r="BI34" s="345">
        <v>0</v>
      </c>
      <c r="BJ34" s="350" t="s">
        <v>566</v>
      </c>
      <c r="BK34" s="345"/>
      <c r="BL34" s="345"/>
      <c r="BM34" s="345">
        <f t="shared" si="1"/>
        <v>0</v>
      </c>
      <c r="BN34" s="364"/>
      <c r="BP34" s="365"/>
      <c r="BQ34" s="365"/>
      <c r="BR34" s="365"/>
      <c r="BS34" s="365"/>
      <c r="BT34" s="365"/>
      <c r="BU34" s="365"/>
      <c r="BV34" s="365"/>
      <c r="BW34" s="365"/>
    </row>
    <row r="35" spans="1:75" ht="15">
      <c r="A35" s="350" t="s">
        <v>94</v>
      </c>
      <c r="B35" s="350"/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0"/>
      <c r="AD35" s="350"/>
      <c r="AE35" s="350"/>
      <c r="AF35" s="350"/>
      <c r="AG35" s="350"/>
      <c r="AH35" s="345">
        <v>-22706450.059999999</v>
      </c>
      <c r="AI35" s="345">
        <v>-8093931.7699999996</v>
      </c>
      <c r="AJ35" s="345">
        <v>-555020022.19000006</v>
      </c>
      <c r="AK35" s="345">
        <v>-593304927.40999997</v>
      </c>
      <c r="AL35" s="345">
        <v>-108357584.64</v>
      </c>
      <c r="AM35" s="345">
        <v>-93501971.980000004</v>
      </c>
      <c r="AN35" s="345">
        <v>-107652657.23</v>
      </c>
      <c r="AO35" s="345">
        <v>-124997117.31</v>
      </c>
      <c r="AP35" s="345">
        <v>-205592433.44999999</v>
      </c>
      <c r="AQ35" s="345">
        <v>-186010690.21000001</v>
      </c>
      <c r="AR35" s="345">
        <v>-237872730.36000001</v>
      </c>
      <c r="AS35" s="345">
        <v>-200338623.41</v>
      </c>
      <c r="AT35" s="345">
        <v>-298099949.94999999</v>
      </c>
      <c r="AU35" s="345">
        <v>-344285671.40000004</v>
      </c>
      <c r="AV35" s="345">
        <v>-341081957.70999998</v>
      </c>
      <c r="AW35" s="346">
        <v>-341539262.11000001</v>
      </c>
      <c r="AX35" s="346">
        <v>-262597830.09999999</v>
      </c>
      <c r="AY35" s="345">
        <v>-297131509.53999996</v>
      </c>
      <c r="AZ35" s="345">
        <f t="shared" si="0"/>
        <v>-270886974.74000001</v>
      </c>
      <c r="BA35" s="366">
        <v>-47461129.829999998</v>
      </c>
      <c r="BB35" s="366">
        <v>-229051890.24000001</v>
      </c>
      <c r="BC35" s="366">
        <v>-304282152.5</v>
      </c>
      <c r="BD35" s="366">
        <v>-195147562.49000001</v>
      </c>
      <c r="BE35" s="345">
        <v>271554952.60000002</v>
      </c>
      <c r="BF35" s="345">
        <v>355228063.39999998</v>
      </c>
      <c r="BG35" s="345">
        <v>682427480.85000002</v>
      </c>
      <c r="BH35" s="345">
        <v>566382511.91999996</v>
      </c>
      <c r="BI35" s="345">
        <v>454449333.23000002</v>
      </c>
      <c r="BJ35" s="350" t="s">
        <v>94</v>
      </c>
      <c r="BK35" s="345"/>
      <c r="BL35" s="346">
        <v>-830616314.38</v>
      </c>
      <c r="BM35" s="345">
        <f t="shared" si="1"/>
        <v>-983467579.05999994</v>
      </c>
      <c r="BN35" s="364"/>
      <c r="BO35" s="365"/>
      <c r="BP35" s="365"/>
      <c r="BQ35" s="365"/>
      <c r="BR35" s="365"/>
      <c r="BS35" s="365"/>
      <c r="BT35" s="365"/>
      <c r="BU35" s="365"/>
      <c r="BV35" s="365"/>
      <c r="BW35" s="365"/>
    </row>
    <row r="36" spans="1:75" ht="15">
      <c r="A36" s="350" t="s">
        <v>567</v>
      </c>
      <c r="B36" s="350"/>
      <c r="C36" s="350"/>
      <c r="D36" s="350"/>
      <c r="E36" s="350"/>
      <c r="F36" s="350"/>
      <c r="G36" s="350"/>
      <c r="H36" s="350"/>
      <c r="I36" s="350"/>
      <c r="J36" s="350"/>
      <c r="K36" s="350"/>
      <c r="L36" s="350"/>
      <c r="M36" s="350"/>
      <c r="N36" s="350"/>
      <c r="O36" s="350"/>
      <c r="P36" s="350"/>
      <c r="Q36" s="350"/>
      <c r="R36" s="350"/>
      <c r="S36" s="350"/>
      <c r="T36" s="350"/>
      <c r="U36" s="350"/>
      <c r="V36" s="350"/>
      <c r="W36" s="350"/>
      <c r="X36" s="350"/>
      <c r="Y36" s="350"/>
      <c r="Z36" s="350"/>
      <c r="AA36" s="350"/>
      <c r="AB36" s="350"/>
      <c r="AC36" s="350"/>
      <c r="AD36" s="350"/>
      <c r="AE36" s="350"/>
      <c r="AF36" s="350"/>
      <c r="AG36" s="350"/>
      <c r="AH36" s="344"/>
      <c r="AI36" s="344"/>
      <c r="AJ36" s="345">
        <v>-351.25</v>
      </c>
      <c r="AK36" s="345">
        <v>-139330.65</v>
      </c>
      <c r="AL36" s="344"/>
      <c r="AM36" s="344"/>
      <c r="AN36" s="344"/>
      <c r="AO36" s="344"/>
      <c r="AP36" s="344"/>
      <c r="AQ36" s="344"/>
      <c r="AR36" s="345">
        <v>-17377.7</v>
      </c>
      <c r="AS36" s="345">
        <v>-4847690.62</v>
      </c>
      <c r="AT36" s="345">
        <v>-10716426.07</v>
      </c>
      <c r="AU36" s="345">
        <v>-9259864.5899999999</v>
      </c>
      <c r="AV36" s="345">
        <v>-18712903.280000001</v>
      </c>
      <c r="AW36" s="346">
        <v>-29755125.23</v>
      </c>
      <c r="AX36" s="346">
        <v>-7565499.1900000004</v>
      </c>
      <c r="AY36" s="345">
        <v>-7335244.2000000002</v>
      </c>
      <c r="AZ36" s="345">
        <f t="shared" si="0"/>
        <v>-7981478.3999999976</v>
      </c>
      <c r="BA36" s="357">
        <v>-6755081.4299999997</v>
      </c>
      <c r="BB36" s="357">
        <v>-2374621.86</v>
      </c>
      <c r="BC36" s="357">
        <v>-849853.62</v>
      </c>
      <c r="BD36" s="357">
        <v>-765386.09</v>
      </c>
      <c r="BE36" s="345">
        <v>-598000.1</v>
      </c>
      <c r="BF36" s="345">
        <v>-237177.7</v>
      </c>
      <c r="BG36" s="345">
        <v>-189846.68</v>
      </c>
      <c r="BH36" s="345">
        <v>-180663.62</v>
      </c>
      <c r="BI36" s="345">
        <v>-133461.32999999999</v>
      </c>
      <c r="BJ36" s="350" t="s">
        <v>567</v>
      </c>
      <c r="BK36" s="345"/>
      <c r="BL36" s="346">
        <v>-22882221.789999999</v>
      </c>
      <c r="BM36" s="345">
        <f t="shared" si="1"/>
        <v>-38689193.939999998</v>
      </c>
      <c r="BN36" s="364"/>
      <c r="BO36" s="365"/>
      <c r="BP36" s="365"/>
      <c r="BQ36" s="365"/>
      <c r="BR36" s="365"/>
      <c r="BS36" s="365"/>
      <c r="BT36" s="365"/>
      <c r="BU36" s="365"/>
      <c r="BV36" s="365"/>
      <c r="BW36" s="365"/>
    </row>
    <row r="37" spans="1:75" ht="15">
      <c r="A37" s="350" t="s">
        <v>568</v>
      </c>
      <c r="B37" s="350"/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50"/>
      <c r="AA37" s="350"/>
      <c r="AB37" s="350"/>
      <c r="AC37" s="350"/>
      <c r="AD37" s="350"/>
      <c r="AE37" s="350"/>
      <c r="AF37" s="350"/>
      <c r="AG37" s="350"/>
      <c r="AH37" s="345">
        <v>-22706450.059999999</v>
      </c>
      <c r="AI37" s="345">
        <v>-8093931.7699999996</v>
      </c>
      <c r="AJ37" s="345">
        <v>-555019670.94000006</v>
      </c>
      <c r="AK37" s="345">
        <v>-593165596.75999999</v>
      </c>
      <c r="AL37" s="345">
        <v>-108357584.64</v>
      </c>
      <c r="AM37" s="345">
        <v>-93501971.980000004</v>
      </c>
      <c r="AN37" s="345">
        <v>-107652657.23</v>
      </c>
      <c r="AO37" s="345">
        <v>-124997117.31</v>
      </c>
      <c r="AP37" s="345">
        <v>-205592433.44999999</v>
      </c>
      <c r="AQ37" s="345">
        <v>-186010690.21000001</v>
      </c>
      <c r="AR37" s="345">
        <v>-237855352.66</v>
      </c>
      <c r="AS37" s="345">
        <v>-195490932.78999999</v>
      </c>
      <c r="AT37" s="345">
        <v>-287383523.88</v>
      </c>
      <c r="AU37" s="345">
        <v>-335025806.81000006</v>
      </c>
      <c r="AV37" s="345">
        <v>-322369054.43000001</v>
      </c>
      <c r="AW37" s="346">
        <v>-311784136.88</v>
      </c>
      <c r="AX37" s="346">
        <v>-255032330.91</v>
      </c>
      <c r="AY37" s="345">
        <v>-289796265.34000003</v>
      </c>
      <c r="AZ37" s="345">
        <f t="shared" si="0"/>
        <v>-262905496.34000003</v>
      </c>
      <c r="BA37" s="350">
        <v>-40706048.399999999</v>
      </c>
      <c r="BB37" s="350">
        <v>-226677268.38</v>
      </c>
      <c r="BC37" s="350">
        <v>-303432298.88</v>
      </c>
      <c r="BD37" s="350">
        <v>-194382176.40000001</v>
      </c>
      <c r="BE37" s="345">
        <v>272152952.60000002</v>
      </c>
      <c r="BF37" s="345">
        <v>355465241</v>
      </c>
      <c r="BG37" s="345">
        <v>682617327.52999997</v>
      </c>
      <c r="BH37" s="345">
        <v>566563175.53999996</v>
      </c>
      <c r="BI37" s="345">
        <v>454582794.56</v>
      </c>
      <c r="BJ37" s="350" t="s">
        <v>568</v>
      </c>
      <c r="BK37" s="345"/>
      <c r="BL37" s="346">
        <v>-807734092.59000003</v>
      </c>
      <c r="BM37" s="345">
        <f t="shared" si="1"/>
        <v>-944778385.12000012</v>
      </c>
      <c r="BN37" s="364"/>
      <c r="BP37" s="365"/>
      <c r="BQ37" s="365"/>
      <c r="BR37" s="365"/>
      <c r="BS37" s="365"/>
      <c r="BT37" s="365"/>
      <c r="BU37" s="365"/>
      <c r="BV37" s="365"/>
      <c r="BW37" s="365"/>
    </row>
    <row r="38" spans="1:75">
      <c r="A38" s="350"/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0"/>
      <c r="AC38" s="350"/>
      <c r="AD38" s="350"/>
      <c r="AE38" s="350"/>
      <c r="AF38" s="350"/>
      <c r="AG38" s="350"/>
      <c r="AH38" s="350"/>
      <c r="AI38" s="365"/>
      <c r="AK38" s="366"/>
      <c r="AP38" s="350"/>
      <c r="AQ38" s="350"/>
      <c r="AR38" s="350"/>
      <c r="BJ38" s="350"/>
      <c r="BP38" s="365"/>
      <c r="BQ38" s="365"/>
      <c r="BR38" s="365"/>
      <c r="BS38" s="365"/>
      <c r="BT38" s="365"/>
      <c r="BU38" s="365"/>
      <c r="BV38" s="365"/>
      <c r="BW38" s="365"/>
    </row>
    <row r="39" spans="1:75">
      <c r="A39" s="367" t="s">
        <v>534</v>
      </c>
      <c r="B39" s="350"/>
      <c r="C39" s="350"/>
      <c r="D39" s="350"/>
      <c r="E39" s="350"/>
      <c r="F39" s="350"/>
      <c r="G39" s="350"/>
      <c r="H39" s="350"/>
      <c r="I39" s="350"/>
      <c r="J39" s="350"/>
      <c r="K39" s="350"/>
      <c r="L39" s="350"/>
      <c r="M39" s="350"/>
      <c r="N39" s="350"/>
      <c r="O39" s="350"/>
      <c r="P39" s="350"/>
      <c r="Q39" s="350"/>
      <c r="R39" s="350"/>
      <c r="S39" s="350"/>
      <c r="T39" s="350"/>
      <c r="U39" s="350"/>
      <c r="V39" s="350"/>
      <c r="X39" s="336"/>
      <c r="Y39" s="350"/>
      <c r="Z39" s="350"/>
      <c r="AA39" s="350"/>
      <c r="AB39" s="350"/>
      <c r="AC39" s="350"/>
      <c r="AD39" s="350"/>
      <c r="AE39" s="350"/>
      <c r="AF39" s="350"/>
      <c r="AG39" s="350"/>
      <c r="AH39" s="350"/>
      <c r="AI39" s="365"/>
      <c r="AP39" s="350"/>
      <c r="AQ39" s="350"/>
      <c r="AR39" s="350"/>
      <c r="BJ39" s="367" t="s">
        <v>534</v>
      </c>
      <c r="BP39" s="365"/>
      <c r="BQ39" s="365"/>
      <c r="BR39" s="365"/>
      <c r="BS39" s="365"/>
      <c r="BT39" s="365"/>
      <c r="BU39" s="365"/>
      <c r="BV39" s="365"/>
      <c r="BW39" s="365"/>
    </row>
    <row r="40" spans="1:75">
      <c r="A40" s="336" t="s">
        <v>569</v>
      </c>
      <c r="B40" s="368"/>
      <c r="C40" s="368"/>
      <c r="D40" s="368"/>
      <c r="F40" s="368"/>
      <c r="G40" s="369"/>
      <c r="H40" s="368"/>
      <c r="J40" s="368"/>
      <c r="K40" s="368"/>
      <c r="L40" s="368"/>
      <c r="N40" s="368"/>
      <c r="O40" s="368"/>
      <c r="P40" s="368"/>
      <c r="R40" s="368"/>
      <c r="S40" s="368"/>
      <c r="T40" s="368"/>
      <c r="V40" s="350"/>
      <c r="W40" s="368"/>
      <c r="X40" s="368"/>
      <c r="Z40" s="336"/>
      <c r="AB40" s="351"/>
      <c r="AC40" s="366"/>
      <c r="AD40" s="336"/>
      <c r="AH40" s="336"/>
      <c r="AI40" s="336"/>
      <c r="AJ40" s="336"/>
      <c r="AK40" s="336"/>
      <c r="AL40" s="336"/>
      <c r="AM40" s="336">
        <v>-0.56000000000000005</v>
      </c>
      <c r="AN40" s="336"/>
      <c r="AP40" s="336"/>
      <c r="AQ40" s="336"/>
      <c r="AR40" s="350"/>
      <c r="BJ40" s="336" t="s">
        <v>569</v>
      </c>
      <c r="BO40" s="365"/>
      <c r="BP40" s="365"/>
      <c r="BQ40" s="365"/>
      <c r="BR40" s="365"/>
      <c r="BS40" s="365"/>
      <c r="BT40" s="365"/>
      <c r="BU40" s="365"/>
      <c r="BV40" s="365"/>
      <c r="BW40" s="365"/>
    </row>
    <row r="41" spans="1:75">
      <c r="A41" s="336" t="s">
        <v>570</v>
      </c>
      <c r="B41" s="368"/>
      <c r="C41" s="368"/>
      <c r="D41" s="368"/>
      <c r="F41" s="368"/>
      <c r="G41" s="369"/>
      <c r="H41" s="368"/>
      <c r="J41" s="368"/>
      <c r="K41" s="368"/>
      <c r="L41" s="368"/>
      <c r="N41" s="368"/>
      <c r="O41" s="368"/>
      <c r="P41" s="368"/>
      <c r="R41" s="368"/>
      <c r="S41" s="368"/>
      <c r="T41" s="368"/>
      <c r="V41" s="350"/>
      <c r="W41" s="368"/>
      <c r="X41" s="368"/>
      <c r="Z41" s="336"/>
      <c r="AB41" s="351"/>
      <c r="AC41" s="366"/>
      <c r="AD41" s="336"/>
      <c r="AH41" s="336"/>
      <c r="AI41" s="336"/>
      <c r="AJ41" s="336"/>
      <c r="AK41" s="336"/>
      <c r="AL41" s="336"/>
      <c r="AM41" s="336"/>
      <c r="AN41" s="336"/>
      <c r="AP41" s="336"/>
      <c r="AQ41" s="336"/>
      <c r="AR41" s="350"/>
      <c r="BB41" s="366"/>
      <c r="BC41" s="366"/>
      <c r="BD41" s="366"/>
      <c r="BE41" s="366"/>
      <c r="BF41" s="366"/>
      <c r="BG41" s="366"/>
      <c r="BH41" s="366"/>
      <c r="BI41" s="366"/>
      <c r="BJ41" s="336" t="s">
        <v>570</v>
      </c>
      <c r="BO41" s="365"/>
      <c r="BP41" s="365"/>
      <c r="BQ41" s="365"/>
      <c r="BR41" s="365"/>
      <c r="BS41" s="365"/>
      <c r="BT41" s="365"/>
      <c r="BU41" s="365"/>
      <c r="BV41" s="365"/>
      <c r="BW41" s="365"/>
    </row>
    <row r="42" spans="1:75"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  <c r="S42" s="365"/>
      <c r="T42" s="365"/>
      <c r="U42" s="365"/>
      <c r="V42" s="365"/>
      <c r="W42" s="350"/>
      <c r="X42" s="365"/>
      <c r="Y42" s="365"/>
      <c r="Z42" s="365"/>
      <c r="AA42" s="365"/>
      <c r="AB42" s="365"/>
      <c r="AC42" s="365"/>
      <c r="AD42" s="365"/>
      <c r="AE42" s="365"/>
      <c r="AF42" s="365"/>
      <c r="AG42" s="365"/>
      <c r="AH42" s="365"/>
      <c r="AI42" s="365"/>
      <c r="AP42" s="350"/>
      <c r="AQ42" s="350"/>
      <c r="AR42" s="350"/>
      <c r="BA42" s="345"/>
      <c r="BB42" s="345"/>
      <c r="BC42" s="345"/>
      <c r="BD42" s="345"/>
      <c r="BE42" s="345"/>
      <c r="BF42" s="345"/>
      <c r="BG42" s="345"/>
      <c r="BH42" s="345"/>
      <c r="BI42" s="345"/>
      <c r="BO42" s="365"/>
      <c r="BP42" s="365"/>
      <c r="BQ42" s="365"/>
      <c r="BR42" s="365"/>
      <c r="BS42" s="365"/>
      <c r="BT42" s="365"/>
      <c r="BU42" s="365"/>
      <c r="BV42" s="365"/>
      <c r="BW42" s="365"/>
    </row>
    <row r="43" spans="1:75">
      <c r="A43" s="357" t="s">
        <v>270</v>
      </c>
      <c r="C43" s="370"/>
      <c r="D43" s="365"/>
      <c r="E43" s="370"/>
      <c r="F43" s="365"/>
      <c r="G43" s="350"/>
      <c r="H43" s="365"/>
      <c r="I43" s="371"/>
      <c r="J43" s="365"/>
      <c r="K43" s="350"/>
      <c r="L43" s="365"/>
      <c r="M43" s="351"/>
      <c r="N43" s="365"/>
      <c r="O43" s="350"/>
      <c r="P43" s="365"/>
      <c r="Q43" s="365"/>
      <c r="R43" s="365"/>
      <c r="S43" s="350"/>
      <c r="T43" s="365"/>
      <c r="U43" s="351"/>
      <c r="V43" s="365"/>
      <c r="W43" s="350"/>
      <c r="X43" s="365"/>
      <c r="Y43" s="365"/>
      <c r="Z43" s="365"/>
      <c r="AA43" s="350"/>
      <c r="AB43" s="365"/>
      <c r="AC43" s="351"/>
      <c r="AD43" s="365"/>
      <c r="AE43" s="351"/>
      <c r="AF43" s="365"/>
      <c r="AG43" s="351"/>
      <c r="AH43" s="365"/>
      <c r="AI43" s="351"/>
      <c r="AP43" s="350"/>
      <c r="AQ43" s="350"/>
      <c r="AR43" s="350"/>
      <c r="BJ43" s="357" t="s">
        <v>270</v>
      </c>
      <c r="BO43" s="365"/>
      <c r="BP43" s="365"/>
      <c r="BQ43" s="365"/>
      <c r="BR43" s="365"/>
      <c r="BS43" s="365"/>
      <c r="BT43" s="365"/>
      <c r="BU43" s="365"/>
      <c r="BV43" s="365"/>
      <c r="BW43" s="365"/>
    </row>
    <row r="44" spans="1:75">
      <c r="A44" s="357" t="s">
        <v>272</v>
      </c>
      <c r="C44" s="370"/>
      <c r="D44" s="351"/>
      <c r="E44" s="370"/>
      <c r="F44" s="351"/>
      <c r="G44" s="350"/>
      <c r="H44" s="351"/>
      <c r="I44" s="351"/>
      <c r="J44" s="351"/>
      <c r="K44" s="351"/>
      <c r="L44" s="351"/>
      <c r="M44" s="351"/>
      <c r="N44" s="351"/>
      <c r="O44" s="351"/>
      <c r="P44" s="351"/>
      <c r="Q44" s="351"/>
      <c r="R44" s="351"/>
      <c r="S44" s="351"/>
      <c r="T44" s="351"/>
      <c r="U44" s="351"/>
      <c r="V44" s="351"/>
      <c r="W44" s="351"/>
      <c r="X44" s="351"/>
      <c r="Y44" s="351"/>
      <c r="Z44" s="351"/>
      <c r="AA44" s="351"/>
      <c r="AB44" s="351"/>
      <c r="AC44" s="351"/>
      <c r="AD44" s="351"/>
      <c r="AE44" s="351"/>
      <c r="AF44" s="351"/>
      <c r="AG44" s="351"/>
      <c r="AH44" s="351"/>
      <c r="AI44" s="351">
        <v>11009815.65</v>
      </c>
      <c r="AP44" s="350"/>
      <c r="AQ44" s="350"/>
      <c r="AR44" s="350"/>
      <c r="BJ44" s="357" t="s">
        <v>272</v>
      </c>
      <c r="BO44" s="365"/>
      <c r="BP44" s="365"/>
      <c r="BQ44" s="365"/>
      <c r="BR44" s="365"/>
      <c r="BS44" s="365"/>
      <c r="BT44" s="365"/>
      <c r="BU44" s="365"/>
      <c r="BV44" s="365"/>
      <c r="BW44" s="365"/>
    </row>
    <row r="45" spans="1:75">
      <c r="A45" s="357" t="s">
        <v>271</v>
      </c>
      <c r="C45" s="351"/>
      <c r="D45" s="351"/>
      <c r="E45" s="351"/>
      <c r="F45" s="351"/>
      <c r="G45" s="350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351"/>
      <c r="AC45" s="351"/>
      <c r="AD45" s="351"/>
      <c r="AE45" s="351"/>
      <c r="AF45" s="351"/>
      <c r="AG45" s="351"/>
      <c r="AH45" s="351"/>
      <c r="AI45" s="351">
        <v>4486383.7</v>
      </c>
      <c r="AP45" s="350"/>
      <c r="AQ45" s="350"/>
      <c r="AR45" s="350"/>
      <c r="BA45" s="350"/>
      <c r="BB45" s="350"/>
      <c r="BC45" s="350"/>
      <c r="BD45" s="350"/>
      <c r="BE45" s="350"/>
      <c r="BF45" s="350"/>
      <c r="BG45" s="350"/>
      <c r="BH45" s="350"/>
      <c r="BI45" s="350"/>
      <c r="BJ45" s="357" t="s">
        <v>271</v>
      </c>
      <c r="BO45" s="365"/>
      <c r="BP45" s="365"/>
      <c r="BQ45" s="365"/>
      <c r="BR45" s="365"/>
      <c r="BS45" s="365"/>
      <c r="BT45" s="365"/>
      <c r="BU45" s="365"/>
      <c r="BV45" s="365"/>
      <c r="BW45" s="365"/>
    </row>
    <row r="46" spans="1:75">
      <c r="A46" s="357" t="s">
        <v>275</v>
      </c>
      <c r="B46" s="351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351"/>
      <c r="V46" s="351"/>
      <c r="W46" s="351"/>
      <c r="X46" s="351"/>
      <c r="Y46" s="351"/>
      <c r="Z46" s="351"/>
      <c r="AA46" s="351"/>
      <c r="AB46" s="351"/>
      <c r="AC46" s="351"/>
      <c r="AD46" s="351"/>
      <c r="AE46" s="351"/>
      <c r="AF46" s="351"/>
      <c r="AG46" s="351"/>
      <c r="AH46" s="365">
        <f>AI47/2</f>
        <v>7803.1049999999996</v>
      </c>
      <c r="AI46" s="365">
        <f>AI47-AH46</f>
        <v>7803.1049999999996</v>
      </c>
      <c r="AJ46" s="365">
        <f>AK47/2</f>
        <v>362620.72500000003</v>
      </c>
      <c r="AK46" s="365">
        <f>AK47-AJ46</f>
        <v>362620.72500000003</v>
      </c>
      <c r="AL46" s="365">
        <f>AM47/2</f>
        <v>-169532.76500000001</v>
      </c>
      <c r="AM46" s="365">
        <f>AM47-AL46</f>
        <v>-169532.76500000001</v>
      </c>
      <c r="AN46" s="357">
        <f>AO47/2</f>
        <v>69327.700000000012</v>
      </c>
      <c r="AO46" s="357">
        <f>AO47/2</f>
        <v>69327.700000000012</v>
      </c>
      <c r="AP46" s="350">
        <f>AQ47/2</f>
        <v>606382.66</v>
      </c>
      <c r="AQ46" s="350">
        <f>AQ47/2</f>
        <v>606382.66</v>
      </c>
      <c r="AR46" s="350">
        <f>AS47/2</f>
        <v>945340.9</v>
      </c>
      <c r="AS46" s="350">
        <f>AS47/2</f>
        <v>945340.9</v>
      </c>
      <c r="AT46" s="350">
        <f>AU47/2</f>
        <v>2828230.47</v>
      </c>
      <c r="AU46" s="350">
        <f>AU47/2</f>
        <v>2828230.47</v>
      </c>
      <c r="AV46" s="350">
        <f>AW47/2</f>
        <v>-5616997.8000000007</v>
      </c>
      <c r="AW46" s="350">
        <f>AW47/2</f>
        <v>-5616997.8000000007</v>
      </c>
      <c r="AX46" s="350">
        <f>AY47/2</f>
        <v>-220444.81</v>
      </c>
      <c r="AY46" s="350">
        <f>AY47/2</f>
        <v>-220444.81</v>
      </c>
      <c r="AZ46" s="350">
        <f>BA47/2</f>
        <v>341776.58</v>
      </c>
      <c r="BA46" s="366">
        <f>AZ46</f>
        <v>341776.58</v>
      </c>
      <c r="BB46" s="357">
        <f>BC47/2</f>
        <v>288298.28499999997</v>
      </c>
      <c r="BC46" s="357">
        <f>BB46</f>
        <v>288298.28499999997</v>
      </c>
      <c r="BJ46" s="357" t="s">
        <v>275</v>
      </c>
      <c r="BK46" s="350"/>
      <c r="BL46" s="350"/>
      <c r="BM46" s="350"/>
      <c r="BP46" s="365"/>
      <c r="BQ46" s="365"/>
      <c r="BR46" s="365"/>
      <c r="BS46" s="365"/>
      <c r="BT46" s="365"/>
      <c r="BU46" s="365"/>
      <c r="BV46" s="365"/>
      <c r="BW46" s="365"/>
    </row>
    <row r="47" spans="1:75">
      <c r="A47" s="336" t="s">
        <v>276</v>
      </c>
      <c r="B47" s="350"/>
      <c r="C47" s="350"/>
      <c r="D47" s="350"/>
      <c r="E47" s="366"/>
      <c r="F47" s="350"/>
      <c r="G47" s="350"/>
      <c r="H47" s="350"/>
      <c r="I47" s="366"/>
      <c r="J47" s="350"/>
      <c r="K47" s="350"/>
      <c r="L47" s="366"/>
      <c r="M47" s="366"/>
      <c r="N47" s="350"/>
      <c r="O47" s="350"/>
      <c r="P47" s="366"/>
      <c r="Q47" s="366"/>
      <c r="R47" s="350"/>
      <c r="S47" s="350"/>
      <c r="T47" s="350"/>
      <c r="U47" s="366"/>
      <c r="V47" s="350"/>
      <c r="W47" s="350"/>
      <c r="X47" s="350"/>
      <c r="Y47" s="366"/>
      <c r="Z47" s="350"/>
      <c r="AA47" s="350"/>
      <c r="AB47" s="350"/>
      <c r="AC47" s="366"/>
      <c r="AD47" s="350"/>
      <c r="AE47" s="350"/>
      <c r="AF47" s="350"/>
      <c r="AG47" s="366"/>
      <c r="AH47" s="350"/>
      <c r="AI47" s="350">
        <v>15606.21</v>
      </c>
      <c r="AK47" s="366">
        <f>Annual!L230-Quarter!AI47</f>
        <v>725241.45000000007</v>
      </c>
      <c r="AM47" s="366">
        <v>-339065.53</v>
      </c>
      <c r="AO47" s="366">
        <f>Annual!M230-Quarter!AM47</f>
        <v>138655.40000000002</v>
      </c>
      <c r="AP47" s="350"/>
      <c r="AQ47" s="366">
        <v>1212765.32</v>
      </c>
      <c r="AR47" s="350"/>
      <c r="AS47" s="366">
        <f>Annual!N230-Quarter!AQ47</f>
        <v>1890681.8</v>
      </c>
      <c r="AT47" s="366"/>
      <c r="AU47" s="366">
        <v>5656460.9400000004</v>
      </c>
      <c r="AV47" s="366"/>
      <c r="AW47" s="366">
        <f>Annual!O230-Quarter!AU47</f>
        <v>-11233995.600000001</v>
      </c>
      <c r="AX47" s="366"/>
      <c r="AY47" s="366">
        <v>-440889.62</v>
      </c>
      <c r="AZ47" s="366"/>
      <c r="BA47" s="366">
        <f>242663.54-AY47</f>
        <v>683553.16</v>
      </c>
      <c r="BC47" s="357">
        <v>576596.56999999995</v>
      </c>
      <c r="BJ47" s="336" t="s">
        <v>276</v>
      </c>
      <c r="BK47" s="366"/>
      <c r="BL47" s="366"/>
      <c r="BM47" s="366"/>
      <c r="BP47" s="365"/>
      <c r="BQ47" s="365"/>
      <c r="BR47" s="365"/>
      <c r="BS47" s="365"/>
      <c r="BT47" s="365"/>
      <c r="BU47" s="365"/>
      <c r="BV47" s="365"/>
      <c r="BW47" s="365"/>
    </row>
    <row r="48" spans="1:75">
      <c r="C48" s="365"/>
      <c r="D48" s="365"/>
      <c r="E48" s="365"/>
      <c r="F48" s="365"/>
      <c r="G48" s="365"/>
      <c r="H48" s="365"/>
      <c r="I48" s="365"/>
      <c r="J48" s="365"/>
      <c r="K48" s="365"/>
      <c r="L48" s="365"/>
      <c r="M48" s="365"/>
      <c r="N48" s="365"/>
      <c r="O48" s="365"/>
      <c r="P48" s="365"/>
      <c r="Q48" s="365"/>
      <c r="R48" s="365"/>
      <c r="S48" s="351"/>
      <c r="T48" s="365"/>
      <c r="U48" s="365"/>
      <c r="V48" s="365"/>
      <c r="W48" s="351"/>
      <c r="X48" s="365"/>
      <c r="Y48" s="365"/>
      <c r="Z48" s="365"/>
      <c r="AA48" s="351"/>
      <c r="AB48" s="365"/>
      <c r="AC48" s="365"/>
      <c r="AD48" s="365"/>
      <c r="AE48" s="351"/>
      <c r="AF48" s="365"/>
      <c r="AG48" s="365"/>
      <c r="AH48" s="365"/>
      <c r="AI48" s="365"/>
      <c r="AP48" s="350"/>
      <c r="AQ48" s="350"/>
      <c r="AR48" s="350"/>
      <c r="BP48" s="365"/>
      <c r="BQ48" s="365"/>
      <c r="BR48" s="365"/>
      <c r="BS48" s="365"/>
      <c r="BT48" s="365"/>
      <c r="BU48" s="365"/>
      <c r="BV48" s="365"/>
      <c r="BW48" s="365"/>
    </row>
    <row r="49" spans="1:75">
      <c r="A49" s="336" t="s">
        <v>293</v>
      </c>
      <c r="B49" s="350"/>
      <c r="C49" s="350"/>
      <c r="D49" s="350"/>
      <c r="E49" s="350"/>
      <c r="F49" s="350"/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  <c r="AG49" s="350"/>
      <c r="AH49" s="350">
        <f t="shared" ref="AH49:AO49" si="2">AH50+AH51</f>
        <v>8216883.7549999999</v>
      </c>
      <c r="AI49" s="350">
        <f t="shared" si="2"/>
        <v>8216883.7549999999</v>
      </c>
      <c r="AJ49" s="350">
        <f t="shared" si="2"/>
        <v>8719654.1999999993</v>
      </c>
      <c r="AK49" s="350">
        <f t="shared" si="2"/>
        <v>8719654.1999999993</v>
      </c>
      <c r="AL49" s="350">
        <f t="shared" si="2"/>
        <v>13498031.109999999</v>
      </c>
      <c r="AM49" s="350">
        <f t="shared" si="2"/>
        <v>13498031.109999999</v>
      </c>
      <c r="AN49" s="350">
        <f t="shared" si="2"/>
        <v>46108858.524999999</v>
      </c>
      <c r="AO49" s="350">
        <f t="shared" si="2"/>
        <v>46108858.524999999</v>
      </c>
      <c r="AP49" s="350">
        <f t="shared" ref="AP49:AU49" si="3">SUM(AP50:AP51)</f>
        <v>38369011.024999999</v>
      </c>
      <c r="AQ49" s="350">
        <f t="shared" si="3"/>
        <v>38369011.024999999</v>
      </c>
      <c r="AR49" s="350">
        <f t="shared" si="3"/>
        <v>72201065.094999999</v>
      </c>
      <c r="AS49" s="350">
        <f t="shared" si="3"/>
        <v>72201065.094999999</v>
      </c>
      <c r="AT49" s="350">
        <f t="shared" si="3"/>
        <v>50562580.229999997</v>
      </c>
      <c r="AU49" s="350">
        <f t="shared" si="3"/>
        <v>50562580.229999997</v>
      </c>
      <c r="AV49" s="350">
        <f t="shared" ref="AV49:BA49" si="4">SUM(AV50:AV51)</f>
        <v>85833700.290000021</v>
      </c>
      <c r="AW49" s="350">
        <f t="shared" si="4"/>
        <v>85833700.290000021</v>
      </c>
      <c r="AX49" s="350">
        <f t="shared" si="4"/>
        <v>38165252.810000002</v>
      </c>
      <c r="AY49" s="350">
        <f t="shared" si="4"/>
        <v>38165252.810000002</v>
      </c>
      <c r="AZ49" s="350">
        <f t="shared" si="4"/>
        <v>33949855.560000002</v>
      </c>
      <c r="BA49" s="350">
        <f t="shared" si="4"/>
        <v>33949855.560000002</v>
      </c>
      <c r="BB49" s="350">
        <f t="shared" ref="BB49:BC49" si="5">SUM(BB50:BB51)</f>
        <v>27721780.370000001</v>
      </c>
      <c r="BC49" s="350">
        <f t="shared" si="5"/>
        <v>27721780.370000001</v>
      </c>
      <c r="BD49" s="350"/>
      <c r="BE49" s="350"/>
      <c r="BF49" s="350"/>
      <c r="BG49" s="350"/>
      <c r="BH49" s="350"/>
      <c r="BI49" s="350"/>
      <c r="BJ49" s="336" t="s">
        <v>293</v>
      </c>
      <c r="BK49" s="350"/>
      <c r="BL49" s="350"/>
      <c r="BM49" s="350"/>
      <c r="BP49" s="365"/>
      <c r="BQ49" s="365"/>
      <c r="BR49" s="365"/>
      <c r="BS49" s="365"/>
      <c r="BT49" s="365"/>
      <c r="BU49" s="365"/>
      <c r="BV49" s="365"/>
      <c r="BW49" s="365"/>
    </row>
    <row r="50" spans="1:75">
      <c r="A50" s="336" t="s">
        <v>535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  <c r="AG50" s="350"/>
      <c r="AH50" s="350">
        <f>AI54/2</f>
        <v>8216883.7549999999</v>
      </c>
      <c r="AI50" s="350">
        <f>AI54/2</f>
        <v>8216883.7549999999</v>
      </c>
      <c r="AJ50" s="350">
        <f>AK54/2</f>
        <v>8719654.1999999993</v>
      </c>
      <c r="AK50" s="350">
        <f>AK54-AJ50</f>
        <v>8719654.1999999993</v>
      </c>
      <c r="AL50" s="350">
        <f>AM54/2</f>
        <v>13498031.109999999</v>
      </c>
      <c r="AM50" s="350">
        <f>AM54-AL50</f>
        <v>13498031.109999999</v>
      </c>
      <c r="AN50" s="357">
        <f>AO54/2</f>
        <v>46108858.524999999</v>
      </c>
      <c r="AO50" s="357">
        <f>AO54/2</f>
        <v>46108858.524999999</v>
      </c>
      <c r="AP50" s="350">
        <f>AQ54/2</f>
        <v>38369011.024999999</v>
      </c>
      <c r="AQ50" s="350">
        <f>AQ54/2</f>
        <v>38369011.024999999</v>
      </c>
      <c r="AR50" s="350">
        <f>AS54/2</f>
        <v>72201065.094999999</v>
      </c>
      <c r="AS50" s="350">
        <f>AS54/2</f>
        <v>72201065.094999999</v>
      </c>
      <c r="AT50" s="350">
        <f>AU54/2</f>
        <v>50562580.229999997</v>
      </c>
      <c r="AU50" s="350">
        <f>AU54/2</f>
        <v>50562580.229999997</v>
      </c>
      <c r="AV50" s="350">
        <f>AW54/2</f>
        <v>85833700.290000021</v>
      </c>
      <c r="AW50" s="350">
        <f>AW54/2</f>
        <v>85833700.290000021</v>
      </c>
      <c r="AX50" s="350">
        <f>AY54/2</f>
        <v>38165252.810000002</v>
      </c>
      <c r="AY50" s="350">
        <f>AY54/2</f>
        <v>38165252.810000002</v>
      </c>
      <c r="AZ50" s="350">
        <f>BA54/2</f>
        <v>33949855.560000002</v>
      </c>
      <c r="BA50" s="366">
        <f>AZ50</f>
        <v>33949855.560000002</v>
      </c>
      <c r="BB50" s="357">
        <f>BC54/2</f>
        <v>27721780.370000001</v>
      </c>
      <c r="BC50" s="357">
        <f>BB50</f>
        <v>27721780.370000001</v>
      </c>
      <c r="BJ50" s="336" t="s">
        <v>535</v>
      </c>
      <c r="BK50" s="350"/>
      <c r="BL50" s="350"/>
      <c r="BM50" s="350"/>
      <c r="BP50" s="365"/>
      <c r="BQ50" s="365"/>
      <c r="BR50" s="365"/>
      <c r="BS50" s="365"/>
      <c r="BT50" s="365"/>
      <c r="BU50" s="365"/>
      <c r="BV50" s="365"/>
      <c r="BW50" s="365"/>
    </row>
    <row r="51" spans="1:75">
      <c r="A51" s="336" t="s">
        <v>536</v>
      </c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350"/>
      <c r="X51" s="350"/>
      <c r="Y51" s="350"/>
      <c r="Z51" s="350"/>
      <c r="AA51" s="350"/>
      <c r="AB51" s="350"/>
      <c r="AC51" s="350"/>
      <c r="AD51" s="350"/>
      <c r="AE51" s="350"/>
      <c r="AF51" s="350"/>
      <c r="AG51" s="350"/>
      <c r="AH51" s="350">
        <f>AI55/2</f>
        <v>0</v>
      </c>
      <c r="AI51" s="350">
        <f>AI55-AH51</f>
        <v>0</v>
      </c>
      <c r="AJ51" s="350">
        <f>AK55/2</f>
        <v>0</v>
      </c>
      <c r="AK51" s="350">
        <f>AK55-AJ51</f>
        <v>0</v>
      </c>
      <c r="AL51" s="350">
        <f>AM55/2</f>
        <v>0</v>
      </c>
      <c r="AM51" s="366">
        <f>AM55-AL51</f>
        <v>0</v>
      </c>
      <c r="AN51" s="372">
        <f>AO55/2</f>
        <v>0</v>
      </c>
      <c r="AO51" s="372">
        <f>AO55/2</f>
        <v>0</v>
      </c>
      <c r="AP51" s="350">
        <f>AQ55/2</f>
        <v>0</v>
      </c>
      <c r="AQ51" s="350">
        <f>AQ55/2</f>
        <v>0</v>
      </c>
      <c r="AR51" s="350"/>
      <c r="BJ51" s="336" t="s">
        <v>536</v>
      </c>
      <c r="BP51" s="365"/>
      <c r="BQ51" s="365"/>
      <c r="BR51" s="365"/>
      <c r="BS51" s="365"/>
      <c r="BT51" s="365"/>
      <c r="BU51" s="365"/>
      <c r="BV51" s="365"/>
      <c r="BW51" s="365"/>
    </row>
    <row r="52" spans="1:75">
      <c r="A52" s="336"/>
      <c r="B52" s="350"/>
      <c r="C52" s="350"/>
      <c r="D52" s="350"/>
      <c r="E52" s="366"/>
      <c r="F52" s="350"/>
      <c r="G52" s="350"/>
      <c r="H52" s="366"/>
      <c r="I52" s="366"/>
      <c r="J52" s="366"/>
      <c r="K52" s="366"/>
      <c r="L52" s="366"/>
      <c r="M52" s="366"/>
      <c r="N52" s="351"/>
      <c r="O52" s="366"/>
      <c r="P52" s="366"/>
      <c r="Q52" s="366"/>
      <c r="R52" s="350"/>
      <c r="S52" s="350"/>
      <c r="T52" s="366"/>
      <c r="U52" s="366"/>
      <c r="V52" s="350"/>
      <c r="W52" s="350"/>
      <c r="X52" s="371"/>
      <c r="Y52" s="366"/>
      <c r="Z52" s="366"/>
      <c r="AA52" s="366"/>
      <c r="AB52" s="366"/>
      <c r="AC52" s="366"/>
      <c r="AD52" s="371"/>
      <c r="AE52" s="371"/>
      <c r="AF52" s="366"/>
      <c r="AG52" s="366"/>
      <c r="AH52" s="371"/>
      <c r="AI52" s="365"/>
      <c r="AP52" s="350"/>
      <c r="AQ52" s="350"/>
      <c r="AR52" s="350"/>
      <c r="BJ52" s="336"/>
      <c r="BP52" s="365"/>
      <c r="BQ52" s="365"/>
      <c r="BR52" s="365"/>
      <c r="BS52" s="365"/>
      <c r="BT52" s="365"/>
      <c r="BU52" s="365"/>
      <c r="BV52" s="365"/>
      <c r="BW52" s="365"/>
    </row>
    <row r="53" spans="1:75">
      <c r="A53" s="336"/>
      <c r="B53" s="350"/>
      <c r="C53" s="350"/>
      <c r="D53" s="350"/>
      <c r="E53" s="366"/>
      <c r="F53" s="350"/>
      <c r="G53" s="350"/>
      <c r="H53" s="366"/>
      <c r="I53" s="366"/>
      <c r="J53" s="366"/>
      <c r="K53" s="366"/>
      <c r="L53" s="366"/>
      <c r="M53" s="366"/>
      <c r="N53" s="351"/>
      <c r="O53" s="366"/>
      <c r="P53" s="366"/>
      <c r="Q53" s="366"/>
      <c r="R53" s="350"/>
      <c r="S53" s="350"/>
      <c r="T53" s="366"/>
      <c r="U53" s="366"/>
      <c r="V53" s="350"/>
      <c r="W53" s="350"/>
      <c r="X53" s="371"/>
      <c r="Y53" s="366"/>
      <c r="Z53" s="366"/>
      <c r="AA53" s="366"/>
      <c r="AB53" s="366"/>
      <c r="AC53" s="366"/>
      <c r="AD53" s="371"/>
      <c r="AE53" s="371"/>
      <c r="AF53" s="366"/>
      <c r="AG53" s="366"/>
      <c r="AH53" s="371"/>
      <c r="AI53" s="365"/>
      <c r="AP53" s="350"/>
      <c r="AQ53" s="350"/>
      <c r="AR53" s="350"/>
      <c r="BA53" s="350"/>
      <c r="BB53" s="350"/>
      <c r="BC53" s="350"/>
      <c r="BD53" s="350"/>
      <c r="BE53" s="350"/>
      <c r="BF53" s="350"/>
      <c r="BG53" s="350"/>
      <c r="BH53" s="350"/>
      <c r="BI53" s="350"/>
      <c r="BJ53" s="336"/>
      <c r="BP53" s="365"/>
      <c r="BQ53" s="365"/>
      <c r="BR53" s="365"/>
      <c r="BS53" s="365"/>
      <c r="BT53" s="365"/>
      <c r="BU53" s="365"/>
      <c r="BV53" s="365"/>
      <c r="BW53" s="365"/>
    </row>
    <row r="54" spans="1:75">
      <c r="A54" s="336" t="s">
        <v>537</v>
      </c>
      <c r="B54" s="350"/>
      <c r="C54" s="350"/>
      <c r="D54" s="350"/>
      <c r="E54" s="366"/>
      <c r="F54" s="350"/>
      <c r="G54" s="350"/>
      <c r="H54" s="366"/>
      <c r="I54" s="366"/>
      <c r="J54" s="366"/>
      <c r="K54" s="350"/>
      <c r="L54" s="366"/>
      <c r="M54" s="366"/>
      <c r="N54" s="351"/>
      <c r="O54" s="350"/>
      <c r="P54" s="366"/>
      <c r="Q54" s="366"/>
      <c r="R54" s="350"/>
      <c r="S54" s="371"/>
      <c r="T54" s="366"/>
      <c r="U54" s="366"/>
      <c r="V54" s="350"/>
      <c r="W54" s="371"/>
      <c r="X54" s="371"/>
      <c r="Y54" s="366"/>
      <c r="Z54" s="371"/>
      <c r="AA54" s="350"/>
      <c r="AB54" s="371"/>
      <c r="AC54" s="366"/>
      <c r="AD54" s="371"/>
      <c r="AE54" s="350"/>
      <c r="AF54" s="371"/>
      <c r="AG54" s="366"/>
      <c r="AH54" s="371"/>
      <c r="AI54" s="350">
        <v>16433767.51</v>
      </c>
      <c r="AJ54" s="350"/>
      <c r="AK54" s="366">
        <f>Annual!L233-Quarter!AI54</f>
        <v>17439308.399999999</v>
      </c>
      <c r="AM54" s="366">
        <v>26996062.219999999</v>
      </c>
      <c r="AO54" s="366">
        <f>Annual!M233-Quarter!AM54</f>
        <v>92217717.049999997</v>
      </c>
      <c r="AP54" s="350"/>
      <c r="AQ54" s="366">
        <v>76738022.049999997</v>
      </c>
      <c r="AR54" s="366"/>
      <c r="AS54" s="366">
        <f>Annual!N233-Quarter!AQ54</f>
        <v>144402130.19</v>
      </c>
      <c r="AT54" s="366"/>
      <c r="AU54" s="350">
        <v>101125160.45999999</v>
      </c>
      <c r="AV54" s="350"/>
      <c r="AW54" s="350">
        <f>Annual!O233-Quarter!AU54</f>
        <v>171667400.58000004</v>
      </c>
      <c r="AX54" s="350"/>
      <c r="AY54" s="350">
        <v>76330505.620000005</v>
      </c>
      <c r="AZ54" s="350"/>
      <c r="BA54" s="366">
        <f>144230216.74-AY54</f>
        <v>67899711.120000005</v>
      </c>
      <c r="BC54" s="357">
        <v>55443560.740000002</v>
      </c>
      <c r="BJ54" s="336" t="s">
        <v>537</v>
      </c>
      <c r="BK54" s="350"/>
      <c r="BL54" s="350"/>
      <c r="BM54" s="350"/>
      <c r="BP54" s="365"/>
      <c r="BQ54" s="365"/>
      <c r="BR54" s="365"/>
      <c r="BS54" s="365"/>
      <c r="BT54" s="365"/>
      <c r="BU54" s="365"/>
      <c r="BV54" s="365"/>
      <c r="BW54" s="365"/>
    </row>
    <row r="55" spans="1:75">
      <c r="A55" s="336" t="s">
        <v>538</v>
      </c>
      <c r="B55" s="350"/>
      <c r="C55" s="350"/>
      <c r="D55" s="350"/>
      <c r="E55" s="366"/>
      <c r="F55" s="350"/>
      <c r="G55" s="350"/>
      <c r="H55" s="350"/>
      <c r="I55" s="366"/>
      <c r="J55" s="350"/>
      <c r="K55" s="350"/>
      <c r="L55" s="366"/>
      <c r="M55" s="366"/>
      <c r="N55" s="350"/>
      <c r="O55" s="350"/>
      <c r="P55" s="366"/>
      <c r="Q55" s="366"/>
      <c r="R55" s="350"/>
      <c r="S55" s="350"/>
      <c r="T55" s="350"/>
      <c r="U55" s="366"/>
      <c r="V55" s="350"/>
      <c r="W55" s="350"/>
      <c r="X55" s="350"/>
      <c r="Y55" s="366"/>
      <c r="Z55" s="350"/>
      <c r="AA55" s="350"/>
      <c r="AB55" s="350"/>
      <c r="AC55" s="366"/>
      <c r="AD55" s="350"/>
      <c r="AE55" s="350"/>
      <c r="AF55" s="350"/>
      <c r="AG55" s="366"/>
      <c r="AH55" s="350"/>
      <c r="AI55" s="350"/>
      <c r="AJ55" s="348"/>
      <c r="AK55" s="366"/>
      <c r="AM55" s="366"/>
      <c r="AO55" s="366"/>
      <c r="AP55" s="350"/>
      <c r="AQ55" s="366"/>
      <c r="AR55" s="350"/>
      <c r="BJ55" s="336" t="s">
        <v>538</v>
      </c>
      <c r="BP55" s="365"/>
      <c r="BQ55" s="365"/>
      <c r="BR55" s="365"/>
      <c r="BS55" s="365"/>
      <c r="BT55" s="365"/>
      <c r="BU55" s="365"/>
      <c r="BV55" s="365"/>
      <c r="BW55" s="365"/>
    </row>
    <row r="56" spans="1:75">
      <c r="Y56" s="366"/>
      <c r="AP56" s="350"/>
      <c r="AQ56" s="350"/>
      <c r="AR56" s="350"/>
      <c r="BP56" s="365"/>
      <c r="BQ56" s="365"/>
      <c r="BR56" s="365"/>
      <c r="BS56" s="365"/>
      <c r="BT56" s="365"/>
      <c r="BU56" s="365"/>
      <c r="BV56" s="365"/>
      <c r="BW56" s="365"/>
    </row>
    <row r="57" spans="1:75">
      <c r="A57" s="365" t="s">
        <v>261</v>
      </c>
      <c r="B57" s="365"/>
      <c r="C57" s="365"/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365"/>
      <c r="T57" s="365"/>
      <c r="U57" s="365"/>
      <c r="V57" s="365"/>
      <c r="W57" s="365"/>
      <c r="X57" s="365"/>
      <c r="Y57" s="365"/>
      <c r="Z57" s="365"/>
      <c r="AA57" s="365"/>
      <c r="AB57" s="365"/>
      <c r="AC57" s="365"/>
      <c r="AD57" s="365"/>
      <c r="AE57" s="365"/>
      <c r="AF57" s="365"/>
      <c r="AG57" s="365"/>
      <c r="AH57" s="365" t="e">
        <f>AH$33/AH40</f>
        <v>#DIV/0!</v>
      </c>
      <c r="AI57" s="365" t="e">
        <f>SUM(AH33:AI33)/SUM(AH40:AI40)</f>
        <v>#DIV/0!</v>
      </c>
      <c r="AJ57" s="365" t="e">
        <f>AJ$33/AJ40</f>
        <v>#DIV/0!</v>
      </c>
      <c r="AK57" s="365">
        <v>360000000</v>
      </c>
      <c r="AL57" s="365">
        <v>360000000</v>
      </c>
      <c r="AM57" s="365">
        <v>360000000</v>
      </c>
      <c r="AN57" s="365">
        <v>400100000</v>
      </c>
      <c r="AO57" s="365">
        <v>400100000</v>
      </c>
      <c r="AP57" s="350">
        <v>400100000</v>
      </c>
      <c r="AQ57" s="350">
        <v>400100000</v>
      </c>
      <c r="AR57" s="350">
        <v>400100000</v>
      </c>
      <c r="AS57" s="350">
        <f>Annual!N136</f>
        <v>400100000</v>
      </c>
      <c r="AT57" s="350">
        <v>400814650</v>
      </c>
      <c r="AU57" s="350">
        <v>400814650</v>
      </c>
      <c r="AV57" s="350">
        <v>400814650</v>
      </c>
      <c r="AW57" s="350"/>
      <c r="AX57" s="350"/>
      <c r="AY57" s="350"/>
      <c r="AZ57" s="350"/>
      <c r="BJ57" s="365" t="s">
        <v>261</v>
      </c>
      <c r="BK57" s="350"/>
      <c r="BL57" s="350"/>
      <c r="BM57" s="350"/>
      <c r="BP57" s="365"/>
      <c r="BQ57" s="365"/>
      <c r="BR57" s="365"/>
      <c r="BS57" s="365"/>
      <c r="BT57" s="365"/>
      <c r="BU57" s="365"/>
      <c r="BV57" s="365"/>
      <c r="BW57" s="365"/>
    </row>
    <row r="58" spans="1:75">
      <c r="A58" s="365" t="s">
        <v>262</v>
      </c>
      <c r="B58" s="365"/>
      <c r="C58" s="365"/>
      <c r="D58" s="365"/>
      <c r="E58" s="365"/>
      <c r="F58" s="365"/>
      <c r="G58" s="365"/>
      <c r="H58" s="365"/>
      <c r="I58" s="365"/>
      <c r="J58" s="365"/>
      <c r="K58" s="365"/>
      <c r="L58" s="365"/>
      <c r="M58" s="365"/>
      <c r="N58" s="365"/>
      <c r="O58" s="365"/>
      <c r="P58" s="365"/>
      <c r="Q58" s="365"/>
      <c r="R58" s="365"/>
      <c r="S58" s="365"/>
      <c r="T58" s="365"/>
      <c r="U58" s="365"/>
      <c r="V58" s="365"/>
      <c r="W58" s="365"/>
      <c r="X58" s="365"/>
      <c r="Y58" s="365"/>
      <c r="Z58" s="365"/>
      <c r="AA58" s="365"/>
      <c r="AB58" s="365"/>
      <c r="AC58" s="365"/>
      <c r="AD58" s="365"/>
      <c r="AE58" s="365"/>
      <c r="AF58" s="365"/>
      <c r="AG58" s="365"/>
      <c r="AH58" s="365" t="e">
        <f>AH$33/AH41</f>
        <v>#DIV/0!</v>
      </c>
      <c r="AI58" s="365" t="e">
        <f>SUM(AH33:AI33)/SUM(AH41:AI41)</f>
        <v>#DIV/0!</v>
      </c>
      <c r="AJ58" s="365" t="e">
        <f>AJ$33/AJ41</f>
        <v>#DIV/0!</v>
      </c>
      <c r="AK58" s="365">
        <v>360000000</v>
      </c>
      <c r="AL58" s="365">
        <v>360000000</v>
      </c>
      <c r="AM58" s="365">
        <v>360000000</v>
      </c>
      <c r="AN58" s="365">
        <v>400100000</v>
      </c>
      <c r="AO58" s="365">
        <v>400100000</v>
      </c>
      <c r="AP58" s="350">
        <v>400100000</v>
      </c>
      <c r="AQ58" s="350">
        <v>400100000</v>
      </c>
      <c r="AR58" s="350">
        <v>400100000</v>
      </c>
      <c r="AS58" s="350">
        <f>AS57</f>
        <v>400100000</v>
      </c>
      <c r="AT58" s="350">
        <v>400814650</v>
      </c>
      <c r="AU58" s="350">
        <v>400814650</v>
      </c>
      <c r="AV58" s="350">
        <v>400814650</v>
      </c>
      <c r="AW58" s="350"/>
      <c r="AX58" s="350"/>
      <c r="AY58" s="350"/>
      <c r="AZ58" s="350"/>
      <c r="BJ58" s="365" t="s">
        <v>262</v>
      </c>
      <c r="BK58" s="350"/>
      <c r="BL58" s="350"/>
      <c r="BM58" s="350"/>
      <c r="BP58" s="365"/>
      <c r="BQ58" s="365"/>
      <c r="BR58" s="365"/>
      <c r="BS58" s="365"/>
      <c r="BT58" s="365"/>
      <c r="BU58" s="365"/>
      <c r="BV58" s="365"/>
      <c r="BW58" s="365"/>
    </row>
    <row r="59" spans="1:75">
      <c r="D59" s="365"/>
      <c r="E59" s="365"/>
      <c r="F59" s="365"/>
      <c r="P59" s="365"/>
      <c r="Q59" s="365"/>
      <c r="R59" s="365"/>
      <c r="S59" s="365"/>
      <c r="T59" s="365"/>
      <c r="U59" s="365"/>
      <c r="V59" s="365"/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6"/>
      <c r="AH59" s="365"/>
      <c r="AI59" s="365"/>
      <c r="AP59" s="350"/>
      <c r="AQ59" s="350"/>
      <c r="AR59" s="350"/>
      <c r="BP59" s="365"/>
      <c r="BQ59" s="365"/>
      <c r="BR59" s="365"/>
      <c r="BS59" s="365"/>
      <c r="BT59" s="365"/>
      <c r="BU59" s="365"/>
      <c r="BV59" s="365"/>
      <c r="BW59" s="365"/>
    </row>
    <row r="60" spans="1:75">
      <c r="A60" s="357" t="s">
        <v>265</v>
      </c>
      <c r="B60" s="366"/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6"/>
      <c r="AD60" s="366"/>
      <c r="AE60" s="366"/>
      <c r="AF60" s="366"/>
      <c r="AG60" s="366"/>
      <c r="AH60" s="366">
        <f>AI62/2</f>
        <v>4371462.0149999997</v>
      </c>
      <c r="AI60" s="366">
        <f>AI62-AH60</f>
        <v>4371462.0149999997</v>
      </c>
      <c r="AJ60" s="366">
        <f>AK62/2</f>
        <v>6932609.3950000005</v>
      </c>
      <c r="AK60" s="366">
        <f>AK62-AJ60</f>
        <v>6932609.3950000005</v>
      </c>
      <c r="AL60" s="366">
        <f>AM62/2</f>
        <v>8786554.2349999994</v>
      </c>
      <c r="AM60" s="366">
        <f>AM62-AL60</f>
        <v>8786554.2349999994</v>
      </c>
      <c r="AN60" s="357">
        <f>AO62/2</f>
        <v>12103558.550000001</v>
      </c>
      <c r="AO60" s="357">
        <f>AO62/2</f>
        <v>12103558.550000001</v>
      </c>
      <c r="AP60" s="350">
        <f>AQ62/2</f>
        <v>14269082.755000001</v>
      </c>
      <c r="AQ60" s="350">
        <f>AQ62/2</f>
        <v>14269082.755000001</v>
      </c>
      <c r="AR60" s="350">
        <f>AS62/2</f>
        <v>18115195.390000001</v>
      </c>
      <c r="AS60" s="350">
        <f>AS62/2</f>
        <v>18115195.390000001</v>
      </c>
      <c r="AT60" s="350">
        <f>AU62/2</f>
        <v>25074080.149999999</v>
      </c>
      <c r="AU60" s="350">
        <f>AU62/2</f>
        <v>25074080.149999999</v>
      </c>
      <c r="AV60" s="350">
        <f>AW62/2</f>
        <v>25534311.925000004</v>
      </c>
      <c r="AW60" s="350">
        <f>AW62/2</f>
        <v>25534311.925000004</v>
      </c>
      <c r="AX60" s="350">
        <f>AY62/2</f>
        <v>25437835.254999999</v>
      </c>
      <c r="AY60" s="350">
        <f>AY62/2</f>
        <v>25437835.254999999</v>
      </c>
      <c r="AZ60" s="350"/>
      <c r="BA60" s="345"/>
      <c r="BB60" s="345"/>
      <c r="BC60" s="345"/>
      <c r="BD60" s="345"/>
      <c r="BE60" s="345"/>
      <c r="BF60" s="345"/>
      <c r="BG60" s="345"/>
      <c r="BH60" s="345"/>
      <c r="BI60" s="345"/>
      <c r="BJ60" s="357" t="s">
        <v>265</v>
      </c>
      <c r="BK60" s="350"/>
      <c r="BL60" s="350"/>
      <c r="BM60" s="350"/>
      <c r="BP60" s="365"/>
      <c r="BQ60" s="365"/>
      <c r="BR60" s="365"/>
      <c r="BS60" s="365"/>
      <c r="BT60" s="365"/>
      <c r="BU60" s="365"/>
      <c r="BV60" s="365"/>
      <c r="BW60" s="365"/>
    </row>
    <row r="61" spans="1:75">
      <c r="A61" s="357" t="s">
        <v>266</v>
      </c>
      <c r="B61" s="366"/>
      <c r="C61" s="366"/>
      <c r="D61" s="366"/>
      <c r="E61" s="366"/>
      <c r="F61" s="366"/>
      <c r="G61" s="366"/>
      <c r="H61" s="366"/>
      <c r="I61" s="366"/>
      <c r="J61" s="366"/>
      <c r="K61" s="366"/>
      <c r="L61" s="366"/>
      <c r="M61" s="366"/>
      <c r="N61" s="366"/>
      <c r="O61" s="366"/>
      <c r="P61" s="366"/>
      <c r="Q61" s="366"/>
      <c r="R61" s="366"/>
      <c r="S61" s="366"/>
      <c r="T61" s="366"/>
      <c r="U61" s="366"/>
      <c r="V61" s="366"/>
      <c r="W61" s="366"/>
      <c r="X61" s="366"/>
      <c r="Y61" s="366"/>
      <c r="Z61" s="366"/>
      <c r="AA61" s="366"/>
      <c r="AB61" s="366"/>
      <c r="AC61" s="366"/>
      <c r="AD61" s="366"/>
      <c r="AE61" s="366"/>
      <c r="AF61" s="366"/>
      <c r="AG61" s="366"/>
      <c r="AH61" s="366">
        <f>AI63/2</f>
        <v>4267932.0350000001</v>
      </c>
      <c r="AI61" s="366">
        <f>AI63-AH61</f>
        <v>4267932.0350000001</v>
      </c>
      <c r="AJ61" s="366">
        <f>AK63/2</f>
        <v>9514559.6950000003</v>
      </c>
      <c r="AK61" s="366">
        <f>AK63-AJ61</f>
        <v>9514559.6950000003</v>
      </c>
      <c r="AL61" s="366">
        <f>AM63/2</f>
        <v>14414628.225</v>
      </c>
      <c r="AM61" s="366">
        <f>AM63-AL61</f>
        <v>14414628.225</v>
      </c>
      <c r="AN61" s="357">
        <f>AO63/2</f>
        <v>25230488.305</v>
      </c>
      <c r="AO61" s="357">
        <f>AO63/2</f>
        <v>25230488.305</v>
      </c>
      <c r="AP61" s="350">
        <f>AQ63/2</f>
        <v>29123764.850000001</v>
      </c>
      <c r="AQ61" s="350">
        <f>AQ63/2</f>
        <v>29123764.850000001</v>
      </c>
      <c r="AR61" s="350">
        <f>AS63/2</f>
        <v>33376979.68</v>
      </c>
      <c r="AS61" s="350">
        <f>AS63/2</f>
        <v>33376979.68</v>
      </c>
      <c r="AT61" s="350">
        <f>AU63/2</f>
        <v>41024939.75</v>
      </c>
      <c r="AU61" s="350">
        <f>AU63/2</f>
        <v>41024939.75</v>
      </c>
      <c r="AV61" s="350">
        <f>AW63/2</f>
        <v>50894660.375</v>
      </c>
      <c r="AW61" s="350">
        <f>AW63/2</f>
        <v>50894660.375</v>
      </c>
      <c r="AX61" s="350">
        <f>AY63/2</f>
        <v>39148403.954999998</v>
      </c>
      <c r="AY61" s="350">
        <f>AY63/2</f>
        <v>39148403.954999998</v>
      </c>
      <c r="AZ61" s="350"/>
      <c r="BA61" s="345"/>
      <c r="BB61" s="345"/>
      <c r="BC61" s="345"/>
      <c r="BD61" s="345"/>
      <c r="BE61" s="345"/>
      <c r="BF61" s="345"/>
      <c r="BG61" s="345"/>
      <c r="BH61" s="345"/>
      <c r="BI61" s="345"/>
      <c r="BJ61" s="357" t="s">
        <v>266</v>
      </c>
      <c r="BK61" s="350"/>
      <c r="BL61" s="350"/>
      <c r="BM61" s="350"/>
      <c r="BP61" s="365"/>
      <c r="BQ61" s="365"/>
      <c r="BR61" s="365"/>
      <c r="BS61" s="365"/>
      <c r="BT61" s="365"/>
      <c r="BU61" s="365"/>
      <c r="BV61" s="365"/>
      <c r="BW61" s="365"/>
    </row>
    <row r="62" spans="1:75">
      <c r="A62" s="357" t="s">
        <v>264</v>
      </c>
      <c r="B62" s="366"/>
      <c r="C62" s="350"/>
      <c r="D62" s="366"/>
      <c r="E62" s="366"/>
      <c r="F62" s="366"/>
      <c r="G62" s="350"/>
      <c r="H62" s="366"/>
      <c r="I62" s="366"/>
      <c r="J62" s="366"/>
      <c r="K62" s="350"/>
      <c r="L62" s="366"/>
      <c r="M62" s="366"/>
      <c r="N62" s="366"/>
      <c r="O62" s="350"/>
      <c r="P62" s="366"/>
      <c r="Q62" s="366"/>
      <c r="R62" s="366"/>
      <c r="S62" s="350"/>
      <c r="T62" s="366"/>
      <c r="U62" s="366"/>
      <c r="V62" s="366"/>
      <c r="W62" s="350"/>
      <c r="X62" s="366"/>
      <c r="Y62" s="366"/>
      <c r="Z62" s="366"/>
      <c r="AA62" s="350"/>
      <c r="AB62" s="366"/>
      <c r="AC62" s="366"/>
      <c r="AD62" s="366"/>
      <c r="AE62" s="350"/>
      <c r="AF62" s="366"/>
      <c r="AG62" s="366"/>
      <c r="AH62" s="366"/>
      <c r="AI62" s="350">
        <v>8742924.0299999993</v>
      </c>
      <c r="AK62" s="366">
        <f>Annual!L50-Quarter!AI62</f>
        <v>13865218.790000001</v>
      </c>
      <c r="AM62" s="350">
        <v>17573108.469999999</v>
      </c>
      <c r="AO62" s="366">
        <f>Annual!M50-Quarter!AM62</f>
        <v>24207117.100000001</v>
      </c>
      <c r="AP62" s="350"/>
      <c r="AQ62" s="350">
        <v>28538165.510000002</v>
      </c>
      <c r="AR62" s="350"/>
      <c r="AS62" s="366">
        <f>Annual!N50-Quarter!AQ62</f>
        <v>36230390.780000001</v>
      </c>
      <c r="AT62" s="366"/>
      <c r="AU62" s="366">
        <v>50148160.299999997</v>
      </c>
      <c r="AV62" s="366"/>
      <c r="AW62" s="366">
        <f>Annual!O50-Quarter!AU62</f>
        <v>51068623.850000009</v>
      </c>
      <c r="AX62" s="366"/>
      <c r="AY62" s="366">
        <v>50875670.509999998</v>
      </c>
      <c r="AZ62" s="366"/>
      <c r="BA62" s="345"/>
      <c r="BB62" s="345"/>
      <c r="BC62" s="345"/>
      <c r="BD62" s="345"/>
      <c r="BE62" s="345"/>
      <c r="BF62" s="345"/>
      <c r="BG62" s="345"/>
      <c r="BH62" s="345"/>
      <c r="BI62" s="345"/>
      <c r="BJ62" s="357" t="s">
        <v>264</v>
      </c>
      <c r="BK62" s="366"/>
      <c r="BL62" s="366"/>
      <c r="BM62" s="366"/>
      <c r="BP62" s="365"/>
      <c r="BQ62" s="365"/>
      <c r="BR62" s="365"/>
      <c r="BS62" s="365"/>
      <c r="BT62" s="365"/>
      <c r="BU62" s="365"/>
      <c r="BV62" s="365"/>
      <c r="BW62" s="365"/>
    </row>
    <row r="63" spans="1:75">
      <c r="A63" s="357" t="s">
        <v>263</v>
      </c>
      <c r="B63" s="366"/>
      <c r="C63" s="350"/>
      <c r="D63" s="366"/>
      <c r="E63" s="366"/>
      <c r="F63" s="366"/>
      <c r="G63" s="350"/>
      <c r="H63" s="366"/>
      <c r="I63" s="366"/>
      <c r="J63" s="366"/>
      <c r="K63" s="350"/>
      <c r="L63" s="366"/>
      <c r="M63" s="366"/>
      <c r="N63" s="366"/>
      <c r="O63" s="350"/>
      <c r="P63" s="366"/>
      <c r="Q63" s="366"/>
      <c r="R63" s="366"/>
      <c r="S63" s="350"/>
      <c r="T63" s="366"/>
      <c r="U63" s="366"/>
      <c r="V63" s="366"/>
      <c r="W63" s="350"/>
      <c r="X63" s="366"/>
      <c r="Y63" s="366"/>
      <c r="Z63" s="366"/>
      <c r="AA63" s="350"/>
      <c r="AB63" s="366"/>
      <c r="AC63" s="366"/>
      <c r="AD63" s="366"/>
      <c r="AE63" s="350"/>
      <c r="AF63" s="366"/>
      <c r="AG63" s="366"/>
      <c r="AH63" s="366"/>
      <c r="AI63" s="350">
        <v>8535864.0700000003</v>
      </c>
      <c r="AK63" s="366">
        <f>Annual!L51-Quarter!AI63</f>
        <v>19029119.390000001</v>
      </c>
      <c r="AM63" s="350">
        <v>28829256.449999999</v>
      </c>
      <c r="AO63" s="366">
        <f>Annual!M51-Quarter!AM63</f>
        <v>50460976.609999999</v>
      </c>
      <c r="AP63" s="350"/>
      <c r="AQ63" s="350">
        <v>58247529.700000003</v>
      </c>
      <c r="AR63" s="350"/>
      <c r="AS63" s="366">
        <f>Annual!N51-Quarter!AQ63</f>
        <v>66753959.359999999</v>
      </c>
      <c r="AT63" s="366"/>
      <c r="AU63" s="366">
        <v>82049879.5</v>
      </c>
      <c r="AV63" s="366"/>
      <c r="AW63" s="366">
        <f>Annual!O51-Quarter!AU63</f>
        <v>101789320.75</v>
      </c>
      <c r="AX63" s="366"/>
      <c r="AY63" s="366">
        <v>78296807.909999996</v>
      </c>
      <c r="AZ63" s="366"/>
      <c r="BA63" s="366"/>
      <c r="BB63" s="366"/>
      <c r="BC63" s="366"/>
      <c r="BD63" s="366"/>
      <c r="BE63" s="366"/>
      <c r="BF63" s="366"/>
      <c r="BG63" s="366"/>
      <c r="BH63" s="366"/>
      <c r="BI63" s="366"/>
      <c r="BJ63" s="357" t="s">
        <v>263</v>
      </c>
      <c r="BK63" s="366"/>
      <c r="BL63" s="366"/>
      <c r="BM63" s="366"/>
      <c r="BP63" s="365"/>
      <c r="BQ63" s="365"/>
      <c r="BR63" s="365"/>
      <c r="BS63" s="365"/>
      <c r="BT63" s="365"/>
      <c r="BU63" s="365"/>
      <c r="BV63" s="365"/>
      <c r="BW63" s="365"/>
    </row>
    <row r="64" spans="1:75">
      <c r="C64" s="350"/>
      <c r="S64" s="365"/>
      <c r="W64" s="365"/>
      <c r="AA64" s="365"/>
      <c r="AE64" s="365"/>
      <c r="AQ64" s="350"/>
      <c r="BO64" s="365"/>
      <c r="BP64" s="365"/>
      <c r="BQ64" s="365"/>
      <c r="BR64" s="365"/>
      <c r="BS64" s="365"/>
      <c r="BT64" s="365"/>
      <c r="BU64" s="365"/>
      <c r="BV64" s="365"/>
    </row>
    <row r="65" spans="1:74">
      <c r="BO65" s="365"/>
      <c r="BP65" s="365"/>
      <c r="BQ65" s="365"/>
      <c r="BR65" s="365"/>
      <c r="BS65" s="365"/>
      <c r="BT65" s="365"/>
      <c r="BU65" s="365"/>
      <c r="BV65" s="365"/>
    </row>
    <row r="66" spans="1:74">
      <c r="C66" s="365"/>
      <c r="D66" s="365"/>
      <c r="E66" s="365"/>
      <c r="F66" s="365"/>
      <c r="G66" s="365"/>
      <c r="H66" s="365"/>
      <c r="I66" s="365"/>
      <c r="J66" s="365"/>
      <c r="K66" s="365"/>
      <c r="L66" s="365"/>
      <c r="M66" s="365"/>
      <c r="N66" s="365"/>
      <c r="O66" s="365"/>
      <c r="P66" s="365"/>
      <c r="Q66" s="365"/>
      <c r="R66" s="365"/>
      <c r="S66" s="365"/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I66" s="365"/>
      <c r="BO66" s="365"/>
      <c r="BP66" s="365"/>
      <c r="BQ66" s="365"/>
      <c r="BR66" s="365"/>
      <c r="BS66" s="365"/>
      <c r="BT66" s="365"/>
      <c r="BU66" s="365"/>
      <c r="BV66" s="365"/>
    </row>
    <row r="67" spans="1:74">
      <c r="C67" s="365"/>
      <c r="D67" s="365"/>
      <c r="E67" s="365"/>
      <c r="F67" s="365"/>
      <c r="G67" s="365"/>
      <c r="H67" s="365"/>
      <c r="I67" s="365"/>
      <c r="J67" s="365"/>
      <c r="K67" s="365"/>
      <c r="L67" s="365"/>
      <c r="M67" s="365"/>
      <c r="N67" s="365"/>
      <c r="O67" s="365"/>
      <c r="P67" s="365"/>
      <c r="Q67" s="365"/>
      <c r="R67" s="365"/>
      <c r="S67" s="365"/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I67" s="365"/>
      <c r="BO67" s="365"/>
      <c r="BP67" s="365"/>
      <c r="BQ67" s="365"/>
      <c r="BR67" s="365"/>
      <c r="BS67" s="365"/>
      <c r="BT67" s="365"/>
      <c r="BU67" s="365"/>
      <c r="BV67" s="365"/>
    </row>
    <row r="68" spans="1:74">
      <c r="C68" s="365"/>
      <c r="D68" s="365"/>
      <c r="E68" s="365"/>
      <c r="F68" s="365"/>
      <c r="G68" s="365"/>
      <c r="H68" s="365"/>
      <c r="I68" s="365"/>
      <c r="J68" s="365"/>
      <c r="K68" s="365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BO68" s="365"/>
      <c r="BP68" s="365"/>
      <c r="BQ68" s="365"/>
      <c r="BR68" s="365"/>
      <c r="BS68" s="365"/>
      <c r="BT68" s="365"/>
      <c r="BU68" s="365"/>
      <c r="BV68" s="365"/>
    </row>
    <row r="69" spans="1:74">
      <c r="C69" s="365"/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65"/>
      <c r="O69" s="365"/>
      <c r="P69" s="365"/>
      <c r="Q69" s="365"/>
      <c r="R69" s="365"/>
      <c r="S69" s="365"/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I69" s="365"/>
    </row>
    <row r="70" spans="1:74">
      <c r="C70" s="365"/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5"/>
      <c r="P70" s="365"/>
      <c r="Q70" s="365"/>
      <c r="R70" s="365"/>
      <c r="S70" s="365"/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I70" s="365"/>
    </row>
    <row r="71" spans="1:74">
      <c r="C71" s="365"/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65"/>
      <c r="O71" s="365"/>
      <c r="P71" s="365"/>
      <c r="Q71" s="365"/>
      <c r="R71" s="365"/>
      <c r="S71" s="365"/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I71" s="365"/>
    </row>
    <row r="72" spans="1:74">
      <c r="C72" s="365"/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65"/>
      <c r="O72" s="365"/>
      <c r="P72" s="365"/>
      <c r="Q72" s="365"/>
      <c r="R72" s="365"/>
      <c r="S72" s="365"/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I72" s="365"/>
    </row>
    <row r="73" spans="1:74">
      <c r="A73" s="357" t="s">
        <v>539</v>
      </c>
      <c r="B73" s="373"/>
      <c r="C73" s="373"/>
      <c r="D73" s="373"/>
      <c r="E73" s="373"/>
      <c r="F73" s="373"/>
      <c r="G73" s="373"/>
      <c r="H73" s="373"/>
      <c r="I73" s="373"/>
      <c r="J73" s="373"/>
      <c r="K73" s="373"/>
      <c r="L73" s="373"/>
      <c r="M73" s="373"/>
      <c r="N73" s="373"/>
      <c r="O73" s="373"/>
      <c r="P73" s="373"/>
      <c r="Q73" s="373"/>
      <c r="R73" s="373"/>
      <c r="S73" s="373"/>
      <c r="T73" s="373"/>
      <c r="U73" s="373"/>
      <c r="V73" s="373"/>
      <c r="W73" s="373"/>
      <c r="X73" s="373"/>
      <c r="Y73" s="373"/>
      <c r="Z73" s="373"/>
      <c r="AA73" s="373"/>
      <c r="AB73" s="373"/>
      <c r="AC73" s="373"/>
      <c r="AD73" s="373"/>
      <c r="AE73" s="373"/>
      <c r="AF73" s="373"/>
      <c r="AG73" s="373"/>
      <c r="AH73" s="373">
        <f>AH16/AH27</f>
        <v>-1.2689832522796011E-2</v>
      </c>
      <c r="AI73" s="373">
        <f>AI16/AI27</f>
        <v>0.17860011342688772</v>
      </c>
      <c r="AJ73" s="373">
        <f>AJ16/AJ27</f>
        <v>-3.1236688960502089E-3</v>
      </c>
    </row>
    <row r="75" spans="1:74">
      <c r="A75" s="336" t="s">
        <v>139</v>
      </c>
      <c r="C75" s="365"/>
      <c r="D75" s="365"/>
      <c r="E75" s="365"/>
      <c r="F75" s="365"/>
      <c r="G75" s="365"/>
      <c r="H75" s="365"/>
      <c r="I75" s="365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>
        <v>360000000</v>
      </c>
      <c r="AI75" s="365">
        <v>360000000</v>
      </c>
      <c r="AJ75" s="365">
        <v>360000000</v>
      </c>
      <c r="AK75" s="365">
        <v>360000000</v>
      </c>
      <c r="AL75" s="365">
        <v>360000000</v>
      </c>
      <c r="AM75" s="365">
        <v>360000000</v>
      </c>
      <c r="AN75" s="365">
        <v>400100000</v>
      </c>
      <c r="AO75" s="365">
        <v>400100000</v>
      </c>
      <c r="AP75" s="365">
        <v>400100000</v>
      </c>
      <c r="AQ75" s="365">
        <v>400100000</v>
      </c>
      <c r="AR75" s="365">
        <v>400100000</v>
      </c>
      <c r="AS75" s="357">
        <v>400100000</v>
      </c>
      <c r="AT75" s="350">
        <v>400814650</v>
      </c>
      <c r="AU75" s="366">
        <v>400814650</v>
      </c>
      <c r="AV75" s="350">
        <v>400814650</v>
      </c>
      <c r="AW75" s="350">
        <v>400814650</v>
      </c>
      <c r="AX75" s="350">
        <v>400814650</v>
      </c>
      <c r="AY75" s="350">
        <v>416594451</v>
      </c>
      <c r="AZ75" s="350">
        <v>416594451</v>
      </c>
      <c r="BA75" s="350">
        <v>416594451</v>
      </c>
      <c r="BB75" s="350">
        <v>416594451</v>
      </c>
      <c r="BC75" s="350">
        <v>416594451</v>
      </c>
      <c r="BD75" s="350">
        <v>417456753</v>
      </c>
      <c r="BE75" s="350">
        <v>417456753</v>
      </c>
      <c r="BF75" s="350">
        <v>417456753</v>
      </c>
      <c r="BG75" s="350"/>
      <c r="BH75" s="350"/>
      <c r="BI75" s="350"/>
      <c r="BJ75" s="350"/>
      <c r="BK75" s="350"/>
      <c r="BL75" s="350"/>
    </row>
    <row r="76" spans="1:74">
      <c r="C76" s="365"/>
      <c r="D76" s="365"/>
      <c r="E76" s="365"/>
      <c r="F76" s="365"/>
      <c r="G76" s="365"/>
      <c r="H76" s="365"/>
      <c r="I76" s="365"/>
      <c r="J76" s="365"/>
      <c r="K76" s="365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</row>
    <row r="77" spans="1:74">
      <c r="C77" s="365"/>
      <c r="D77" s="365"/>
      <c r="E77" s="365"/>
      <c r="F77" s="365"/>
      <c r="G77" s="365"/>
      <c r="H77" s="365"/>
      <c r="I77" s="365"/>
      <c r="J77" s="365"/>
      <c r="K77" s="365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</row>
    <row r="78" spans="1:74">
      <c r="C78" s="365"/>
      <c r="D78" s="365"/>
      <c r="E78" s="365"/>
      <c r="F78" s="365"/>
      <c r="G78" s="365"/>
      <c r="H78" s="365"/>
      <c r="I78" s="365"/>
      <c r="J78" s="365"/>
      <c r="K78" s="365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</row>
    <row r="79" spans="1:74">
      <c r="C79" s="365"/>
      <c r="D79" s="365"/>
      <c r="E79" s="365"/>
      <c r="F79" s="365"/>
      <c r="G79" s="365"/>
      <c r="H79" s="365"/>
      <c r="I79" s="365"/>
      <c r="J79" s="365"/>
      <c r="K79" s="365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</row>
    <row r="80" spans="1:74">
      <c r="C80" s="365"/>
      <c r="D80" s="365"/>
      <c r="E80" s="365"/>
      <c r="F80" s="365"/>
      <c r="G80" s="365"/>
      <c r="H80" s="365"/>
      <c r="I80" s="365"/>
      <c r="J80" s="365"/>
      <c r="K80" s="365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I80" s="365"/>
    </row>
    <row r="81" spans="1:70">
      <c r="A81" s="357" t="s">
        <v>540</v>
      </c>
      <c r="C81" s="365"/>
      <c r="D81" s="365"/>
      <c r="E81" s="365"/>
      <c r="F81" s="365"/>
      <c r="G81" s="365"/>
      <c r="H81" s="365"/>
      <c r="I81" s="365"/>
      <c r="J81" s="365"/>
      <c r="K81" s="365"/>
      <c r="L81" s="365"/>
      <c r="M81" s="365"/>
      <c r="N81" s="365"/>
      <c r="O81" s="365"/>
      <c r="P81" s="365"/>
      <c r="Q81" s="365"/>
      <c r="R81" s="365"/>
      <c r="S81" s="365"/>
      <c r="T81" s="365"/>
      <c r="U81" s="365"/>
      <c r="V81" s="365"/>
      <c r="W81" s="365"/>
      <c r="X81" s="365"/>
      <c r="Y81" s="365"/>
      <c r="Z81" s="365"/>
      <c r="AA81" s="365"/>
      <c r="AB81" s="365"/>
      <c r="AC81" s="365"/>
      <c r="AD81" s="365"/>
      <c r="AE81" s="365"/>
      <c r="AF81" s="365"/>
      <c r="AG81" s="365"/>
      <c r="AH81" s="365"/>
      <c r="AI81" s="365"/>
      <c r="AO81" s="366">
        <v>90618443.540000007</v>
      </c>
      <c r="AP81" s="366">
        <v>112029897.95</v>
      </c>
      <c r="AQ81" s="366">
        <v>174726568.83000001</v>
      </c>
      <c r="AR81" s="366">
        <v>220021253.02000001</v>
      </c>
      <c r="AS81" s="366">
        <v>287029793.25</v>
      </c>
      <c r="AT81" s="366">
        <v>348989621.26999998</v>
      </c>
      <c r="AU81" s="366">
        <v>368262215.63</v>
      </c>
      <c r="AV81" s="366">
        <v>420510469.39999998</v>
      </c>
      <c r="AW81" s="366">
        <v>287121493.50999999</v>
      </c>
      <c r="AX81" s="366">
        <v>219218007.77000001</v>
      </c>
      <c r="AY81" s="366">
        <v>219218007.77000001</v>
      </c>
      <c r="AZ81" s="366">
        <v>247087992.86000001</v>
      </c>
      <c r="BA81" s="366">
        <v>99401068.159999996</v>
      </c>
      <c r="BB81" s="366">
        <v>128881462.92</v>
      </c>
      <c r="BC81" s="366">
        <v>235427221.03999999</v>
      </c>
      <c r="BD81" s="366">
        <v>1015163283.49</v>
      </c>
      <c r="BE81" s="366"/>
      <c r="BF81" s="366"/>
      <c r="BG81" s="366"/>
      <c r="BH81" s="366"/>
      <c r="BI81" s="366"/>
      <c r="BJ81" s="366"/>
      <c r="BK81" s="366"/>
      <c r="BL81" s="366"/>
    </row>
    <row r="82" spans="1:70">
      <c r="C82" s="365"/>
      <c r="D82" s="365"/>
      <c r="E82" s="365"/>
      <c r="F82" s="365"/>
      <c r="G82" s="365"/>
      <c r="H82" s="365"/>
      <c r="I82" s="365"/>
      <c r="J82" s="365"/>
      <c r="K82" s="365"/>
      <c r="L82" s="365"/>
      <c r="M82" s="365"/>
      <c r="N82" s="365"/>
      <c r="O82" s="365"/>
      <c r="P82" s="365"/>
      <c r="Q82" s="365"/>
      <c r="R82" s="365"/>
      <c r="S82" s="365"/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365"/>
      <c r="AG82" s="365"/>
      <c r="AH82" s="365"/>
      <c r="AI82" s="365"/>
    </row>
    <row r="83" spans="1:70">
      <c r="D83" s="365"/>
      <c r="E83" s="365"/>
      <c r="F83" s="365"/>
      <c r="G83" s="365"/>
      <c r="H83" s="365"/>
      <c r="I83" s="365"/>
      <c r="J83" s="365"/>
      <c r="K83" s="365"/>
      <c r="L83" s="365"/>
      <c r="M83" s="365"/>
      <c r="N83" s="365"/>
      <c r="O83" s="365"/>
      <c r="P83" s="365"/>
      <c r="Q83" s="365"/>
      <c r="R83" s="365"/>
      <c r="AC83" s="365"/>
      <c r="AP83" s="374">
        <v>90</v>
      </c>
      <c r="AQ83" s="374">
        <v>91</v>
      </c>
      <c r="AR83" s="374">
        <v>92</v>
      </c>
      <c r="AS83" s="375">
        <v>92</v>
      </c>
      <c r="AT83" s="374">
        <v>90</v>
      </c>
      <c r="AU83" s="374">
        <v>91</v>
      </c>
      <c r="AV83" s="374">
        <v>92</v>
      </c>
      <c r="AW83" s="375">
        <v>92</v>
      </c>
      <c r="AX83" s="374">
        <v>90</v>
      </c>
      <c r="AY83" s="374">
        <v>91</v>
      </c>
      <c r="AZ83" s="374">
        <v>92</v>
      </c>
      <c r="BA83" s="374"/>
      <c r="BB83" s="374"/>
      <c r="BC83" s="374"/>
      <c r="BD83" s="374"/>
      <c r="BE83" s="374"/>
      <c r="BF83" s="374"/>
      <c r="BG83" s="374"/>
      <c r="BH83" s="374"/>
      <c r="BI83" s="374"/>
      <c r="BJ83" s="375">
        <v>92</v>
      </c>
      <c r="BK83" s="374"/>
      <c r="BL83" s="374">
        <v>92</v>
      </c>
    </row>
    <row r="84" spans="1:70">
      <c r="E84" s="365"/>
      <c r="F84" s="365"/>
      <c r="I84" s="365"/>
      <c r="J84" s="365"/>
      <c r="O84" s="365"/>
      <c r="P84" s="365"/>
      <c r="Q84" s="365"/>
      <c r="R84" s="365"/>
      <c r="S84" s="365"/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</row>
    <row r="85" spans="1:70">
      <c r="A85" s="357" t="s">
        <v>47</v>
      </c>
      <c r="K85" s="365"/>
      <c r="L85" s="365"/>
      <c r="M85" s="365"/>
      <c r="N85" s="365"/>
      <c r="O85" s="365"/>
      <c r="P85" s="365"/>
      <c r="S85" s="365"/>
      <c r="T85" s="365"/>
      <c r="U85" s="365"/>
      <c r="V85" s="365"/>
      <c r="W85" s="365"/>
      <c r="X85" s="365"/>
      <c r="Y85" s="365"/>
      <c r="Z85" s="365"/>
      <c r="AD85" s="365"/>
      <c r="AE85" s="365"/>
      <c r="AF85" s="365"/>
      <c r="AG85" s="365"/>
      <c r="AH85" s="365"/>
      <c r="AI85" s="365"/>
      <c r="AN85" s="376">
        <f t="shared" ref="AN85:AU85" si="6">AN8</f>
        <v>36087282.009999998</v>
      </c>
      <c r="AO85" s="376">
        <f t="shared" si="6"/>
        <v>103275750.42</v>
      </c>
      <c r="AP85" s="376">
        <f t="shared" si="6"/>
        <v>20191787.5</v>
      </c>
      <c r="AQ85" s="376">
        <f t="shared" si="6"/>
        <v>44652948.109999999</v>
      </c>
      <c r="AR85" s="376">
        <f t="shared" si="6"/>
        <v>44693689.710000001</v>
      </c>
      <c r="AS85" s="376">
        <f t="shared" si="6"/>
        <v>161612238.47</v>
      </c>
      <c r="AT85" s="376">
        <f t="shared" si="6"/>
        <v>27350072.710000001</v>
      </c>
      <c r="AU85" s="376">
        <f t="shared" si="6"/>
        <v>50073076.440000005</v>
      </c>
      <c r="AV85" s="376">
        <f t="shared" ref="AV85:BD85" si="7">AV8</f>
        <v>33182535.07</v>
      </c>
      <c r="AW85" s="376">
        <f t="shared" si="7"/>
        <v>139016669.41999999</v>
      </c>
      <c r="AX85" s="376">
        <f t="shared" si="7"/>
        <v>17472752.23</v>
      </c>
      <c r="AY85" s="376">
        <f t="shared" si="7"/>
        <v>15885542.07</v>
      </c>
      <c r="AZ85" s="376">
        <f t="shared" si="7"/>
        <v>10619693.260000002</v>
      </c>
      <c r="BA85" s="376">
        <f t="shared" si="7"/>
        <v>174821661.90000001</v>
      </c>
      <c r="BB85" s="376">
        <f t="shared" si="7"/>
        <v>10879898.289999999</v>
      </c>
      <c r="BC85" s="376">
        <f t="shared" si="7"/>
        <v>13264352.390000001</v>
      </c>
      <c r="BD85" s="376">
        <f t="shared" si="7"/>
        <v>58818893.960000001</v>
      </c>
      <c r="BE85" s="376"/>
      <c r="BF85" s="376"/>
      <c r="BG85" s="376"/>
      <c r="BH85" s="376"/>
      <c r="BI85" s="376"/>
      <c r="BJ85" s="376">
        <f>BK8</f>
        <v>0</v>
      </c>
      <c r="BK85" s="376"/>
      <c r="BL85" s="376"/>
    </row>
    <row r="86" spans="1:70">
      <c r="AS86" s="357" t="s">
        <v>456</v>
      </c>
      <c r="AT86" s="357" t="s">
        <v>469</v>
      </c>
      <c r="AU86" s="357" t="s">
        <v>474</v>
      </c>
      <c r="AV86" s="357" t="s">
        <v>477</v>
      </c>
      <c r="AW86" s="357" t="s">
        <v>478</v>
      </c>
      <c r="AX86" s="357" t="s">
        <v>483</v>
      </c>
      <c r="AY86" s="357" t="s">
        <v>486</v>
      </c>
      <c r="AZ86" s="357" t="s">
        <v>487</v>
      </c>
      <c r="BA86" s="357" t="s">
        <v>489</v>
      </c>
      <c r="BB86" s="357" t="s">
        <v>495</v>
      </c>
      <c r="BC86" s="357" t="s">
        <v>496</v>
      </c>
      <c r="BD86" s="357" t="s">
        <v>497</v>
      </c>
      <c r="BE86" s="357" t="s">
        <v>532</v>
      </c>
      <c r="BF86" s="357" t="s">
        <v>533</v>
      </c>
    </row>
    <row r="87" spans="1:70">
      <c r="A87" s="357" t="s">
        <v>541</v>
      </c>
      <c r="AN87" s="377"/>
      <c r="AO87" s="377"/>
      <c r="AP87" s="377"/>
      <c r="AQ87" s="377"/>
      <c r="AR87" s="377"/>
      <c r="AS87" s="377">
        <f>AVERAGE(AS81,AO81)/SUM(AP85:AS85)*365</f>
        <v>254.17899499428333</v>
      </c>
      <c r="AT87" s="377">
        <f t="shared" ref="AT87:BC87" si="8">AVERAGE(AT81,AP81)/SUM(AQ85:AT85)*365</f>
        <v>302.31173866295615</v>
      </c>
      <c r="AU87" s="377">
        <f t="shared" si="8"/>
        <v>349.26083042484191</v>
      </c>
      <c r="AV87" s="377">
        <f t="shared" si="8"/>
        <v>429.42447795684478</v>
      </c>
      <c r="AW87" s="377">
        <f t="shared" si="8"/>
        <v>419.76452952132337</v>
      </c>
      <c r="AX87" s="377">
        <f t="shared" si="8"/>
        <v>432.53405892498529</v>
      </c>
      <c r="AY87" s="377">
        <f t="shared" si="8"/>
        <v>521.58224050017407</v>
      </c>
      <c r="AZ87" s="377">
        <f t="shared" si="8"/>
        <v>665.79386181622726</v>
      </c>
      <c r="BA87" s="377">
        <f t="shared" si="8"/>
        <v>322.39707732105336</v>
      </c>
      <c r="BB87" s="377">
        <f t="shared" si="8"/>
        <v>299.36908120804083</v>
      </c>
      <c r="BC87" s="377">
        <f t="shared" si="8"/>
        <v>395.88956467347924</v>
      </c>
      <c r="BD87" s="377">
        <f>AVERAGE(BD81,AZ81)/SUM(BA85:BD85)*365</f>
        <v>893.61689319781658</v>
      </c>
      <c r="BE87" s="377">
        <f>AVERAGE(BE81,BA81)/SUM(BB85:BE85)*365</f>
        <v>437.31936676020382</v>
      </c>
      <c r="BF87" s="377">
        <f>AVERAGE(BF81,BB81)/SUM(BC85:BF85)*365</f>
        <v>652.60287719824657</v>
      </c>
      <c r="BG87" s="377"/>
      <c r="BH87" s="377"/>
      <c r="BI87" s="377"/>
      <c r="BJ87" s="377"/>
      <c r="BK87" s="377"/>
      <c r="BL87" s="377"/>
    </row>
    <row r="88" spans="1:70">
      <c r="C88" s="365"/>
      <c r="D88" s="365"/>
      <c r="E88" s="365"/>
      <c r="G88" s="365"/>
      <c r="H88" s="365"/>
      <c r="I88" s="365"/>
      <c r="J88" s="365"/>
      <c r="K88" s="365"/>
      <c r="L88" s="365"/>
      <c r="M88" s="365"/>
      <c r="N88" s="365"/>
      <c r="Q88" s="365"/>
      <c r="R88" s="365"/>
      <c r="U88" s="365"/>
      <c r="V88" s="365"/>
      <c r="Z88" s="365"/>
      <c r="AG88" s="365"/>
      <c r="AH88" s="365"/>
      <c r="AI88" s="365"/>
      <c r="AS88" s="377">
        <f>AS81/1000000</f>
        <v>287.02979325000001</v>
      </c>
      <c r="AT88" s="377">
        <f t="shared" ref="AT88:BD88" si="9">AT81/1000000</f>
        <v>348.98962126999999</v>
      </c>
      <c r="AU88" s="377">
        <f t="shared" si="9"/>
        <v>368.26221563000001</v>
      </c>
      <c r="AV88" s="377">
        <f t="shared" si="9"/>
        <v>420.51046939999998</v>
      </c>
      <c r="AW88" s="377">
        <f t="shared" si="9"/>
        <v>287.12149350999999</v>
      </c>
      <c r="AX88" s="377">
        <f t="shared" si="9"/>
        <v>219.21800777000001</v>
      </c>
      <c r="AY88" s="377">
        <f t="shared" si="9"/>
        <v>219.21800777000001</v>
      </c>
      <c r="AZ88" s="377">
        <f t="shared" si="9"/>
        <v>247.08799286000001</v>
      </c>
      <c r="BA88" s="377">
        <f t="shared" si="9"/>
        <v>99.401068159999994</v>
      </c>
      <c r="BB88" s="377">
        <f t="shared" si="9"/>
        <v>128.88146291999999</v>
      </c>
      <c r="BC88" s="377">
        <f t="shared" si="9"/>
        <v>235.42722103999998</v>
      </c>
      <c r="BD88" s="377">
        <f t="shared" si="9"/>
        <v>1015.16328349</v>
      </c>
      <c r="BE88" s="377">
        <v>1773.9743638</v>
      </c>
      <c r="BF88" s="377">
        <v>2755.1812814099999</v>
      </c>
      <c r="BG88" s="377"/>
      <c r="BH88" s="377"/>
      <c r="BI88" s="377"/>
    </row>
    <row r="89" spans="1:70">
      <c r="C89" s="365"/>
      <c r="D89" s="365"/>
      <c r="E89" s="365"/>
      <c r="F89" s="365"/>
      <c r="G89" s="365"/>
      <c r="H89" s="365"/>
      <c r="I89" s="365"/>
      <c r="J89" s="365"/>
      <c r="K89" s="365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I89" s="365"/>
      <c r="BD89" s="373">
        <f>BD88/AZ88-1</f>
        <v>3.1085091660653505</v>
      </c>
      <c r="BE89" s="373"/>
      <c r="BF89" s="373"/>
      <c r="BG89" s="373"/>
      <c r="BH89" s="373"/>
      <c r="BI89" s="373"/>
      <c r="BR89" s="372">
        <f>BR95/BR90-1</f>
        <v>0.42657342657342667</v>
      </c>
    </row>
    <row r="90" spans="1:70">
      <c r="C90" s="365"/>
      <c r="D90" s="365"/>
      <c r="E90" s="365"/>
      <c r="F90" s="365"/>
      <c r="G90" s="365"/>
      <c r="H90" s="365"/>
      <c r="I90" s="365"/>
      <c r="J90" s="365"/>
      <c r="K90" s="365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I90" s="365"/>
      <c r="BR90" s="357">
        <v>143</v>
      </c>
    </row>
    <row r="91" spans="1:70">
      <c r="C91" s="365"/>
      <c r="D91" s="365"/>
      <c r="E91" s="365"/>
      <c r="F91" s="365"/>
      <c r="G91" s="365"/>
      <c r="H91" s="365"/>
      <c r="I91" s="365"/>
      <c r="J91" s="365"/>
      <c r="K91" s="365"/>
      <c r="L91" s="365"/>
      <c r="M91" s="365"/>
      <c r="N91" s="365"/>
      <c r="O91" s="365"/>
      <c r="P91" s="365"/>
      <c r="Q91" s="365"/>
      <c r="R91" s="365"/>
      <c r="S91" s="365"/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I91" s="365"/>
    </row>
    <row r="92" spans="1:70">
      <c r="F92" s="365"/>
      <c r="BM92" s="357" t="s">
        <v>515</v>
      </c>
    </row>
    <row r="93" spans="1:70">
      <c r="T93" s="365"/>
      <c r="V93" s="365"/>
      <c r="Y93" s="365"/>
      <c r="Z93" s="365"/>
      <c r="BN93" s="357">
        <v>2020</v>
      </c>
      <c r="BO93" s="357">
        <v>2021</v>
      </c>
      <c r="BP93" s="357">
        <v>2022</v>
      </c>
      <c r="BQ93" s="357">
        <v>2023</v>
      </c>
      <c r="BR93" s="378" t="s">
        <v>507</v>
      </c>
    </row>
    <row r="94" spans="1:70">
      <c r="C94" s="365"/>
      <c r="D94" s="365"/>
      <c r="E94" s="365"/>
      <c r="F94" s="365"/>
      <c r="G94" s="365"/>
      <c r="H94" s="365"/>
      <c r="I94" s="365"/>
      <c r="J94" s="365"/>
      <c r="K94" s="365"/>
      <c r="L94" s="365"/>
      <c r="M94" s="365"/>
      <c r="N94" s="365"/>
      <c r="R94" s="365"/>
      <c r="Z94" s="365"/>
      <c r="AD94" s="365"/>
      <c r="AI94" s="365"/>
      <c r="AU94" s="357">
        <v>2020</v>
      </c>
      <c r="AV94" s="357">
        <v>2021</v>
      </c>
      <c r="AW94" s="357">
        <v>2022</v>
      </c>
      <c r="AX94" s="357">
        <v>2023</v>
      </c>
      <c r="AY94" s="378">
        <v>2024</v>
      </c>
      <c r="BM94" s="357" t="s">
        <v>517</v>
      </c>
      <c r="BN94" s="377">
        <v>978</v>
      </c>
      <c r="BO94" s="377">
        <v>1213</v>
      </c>
      <c r="BP94" s="377">
        <v>1205</v>
      </c>
      <c r="BQ94" s="377">
        <v>752</v>
      </c>
      <c r="BR94" s="377">
        <v>727</v>
      </c>
    </row>
    <row r="95" spans="1:70">
      <c r="P95" s="365"/>
      <c r="Q95" s="365"/>
      <c r="R95" s="365"/>
      <c r="AA95" s="365"/>
      <c r="AB95" s="365"/>
      <c r="AC95" s="365"/>
      <c r="AD95" s="365"/>
      <c r="AT95" s="379" t="s">
        <v>508</v>
      </c>
      <c r="AU95" s="380">
        <f>AO81/1000000</f>
        <v>90.618443540000001</v>
      </c>
      <c r="AV95" s="380">
        <f>AS81/1000000</f>
        <v>287.02979325000001</v>
      </c>
      <c r="AW95" s="380">
        <f>AW88</f>
        <v>287.12149350999999</v>
      </c>
      <c r="AX95" s="380">
        <f>BA88</f>
        <v>99.401068159999994</v>
      </c>
      <c r="AY95" s="380">
        <f>BE88</f>
        <v>1773.9743638</v>
      </c>
      <c r="BM95" s="357" t="s">
        <v>515</v>
      </c>
      <c r="BN95" s="377">
        <v>222</v>
      </c>
      <c r="BO95" s="377">
        <v>263</v>
      </c>
      <c r="BP95" s="377">
        <v>292</v>
      </c>
      <c r="BQ95" s="377">
        <v>297</v>
      </c>
      <c r="BR95" s="377">
        <v>204</v>
      </c>
    </row>
    <row r="96" spans="1:70">
      <c r="E96" s="365"/>
      <c r="F96" s="365"/>
      <c r="I96" s="365"/>
      <c r="J96" s="365"/>
      <c r="N96" s="365"/>
      <c r="R96" s="365"/>
      <c r="V96" s="365"/>
      <c r="Z96" s="365"/>
      <c r="AD96" s="365"/>
      <c r="AH96" s="365"/>
      <c r="AT96" s="357" t="s">
        <v>509</v>
      </c>
      <c r="AU96" s="377">
        <v>36.831376810000002</v>
      </c>
      <c r="AV96" s="377">
        <v>57.568583889999999</v>
      </c>
      <c r="AW96" s="377">
        <v>61.641146820000003</v>
      </c>
      <c r="AX96" s="377">
        <v>23.255963319999999</v>
      </c>
      <c r="AY96" s="377">
        <v>348.79238177000002</v>
      </c>
      <c r="AZ96" s="373">
        <f>AY96/AX96-1</f>
        <v>13.997976087709104</v>
      </c>
    </row>
    <row r="97" spans="3:70">
      <c r="E97" s="365"/>
      <c r="F97" s="365"/>
      <c r="O97" s="365"/>
      <c r="P97" s="365"/>
      <c r="Q97" s="365"/>
      <c r="S97" s="365"/>
      <c r="T97" s="365"/>
      <c r="U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T97" s="357" t="s">
        <v>510</v>
      </c>
      <c r="AU97" s="377">
        <v>47.150041969999997</v>
      </c>
      <c r="AV97" s="377">
        <v>128.22026091999999</v>
      </c>
      <c r="AW97" s="377">
        <v>131.70228503999999</v>
      </c>
      <c r="AX97" s="377">
        <v>46.603666169999997</v>
      </c>
      <c r="AY97" s="377">
        <v>36.020328499999998</v>
      </c>
      <c r="AZ97" s="373">
        <f>AY97/AX97-1</f>
        <v>-0.22709238435007006</v>
      </c>
    </row>
    <row r="98" spans="3:70">
      <c r="AT98" s="357" t="s">
        <v>33</v>
      </c>
      <c r="AU98" s="381">
        <f t="shared" ref="AU98:AX98" si="10">AU95-AU96-AU97</f>
        <v>6.6370247600000027</v>
      </c>
      <c r="AV98" s="381">
        <f t="shared" si="10"/>
        <v>101.24094844000001</v>
      </c>
      <c r="AW98" s="381">
        <f t="shared" si="10"/>
        <v>93.778061649999984</v>
      </c>
      <c r="AX98" s="381">
        <f t="shared" si="10"/>
        <v>29.541438669999991</v>
      </c>
      <c r="AY98" s="381">
        <f>AY95-AY96-AY97</f>
        <v>1389.16165353</v>
      </c>
      <c r="BO98" s="357">
        <f>BO94-BN94</f>
        <v>235</v>
      </c>
      <c r="BP98" s="357">
        <f>BP94-BO94</f>
        <v>-8</v>
      </c>
      <c r="BQ98" s="357">
        <f>BQ94-BP94</f>
        <v>-453</v>
      </c>
      <c r="BR98" s="357">
        <f>BR94-BQ94</f>
        <v>-25</v>
      </c>
    </row>
    <row r="99" spans="3:70"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Q99" s="365"/>
      <c r="R99" s="365"/>
      <c r="S99" s="365"/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F99" s="365"/>
      <c r="AG99" s="365"/>
      <c r="AH99" s="365"/>
      <c r="AI99" s="365"/>
      <c r="AT99" s="379" t="s">
        <v>285</v>
      </c>
      <c r="AU99" s="382">
        <f t="shared" ref="AU99:AX102" si="11">AU95/AU$95</f>
        <v>1</v>
      </c>
      <c r="AV99" s="382">
        <f t="shared" si="11"/>
        <v>1</v>
      </c>
      <c r="AW99" s="382">
        <f t="shared" si="11"/>
        <v>1</v>
      </c>
      <c r="AX99" s="382">
        <f t="shared" si="11"/>
        <v>1</v>
      </c>
      <c r="AY99" s="382">
        <f>AY95/AY$95</f>
        <v>1</v>
      </c>
    </row>
    <row r="100" spans="3:70"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  <c r="S100" s="365"/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I100" s="365"/>
      <c r="AT100" s="357" t="str">
        <f>AT96</f>
        <v>Raw material</v>
      </c>
      <c r="AU100" s="373">
        <f t="shared" si="11"/>
        <v>0.40644459749236606</v>
      </c>
      <c r="AV100" s="373">
        <f t="shared" si="11"/>
        <v>0.20056657965069971</v>
      </c>
      <c r="AW100" s="373">
        <f t="shared" si="11"/>
        <v>0.21468663340542682</v>
      </c>
      <c r="AX100" s="373">
        <f t="shared" si="11"/>
        <v>0.23396089952037796</v>
      </c>
      <c r="AY100" s="373">
        <f t="shared" ref="AY100:AY102" si="12">AY96/AY$95</f>
        <v>0.19661635978935899</v>
      </c>
      <c r="BR100" s="372"/>
    </row>
    <row r="101" spans="3:70">
      <c r="C101" s="365"/>
      <c r="D101" s="365"/>
      <c r="E101" s="365"/>
      <c r="F101" s="365"/>
      <c r="G101" s="365"/>
      <c r="H101" s="365"/>
      <c r="I101" s="365"/>
      <c r="J101" s="365"/>
      <c r="K101" s="365"/>
      <c r="L101" s="365"/>
      <c r="M101" s="365"/>
      <c r="N101" s="365"/>
      <c r="O101" s="365"/>
      <c r="P101" s="365"/>
      <c r="Q101" s="365"/>
      <c r="R101" s="365"/>
      <c r="S101" s="365"/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5"/>
      <c r="AH101" s="365"/>
      <c r="AI101" s="365"/>
      <c r="AT101" s="357" t="str">
        <f>AT97</f>
        <v>Finished goods</v>
      </c>
      <c r="AU101" s="373">
        <f t="shared" si="11"/>
        <v>0.52031396841623567</v>
      </c>
      <c r="AV101" s="373">
        <f t="shared" si="11"/>
        <v>0.44671411796029636</v>
      </c>
      <c r="AW101" s="373">
        <f t="shared" si="11"/>
        <v>0.45869880178584754</v>
      </c>
      <c r="AX101" s="373">
        <f t="shared" si="11"/>
        <v>0.46884472202033928</v>
      </c>
      <c r="AY101" s="373">
        <f t="shared" si="12"/>
        <v>2.0304875445235564E-2</v>
      </c>
    </row>
    <row r="102" spans="3:70">
      <c r="C102" s="365"/>
      <c r="D102" s="365"/>
      <c r="E102" s="365"/>
      <c r="F102" s="365"/>
      <c r="G102" s="365"/>
      <c r="H102" s="365"/>
      <c r="I102" s="365"/>
      <c r="J102" s="365"/>
      <c r="K102" s="365"/>
      <c r="L102" s="365"/>
      <c r="M102" s="365"/>
      <c r="N102" s="365"/>
      <c r="O102" s="365"/>
      <c r="P102" s="365"/>
      <c r="Q102" s="365"/>
      <c r="R102" s="365"/>
      <c r="S102" s="365"/>
      <c r="T102" s="365"/>
      <c r="U102" s="365"/>
      <c r="V102" s="365"/>
      <c r="W102" s="3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I102" s="365"/>
      <c r="AT102" s="357" t="str">
        <f>AT98</f>
        <v>Others</v>
      </c>
      <c r="AU102" s="373">
        <f t="shared" si="11"/>
        <v>7.3241434091398244E-2</v>
      </c>
      <c r="AV102" s="373">
        <f t="shared" si="11"/>
        <v>0.35271930238900384</v>
      </c>
      <c r="AW102" s="373">
        <f t="shared" si="11"/>
        <v>0.32661456480872564</v>
      </c>
      <c r="AX102" s="373">
        <f t="shared" si="11"/>
        <v>0.29719437845928265</v>
      </c>
      <c r="AY102" s="373">
        <f t="shared" si="12"/>
        <v>0.78307876476540539</v>
      </c>
    </row>
    <row r="103" spans="3:70">
      <c r="C103" s="365"/>
      <c r="D103" s="365"/>
      <c r="E103" s="365"/>
      <c r="F103" s="365"/>
      <c r="G103" s="365"/>
      <c r="H103" s="365"/>
      <c r="I103" s="365"/>
      <c r="J103" s="365"/>
      <c r="K103" s="365"/>
      <c r="L103" s="365"/>
      <c r="M103" s="365"/>
      <c r="N103" s="365"/>
      <c r="O103" s="365"/>
      <c r="P103" s="365"/>
      <c r="Q103" s="365"/>
      <c r="R103" s="365"/>
      <c r="S103" s="365"/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I103" s="365"/>
      <c r="BM103" s="357" t="s">
        <v>516</v>
      </c>
      <c r="BQ103" s="377">
        <f>91.75*10000/Assumption!BH67</f>
        <v>128657.71788552617</v>
      </c>
      <c r="BR103" s="377">
        <f>311818.78/AVERAGE(Assumption!T67:U67)</f>
        <v>43040.060180680077</v>
      </c>
    </row>
    <row r="104" spans="3:70">
      <c r="AU104" s="357">
        <f>AU94</f>
        <v>2020</v>
      </c>
      <c r="AV104" s="357">
        <f t="shared" ref="AV104:AX104" si="13">AV94</f>
        <v>2021</v>
      </c>
      <c r="AW104" s="357">
        <f t="shared" si="13"/>
        <v>2022</v>
      </c>
      <c r="AX104" s="357">
        <f t="shared" si="13"/>
        <v>2023</v>
      </c>
      <c r="AY104" s="378">
        <v>2024</v>
      </c>
      <c r="AZ104" s="357" t="s">
        <v>533</v>
      </c>
    </row>
    <row r="105" spans="3:70">
      <c r="AT105" s="357" t="s">
        <v>511</v>
      </c>
      <c r="AU105" s="383">
        <f>Annual!M115/1000000</f>
        <v>2.4593361000000002</v>
      </c>
      <c r="AV105" s="383">
        <f>Annual!N115/1000000</f>
        <v>0.22998179999999999</v>
      </c>
      <c r="AW105" s="383">
        <f>Annual!O115/1000000</f>
        <v>0.13628319</v>
      </c>
      <c r="AX105" s="383">
        <f>Annual!P115/1000000</f>
        <v>0.26336282999999999</v>
      </c>
      <c r="AY105" s="383">
        <v>0.88616991000000001</v>
      </c>
      <c r="AZ105" s="357">
        <v>1.4246902699999999</v>
      </c>
    </row>
    <row r="106" spans="3:70">
      <c r="AT106" s="357" t="s">
        <v>498</v>
      </c>
      <c r="AU106" s="377">
        <f>PL!BC4</f>
        <v>458.92733067</v>
      </c>
      <c r="AV106" s="377">
        <f>PL!BD4</f>
        <v>721.04527897000003</v>
      </c>
      <c r="AW106" s="377">
        <f>PL!BE4</f>
        <v>729.03462304999994</v>
      </c>
      <c r="AX106" s="377">
        <f>PL!BF4</f>
        <v>709.38658426000006</v>
      </c>
      <c r="AY106" s="377">
        <f>PL!BG4</f>
        <v>1174.4643773799999</v>
      </c>
      <c r="AZ106" s="357">
        <f>PL!$AA$4</f>
        <v>1111.3989268</v>
      </c>
    </row>
    <row r="107" spans="3:70">
      <c r="C107" s="365"/>
      <c r="D107" s="365"/>
      <c r="E107" s="365"/>
      <c r="F107" s="365"/>
      <c r="G107" s="365"/>
      <c r="H107" s="365"/>
      <c r="I107" s="365"/>
      <c r="J107" s="365"/>
      <c r="K107" s="365"/>
      <c r="L107" s="365"/>
      <c r="M107" s="365"/>
      <c r="N107" s="365"/>
      <c r="O107" s="365"/>
      <c r="P107" s="365"/>
      <c r="Q107" s="365"/>
      <c r="R107" s="365"/>
      <c r="S107" s="365"/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I107" s="365"/>
      <c r="AT107" s="357" t="s">
        <v>512</v>
      </c>
      <c r="AU107" s="384">
        <f>AU105/AV106</f>
        <v>3.4107928749122617E-3</v>
      </c>
      <c r="AV107" s="384">
        <f>AV105/AW106</f>
        <v>3.1546073770522004E-4</v>
      </c>
      <c r="AW107" s="384">
        <f t="shared" ref="AW107:AX107" si="14">AW105/AX106</f>
        <v>1.9211413497784773E-4</v>
      </c>
      <c r="AX107" s="384">
        <f t="shared" si="14"/>
        <v>2.2424079867582779E-4</v>
      </c>
      <c r="AY107" s="384">
        <f>AY105/AZ106</f>
        <v>7.9734637908235925E-4</v>
      </c>
    </row>
    <row r="108" spans="3:70">
      <c r="AY108" s="357">
        <f>0.23390832671</f>
        <v>0.23390832671</v>
      </c>
      <c r="AZ108" s="372">
        <f>AY105/AY108-1</f>
        <v>2.788535117429467</v>
      </c>
    </row>
    <row r="109" spans="3:70">
      <c r="C109" s="365"/>
      <c r="D109" s="365"/>
      <c r="E109" s="365"/>
      <c r="F109" s="365"/>
      <c r="G109" s="365"/>
      <c r="H109" s="365"/>
      <c r="I109" s="365"/>
      <c r="J109" s="365"/>
      <c r="K109" s="365"/>
      <c r="L109" s="365"/>
      <c r="M109" s="365"/>
      <c r="N109" s="365"/>
      <c r="O109" s="365"/>
      <c r="P109" s="365"/>
      <c r="Q109" s="365"/>
      <c r="R109" s="365"/>
      <c r="S109" s="365"/>
      <c r="T109" s="365"/>
      <c r="U109" s="365"/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365"/>
      <c r="AH109" s="365"/>
      <c r="AI109" s="365"/>
    </row>
    <row r="111" spans="3:70">
      <c r="C111" s="365"/>
      <c r="D111" s="365"/>
      <c r="E111" s="365"/>
      <c r="F111" s="365"/>
      <c r="G111" s="365"/>
      <c r="H111" s="365"/>
      <c r="I111" s="365"/>
      <c r="J111" s="365"/>
      <c r="K111" s="365"/>
      <c r="L111" s="365"/>
      <c r="M111" s="365"/>
      <c r="N111" s="365"/>
      <c r="O111" s="365"/>
      <c r="P111" s="365"/>
      <c r="Q111" s="365"/>
      <c r="R111" s="365"/>
      <c r="S111" s="365"/>
      <c r="T111" s="365"/>
      <c r="U111" s="365"/>
      <c r="V111" s="365"/>
      <c r="W111" s="365"/>
      <c r="X111" s="365"/>
      <c r="Y111" s="365"/>
      <c r="Z111" s="365"/>
      <c r="AA111" s="365"/>
      <c r="AB111" s="365"/>
      <c r="AC111" s="365"/>
      <c r="AD111" s="365"/>
      <c r="AE111" s="365"/>
      <c r="AF111" s="365"/>
      <c r="AG111" s="365"/>
      <c r="AH111" s="365"/>
      <c r="AI111" s="365"/>
      <c r="AU111" s="357">
        <f>AU94</f>
        <v>2020</v>
      </c>
      <c r="AV111" s="357">
        <f t="shared" ref="AV111:AY111" si="15">AV94</f>
        <v>2021</v>
      </c>
      <c r="AW111" s="357">
        <f t="shared" si="15"/>
        <v>2022</v>
      </c>
      <c r="AX111" s="357">
        <f t="shared" si="15"/>
        <v>2023</v>
      </c>
      <c r="AY111" s="357">
        <f t="shared" si="15"/>
        <v>2024</v>
      </c>
      <c r="AZ111" s="378" t="s">
        <v>533</v>
      </c>
    </row>
    <row r="112" spans="3:70">
      <c r="AZ112" s="377">
        <f>PL!$AA$10</f>
        <v>272.5715075</v>
      </c>
    </row>
    <row r="113" spans="3:52">
      <c r="C113" s="365"/>
      <c r="D113" s="365"/>
      <c r="E113" s="365"/>
      <c r="F113" s="365"/>
      <c r="G113" s="365"/>
      <c r="H113" s="365"/>
      <c r="I113" s="365"/>
      <c r="J113" s="365"/>
      <c r="K113" s="365"/>
      <c r="L113" s="365"/>
      <c r="M113" s="365"/>
      <c r="N113" s="365"/>
      <c r="O113" s="365"/>
      <c r="P113" s="365"/>
      <c r="Q113" s="365"/>
      <c r="R113" s="365"/>
      <c r="S113" s="365"/>
      <c r="T113" s="365"/>
      <c r="U113" s="365"/>
      <c r="V113" s="365"/>
      <c r="W113" s="365"/>
      <c r="X113" s="365"/>
      <c r="Y113" s="365"/>
      <c r="Z113" s="365"/>
      <c r="AA113" s="365"/>
      <c r="AB113" s="365"/>
      <c r="AC113" s="365"/>
      <c r="AD113" s="365"/>
      <c r="AE113" s="365"/>
      <c r="AF113" s="365"/>
      <c r="AG113" s="365"/>
      <c r="AH113" s="365"/>
      <c r="AI113" s="365"/>
      <c r="AT113" s="357" t="s">
        <v>713</v>
      </c>
      <c r="AU113" s="377">
        <f>PL!BC134</f>
        <v>978</v>
      </c>
      <c r="AV113" s="377">
        <f>PL!BD134</f>
        <v>1213</v>
      </c>
      <c r="AW113" s="377">
        <f>PL!BE134</f>
        <v>1205</v>
      </c>
      <c r="AX113" s="377">
        <f>PL!BF134</f>
        <v>752</v>
      </c>
      <c r="AY113" s="377">
        <f>PL!BG134</f>
        <v>741</v>
      </c>
    </row>
    <row r="114" spans="3:52">
      <c r="AS114" s="357" t="s">
        <v>712</v>
      </c>
      <c r="AT114" s="357" t="s">
        <v>714</v>
      </c>
      <c r="AU114" s="377">
        <f>PL!$BC$4/Quarter!AU113*1000</f>
        <v>469.25084935582822</v>
      </c>
      <c r="AV114" s="377">
        <f>PL!$BC$4/Quarter!AV113*1000</f>
        <v>378.34075075845016</v>
      </c>
      <c r="AW114" s="377">
        <f>PL!$BC$4/Quarter!AW113*1000</f>
        <v>380.85255657261411</v>
      </c>
      <c r="AX114" s="377">
        <f>PL!$BC$4/Quarter!AX113*1000</f>
        <v>610.27570567819146</v>
      </c>
      <c r="AY114" s="377">
        <f>PL!$BC$4/Quarter!AY113*1000</f>
        <v>619.33512910931177</v>
      </c>
      <c r="AZ114" s="373">
        <f>AY114/AX114-1</f>
        <v>1.4844804318488558E-2</v>
      </c>
    </row>
    <row r="115" spans="3:52">
      <c r="AS115" s="357" t="s">
        <v>283</v>
      </c>
      <c r="AT115" s="357" t="s">
        <v>69</v>
      </c>
      <c r="AU115" s="377">
        <f>PL!BC10</f>
        <v>768.28026358000011</v>
      </c>
      <c r="AV115" s="377">
        <f>PL!BD10</f>
        <v>1135.7405698600001</v>
      </c>
      <c r="AW115" s="377">
        <f>PL!BE10</f>
        <v>1523.10637838</v>
      </c>
      <c r="AX115" s="377">
        <f>PL!BF10</f>
        <v>1117.50816274</v>
      </c>
      <c r="AY115" s="377">
        <f>PL!BG10</f>
        <v>1215.8735574100001</v>
      </c>
    </row>
    <row r="117" spans="3:52">
      <c r="AT117" s="357" t="s">
        <v>211</v>
      </c>
      <c r="AU117" s="373">
        <f>PL!BC54</f>
        <v>1.6740782521240731</v>
      </c>
      <c r="AV117" s="373">
        <f>PL!BD54</f>
        <v>1.575130720614917</v>
      </c>
      <c r="AW117" s="373">
        <f>PL!BE54</f>
        <v>2.08920993629618</v>
      </c>
      <c r="AX117" s="373">
        <f>PL!BF54</f>
        <v>1.5753161781396443</v>
      </c>
      <c r="AY117" s="373">
        <f>PL!BG54</f>
        <v>1.0352579276370868</v>
      </c>
    </row>
    <row r="121" spans="3:52">
      <c r="C121" s="365"/>
      <c r="D121" s="365"/>
      <c r="E121" s="365"/>
      <c r="F121" s="365"/>
      <c r="G121" s="365"/>
      <c r="H121" s="365"/>
      <c r="I121" s="365"/>
      <c r="J121" s="365"/>
      <c r="K121" s="365"/>
      <c r="L121" s="365"/>
      <c r="M121" s="365"/>
      <c r="N121" s="365"/>
      <c r="O121" s="365"/>
      <c r="P121" s="365"/>
      <c r="Q121" s="365"/>
      <c r="R121" s="365"/>
      <c r="S121" s="365"/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I121" s="365"/>
    </row>
    <row r="122" spans="3:52">
      <c r="C122" s="365"/>
      <c r="D122" s="365"/>
      <c r="E122" s="365"/>
      <c r="F122" s="365"/>
      <c r="G122" s="365"/>
      <c r="H122" s="365"/>
      <c r="I122" s="365"/>
      <c r="J122" s="365"/>
      <c r="K122" s="365"/>
      <c r="L122" s="365"/>
      <c r="M122" s="365"/>
      <c r="N122" s="365"/>
      <c r="O122" s="365"/>
      <c r="P122" s="365"/>
      <c r="Q122" s="365"/>
      <c r="R122" s="365"/>
      <c r="S122" s="365"/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  <c r="AI122" s="365"/>
      <c r="AZ122" s="372"/>
    </row>
    <row r="123" spans="3:52">
      <c r="C123" s="365"/>
      <c r="D123" s="365"/>
      <c r="E123" s="365"/>
      <c r="F123" s="365"/>
      <c r="G123" s="365"/>
      <c r="H123" s="365"/>
      <c r="I123" s="365"/>
      <c r="J123" s="365"/>
      <c r="K123" s="365"/>
      <c r="L123" s="365"/>
      <c r="M123" s="365"/>
      <c r="N123" s="365"/>
      <c r="O123" s="365"/>
      <c r="P123" s="365"/>
      <c r="Q123" s="365"/>
      <c r="R123" s="365"/>
      <c r="S123" s="365"/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I123" s="365"/>
    </row>
    <row r="146" spans="3:74">
      <c r="C146" s="365"/>
      <c r="D146" s="365"/>
      <c r="E146" s="365"/>
      <c r="F146" s="365"/>
      <c r="G146" s="365"/>
      <c r="H146" s="365"/>
      <c r="I146" s="365"/>
      <c r="J146" s="365"/>
      <c r="K146" s="365"/>
      <c r="L146" s="365"/>
      <c r="M146" s="365"/>
      <c r="N146" s="365"/>
      <c r="O146" s="365"/>
      <c r="P146" s="365"/>
      <c r="Q146" s="365"/>
      <c r="R146" s="365"/>
      <c r="S146" s="365"/>
      <c r="T146" s="365"/>
      <c r="U146" s="365"/>
      <c r="V146" s="365"/>
      <c r="W146" s="365"/>
      <c r="X146" s="365"/>
      <c r="Y146" s="365"/>
      <c r="Z146" s="365"/>
      <c r="AA146" s="365"/>
      <c r="AB146" s="365"/>
      <c r="AC146" s="365"/>
      <c r="AD146" s="365"/>
      <c r="AE146" s="365"/>
      <c r="AF146" s="365"/>
      <c r="AG146" s="365"/>
      <c r="AH146" s="365"/>
      <c r="AI146" s="365"/>
      <c r="BO146" s="365"/>
      <c r="BP146" s="365"/>
      <c r="BQ146" s="365"/>
      <c r="BR146" s="365"/>
      <c r="BS146" s="365"/>
      <c r="BT146" s="365"/>
      <c r="BU146" s="365"/>
      <c r="BV146" s="365"/>
    </row>
    <row r="147" spans="3:74">
      <c r="BO147" s="365"/>
      <c r="BP147" s="365"/>
      <c r="BQ147" s="365"/>
      <c r="BR147" s="365"/>
      <c r="BS147" s="365"/>
      <c r="BT147" s="365"/>
      <c r="BU147" s="365"/>
      <c r="BV147" s="365"/>
    </row>
    <row r="148" spans="3:74">
      <c r="C148" s="365"/>
      <c r="D148" s="365"/>
      <c r="E148" s="365"/>
      <c r="F148" s="365"/>
      <c r="G148" s="365"/>
      <c r="H148" s="365"/>
      <c r="I148" s="365"/>
      <c r="J148" s="365"/>
      <c r="K148" s="365"/>
      <c r="L148" s="365"/>
      <c r="M148" s="365"/>
      <c r="N148" s="365"/>
      <c r="O148" s="365"/>
      <c r="P148" s="365"/>
      <c r="Q148" s="365"/>
      <c r="R148" s="365"/>
      <c r="S148" s="365"/>
      <c r="T148" s="365"/>
      <c r="U148" s="365"/>
      <c r="V148" s="365"/>
      <c r="W148" s="365"/>
      <c r="X148" s="365"/>
      <c r="Y148" s="365"/>
      <c r="Z148" s="365"/>
      <c r="AA148" s="365"/>
      <c r="AB148" s="365"/>
      <c r="AC148" s="365"/>
      <c r="AD148" s="365"/>
      <c r="AE148" s="365"/>
      <c r="AF148" s="365"/>
      <c r="AG148" s="365"/>
      <c r="AH148" s="365"/>
      <c r="AI148" s="365"/>
      <c r="BO148" s="365"/>
      <c r="BP148" s="365"/>
      <c r="BQ148" s="365"/>
      <c r="BR148" s="365"/>
      <c r="BS148" s="365"/>
      <c r="BT148" s="365"/>
      <c r="BU148" s="365"/>
      <c r="BV148" s="365"/>
    </row>
    <row r="149" spans="3:74">
      <c r="C149" s="365"/>
      <c r="D149" s="365"/>
      <c r="E149" s="365"/>
      <c r="F149" s="365"/>
      <c r="G149" s="365"/>
      <c r="H149" s="365"/>
      <c r="I149" s="365"/>
      <c r="J149" s="365"/>
      <c r="K149" s="365"/>
      <c r="L149" s="365"/>
      <c r="M149" s="365"/>
      <c r="N149" s="365"/>
      <c r="O149" s="365"/>
      <c r="P149" s="365"/>
      <c r="Q149" s="365"/>
      <c r="R149" s="365"/>
      <c r="S149" s="365"/>
      <c r="T149" s="365"/>
      <c r="U149" s="365"/>
      <c r="V149" s="365"/>
      <c r="W149" s="365"/>
      <c r="X149" s="365"/>
      <c r="Y149" s="365"/>
      <c r="Z149" s="365"/>
      <c r="AA149" s="365"/>
      <c r="AB149" s="365"/>
      <c r="AC149" s="365"/>
      <c r="AD149" s="365"/>
      <c r="AE149" s="365"/>
      <c r="AF149" s="365"/>
      <c r="AG149" s="365"/>
      <c r="AH149" s="365"/>
      <c r="AI149" s="365"/>
      <c r="BO149" s="365"/>
      <c r="BP149" s="365"/>
      <c r="BQ149" s="365"/>
      <c r="BR149" s="365"/>
      <c r="BS149" s="365"/>
      <c r="BT149" s="365"/>
      <c r="BU149" s="365"/>
      <c r="BV149" s="365"/>
    </row>
    <row r="150" spans="3:74">
      <c r="C150" s="365"/>
      <c r="D150" s="365"/>
      <c r="E150" s="365"/>
      <c r="F150" s="365"/>
      <c r="G150" s="365"/>
      <c r="H150" s="365"/>
      <c r="I150" s="365"/>
      <c r="J150" s="365"/>
      <c r="K150" s="365"/>
      <c r="L150" s="365"/>
      <c r="M150" s="365"/>
      <c r="N150" s="365"/>
      <c r="O150" s="365"/>
      <c r="P150" s="365"/>
      <c r="Q150" s="365"/>
      <c r="R150" s="365"/>
      <c r="S150" s="365"/>
      <c r="T150" s="365"/>
      <c r="U150" s="365"/>
      <c r="V150" s="365"/>
      <c r="W150" s="365"/>
      <c r="X150" s="365"/>
      <c r="Y150" s="365"/>
      <c r="Z150" s="365"/>
      <c r="AA150" s="365"/>
      <c r="AB150" s="365"/>
      <c r="AC150" s="365"/>
      <c r="AD150" s="365"/>
      <c r="AE150" s="365"/>
      <c r="AF150" s="365"/>
      <c r="AG150" s="365"/>
      <c r="AH150" s="365"/>
      <c r="AI150" s="365"/>
      <c r="BO150" s="365"/>
      <c r="BP150" s="365"/>
      <c r="BQ150" s="365"/>
      <c r="BR150" s="365"/>
      <c r="BS150" s="365"/>
      <c r="BT150" s="365"/>
      <c r="BU150" s="365"/>
      <c r="BV150" s="365"/>
    </row>
    <row r="151" spans="3:74">
      <c r="F151" s="365"/>
      <c r="BO151" s="365"/>
      <c r="BP151" s="365"/>
      <c r="BQ151" s="365"/>
      <c r="BR151" s="365"/>
      <c r="BS151" s="365"/>
      <c r="BT151" s="365"/>
      <c r="BU151" s="365"/>
      <c r="BV151" s="365"/>
    </row>
    <row r="152" spans="3:74">
      <c r="D152" s="365"/>
      <c r="E152" s="365"/>
      <c r="I152" s="365"/>
      <c r="L152" s="365"/>
      <c r="P152" s="365"/>
      <c r="U152" s="365"/>
      <c r="Y152" s="365"/>
      <c r="AC152" s="365"/>
      <c r="AG152" s="365"/>
      <c r="BO152" s="365"/>
      <c r="BP152" s="365"/>
      <c r="BQ152" s="365"/>
      <c r="BR152" s="365"/>
      <c r="BS152" s="365"/>
      <c r="BT152" s="365"/>
      <c r="BU152" s="365"/>
      <c r="BV152" s="365"/>
    </row>
    <row r="153" spans="3:74">
      <c r="BO153" s="365"/>
      <c r="BP153" s="365"/>
      <c r="BQ153" s="365"/>
      <c r="BR153" s="365"/>
      <c r="BS153" s="365"/>
      <c r="BT153" s="365"/>
      <c r="BU153" s="365"/>
      <c r="BV153" s="365"/>
    </row>
    <row r="154" spans="3:74">
      <c r="C154" s="365"/>
      <c r="D154" s="365"/>
      <c r="E154" s="365"/>
      <c r="F154" s="365"/>
      <c r="G154" s="365"/>
      <c r="H154" s="365"/>
      <c r="I154" s="365"/>
      <c r="J154" s="365"/>
      <c r="K154" s="365"/>
      <c r="L154" s="365"/>
      <c r="M154" s="365"/>
      <c r="N154" s="365"/>
      <c r="O154" s="365"/>
      <c r="P154" s="365"/>
      <c r="R154" s="365"/>
      <c r="S154" s="365"/>
      <c r="T154" s="365"/>
      <c r="U154" s="365"/>
      <c r="V154" s="365"/>
      <c r="W154" s="365"/>
      <c r="X154" s="365"/>
      <c r="Y154" s="365"/>
      <c r="Z154" s="365"/>
      <c r="AA154" s="365"/>
      <c r="AB154" s="365"/>
      <c r="AC154" s="365"/>
      <c r="AD154" s="365"/>
      <c r="AE154" s="365"/>
      <c r="AF154" s="365"/>
      <c r="AG154" s="365"/>
      <c r="AH154" s="365"/>
      <c r="AI154" s="365"/>
      <c r="BO154" s="365"/>
      <c r="BP154" s="365"/>
      <c r="BQ154" s="365"/>
      <c r="BR154" s="365"/>
      <c r="BS154" s="365"/>
      <c r="BT154" s="365"/>
      <c r="BU154" s="365"/>
      <c r="BV154" s="365"/>
    </row>
    <row r="155" spans="3:74">
      <c r="C155" s="365"/>
      <c r="D155" s="365"/>
      <c r="E155" s="365"/>
      <c r="F155" s="365"/>
      <c r="G155" s="365"/>
      <c r="H155" s="365"/>
      <c r="I155" s="365"/>
      <c r="J155" s="365"/>
      <c r="K155" s="365"/>
      <c r="L155" s="365"/>
      <c r="M155" s="365"/>
      <c r="N155" s="365"/>
      <c r="O155" s="365"/>
      <c r="P155" s="365"/>
      <c r="Q155" s="365"/>
      <c r="R155" s="365"/>
      <c r="S155" s="365"/>
      <c r="T155" s="365"/>
      <c r="U155" s="365"/>
      <c r="V155" s="365"/>
      <c r="W155" s="365"/>
      <c r="X155" s="365"/>
      <c r="Y155" s="365"/>
      <c r="Z155" s="365"/>
      <c r="AA155" s="365"/>
      <c r="AB155" s="365"/>
      <c r="AC155" s="365"/>
      <c r="AD155" s="365"/>
      <c r="AE155" s="365"/>
      <c r="AF155" s="365"/>
      <c r="AG155" s="365"/>
      <c r="AH155" s="365"/>
      <c r="AI155" s="365"/>
      <c r="BO155" s="365"/>
      <c r="BP155" s="365"/>
      <c r="BQ155" s="365"/>
      <c r="BR155" s="365"/>
      <c r="BS155" s="365"/>
      <c r="BT155" s="365"/>
      <c r="BU155" s="365"/>
      <c r="BV155" s="365"/>
    </row>
    <row r="156" spans="3:74">
      <c r="BO156" s="365"/>
      <c r="BP156" s="365"/>
      <c r="BQ156" s="365"/>
      <c r="BR156" s="365"/>
      <c r="BS156" s="365"/>
      <c r="BT156" s="365"/>
      <c r="BU156" s="365"/>
      <c r="BV156" s="365"/>
    </row>
    <row r="157" spans="3:74">
      <c r="BO157" s="365"/>
      <c r="BP157" s="365"/>
      <c r="BQ157" s="365"/>
      <c r="BR157" s="365"/>
      <c r="BS157" s="365"/>
      <c r="BT157" s="365"/>
      <c r="BU157" s="365"/>
      <c r="BV157" s="365"/>
    </row>
    <row r="158" spans="3:74">
      <c r="BO158" s="365"/>
      <c r="BP158" s="365"/>
      <c r="BQ158" s="365"/>
      <c r="BR158" s="365"/>
      <c r="BS158" s="365"/>
      <c r="BT158" s="365"/>
      <c r="BU158" s="365"/>
      <c r="BV158" s="365"/>
    </row>
    <row r="159" spans="3:74">
      <c r="BO159" s="365"/>
      <c r="BP159" s="365"/>
      <c r="BQ159" s="365"/>
      <c r="BR159" s="365"/>
      <c r="BS159" s="365"/>
      <c r="BT159" s="365"/>
      <c r="BU159" s="365"/>
      <c r="BV159" s="365"/>
    </row>
    <row r="160" spans="3:74">
      <c r="E160" s="365"/>
      <c r="F160" s="365"/>
      <c r="I160" s="365"/>
      <c r="J160" s="365"/>
      <c r="N160" s="365"/>
      <c r="R160" s="365"/>
      <c r="V160" s="365"/>
      <c r="X160" s="365"/>
      <c r="AD160" s="365"/>
      <c r="AH160" s="365"/>
      <c r="BO160" s="365"/>
      <c r="BP160" s="365"/>
      <c r="BQ160" s="365"/>
      <c r="BR160" s="365"/>
      <c r="BS160" s="365"/>
      <c r="BT160" s="365"/>
      <c r="BU160" s="365"/>
      <c r="BV160" s="365"/>
    </row>
    <row r="161" spans="3:74">
      <c r="BO161" s="365"/>
      <c r="BP161" s="365"/>
      <c r="BQ161" s="365"/>
      <c r="BR161" s="365"/>
      <c r="BS161" s="365"/>
      <c r="BT161" s="365"/>
      <c r="BU161" s="365"/>
      <c r="BV161" s="365"/>
    </row>
    <row r="162" spans="3:74">
      <c r="C162" s="365"/>
      <c r="D162" s="365"/>
      <c r="E162" s="365"/>
      <c r="F162" s="365"/>
      <c r="G162" s="365"/>
      <c r="H162" s="365"/>
      <c r="I162" s="365"/>
      <c r="J162" s="365"/>
      <c r="R162" s="365"/>
      <c r="S162" s="365"/>
      <c r="T162" s="365"/>
      <c r="U162" s="365"/>
      <c r="V162" s="365"/>
      <c r="W162" s="365"/>
      <c r="X162" s="365"/>
      <c r="Y162" s="365"/>
      <c r="Z162" s="365"/>
      <c r="AA162" s="365"/>
      <c r="AB162" s="365"/>
      <c r="AC162" s="365"/>
      <c r="AD162" s="365"/>
      <c r="AE162" s="365"/>
      <c r="AF162" s="365"/>
      <c r="AG162" s="365"/>
      <c r="AH162" s="365"/>
      <c r="AI162" s="365"/>
      <c r="BO162" s="365"/>
      <c r="BP162" s="365"/>
      <c r="BQ162" s="365"/>
      <c r="BR162" s="365"/>
      <c r="BS162" s="365"/>
      <c r="BT162" s="365"/>
      <c r="BU162" s="365"/>
      <c r="BV162" s="365"/>
    </row>
    <row r="163" spans="3:74">
      <c r="C163" s="365"/>
      <c r="D163" s="365"/>
      <c r="E163" s="365"/>
      <c r="F163" s="365"/>
      <c r="G163" s="365"/>
      <c r="H163" s="365"/>
      <c r="I163" s="365"/>
      <c r="J163" s="365"/>
      <c r="K163" s="365"/>
      <c r="L163" s="365"/>
      <c r="M163" s="365"/>
      <c r="N163" s="365"/>
      <c r="O163" s="365"/>
      <c r="P163" s="365"/>
      <c r="Q163" s="365"/>
      <c r="R163" s="365"/>
      <c r="S163" s="365"/>
      <c r="T163" s="365"/>
      <c r="U163" s="365"/>
      <c r="V163" s="365"/>
      <c r="W163" s="365"/>
      <c r="X163" s="365"/>
      <c r="Y163" s="365"/>
      <c r="Z163" s="365"/>
      <c r="AA163" s="365"/>
      <c r="AB163" s="365"/>
      <c r="AC163" s="365"/>
      <c r="AD163" s="365"/>
      <c r="AE163" s="365"/>
      <c r="AF163" s="365"/>
      <c r="AG163" s="365"/>
      <c r="AH163" s="365"/>
      <c r="AI163" s="365"/>
      <c r="BO163" s="365"/>
      <c r="BP163" s="365"/>
      <c r="BQ163" s="365"/>
      <c r="BR163" s="365"/>
      <c r="BS163" s="365"/>
      <c r="BT163" s="365"/>
      <c r="BU163" s="365"/>
      <c r="BV163" s="365"/>
    </row>
    <row r="164" spans="3:74">
      <c r="C164" s="365"/>
      <c r="D164" s="365"/>
      <c r="E164" s="365"/>
      <c r="F164" s="365"/>
      <c r="G164" s="365"/>
      <c r="H164" s="365"/>
      <c r="I164" s="365"/>
      <c r="J164" s="365"/>
      <c r="K164" s="365"/>
      <c r="L164" s="365"/>
      <c r="M164" s="365"/>
      <c r="N164" s="365"/>
      <c r="O164" s="365"/>
      <c r="P164" s="365"/>
      <c r="Q164" s="365"/>
      <c r="R164" s="365"/>
      <c r="S164" s="365"/>
      <c r="T164" s="365"/>
      <c r="U164" s="365"/>
      <c r="V164" s="365"/>
      <c r="W164" s="365"/>
      <c r="X164" s="365"/>
      <c r="Y164" s="365"/>
      <c r="Z164" s="365"/>
      <c r="AA164" s="365"/>
      <c r="AB164" s="365"/>
      <c r="AC164" s="365"/>
      <c r="AD164" s="365"/>
      <c r="AE164" s="365"/>
      <c r="AF164" s="365"/>
      <c r="AG164" s="365"/>
      <c r="AH164" s="365"/>
      <c r="AI164" s="365"/>
      <c r="BO164" s="365"/>
      <c r="BP164" s="365"/>
      <c r="BQ164" s="365"/>
      <c r="BR164" s="365"/>
      <c r="BS164" s="365"/>
      <c r="BT164" s="365"/>
      <c r="BU164" s="365"/>
      <c r="BV164" s="365"/>
    </row>
    <row r="165" spans="3:74"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365"/>
      <c r="AG165" s="365"/>
      <c r="AH165" s="365"/>
      <c r="AI165" s="365"/>
      <c r="BO165" s="365"/>
      <c r="BP165" s="365"/>
      <c r="BQ165" s="365"/>
      <c r="BR165" s="365"/>
      <c r="BS165" s="365"/>
      <c r="BT165" s="365"/>
      <c r="BU165" s="365"/>
      <c r="BV165" s="365"/>
    </row>
    <row r="166" spans="3:74">
      <c r="C166" s="365"/>
      <c r="D166" s="365"/>
      <c r="E166" s="365"/>
      <c r="F166" s="365"/>
      <c r="G166" s="365"/>
      <c r="H166" s="365"/>
      <c r="I166" s="365"/>
      <c r="J166" s="365"/>
      <c r="K166" s="365"/>
      <c r="L166" s="365"/>
      <c r="M166" s="365"/>
      <c r="N166" s="365"/>
      <c r="O166" s="365"/>
      <c r="P166" s="365"/>
      <c r="Q166" s="365"/>
      <c r="R166" s="365"/>
      <c r="S166" s="365"/>
      <c r="T166" s="365"/>
      <c r="U166" s="365"/>
      <c r="V166" s="365"/>
      <c r="W166" s="365"/>
      <c r="X166" s="365"/>
      <c r="Y166" s="365"/>
      <c r="Z166" s="365"/>
      <c r="AA166" s="365"/>
      <c r="AB166" s="365"/>
      <c r="AC166" s="365"/>
      <c r="AD166" s="365"/>
      <c r="AE166" s="365"/>
      <c r="AF166" s="365"/>
      <c r="AG166" s="365"/>
      <c r="AH166" s="365"/>
      <c r="AI166" s="365"/>
      <c r="BO166" s="365"/>
      <c r="BP166" s="365"/>
      <c r="BQ166" s="365"/>
      <c r="BR166" s="365"/>
      <c r="BS166" s="365"/>
      <c r="BT166" s="365"/>
      <c r="BU166" s="365"/>
      <c r="BV166" s="365"/>
    </row>
    <row r="167" spans="3:74">
      <c r="C167" s="365"/>
      <c r="D167" s="365"/>
      <c r="E167" s="365"/>
      <c r="F167" s="365"/>
      <c r="G167" s="365"/>
      <c r="H167" s="365"/>
      <c r="I167" s="365"/>
      <c r="J167" s="365"/>
      <c r="K167" s="365"/>
      <c r="L167" s="365"/>
      <c r="M167" s="365"/>
      <c r="N167" s="365"/>
      <c r="O167" s="365"/>
      <c r="P167" s="365"/>
      <c r="Q167" s="365"/>
      <c r="R167" s="365"/>
      <c r="S167" s="365"/>
      <c r="T167" s="365"/>
      <c r="U167" s="365"/>
      <c r="V167" s="365"/>
      <c r="W167" s="365"/>
      <c r="X167" s="365"/>
      <c r="Y167" s="365"/>
      <c r="Z167" s="365"/>
      <c r="AA167" s="365"/>
      <c r="AB167" s="365"/>
      <c r="AC167" s="365"/>
      <c r="AD167" s="365"/>
      <c r="AE167" s="365"/>
      <c r="AF167" s="365"/>
      <c r="AG167" s="365"/>
      <c r="AH167" s="365"/>
      <c r="AI167" s="365"/>
      <c r="BO167" s="365"/>
      <c r="BP167" s="365"/>
      <c r="BQ167" s="365"/>
      <c r="BR167" s="365"/>
      <c r="BS167" s="365"/>
      <c r="BT167" s="365"/>
      <c r="BU167" s="365"/>
      <c r="BV167" s="365"/>
    </row>
    <row r="168" spans="3:74">
      <c r="D168" s="365"/>
      <c r="E168" s="365"/>
      <c r="F168" s="365"/>
      <c r="G168" s="365"/>
      <c r="H168" s="365"/>
      <c r="I168" s="365"/>
      <c r="L168" s="365"/>
      <c r="N168" s="365"/>
      <c r="O168" s="365"/>
      <c r="Q168" s="365"/>
      <c r="R168" s="365"/>
      <c r="V168" s="365"/>
      <c r="Y168" s="365"/>
      <c r="AD168" s="365"/>
      <c r="AE168" s="365"/>
      <c r="AF168" s="365"/>
      <c r="AG168" s="365"/>
      <c r="AH168" s="365"/>
      <c r="AI168" s="365"/>
      <c r="BO168" s="365"/>
      <c r="BP168" s="365"/>
      <c r="BQ168" s="365"/>
      <c r="BR168" s="365"/>
      <c r="BS168" s="365"/>
      <c r="BT168" s="365"/>
      <c r="BU168" s="365"/>
      <c r="BV168" s="365"/>
    </row>
    <row r="169" spans="3:74">
      <c r="BO169" s="365"/>
      <c r="BP169" s="365"/>
      <c r="BQ169" s="365"/>
      <c r="BR169" s="365"/>
      <c r="BS169" s="365"/>
      <c r="BT169" s="365"/>
      <c r="BU169" s="365"/>
      <c r="BV169" s="365"/>
    </row>
    <row r="170" spans="3:74">
      <c r="D170" s="365"/>
      <c r="F170" s="365"/>
      <c r="G170" s="365"/>
      <c r="H170" s="365"/>
      <c r="I170" s="365"/>
      <c r="J170" s="365"/>
      <c r="K170" s="365"/>
      <c r="L170" s="365"/>
      <c r="M170" s="365"/>
      <c r="N170" s="365"/>
      <c r="O170" s="365"/>
      <c r="P170" s="365"/>
      <c r="Q170" s="365"/>
      <c r="R170" s="365"/>
      <c r="T170" s="365"/>
      <c r="V170" s="365"/>
      <c r="Y170" s="365"/>
      <c r="Z170" s="365"/>
      <c r="AD170" s="365"/>
      <c r="AG170" s="365"/>
      <c r="AH170" s="365"/>
      <c r="BO170" s="365"/>
      <c r="BP170" s="365"/>
      <c r="BQ170" s="365"/>
      <c r="BR170" s="365"/>
      <c r="BS170" s="365"/>
      <c r="BT170" s="365"/>
      <c r="BU170" s="365"/>
      <c r="BV170" s="365"/>
    </row>
    <row r="171" spans="3:74">
      <c r="C171" s="365"/>
      <c r="D171" s="365"/>
      <c r="E171" s="365"/>
      <c r="F171" s="365"/>
      <c r="G171" s="365"/>
      <c r="K171" s="365"/>
      <c r="L171" s="365"/>
      <c r="M171" s="365"/>
      <c r="N171" s="365"/>
      <c r="R171" s="365"/>
      <c r="V171" s="365"/>
      <c r="W171" s="365"/>
      <c r="Y171" s="365"/>
      <c r="AA171" s="365"/>
      <c r="AB171" s="365"/>
      <c r="AC171" s="365"/>
      <c r="AD171" s="365"/>
      <c r="AF171" s="365"/>
      <c r="AG171" s="365"/>
      <c r="BO171" s="365"/>
      <c r="BP171" s="365"/>
      <c r="BQ171" s="365"/>
      <c r="BR171" s="365"/>
      <c r="BS171" s="365"/>
      <c r="BT171" s="365"/>
      <c r="BU171" s="365"/>
      <c r="BV171" s="365"/>
    </row>
    <row r="172" spans="3:74">
      <c r="C172" s="365"/>
      <c r="D172" s="365"/>
      <c r="E172" s="365"/>
      <c r="F172" s="365"/>
      <c r="G172" s="365"/>
      <c r="H172" s="365"/>
      <c r="I172" s="365"/>
      <c r="J172" s="365"/>
      <c r="K172" s="365"/>
      <c r="L172" s="365"/>
      <c r="M172" s="365"/>
      <c r="N172" s="365"/>
      <c r="O172" s="365"/>
      <c r="P172" s="365"/>
      <c r="Q172" s="365"/>
      <c r="R172" s="365"/>
      <c r="S172" s="365"/>
      <c r="T172" s="365"/>
      <c r="U172" s="365"/>
      <c r="V172" s="365"/>
      <c r="W172" s="365"/>
      <c r="X172" s="365"/>
      <c r="Y172" s="365"/>
      <c r="Z172" s="365"/>
      <c r="AA172" s="365"/>
      <c r="AB172" s="365"/>
      <c r="AC172" s="365"/>
      <c r="AD172" s="365"/>
      <c r="AE172" s="365"/>
      <c r="AF172" s="365"/>
      <c r="AG172" s="365"/>
      <c r="AH172" s="365"/>
      <c r="AI172" s="365"/>
      <c r="BO172" s="365"/>
      <c r="BP172" s="365"/>
      <c r="BQ172" s="365"/>
      <c r="BR172" s="365"/>
      <c r="BS172" s="365"/>
      <c r="BT172" s="365"/>
      <c r="BU172" s="365"/>
      <c r="BV172" s="365"/>
    </row>
    <row r="173" spans="3:74">
      <c r="C173" s="365"/>
      <c r="D173" s="365"/>
      <c r="E173" s="365"/>
      <c r="F173" s="365"/>
      <c r="G173" s="365"/>
      <c r="H173" s="365"/>
      <c r="I173" s="365"/>
      <c r="J173" s="365"/>
      <c r="K173" s="365"/>
      <c r="L173" s="365"/>
      <c r="M173" s="365"/>
      <c r="N173" s="365"/>
      <c r="O173" s="365"/>
      <c r="P173" s="365"/>
      <c r="Q173" s="365"/>
      <c r="R173" s="365"/>
      <c r="S173" s="365"/>
      <c r="T173" s="365"/>
      <c r="U173" s="365"/>
      <c r="V173" s="365"/>
      <c r="W173" s="365"/>
      <c r="X173" s="365"/>
      <c r="Y173" s="365"/>
      <c r="Z173" s="365"/>
      <c r="AA173" s="365"/>
      <c r="AB173" s="365"/>
      <c r="AC173" s="365"/>
      <c r="AD173" s="365"/>
      <c r="AE173" s="365"/>
      <c r="AF173" s="365"/>
      <c r="AG173" s="365"/>
      <c r="AH173" s="365"/>
      <c r="AI173" s="365"/>
      <c r="BO173" s="365"/>
      <c r="BP173" s="365"/>
      <c r="BQ173" s="365"/>
      <c r="BR173" s="365"/>
      <c r="BS173" s="365"/>
      <c r="BT173" s="365"/>
      <c r="BU173" s="365"/>
      <c r="BV173" s="365"/>
    </row>
    <row r="174" spans="3:74">
      <c r="AE174" s="365"/>
      <c r="AH174" s="365"/>
      <c r="BO174" s="365"/>
      <c r="BP174" s="365"/>
      <c r="BQ174" s="365"/>
      <c r="BR174" s="365"/>
      <c r="BS174" s="365"/>
      <c r="BT174" s="365"/>
      <c r="BU174" s="365"/>
      <c r="BV174" s="365"/>
    </row>
    <row r="175" spans="3:74">
      <c r="C175" s="365"/>
      <c r="D175" s="365"/>
      <c r="E175" s="365"/>
      <c r="F175" s="365"/>
      <c r="G175" s="365"/>
      <c r="H175" s="365"/>
      <c r="I175" s="365"/>
      <c r="J175" s="365"/>
      <c r="K175" s="365"/>
      <c r="L175" s="365"/>
      <c r="M175" s="365"/>
      <c r="N175" s="365"/>
      <c r="O175" s="365"/>
      <c r="P175" s="365"/>
      <c r="Q175" s="365"/>
      <c r="R175" s="365"/>
      <c r="S175" s="365"/>
      <c r="T175" s="365"/>
      <c r="U175" s="365"/>
      <c r="V175" s="365"/>
      <c r="W175" s="365"/>
      <c r="X175" s="365"/>
      <c r="Y175" s="365"/>
      <c r="Z175" s="365"/>
      <c r="AA175" s="365"/>
      <c r="AB175" s="365"/>
      <c r="AC175" s="365"/>
      <c r="AD175" s="365"/>
      <c r="AE175" s="365"/>
      <c r="AF175" s="365"/>
      <c r="AG175" s="365"/>
      <c r="AH175" s="365"/>
      <c r="AI175" s="365"/>
      <c r="BO175" s="365"/>
      <c r="BP175" s="365"/>
      <c r="BQ175" s="365"/>
      <c r="BR175" s="365"/>
      <c r="BS175" s="365"/>
      <c r="BT175" s="365"/>
      <c r="BU175" s="365"/>
      <c r="BV175" s="365"/>
    </row>
    <row r="176" spans="3:74">
      <c r="C176" s="365"/>
      <c r="D176" s="365"/>
      <c r="E176" s="365"/>
      <c r="F176" s="365"/>
      <c r="G176" s="365"/>
      <c r="H176" s="365"/>
      <c r="I176" s="365"/>
      <c r="J176" s="365"/>
      <c r="K176" s="365"/>
      <c r="L176" s="365"/>
      <c r="M176" s="365"/>
      <c r="N176" s="365"/>
      <c r="O176" s="365"/>
      <c r="P176" s="365"/>
      <c r="Q176" s="365"/>
      <c r="R176" s="365"/>
      <c r="S176" s="365"/>
      <c r="T176" s="365"/>
      <c r="U176" s="365"/>
      <c r="V176" s="365"/>
      <c r="W176" s="365"/>
      <c r="X176" s="365"/>
      <c r="Y176" s="365"/>
      <c r="Z176" s="365"/>
      <c r="AA176" s="365"/>
      <c r="AB176" s="365"/>
      <c r="AC176" s="365"/>
      <c r="AD176" s="365"/>
      <c r="AE176" s="365"/>
      <c r="AF176" s="365"/>
      <c r="AG176" s="365"/>
      <c r="AH176" s="365"/>
      <c r="AI176" s="365"/>
      <c r="BO176" s="365"/>
      <c r="BP176" s="365"/>
      <c r="BQ176" s="365"/>
      <c r="BR176" s="365"/>
      <c r="BS176" s="365"/>
      <c r="BT176" s="365"/>
      <c r="BU176" s="365"/>
      <c r="BV176" s="365"/>
    </row>
    <row r="177" spans="3:74">
      <c r="C177" s="365"/>
      <c r="D177" s="365"/>
      <c r="E177" s="365"/>
      <c r="F177" s="365"/>
      <c r="G177" s="365"/>
      <c r="H177" s="365"/>
      <c r="I177" s="365"/>
      <c r="J177" s="365"/>
      <c r="K177" s="365"/>
      <c r="L177" s="365"/>
      <c r="M177" s="365"/>
      <c r="N177" s="365"/>
      <c r="O177" s="365"/>
      <c r="P177" s="365"/>
      <c r="Q177" s="365"/>
      <c r="R177" s="365"/>
      <c r="S177" s="365"/>
      <c r="U177" s="365"/>
      <c r="V177" s="365"/>
      <c r="W177" s="365"/>
      <c r="X177" s="365"/>
      <c r="Y177" s="365"/>
      <c r="Z177" s="365"/>
      <c r="AA177" s="365"/>
      <c r="AB177" s="365"/>
      <c r="AC177" s="365"/>
      <c r="AD177" s="365"/>
      <c r="AE177" s="365"/>
      <c r="AF177" s="365"/>
      <c r="AG177" s="365"/>
      <c r="AH177" s="365"/>
      <c r="AI177" s="365"/>
      <c r="BO177" s="365"/>
      <c r="BP177" s="365"/>
      <c r="BQ177" s="365"/>
      <c r="BR177" s="365"/>
      <c r="BS177" s="365"/>
      <c r="BT177" s="365"/>
      <c r="BU177" s="365"/>
      <c r="BV177" s="365"/>
    </row>
    <row r="178" spans="3:74">
      <c r="C178" s="365"/>
      <c r="D178" s="365"/>
      <c r="E178" s="365"/>
      <c r="F178" s="365"/>
      <c r="G178" s="365"/>
      <c r="H178" s="365"/>
      <c r="I178" s="365"/>
      <c r="J178" s="365"/>
      <c r="K178" s="365"/>
      <c r="L178" s="365"/>
      <c r="M178" s="365"/>
      <c r="N178" s="365"/>
      <c r="O178" s="365"/>
      <c r="P178" s="365"/>
      <c r="Q178" s="365"/>
      <c r="R178" s="365"/>
      <c r="S178" s="365"/>
      <c r="T178" s="365"/>
      <c r="U178" s="365"/>
      <c r="V178" s="365"/>
      <c r="W178" s="365"/>
      <c r="X178" s="365"/>
      <c r="Y178" s="365"/>
      <c r="Z178" s="365"/>
      <c r="AA178" s="365"/>
      <c r="AB178" s="365"/>
      <c r="AC178" s="365"/>
      <c r="AD178" s="365"/>
      <c r="AE178" s="365"/>
      <c r="AF178" s="365"/>
      <c r="AG178" s="365"/>
      <c r="AH178" s="365"/>
      <c r="AI178" s="365"/>
      <c r="BO178" s="365"/>
      <c r="BP178" s="365"/>
      <c r="BQ178" s="365"/>
      <c r="BR178" s="365"/>
      <c r="BS178" s="365"/>
      <c r="BT178" s="365"/>
      <c r="BU178" s="365"/>
      <c r="BV178" s="365"/>
    </row>
    <row r="179" spans="3:74">
      <c r="BO179" s="365"/>
      <c r="BP179" s="365"/>
      <c r="BQ179" s="365"/>
      <c r="BR179" s="365"/>
      <c r="BS179" s="365"/>
      <c r="BT179" s="365"/>
      <c r="BU179" s="365"/>
      <c r="BV179" s="365"/>
    </row>
    <row r="180" spans="3:74">
      <c r="C180" s="365"/>
      <c r="D180" s="365"/>
      <c r="E180" s="365"/>
      <c r="F180" s="365"/>
      <c r="G180" s="365"/>
      <c r="H180" s="365"/>
      <c r="I180" s="365"/>
      <c r="J180" s="365"/>
      <c r="L180" s="365"/>
      <c r="M180" s="365"/>
      <c r="N180" s="365"/>
      <c r="Q180" s="365"/>
      <c r="R180" s="365"/>
      <c r="T180" s="365"/>
      <c r="U180" s="365"/>
      <c r="V180" s="365"/>
      <c r="BO180" s="365"/>
      <c r="BP180" s="365"/>
      <c r="BQ180" s="365"/>
      <c r="BR180" s="365"/>
      <c r="BS180" s="365"/>
      <c r="BT180" s="365"/>
      <c r="BU180" s="365"/>
      <c r="BV180" s="365"/>
    </row>
    <row r="181" spans="3:74">
      <c r="BO181" s="365"/>
      <c r="BP181" s="365"/>
      <c r="BQ181" s="365"/>
      <c r="BR181" s="365"/>
      <c r="BS181" s="365"/>
      <c r="BT181" s="365"/>
      <c r="BU181" s="365"/>
      <c r="BV181" s="365"/>
    </row>
    <row r="182" spans="3:74">
      <c r="F182" s="365"/>
      <c r="J182" s="365"/>
      <c r="L182" s="365"/>
      <c r="BO182" s="365"/>
      <c r="BP182" s="365"/>
      <c r="BQ182" s="365"/>
      <c r="BR182" s="365"/>
      <c r="BS182" s="365"/>
      <c r="BT182" s="365"/>
      <c r="BU182" s="365"/>
      <c r="BV182" s="365"/>
    </row>
    <row r="183" spans="3:74">
      <c r="BO183" s="365"/>
      <c r="BP183" s="365"/>
      <c r="BQ183" s="365"/>
      <c r="BR183" s="365"/>
      <c r="BS183" s="365"/>
      <c r="BT183" s="365"/>
      <c r="BU183" s="365"/>
      <c r="BV183" s="365"/>
    </row>
    <row r="184" spans="3:74">
      <c r="E184" s="365"/>
      <c r="Q184" s="365"/>
      <c r="U184" s="365"/>
      <c r="Y184" s="365"/>
      <c r="AC184" s="365"/>
      <c r="AG184" s="365"/>
      <c r="BO184" s="365"/>
      <c r="BP184" s="365"/>
      <c r="BQ184" s="365"/>
      <c r="BR184" s="365"/>
      <c r="BS184" s="365"/>
      <c r="BT184" s="365"/>
      <c r="BU184" s="365"/>
      <c r="BV184" s="365"/>
    </row>
    <row r="185" spans="3:74">
      <c r="BO185" s="365"/>
      <c r="BP185" s="365"/>
      <c r="BQ185" s="365"/>
      <c r="BR185" s="365"/>
      <c r="BS185" s="365"/>
      <c r="BT185" s="365"/>
      <c r="BU185" s="365"/>
      <c r="BV185" s="365"/>
    </row>
    <row r="186" spans="3:74">
      <c r="C186" s="365"/>
      <c r="D186" s="365"/>
      <c r="E186" s="365"/>
      <c r="F186" s="365"/>
      <c r="G186" s="365"/>
      <c r="H186" s="365"/>
      <c r="I186" s="365"/>
      <c r="J186" s="365"/>
      <c r="K186" s="365"/>
      <c r="L186" s="365"/>
      <c r="M186" s="365"/>
      <c r="N186" s="365"/>
      <c r="O186" s="365"/>
      <c r="P186" s="365"/>
      <c r="Q186" s="365"/>
      <c r="R186" s="365"/>
      <c r="S186" s="365"/>
      <c r="T186" s="365"/>
      <c r="U186" s="365"/>
      <c r="V186" s="365"/>
      <c r="W186" s="365"/>
      <c r="X186" s="365"/>
      <c r="Y186" s="365"/>
      <c r="Z186" s="365"/>
      <c r="AA186" s="365"/>
      <c r="AB186" s="365"/>
      <c r="AC186" s="365"/>
      <c r="AD186" s="365"/>
      <c r="AE186" s="365"/>
      <c r="AF186" s="365"/>
      <c r="AG186" s="365"/>
      <c r="AH186" s="365"/>
      <c r="AI186" s="365"/>
      <c r="BO186" s="365"/>
      <c r="BP186" s="365"/>
      <c r="BQ186" s="365"/>
      <c r="BR186" s="365"/>
      <c r="BS186" s="365"/>
      <c r="BT186" s="365"/>
      <c r="BU186" s="365"/>
      <c r="BV186" s="365"/>
    </row>
    <row r="187" spans="3:74">
      <c r="C187" s="365"/>
      <c r="D187" s="365"/>
      <c r="E187" s="365"/>
      <c r="F187" s="365"/>
      <c r="G187" s="365"/>
      <c r="H187" s="365"/>
      <c r="I187" s="365"/>
      <c r="J187" s="365"/>
      <c r="K187" s="365"/>
      <c r="L187" s="365"/>
      <c r="M187" s="365"/>
      <c r="N187" s="365"/>
      <c r="O187" s="365"/>
      <c r="P187" s="365"/>
      <c r="Q187" s="365"/>
      <c r="R187" s="365"/>
      <c r="S187" s="365"/>
      <c r="T187" s="365"/>
      <c r="U187" s="365"/>
      <c r="V187" s="365"/>
      <c r="W187" s="365"/>
      <c r="X187" s="365"/>
      <c r="Y187" s="365"/>
      <c r="Z187" s="365"/>
      <c r="AA187" s="365"/>
      <c r="AB187" s="365"/>
      <c r="AC187" s="365"/>
      <c r="AD187" s="365"/>
      <c r="AE187" s="365"/>
      <c r="AF187" s="365"/>
      <c r="AG187" s="365"/>
      <c r="AH187" s="365"/>
      <c r="AI187" s="365"/>
      <c r="BO187" s="365"/>
      <c r="BP187" s="365"/>
      <c r="BQ187" s="365"/>
      <c r="BR187" s="365"/>
      <c r="BS187" s="365"/>
      <c r="BT187" s="365"/>
      <c r="BU187" s="365"/>
      <c r="BV187" s="365"/>
    </row>
    <row r="188" spans="3:74">
      <c r="C188" s="365"/>
      <c r="D188" s="365"/>
      <c r="E188" s="365"/>
      <c r="F188" s="365"/>
      <c r="G188" s="365"/>
      <c r="H188" s="365"/>
      <c r="I188" s="365"/>
      <c r="J188" s="365"/>
      <c r="K188" s="365"/>
      <c r="L188" s="365"/>
      <c r="M188" s="365"/>
      <c r="N188" s="365"/>
      <c r="O188" s="365"/>
      <c r="P188" s="365"/>
      <c r="Q188" s="365"/>
      <c r="R188" s="365"/>
      <c r="S188" s="365"/>
      <c r="T188" s="365"/>
      <c r="U188" s="365"/>
      <c r="V188" s="365"/>
      <c r="W188" s="365"/>
      <c r="X188" s="365"/>
      <c r="Y188" s="365"/>
      <c r="Z188" s="365"/>
      <c r="AA188" s="365"/>
      <c r="AB188" s="365"/>
      <c r="AC188" s="365"/>
      <c r="AD188" s="365"/>
      <c r="AE188" s="365"/>
      <c r="AF188" s="365"/>
      <c r="AG188" s="365"/>
      <c r="AH188" s="365"/>
      <c r="AI188" s="365"/>
      <c r="BO188" s="365"/>
      <c r="BP188" s="365"/>
      <c r="BQ188" s="365"/>
      <c r="BR188" s="365"/>
      <c r="BS188" s="365"/>
      <c r="BT188" s="365"/>
      <c r="BU188" s="365"/>
      <c r="BV188" s="365"/>
    </row>
    <row r="189" spans="3:74">
      <c r="C189" s="365"/>
      <c r="D189" s="365"/>
      <c r="E189" s="365"/>
      <c r="F189" s="365"/>
      <c r="G189" s="365"/>
      <c r="H189" s="365"/>
      <c r="I189" s="365"/>
      <c r="J189" s="365"/>
      <c r="K189" s="365"/>
      <c r="L189" s="365"/>
      <c r="M189" s="365"/>
      <c r="N189" s="365"/>
      <c r="O189" s="365"/>
      <c r="P189" s="365"/>
      <c r="Q189" s="365"/>
      <c r="R189" s="365"/>
      <c r="S189" s="365"/>
      <c r="T189" s="365"/>
      <c r="U189" s="365"/>
      <c r="V189" s="365"/>
      <c r="W189" s="365"/>
      <c r="X189" s="365"/>
      <c r="Y189" s="365"/>
      <c r="Z189" s="365"/>
      <c r="AA189" s="365"/>
      <c r="AB189" s="365"/>
      <c r="AC189" s="365"/>
      <c r="AD189" s="365"/>
      <c r="AE189" s="365"/>
      <c r="AF189" s="365"/>
      <c r="AG189" s="365"/>
      <c r="AH189" s="365"/>
      <c r="AI189" s="365"/>
      <c r="BO189" s="365"/>
      <c r="BP189" s="365"/>
      <c r="BQ189" s="365"/>
      <c r="BR189" s="365"/>
      <c r="BS189" s="365"/>
      <c r="BT189" s="365"/>
      <c r="BU189" s="365"/>
      <c r="BV189" s="365"/>
    </row>
    <row r="190" spans="3:74">
      <c r="C190" s="365"/>
      <c r="D190" s="365"/>
      <c r="E190" s="365"/>
      <c r="F190" s="365"/>
      <c r="G190" s="365"/>
      <c r="H190" s="365"/>
      <c r="I190" s="365"/>
      <c r="J190" s="365"/>
      <c r="K190" s="365"/>
      <c r="L190" s="365"/>
      <c r="M190" s="365"/>
      <c r="N190" s="365"/>
      <c r="O190" s="365"/>
      <c r="P190" s="365"/>
      <c r="Q190" s="365"/>
      <c r="R190" s="365"/>
      <c r="S190" s="365"/>
      <c r="T190" s="365"/>
      <c r="U190" s="365"/>
      <c r="V190" s="365"/>
      <c r="W190" s="365"/>
      <c r="X190" s="365"/>
      <c r="Y190" s="365"/>
      <c r="Z190" s="365"/>
      <c r="AA190" s="365"/>
      <c r="AB190" s="365"/>
      <c r="AC190" s="365"/>
      <c r="AD190" s="365"/>
      <c r="AE190" s="365"/>
      <c r="AF190" s="365"/>
      <c r="AG190" s="365"/>
      <c r="AH190" s="365"/>
      <c r="AI190" s="365"/>
    </row>
    <row r="191" spans="3:74">
      <c r="F191" s="365"/>
      <c r="G191" s="365"/>
      <c r="J191" s="365"/>
    </row>
    <row r="192" spans="3:74">
      <c r="C192" s="365"/>
      <c r="D192" s="365"/>
      <c r="E192" s="365"/>
      <c r="F192" s="365"/>
      <c r="G192" s="365"/>
      <c r="H192" s="365"/>
      <c r="I192" s="365"/>
      <c r="J192" s="365"/>
      <c r="K192" s="365"/>
      <c r="L192" s="365"/>
      <c r="M192" s="365"/>
      <c r="N192" s="365"/>
      <c r="O192" s="365"/>
      <c r="P192" s="365"/>
      <c r="Q192" s="365"/>
      <c r="R192" s="365"/>
      <c r="S192" s="365"/>
      <c r="T192" s="365"/>
      <c r="U192" s="365"/>
      <c r="V192" s="365"/>
      <c r="W192" s="365"/>
      <c r="X192" s="365"/>
      <c r="Y192" s="365"/>
      <c r="Z192" s="365"/>
      <c r="AA192" s="365"/>
      <c r="AB192" s="365"/>
      <c r="AC192" s="365"/>
      <c r="AD192" s="365"/>
      <c r="AE192" s="365"/>
      <c r="AF192" s="365"/>
      <c r="AG192" s="365"/>
      <c r="AH192" s="365"/>
      <c r="AI192" s="365"/>
    </row>
    <row r="193" spans="3:35">
      <c r="C193" s="365"/>
      <c r="D193" s="365"/>
      <c r="E193" s="365"/>
      <c r="F193" s="365"/>
      <c r="G193" s="365"/>
      <c r="H193" s="365"/>
      <c r="I193" s="365"/>
      <c r="J193" s="365"/>
      <c r="K193" s="365"/>
      <c r="L193" s="365"/>
      <c r="M193" s="365"/>
      <c r="N193" s="365"/>
      <c r="O193" s="365"/>
      <c r="P193" s="365"/>
      <c r="Q193" s="365"/>
      <c r="R193" s="365"/>
      <c r="S193" s="365"/>
      <c r="T193" s="365"/>
      <c r="U193" s="365"/>
      <c r="V193" s="365"/>
      <c r="W193" s="365"/>
      <c r="X193" s="365"/>
      <c r="Y193" s="365"/>
      <c r="Z193" s="365"/>
      <c r="AA193" s="365"/>
      <c r="AB193" s="365"/>
      <c r="AC193" s="365"/>
      <c r="AD193" s="365"/>
      <c r="AE193" s="365"/>
      <c r="AF193" s="365"/>
      <c r="AG193" s="365"/>
      <c r="AH193" s="365"/>
      <c r="AI193" s="365"/>
    </row>
    <row r="194" spans="3:35">
      <c r="C194" s="365"/>
      <c r="D194" s="365"/>
      <c r="E194" s="365"/>
      <c r="F194" s="365"/>
      <c r="G194" s="365"/>
      <c r="H194" s="365"/>
      <c r="I194" s="365"/>
      <c r="J194" s="365"/>
    </row>
    <row r="195" spans="3:35">
      <c r="C195" s="365"/>
      <c r="D195" s="365"/>
      <c r="E195" s="365"/>
      <c r="F195" s="365"/>
      <c r="G195" s="365"/>
      <c r="H195" s="365"/>
      <c r="I195" s="365"/>
      <c r="J195" s="365"/>
      <c r="K195" s="365"/>
      <c r="L195" s="365"/>
      <c r="M195" s="365"/>
      <c r="N195" s="365"/>
      <c r="O195" s="365"/>
      <c r="P195" s="365"/>
      <c r="Q195" s="365"/>
      <c r="R195" s="365"/>
      <c r="S195" s="365"/>
      <c r="T195" s="365"/>
      <c r="U195" s="365"/>
      <c r="V195" s="365"/>
      <c r="W195" s="365"/>
      <c r="X195" s="365"/>
      <c r="Y195" s="365"/>
      <c r="Z195" s="365"/>
      <c r="AA195" s="365"/>
      <c r="AB195" s="365"/>
      <c r="AC195" s="365"/>
      <c r="AD195" s="365"/>
      <c r="AE195" s="365"/>
      <c r="AF195" s="365"/>
      <c r="AG195" s="365"/>
      <c r="AH195" s="365"/>
      <c r="AI195" s="365"/>
    </row>
    <row r="198" spans="3:35">
      <c r="C198" s="365"/>
      <c r="D198" s="365"/>
      <c r="E198" s="365"/>
      <c r="F198" s="365"/>
      <c r="G198" s="365"/>
      <c r="H198" s="365"/>
      <c r="I198" s="365"/>
      <c r="J198" s="365"/>
      <c r="K198" s="365"/>
      <c r="L198" s="365"/>
      <c r="M198" s="365"/>
      <c r="N198" s="365"/>
      <c r="O198" s="365"/>
      <c r="P198" s="365"/>
      <c r="Q198" s="365"/>
      <c r="R198" s="365"/>
      <c r="S198" s="365"/>
      <c r="T198" s="365"/>
      <c r="U198" s="365"/>
      <c r="V198" s="365"/>
      <c r="W198" s="365"/>
      <c r="X198" s="365"/>
      <c r="Y198" s="365"/>
      <c r="Z198" s="365"/>
      <c r="AA198" s="365"/>
      <c r="AB198" s="365"/>
      <c r="AC198" s="365"/>
      <c r="AD198" s="365"/>
      <c r="AE198" s="365"/>
      <c r="AF198" s="365"/>
      <c r="AG198" s="365"/>
      <c r="AH198" s="365"/>
      <c r="AI198" s="365"/>
    </row>
    <row r="204" spans="3:35">
      <c r="C204" s="365"/>
      <c r="D204" s="365"/>
      <c r="E204" s="365"/>
      <c r="F204" s="365"/>
      <c r="G204" s="365"/>
      <c r="H204" s="365"/>
      <c r="I204" s="365"/>
      <c r="J204" s="365"/>
      <c r="K204" s="365"/>
      <c r="L204" s="365"/>
      <c r="M204" s="365"/>
      <c r="N204" s="365"/>
      <c r="O204" s="365"/>
      <c r="P204" s="365"/>
      <c r="Q204" s="365"/>
      <c r="R204" s="365"/>
      <c r="S204" s="365"/>
      <c r="T204" s="365"/>
      <c r="U204" s="365"/>
      <c r="V204" s="365"/>
      <c r="W204" s="365"/>
      <c r="X204" s="365"/>
      <c r="Y204" s="365"/>
      <c r="Z204" s="365"/>
      <c r="AA204" s="365"/>
      <c r="AB204" s="365"/>
      <c r="AC204" s="365"/>
      <c r="AD204" s="365"/>
      <c r="AE204" s="365"/>
      <c r="AF204" s="365"/>
    </row>
    <row r="208" spans="3:35">
      <c r="C208" s="365"/>
      <c r="D208" s="365"/>
      <c r="E208" s="365"/>
      <c r="F208" s="365"/>
      <c r="G208" s="365"/>
      <c r="H208" s="365"/>
      <c r="I208" s="365"/>
      <c r="J208" s="365"/>
      <c r="K208" s="365"/>
      <c r="L208" s="365"/>
      <c r="M208" s="365"/>
      <c r="N208" s="365"/>
      <c r="O208" s="365"/>
      <c r="P208" s="365"/>
      <c r="Q208" s="365"/>
      <c r="R208" s="365"/>
      <c r="S208" s="365"/>
      <c r="T208" s="365"/>
      <c r="U208" s="365"/>
      <c r="V208" s="365"/>
      <c r="W208" s="365"/>
      <c r="X208" s="365"/>
      <c r="Y208" s="365"/>
      <c r="Z208" s="365"/>
      <c r="AA208" s="365"/>
      <c r="AB208" s="365"/>
      <c r="AC208" s="365"/>
      <c r="AD208" s="365"/>
      <c r="AE208" s="365"/>
      <c r="AF208" s="365"/>
      <c r="AG208" s="365"/>
      <c r="AH208" s="365"/>
      <c r="AI208" s="365"/>
    </row>
    <row r="209" spans="3:35">
      <c r="C209" s="365"/>
      <c r="D209" s="365"/>
      <c r="E209" s="365"/>
      <c r="F209" s="365"/>
      <c r="G209" s="365"/>
      <c r="H209" s="365"/>
      <c r="I209" s="365"/>
      <c r="J209" s="365"/>
      <c r="K209" s="365"/>
      <c r="L209" s="365"/>
      <c r="M209" s="365"/>
      <c r="N209" s="365"/>
      <c r="O209" s="365"/>
      <c r="P209" s="365"/>
      <c r="Q209" s="365"/>
      <c r="R209" s="365"/>
      <c r="S209" s="365"/>
      <c r="T209" s="365"/>
      <c r="U209" s="365"/>
      <c r="V209" s="365"/>
      <c r="W209" s="365"/>
      <c r="X209" s="365"/>
      <c r="Y209" s="365"/>
      <c r="Z209" s="365"/>
      <c r="AA209" s="365"/>
      <c r="AB209" s="365"/>
      <c r="AC209" s="365"/>
      <c r="AD209" s="365"/>
      <c r="AE209" s="365"/>
      <c r="AF209" s="365"/>
      <c r="AG209" s="365"/>
      <c r="AH209" s="365"/>
      <c r="AI209" s="365"/>
    </row>
    <row r="210" spans="3:35">
      <c r="C210" s="365"/>
      <c r="D210" s="365"/>
      <c r="E210" s="365"/>
      <c r="F210" s="365"/>
      <c r="G210" s="365"/>
      <c r="H210" s="365"/>
      <c r="I210" s="365"/>
      <c r="J210" s="365"/>
      <c r="K210" s="365"/>
      <c r="L210" s="365"/>
      <c r="M210" s="365"/>
      <c r="N210" s="365"/>
      <c r="O210" s="365"/>
      <c r="P210" s="365"/>
      <c r="Q210" s="365"/>
      <c r="R210" s="365"/>
      <c r="S210" s="365"/>
      <c r="T210" s="365"/>
      <c r="U210" s="365"/>
      <c r="V210" s="365"/>
      <c r="W210" s="365"/>
      <c r="X210" s="365"/>
      <c r="Y210" s="365"/>
      <c r="Z210" s="365"/>
      <c r="AA210" s="365"/>
      <c r="AB210" s="365"/>
      <c r="AC210" s="365"/>
      <c r="AD210" s="365"/>
      <c r="AE210" s="365"/>
      <c r="AF210" s="365"/>
      <c r="AG210" s="365"/>
      <c r="AH210" s="365"/>
      <c r="AI210" s="365"/>
    </row>
    <row r="212" spans="3:35">
      <c r="C212" s="365"/>
      <c r="D212" s="365"/>
      <c r="E212" s="365"/>
      <c r="F212" s="365"/>
      <c r="G212" s="365"/>
      <c r="H212" s="365"/>
      <c r="I212" s="365"/>
      <c r="J212" s="365"/>
    </row>
    <row r="226" spans="11:35">
      <c r="K226" s="365"/>
      <c r="L226" s="365"/>
      <c r="M226" s="365"/>
      <c r="N226" s="365"/>
      <c r="O226" s="365"/>
      <c r="P226" s="365"/>
      <c r="Q226" s="365"/>
      <c r="R226" s="365"/>
      <c r="S226" s="365"/>
      <c r="T226" s="365"/>
      <c r="U226" s="365"/>
      <c r="V226" s="365"/>
      <c r="W226" s="365"/>
      <c r="X226" s="365"/>
      <c r="Y226" s="365"/>
      <c r="Z226" s="365"/>
      <c r="AA226" s="365"/>
      <c r="AB226" s="365"/>
      <c r="AC226" s="365"/>
      <c r="AD226" s="365"/>
      <c r="AE226" s="365"/>
      <c r="AF226" s="365"/>
      <c r="AG226" s="365"/>
      <c r="AH226" s="365"/>
      <c r="AI226" s="365"/>
    </row>
    <row r="228" spans="11:35">
      <c r="K228" s="365"/>
      <c r="L228" s="365"/>
      <c r="M228" s="365"/>
      <c r="N228" s="365"/>
      <c r="O228" s="365"/>
      <c r="P228" s="365"/>
    </row>
    <row r="234" spans="11:35">
      <c r="K234" s="365"/>
      <c r="L234" s="365"/>
      <c r="M234" s="365"/>
      <c r="N234" s="365"/>
      <c r="O234" s="365"/>
      <c r="P234" s="365"/>
      <c r="Q234" s="365"/>
      <c r="R234" s="365"/>
      <c r="S234" s="365"/>
      <c r="T234" s="365"/>
      <c r="U234" s="365"/>
      <c r="V234" s="365"/>
      <c r="W234" s="365"/>
      <c r="X234" s="365"/>
      <c r="Y234" s="365"/>
      <c r="Z234" s="365"/>
      <c r="AA234" s="365"/>
      <c r="AB234" s="365"/>
      <c r="AC234" s="365"/>
      <c r="AD234" s="365"/>
      <c r="AE234" s="365"/>
      <c r="AF234" s="365"/>
      <c r="AG234" s="365"/>
      <c r="AH234" s="365"/>
      <c r="AI234" s="365"/>
    </row>
    <row r="235" spans="11:35">
      <c r="K235" s="365"/>
      <c r="L235" s="365"/>
      <c r="M235" s="365"/>
      <c r="N235" s="365"/>
      <c r="O235" s="365"/>
      <c r="P235" s="365"/>
      <c r="Q235" s="365"/>
      <c r="R235" s="365"/>
      <c r="S235" s="365"/>
      <c r="T235" s="365"/>
      <c r="U235" s="365"/>
      <c r="V235" s="365"/>
      <c r="W235" s="365"/>
      <c r="X235" s="365"/>
      <c r="Y235" s="365"/>
      <c r="Z235" s="365"/>
      <c r="AA235" s="365"/>
      <c r="AB235" s="365"/>
      <c r="AC235" s="365"/>
      <c r="AD235" s="365"/>
      <c r="AE235" s="365"/>
      <c r="AF235" s="365"/>
      <c r="AG235" s="365"/>
      <c r="AH235" s="365"/>
      <c r="AI235" s="365"/>
    </row>
    <row r="236" spans="11:35">
      <c r="K236" s="365"/>
      <c r="L236" s="365"/>
      <c r="M236" s="365"/>
      <c r="N236" s="365"/>
      <c r="O236" s="365"/>
      <c r="P236" s="365"/>
      <c r="Q236" s="365"/>
      <c r="R236" s="365"/>
      <c r="S236" s="365"/>
      <c r="T236" s="365"/>
      <c r="U236" s="365"/>
      <c r="V236" s="365"/>
      <c r="W236" s="365"/>
      <c r="X236" s="365"/>
      <c r="Y236" s="365"/>
      <c r="Z236" s="365"/>
      <c r="AA236" s="365"/>
      <c r="AB236" s="365"/>
      <c r="AC236" s="365"/>
      <c r="AD236" s="365"/>
      <c r="AE236" s="365"/>
      <c r="AF236" s="365"/>
      <c r="AG236" s="365"/>
      <c r="AH236" s="365"/>
      <c r="AI236" s="365"/>
    </row>
    <row r="237" spans="11:35">
      <c r="K237" s="365"/>
      <c r="L237" s="365"/>
      <c r="M237" s="365"/>
      <c r="N237" s="365"/>
      <c r="O237" s="365"/>
      <c r="P237" s="365"/>
      <c r="Q237" s="365"/>
      <c r="R237" s="365"/>
      <c r="S237" s="365"/>
      <c r="T237" s="365"/>
      <c r="U237" s="365"/>
      <c r="V237" s="365"/>
      <c r="W237" s="365"/>
      <c r="X237" s="365"/>
      <c r="Y237" s="365"/>
      <c r="Z237" s="365"/>
      <c r="AA237" s="365"/>
      <c r="AB237" s="365"/>
    </row>
    <row r="241" spans="3:35">
      <c r="C241" s="365"/>
      <c r="D241" s="365"/>
      <c r="E241" s="365"/>
      <c r="F241" s="365"/>
      <c r="G241" s="365"/>
      <c r="H241" s="365"/>
      <c r="I241" s="365"/>
      <c r="J241" s="365"/>
      <c r="K241" s="365"/>
      <c r="L241" s="365"/>
      <c r="M241" s="365"/>
      <c r="N241" s="365"/>
      <c r="O241" s="365"/>
      <c r="P241" s="365"/>
      <c r="Q241" s="365"/>
      <c r="R241" s="365"/>
      <c r="S241" s="365"/>
      <c r="T241" s="365"/>
      <c r="U241" s="365"/>
      <c r="V241" s="365"/>
      <c r="W241" s="365"/>
      <c r="X241" s="365"/>
      <c r="Y241" s="365"/>
      <c r="Z241" s="365"/>
      <c r="AA241" s="365"/>
      <c r="AB241" s="365"/>
      <c r="AC241" s="365"/>
      <c r="AD241" s="365"/>
      <c r="AE241" s="365"/>
      <c r="AF241" s="365"/>
      <c r="AG241" s="365"/>
      <c r="AH241" s="365"/>
      <c r="AI241" s="365"/>
    </row>
    <row r="242" spans="3:35">
      <c r="K242" s="365"/>
      <c r="N242" s="365"/>
      <c r="O242" s="365"/>
      <c r="R242" s="365"/>
    </row>
    <row r="243" spans="3:35">
      <c r="C243" s="365"/>
      <c r="D243" s="365"/>
      <c r="E243" s="365"/>
      <c r="F243" s="365"/>
      <c r="G243" s="365"/>
      <c r="H243" s="365"/>
      <c r="I243" s="365"/>
      <c r="J243" s="365"/>
      <c r="K243" s="365"/>
      <c r="L243" s="365"/>
      <c r="M243" s="365"/>
      <c r="N243" s="365"/>
      <c r="O243" s="365"/>
      <c r="P243" s="365"/>
      <c r="Q243" s="365"/>
      <c r="R243" s="365"/>
      <c r="S243" s="365"/>
      <c r="T243" s="365"/>
      <c r="U243" s="365"/>
      <c r="V243" s="365"/>
      <c r="W243" s="365"/>
      <c r="X243" s="365"/>
      <c r="Y243" s="365"/>
      <c r="Z243" s="365"/>
      <c r="AA243" s="365"/>
      <c r="AB243" s="365"/>
      <c r="AC243" s="365"/>
      <c r="AD243" s="365"/>
      <c r="AE243" s="365"/>
      <c r="AF243" s="365"/>
      <c r="AG243" s="365"/>
      <c r="AH243" s="365"/>
      <c r="AI243" s="365"/>
    </row>
    <row r="244" spans="3:35">
      <c r="K244" s="365"/>
      <c r="N244" s="365"/>
      <c r="O244" s="365"/>
      <c r="R244" s="365"/>
    </row>
    <row r="247" spans="3:35">
      <c r="C247" s="365"/>
      <c r="D247" s="365"/>
      <c r="E247" s="365"/>
      <c r="F247" s="365"/>
      <c r="G247" s="365"/>
      <c r="H247" s="365"/>
      <c r="I247" s="365"/>
      <c r="J247" s="365"/>
      <c r="K247" s="365"/>
      <c r="L247" s="365"/>
      <c r="M247" s="365"/>
      <c r="N247" s="365"/>
      <c r="O247" s="365"/>
      <c r="P247" s="365"/>
      <c r="Q247" s="365"/>
      <c r="R247" s="365"/>
      <c r="S247" s="365"/>
      <c r="T247" s="365"/>
      <c r="U247" s="365"/>
      <c r="V247" s="365"/>
      <c r="W247" s="365"/>
      <c r="X247" s="365"/>
      <c r="Y247" s="365"/>
      <c r="Z247" s="365"/>
      <c r="AA247" s="365"/>
      <c r="AB247" s="365"/>
      <c r="AC247" s="365"/>
      <c r="AD247" s="365"/>
      <c r="AE247" s="365"/>
      <c r="AF247" s="365"/>
      <c r="AG247" s="365"/>
      <c r="AH247" s="365"/>
      <c r="AI247" s="365"/>
    </row>
    <row r="250" spans="3:35">
      <c r="C250" s="365"/>
      <c r="D250" s="365"/>
      <c r="E250" s="365"/>
      <c r="F250" s="365"/>
      <c r="G250" s="365"/>
      <c r="H250" s="365"/>
      <c r="I250" s="365"/>
      <c r="J250" s="365"/>
      <c r="K250" s="365"/>
      <c r="L250" s="365"/>
      <c r="M250" s="365"/>
      <c r="N250" s="365"/>
      <c r="O250" s="365"/>
      <c r="P250" s="365"/>
      <c r="Q250" s="365"/>
      <c r="R250" s="365"/>
      <c r="S250" s="365"/>
      <c r="T250" s="365"/>
      <c r="U250" s="365"/>
      <c r="V250" s="365"/>
      <c r="W250" s="365"/>
      <c r="X250" s="365"/>
      <c r="Y250" s="365"/>
      <c r="Z250" s="365"/>
      <c r="AA250" s="365"/>
      <c r="AB250" s="365"/>
      <c r="AC250" s="365"/>
      <c r="AD250" s="365"/>
      <c r="AE250" s="365"/>
      <c r="AF250" s="365"/>
      <c r="AG250" s="365"/>
      <c r="AH250" s="365"/>
      <c r="AI250" s="365"/>
    </row>
    <row r="251" spans="3:35">
      <c r="C251" s="365"/>
      <c r="D251" s="365"/>
      <c r="E251" s="365"/>
      <c r="F251" s="365"/>
      <c r="G251" s="365"/>
      <c r="H251" s="365"/>
      <c r="I251" s="365"/>
      <c r="J251" s="365"/>
    </row>
    <row r="254" spans="3:35">
      <c r="C254" s="365"/>
      <c r="D254" s="365"/>
      <c r="E254" s="365"/>
      <c r="F254" s="365"/>
      <c r="G254" s="365"/>
      <c r="H254" s="365"/>
      <c r="I254" s="365"/>
      <c r="J254" s="365"/>
    </row>
    <row r="255" spans="3:35">
      <c r="C255" s="365"/>
      <c r="D255" s="365"/>
      <c r="E255" s="365"/>
      <c r="F255" s="365"/>
      <c r="G255" s="365"/>
      <c r="H255" s="365"/>
      <c r="I255" s="365"/>
      <c r="J255" s="365"/>
    </row>
    <row r="260" spans="3:35">
      <c r="K260" s="365"/>
      <c r="L260" s="365"/>
      <c r="M260" s="365"/>
      <c r="N260" s="365"/>
      <c r="P260" s="365"/>
      <c r="Q260" s="365"/>
    </row>
    <row r="262" spans="3:35">
      <c r="C262" s="365"/>
      <c r="D262" s="365"/>
      <c r="E262" s="365"/>
      <c r="F262" s="365"/>
      <c r="G262" s="365"/>
      <c r="H262" s="365"/>
      <c r="I262" s="365"/>
      <c r="J262" s="365"/>
      <c r="K262" s="365"/>
    </row>
    <row r="264" spans="3:35">
      <c r="C264" s="365"/>
      <c r="D264" s="365"/>
      <c r="E264" s="365"/>
      <c r="F264" s="365"/>
      <c r="G264" s="365"/>
      <c r="H264" s="365"/>
      <c r="I264" s="365"/>
      <c r="J264" s="365"/>
      <c r="K264" s="365"/>
      <c r="L264" s="365"/>
      <c r="M264" s="365"/>
      <c r="N264" s="365"/>
      <c r="O264" s="365"/>
      <c r="P264" s="365"/>
      <c r="Q264" s="365"/>
      <c r="R264" s="365"/>
      <c r="S264" s="365"/>
      <c r="T264" s="365"/>
      <c r="U264" s="365"/>
      <c r="V264" s="365"/>
      <c r="W264" s="365"/>
      <c r="X264" s="365"/>
      <c r="Y264" s="365"/>
      <c r="Z264" s="365"/>
      <c r="AA264" s="365"/>
      <c r="AB264" s="365"/>
      <c r="AC264" s="365"/>
      <c r="AD264" s="365"/>
      <c r="AE264" s="365"/>
      <c r="AF264" s="365"/>
      <c r="AG264" s="365"/>
      <c r="AH264" s="365"/>
      <c r="AI264" s="365"/>
    </row>
    <row r="265" spans="3:35">
      <c r="C265" s="365"/>
      <c r="D265" s="365"/>
      <c r="E265" s="365"/>
      <c r="F265" s="365"/>
      <c r="G265" s="365"/>
      <c r="H265" s="365"/>
      <c r="R265" s="365"/>
      <c r="S265" s="365"/>
      <c r="T265" s="365"/>
      <c r="U265" s="365"/>
    </row>
    <row r="266" spans="3:35">
      <c r="C266" s="365"/>
      <c r="D266" s="365"/>
      <c r="E266" s="365"/>
      <c r="F266" s="365"/>
      <c r="G266" s="365"/>
      <c r="H266" s="365"/>
      <c r="I266" s="365"/>
      <c r="J266" s="365"/>
      <c r="K266" s="365"/>
      <c r="L266" s="365"/>
      <c r="M266" s="365"/>
      <c r="N266" s="365"/>
      <c r="O266" s="365"/>
      <c r="P266" s="365"/>
      <c r="Q266" s="365"/>
      <c r="R266" s="365"/>
      <c r="S266" s="365"/>
      <c r="T266" s="365"/>
      <c r="U266" s="365"/>
      <c r="V266" s="365"/>
      <c r="W266" s="365"/>
      <c r="X266" s="365"/>
      <c r="Y266" s="365"/>
      <c r="Z266" s="365"/>
      <c r="AA266" s="365"/>
      <c r="AB266" s="365"/>
      <c r="AC266" s="365"/>
      <c r="AD266" s="365"/>
      <c r="AE266" s="365"/>
      <c r="AF266" s="365"/>
      <c r="AG266" s="365"/>
      <c r="AH266" s="365"/>
      <c r="AI266" s="365"/>
    </row>
    <row r="267" spans="3:35">
      <c r="C267" s="365"/>
      <c r="D267" s="365"/>
      <c r="E267" s="365"/>
      <c r="F267" s="365"/>
      <c r="G267" s="365"/>
      <c r="H267" s="365"/>
      <c r="I267" s="365"/>
      <c r="J267" s="365"/>
      <c r="K267" s="365"/>
      <c r="L267" s="365"/>
      <c r="M267" s="365"/>
      <c r="N267" s="365"/>
      <c r="O267" s="365"/>
      <c r="P267" s="365"/>
      <c r="Q267" s="365"/>
      <c r="R267" s="365"/>
      <c r="S267" s="365"/>
      <c r="T267" s="365"/>
      <c r="U267" s="365"/>
    </row>
    <row r="268" spans="3:35">
      <c r="C268" s="365"/>
      <c r="D268" s="365"/>
      <c r="E268" s="365"/>
      <c r="F268" s="365"/>
      <c r="G268" s="365"/>
      <c r="H268" s="365"/>
    </row>
    <row r="269" spans="3:35">
      <c r="C269" s="365"/>
      <c r="D269" s="365"/>
      <c r="E269" s="365"/>
      <c r="F269" s="365"/>
      <c r="G269" s="365"/>
      <c r="H269" s="365"/>
      <c r="I269" s="365"/>
      <c r="J269" s="365"/>
      <c r="K269" s="365"/>
      <c r="L269" s="365"/>
      <c r="M269" s="365"/>
      <c r="N269" s="365"/>
      <c r="O269" s="365"/>
      <c r="P269" s="365"/>
      <c r="Q269" s="365"/>
      <c r="R269" s="365"/>
      <c r="S269" s="365"/>
      <c r="T269" s="365"/>
      <c r="U269" s="365"/>
    </row>
    <row r="272" spans="3:35">
      <c r="AI272" s="365"/>
    </row>
    <row r="273" spans="3:35">
      <c r="C273" s="365"/>
      <c r="D273" s="365"/>
      <c r="E273" s="365"/>
      <c r="F273" s="365"/>
      <c r="G273" s="365"/>
      <c r="H273" s="365"/>
      <c r="I273" s="365"/>
      <c r="J273" s="365"/>
    </row>
    <row r="285" spans="3:35">
      <c r="C285" s="365"/>
      <c r="D285" s="365"/>
      <c r="E285" s="365"/>
      <c r="F285" s="365"/>
      <c r="G285" s="365"/>
      <c r="H285" s="365"/>
      <c r="I285" s="365"/>
      <c r="J285" s="365"/>
      <c r="K285" s="365"/>
      <c r="L285" s="365"/>
      <c r="M285" s="365"/>
      <c r="N285" s="365"/>
      <c r="O285" s="365"/>
      <c r="P285" s="365"/>
      <c r="Q285" s="365"/>
      <c r="R285" s="365"/>
      <c r="S285" s="365"/>
      <c r="T285" s="365"/>
      <c r="U285" s="365"/>
      <c r="V285" s="365"/>
      <c r="W285" s="365"/>
      <c r="X285" s="365"/>
      <c r="Y285" s="365"/>
      <c r="Z285" s="365"/>
      <c r="AA285" s="365"/>
      <c r="AB285" s="365"/>
      <c r="AC285" s="365"/>
      <c r="AD285" s="365"/>
      <c r="AE285" s="365"/>
      <c r="AF285" s="365"/>
      <c r="AG285" s="365"/>
      <c r="AH285" s="365"/>
      <c r="AI285" s="365"/>
    </row>
    <row r="286" spans="3:35">
      <c r="C286" s="365"/>
      <c r="D286" s="365"/>
      <c r="E286" s="365"/>
      <c r="F286" s="365"/>
      <c r="G286" s="365"/>
      <c r="H286" s="365"/>
      <c r="I286" s="365"/>
      <c r="J286" s="365"/>
      <c r="K286" s="365"/>
      <c r="L286" s="365"/>
      <c r="M286" s="365"/>
      <c r="N286" s="365"/>
      <c r="O286" s="365"/>
      <c r="P286" s="365"/>
      <c r="Q286" s="365"/>
      <c r="R286" s="365"/>
      <c r="S286" s="365"/>
      <c r="T286" s="365"/>
      <c r="U286" s="365"/>
      <c r="V286" s="365"/>
      <c r="W286" s="365"/>
      <c r="X286" s="365"/>
      <c r="Y286" s="365"/>
      <c r="Z286" s="365"/>
      <c r="AA286" s="365"/>
      <c r="AB286" s="365"/>
      <c r="AC286" s="365"/>
      <c r="AD286" s="365"/>
      <c r="AE286" s="365"/>
      <c r="AF286" s="365"/>
      <c r="AG286" s="365"/>
      <c r="AH286" s="365"/>
      <c r="AI286" s="365"/>
    </row>
    <row r="287" spans="3:35">
      <c r="C287" s="365"/>
      <c r="D287" s="365"/>
      <c r="E287" s="365"/>
      <c r="F287" s="365"/>
      <c r="G287" s="365"/>
      <c r="H287" s="365"/>
      <c r="I287" s="365"/>
      <c r="J287" s="365"/>
      <c r="K287" s="365"/>
      <c r="L287" s="365"/>
      <c r="M287" s="365"/>
      <c r="N287" s="365"/>
      <c r="O287" s="365"/>
      <c r="P287" s="365"/>
      <c r="Q287" s="365"/>
      <c r="R287" s="365"/>
      <c r="S287" s="365"/>
      <c r="T287" s="365"/>
      <c r="U287" s="365"/>
      <c r="V287" s="365"/>
      <c r="W287" s="365"/>
      <c r="X287" s="365"/>
      <c r="Y287" s="365"/>
      <c r="Z287" s="365"/>
      <c r="AA287" s="365"/>
      <c r="AB287" s="365"/>
      <c r="AC287" s="365"/>
      <c r="AD287" s="365"/>
      <c r="AE287" s="365"/>
      <c r="AF287" s="365"/>
      <c r="AG287" s="365"/>
      <c r="AH287" s="365"/>
      <c r="AI287" s="365"/>
    </row>
    <row r="290" spans="3:35">
      <c r="C290" s="365"/>
      <c r="D290" s="365"/>
      <c r="E290" s="365"/>
      <c r="F290" s="365"/>
      <c r="G290" s="365"/>
      <c r="H290" s="365"/>
      <c r="I290" s="365"/>
      <c r="J290" s="365"/>
    </row>
    <row r="293" spans="3:35">
      <c r="C293" s="365"/>
      <c r="D293" s="365"/>
      <c r="E293" s="365"/>
      <c r="F293" s="365"/>
      <c r="G293" s="365"/>
      <c r="H293" s="365"/>
      <c r="I293" s="365"/>
      <c r="J293" s="365"/>
      <c r="K293" s="365"/>
      <c r="L293" s="365"/>
      <c r="M293" s="365"/>
      <c r="N293" s="365"/>
      <c r="O293" s="365"/>
      <c r="P293" s="365"/>
      <c r="Q293" s="365"/>
      <c r="R293" s="365"/>
      <c r="S293" s="365"/>
      <c r="T293" s="365"/>
      <c r="U293" s="365"/>
      <c r="V293" s="365"/>
      <c r="W293" s="365"/>
      <c r="X293" s="365"/>
      <c r="Y293" s="365"/>
      <c r="Z293" s="365"/>
      <c r="AA293" s="365"/>
      <c r="AB293" s="365"/>
      <c r="AC293" s="365"/>
      <c r="AD293" s="365"/>
      <c r="AE293" s="365"/>
      <c r="AF293" s="365"/>
      <c r="AG293" s="365"/>
      <c r="AH293" s="365"/>
      <c r="AI293" s="365"/>
    </row>
    <row r="294" spans="3:35">
      <c r="C294" s="365"/>
      <c r="D294" s="365"/>
      <c r="E294" s="365"/>
      <c r="F294" s="365"/>
      <c r="G294" s="365"/>
      <c r="H294" s="365"/>
      <c r="I294" s="365"/>
      <c r="J294" s="365"/>
      <c r="K294" s="365"/>
      <c r="L294" s="365"/>
      <c r="M294" s="365"/>
      <c r="N294" s="365"/>
      <c r="O294" s="365"/>
      <c r="P294" s="365"/>
      <c r="Q294" s="365"/>
      <c r="R294" s="365"/>
      <c r="S294" s="365"/>
      <c r="T294" s="365"/>
      <c r="U294" s="365"/>
      <c r="V294" s="365"/>
      <c r="W294" s="365"/>
      <c r="X294" s="365"/>
      <c r="Y294" s="365"/>
      <c r="Z294" s="365"/>
      <c r="AA294" s="365"/>
      <c r="AB294" s="365"/>
      <c r="AC294" s="365"/>
      <c r="AD294" s="365"/>
      <c r="AE294" s="365"/>
      <c r="AF294" s="365"/>
      <c r="AG294" s="365"/>
      <c r="AH294" s="365"/>
      <c r="AI294" s="365"/>
    </row>
    <row r="295" spans="3:35">
      <c r="C295" s="365"/>
      <c r="D295" s="365"/>
      <c r="E295" s="365"/>
      <c r="F295" s="365"/>
      <c r="G295" s="365"/>
      <c r="H295" s="365"/>
      <c r="I295" s="365"/>
      <c r="J295" s="365"/>
      <c r="K295" s="365"/>
      <c r="L295" s="365"/>
      <c r="M295" s="365"/>
      <c r="N295" s="365"/>
      <c r="O295" s="365"/>
      <c r="P295" s="365"/>
      <c r="Q295" s="365"/>
      <c r="R295" s="365"/>
      <c r="S295" s="365"/>
      <c r="T295" s="365"/>
      <c r="U295" s="365"/>
      <c r="V295" s="365"/>
      <c r="W295" s="365"/>
      <c r="X295" s="365"/>
      <c r="Y295" s="365"/>
      <c r="Z295" s="365"/>
      <c r="AA295" s="365"/>
      <c r="AB295" s="365"/>
      <c r="AC295" s="365"/>
      <c r="AD295" s="365"/>
      <c r="AE295" s="365"/>
      <c r="AF295" s="365"/>
      <c r="AG295" s="365"/>
      <c r="AH295" s="365"/>
      <c r="AI295" s="365"/>
    </row>
    <row r="296" spans="3:35">
      <c r="C296" s="365"/>
      <c r="D296" s="365"/>
      <c r="E296" s="365"/>
      <c r="F296" s="365"/>
      <c r="G296" s="365"/>
      <c r="H296" s="365"/>
      <c r="I296" s="365"/>
      <c r="J296" s="365"/>
      <c r="K296" s="365"/>
      <c r="L296" s="365"/>
      <c r="M296" s="365"/>
      <c r="N296" s="365"/>
      <c r="O296" s="365"/>
      <c r="P296" s="365"/>
      <c r="Q296" s="365"/>
      <c r="R296" s="365"/>
      <c r="S296" s="365"/>
      <c r="T296" s="365"/>
      <c r="U296" s="365"/>
      <c r="V296" s="365"/>
      <c r="W296" s="365"/>
      <c r="X296" s="365"/>
      <c r="Y296" s="365"/>
      <c r="Z296" s="365"/>
      <c r="AA296" s="365"/>
      <c r="AB296" s="365"/>
      <c r="AC296" s="365"/>
      <c r="AD296" s="365"/>
      <c r="AE296" s="365"/>
      <c r="AF296" s="365"/>
      <c r="AG296" s="365"/>
      <c r="AH296" s="365"/>
      <c r="AI296" s="365"/>
    </row>
    <row r="297" spans="3:35">
      <c r="C297" s="365"/>
      <c r="D297" s="365"/>
      <c r="E297" s="365"/>
      <c r="F297" s="365"/>
      <c r="G297" s="365"/>
      <c r="H297" s="365"/>
      <c r="I297" s="365"/>
      <c r="J297" s="365"/>
      <c r="K297" s="365"/>
      <c r="L297" s="365"/>
      <c r="M297" s="365"/>
      <c r="N297" s="365"/>
      <c r="O297" s="365"/>
      <c r="P297" s="365"/>
      <c r="Q297" s="365"/>
      <c r="R297" s="365"/>
      <c r="S297" s="365"/>
      <c r="T297" s="365"/>
      <c r="U297" s="365"/>
      <c r="V297" s="365"/>
      <c r="W297" s="365"/>
      <c r="X297" s="365"/>
      <c r="Y297" s="365"/>
      <c r="Z297" s="365"/>
      <c r="AA297" s="365"/>
      <c r="AB297" s="365"/>
      <c r="AC297" s="365"/>
      <c r="AD297" s="365"/>
      <c r="AE297" s="365"/>
      <c r="AF297" s="365"/>
      <c r="AG297" s="365"/>
      <c r="AH297" s="365"/>
      <c r="AI297" s="365"/>
    </row>
    <row r="298" spans="3:35">
      <c r="C298" s="365"/>
      <c r="D298" s="365"/>
      <c r="E298" s="365"/>
      <c r="F298" s="365"/>
      <c r="G298" s="365"/>
      <c r="H298" s="365"/>
      <c r="I298" s="365"/>
      <c r="J298" s="365"/>
      <c r="K298" s="365"/>
      <c r="L298" s="365"/>
      <c r="M298" s="365"/>
      <c r="N298" s="365"/>
      <c r="O298" s="365"/>
      <c r="P298" s="365"/>
      <c r="Q298" s="365"/>
      <c r="R298" s="365"/>
      <c r="S298" s="365"/>
      <c r="T298" s="365"/>
      <c r="U298" s="365"/>
      <c r="V298" s="365"/>
      <c r="W298" s="365"/>
      <c r="X298" s="365"/>
      <c r="Y298" s="365"/>
      <c r="Z298" s="365"/>
      <c r="AA298" s="365"/>
      <c r="AB298" s="365"/>
      <c r="AC298" s="365"/>
      <c r="AD298" s="365"/>
      <c r="AE298" s="365"/>
      <c r="AF298" s="365"/>
      <c r="AG298" s="365"/>
      <c r="AH298" s="365"/>
      <c r="AI298" s="365"/>
    </row>
    <row r="301" spans="3:35">
      <c r="D301" s="365"/>
      <c r="E301" s="365"/>
      <c r="K301" s="365"/>
      <c r="R301" s="365"/>
      <c r="AC301" s="365"/>
    </row>
    <row r="305" spans="3:35">
      <c r="C305" s="365"/>
      <c r="D305" s="365"/>
      <c r="E305" s="365"/>
      <c r="F305" s="365"/>
      <c r="G305" s="365"/>
      <c r="H305" s="365"/>
      <c r="I305" s="365"/>
      <c r="J305" s="365"/>
      <c r="K305" s="365"/>
      <c r="L305" s="365"/>
      <c r="M305" s="365"/>
      <c r="N305" s="365"/>
      <c r="O305" s="365"/>
      <c r="P305" s="365"/>
      <c r="Q305" s="365"/>
      <c r="R305" s="365"/>
      <c r="S305" s="365"/>
      <c r="T305" s="365"/>
      <c r="U305" s="365"/>
      <c r="V305" s="365"/>
      <c r="W305" s="365"/>
      <c r="X305" s="365"/>
      <c r="Y305" s="365"/>
      <c r="Z305" s="365"/>
      <c r="AA305" s="365"/>
      <c r="AB305" s="365"/>
      <c r="AC305" s="365"/>
      <c r="AD305" s="365"/>
      <c r="AE305" s="365"/>
      <c r="AF305" s="365"/>
      <c r="AG305" s="365"/>
      <c r="AH305" s="365"/>
      <c r="AI305" s="365"/>
    </row>
    <row r="313" spans="3:35">
      <c r="F313" s="365"/>
      <c r="J313" s="365"/>
      <c r="N313" s="365"/>
      <c r="R313" s="365"/>
      <c r="V313" s="365"/>
      <c r="Z313" s="365"/>
      <c r="AD313" s="365"/>
      <c r="AH313" s="365"/>
    </row>
    <row r="314" spans="3:35">
      <c r="F314" s="365"/>
      <c r="J314" s="365"/>
      <c r="N314" s="365"/>
      <c r="R314" s="365"/>
      <c r="V314" s="365"/>
      <c r="Z314" s="365"/>
      <c r="AD314" s="365"/>
      <c r="AH314" s="365"/>
    </row>
    <row r="315" spans="3:35">
      <c r="F315" s="365"/>
      <c r="J315" s="365"/>
      <c r="N315" s="365"/>
      <c r="V315" s="365"/>
      <c r="Z315" s="365"/>
      <c r="AD315" s="365"/>
      <c r="AH315" s="365"/>
    </row>
    <row r="316" spans="3:35">
      <c r="F316" s="365"/>
      <c r="J316" s="365"/>
    </row>
    <row r="317" spans="3:35">
      <c r="F317" s="365"/>
      <c r="J317" s="365"/>
      <c r="N317" s="365"/>
      <c r="R317" s="365"/>
      <c r="V317" s="365"/>
      <c r="Z317" s="365"/>
      <c r="AD317" s="365"/>
      <c r="AH317" s="365"/>
    </row>
    <row r="318" spans="3:35">
      <c r="F318" s="365"/>
      <c r="J318" s="365"/>
    </row>
    <row r="319" spans="3:35">
      <c r="F319" s="365"/>
      <c r="J319" s="365"/>
    </row>
    <row r="320" spans="3:35">
      <c r="F320" s="365"/>
      <c r="J320" s="365"/>
    </row>
    <row r="321" spans="3:35">
      <c r="F321" s="365"/>
      <c r="J321" s="365"/>
    </row>
    <row r="322" spans="3:35">
      <c r="F322" s="365"/>
      <c r="J322" s="365"/>
      <c r="N322" s="365"/>
      <c r="R322" s="365"/>
      <c r="V322" s="365"/>
      <c r="Z322" s="365"/>
      <c r="AD322" s="365"/>
      <c r="AH322" s="365"/>
    </row>
    <row r="323" spans="3:35">
      <c r="F323" s="365"/>
      <c r="J323" s="365"/>
      <c r="N323" s="365"/>
      <c r="R323" s="365"/>
      <c r="V323" s="365"/>
      <c r="Z323" s="365"/>
      <c r="AD323" s="365"/>
      <c r="AH323" s="365"/>
    </row>
    <row r="324" spans="3:35">
      <c r="F324" s="365"/>
      <c r="J324" s="365"/>
      <c r="N324" s="365"/>
      <c r="R324" s="365"/>
      <c r="V324" s="365"/>
      <c r="Z324" s="365"/>
      <c r="AD324" s="365"/>
      <c r="AH324" s="365"/>
    </row>
    <row r="325" spans="3:35">
      <c r="F325" s="365"/>
      <c r="J325" s="365"/>
    </row>
    <row r="327" spans="3:35">
      <c r="F327" s="365"/>
      <c r="J327" s="365"/>
    </row>
    <row r="330" spans="3:35">
      <c r="C330" s="365"/>
      <c r="D330" s="365"/>
      <c r="E330" s="365"/>
      <c r="F330" s="365"/>
      <c r="G330" s="365"/>
      <c r="H330" s="365"/>
      <c r="I330" s="365"/>
      <c r="J330" s="365"/>
      <c r="K330" s="365"/>
      <c r="L330" s="365"/>
      <c r="M330" s="365"/>
      <c r="N330" s="365"/>
      <c r="O330" s="365"/>
      <c r="P330" s="365"/>
      <c r="Q330" s="365"/>
      <c r="R330" s="365"/>
      <c r="S330" s="365"/>
      <c r="T330" s="365"/>
      <c r="U330" s="365"/>
      <c r="V330" s="365"/>
      <c r="W330" s="365"/>
      <c r="X330" s="365"/>
      <c r="Y330" s="365"/>
      <c r="Z330" s="365"/>
      <c r="AA330" s="365"/>
      <c r="AB330" s="365"/>
      <c r="AC330" s="365"/>
      <c r="AD330" s="365"/>
      <c r="AE330" s="365"/>
      <c r="AF330" s="365"/>
      <c r="AG330" s="365"/>
      <c r="AH330" s="365"/>
      <c r="AI330" s="365"/>
    </row>
    <row r="331" spans="3:35">
      <c r="C331" s="365"/>
      <c r="D331" s="365"/>
      <c r="E331" s="365"/>
      <c r="F331" s="365"/>
      <c r="G331" s="365"/>
      <c r="H331" s="365"/>
      <c r="I331" s="365"/>
      <c r="J331" s="365"/>
      <c r="K331" s="365"/>
      <c r="L331" s="365"/>
      <c r="M331" s="365"/>
      <c r="N331" s="365"/>
      <c r="O331" s="365"/>
      <c r="P331" s="365"/>
      <c r="Q331" s="365"/>
      <c r="R331" s="365"/>
      <c r="S331" s="365"/>
      <c r="T331" s="365"/>
      <c r="U331" s="365"/>
      <c r="V331" s="365"/>
      <c r="W331" s="365"/>
      <c r="X331" s="365"/>
      <c r="Y331" s="365"/>
      <c r="Z331" s="365"/>
      <c r="AA331" s="365"/>
      <c r="AB331" s="365"/>
      <c r="AC331" s="365"/>
      <c r="AD331" s="365"/>
      <c r="AE331" s="365"/>
      <c r="AF331" s="365"/>
      <c r="AG331" s="365"/>
      <c r="AH331" s="365"/>
      <c r="AI331" s="365"/>
    </row>
    <row r="333" spans="3:35">
      <c r="K333" s="365"/>
      <c r="L333" s="365"/>
      <c r="M333" s="365"/>
      <c r="N333" s="365"/>
      <c r="O333" s="365"/>
      <c r="P333" s="365"/>
      <c r="Q333" s="365"/>
      <c r="R333" s="365"/>
      <c r="S333" s="365"/>
      <c r="T333" s="365"/>
      <c r="U333" s="365"/>
      <c r="V333" s="365"/>
      <c r="W333" s="365"/>
      <c r="X333" s="365"/>
      <c r="Y333" s="365"/>
      <c r="Z333" s="365"/>
      <c r="AA333" s="365"/>
      <c r="AB333" s="365"/>
      <c r="AC333" s="365"/>
      <c r="AD333" s="365"/>
      <c r="AE333" s="365"/>
      <c r="AF333" s="365"/>
      <c r="AG333" s="365"/>
      <c r="AH333" s="365"/>
      <c r="AI333" s="365"/>
    </row>
    <row r="346" spans="11:35">
      <c r="K346" s="365"/>
      <c r="L346" s="365"/>
      <c r="M346" s="365"/>
      <c r="N346" s="365"/>
      <c r="O346" s="365"/>
      <c r="P346" s="365"/>
      <c r="Q346" s="365"/>
      <c r="R346" s="365"/>
      <c r="S346" s="365"/>
      <c r="T346" s="365"/>
      <c r="U346" s="365"/>
      <c r="V346" s="365"/>
      <c r="W346" s="365"/>
      <c r="X346" s="365"/>
      <c r="Y346" s="365"/>
      <c r="Z346" s="365"/>
      <c r="AA346" s="365"/>
      <c r="AB346" s="365"/>
      <c r="AC346" s="365"/>
      <c r="AD346" s="365"/>
      <c r="AE346" s="365"/>
      <c r="AF346" s="365"/>
      <c r="AG346" s="365"/>
      <c r="AH346" s="365"/>
      <c r="AI346" s="365"/>
    </row>
    <row r="347" spans="11:35">
      <c r="K347" s="365"/>
      <c r="L347" s="365"/>
      <c r="M347" s="365"/>
      <c r="N347" s="365"/>
      <c r="O347" s="365"/>
      <c r="P347" s="365"/>
      <c r="Q347" s="365"/>
      <c r="R347" s="365"/>
      <c r="S347" s="365"/>
      <c r="T347" s="365"/>
      <c r="U347" s="365"/>
      <c r="V347" s="365"/>
      <c r="W347" s="365"/>
      <c r="X347" s="365"/>
      <c r="Y347" s="365"/>
      <c r="Z347" s="365"/>
      <c r="AA347" s="365"/>
      <c r="AB347" s="365"/>
      <c r="AC347" s="365"/>
      <c r="AD347" s="365"/>
      <c r="AE347" s="365"/>
      <c r="AF347" s="365"/>
      <c r="AG347" s="365"/>
      <c r="AH347" s="365"/>
      <c r="AI347" s="365"/>
    </row>
    <row r="348" spans="11:35">
      <c r="K348" s="365"/>
      <c r="L348" s="365"/>
      <c r="M348" s="365"/>
      <c r="N348" s="365"/>
      <c r="O348" s="365"/>
      <c r="P348" s="365"/>
      <c r="Q348" s="365"/>
      <c r="R348" s="365"/>
      <c r="S348" s="365"/>
      <c r="T348" s="365"/>
      <c r="U348" s="365"/>
      <c r="V348" s="365"/>
      <c r="W348" s="365"/>
      <c r="X348" s="365"/>
      <c r="Y348" s="365"/>
      <c r="Z348" s="365"/>
      <c r="AA348" s="365"/>
      <c r="AB348" s="365"/>
      <c r="AC348" s="365"/>
      <c r="AD348" s="365"/>
      <c r="AE348" s="365"/>
      <c r="AF348" s="365"/>
      <c r="AG348" s="365"/>
      <c r="AH348" s="365"/>
      <c r="AI348" s="365"/>
    </row>
    <row r="351" spans="11:35">
      <c r="K351" s="365"/>
      <c r="L351" s="365"/>
      <c r="M351" s="365"/>
      <c r="N351" s="365"/>
      <c r="O351" s="365"/>
      <c r="P351" s="365"/>
      <c r="Q351" s="365"/>
      <c r="R351" s="365"/>
      <c r="S351" s="365"/>
      <c r="T351" s="365"/>
      <c r="U351" s="365"/>
      <c r="V351" s="365"/>
      <c r="W351" s="365"/>
      <c r="X351" s="365"/>
      <c r="Y351" s="365"/>
      <c r="Z351" s="365"/>
      <c r="AA351" s="365"/>
      <c r="AB351" s="365"/>
      <c r="AC351" s="365"/>
      <c r="AD351" s="365"/>
      <c r="AE351" s="365"/>
      <c r="AF351" s="365"/>
      <c r="AG351" s="365"/>
      <c r="AH351" s="365"/>
      <c r="AI351" s="365"/>
    </row>
    <row r="352" spans="11:35">
      <c r="K352" s="365"/>
      <c r="L352" s="365"/>
      <c r="M352" s="365"/>
      <c r="N352" s="365"/>
      <c r="O352" s="365"/>
      <c r="P352" s="365"/>
      <c r="Q352" s="365"/>
      <c r="R352" s="365"/>
      <c r="S352" s="365"/>
      <c r="T352" s="365"/>
      <c r="U352" s="365"/>
      <c r="V352" s="365"/>
      <c r="W352" s="365"/>
      <c r="X352" s="365"/>
      <c r="Y352" s="365"/>
      <c r="Z352" s="365"/>
      <c r="AA352" s="365"/>
      <c r="AB352" s="365"/>
      <c r="AC352" s="365"/>
      <c r="AD352" s="365"/>
      <c r="AE352" s="365"/>
      <c r="AF352" s="365"/>
      <c r="AG352" s="365"/>
      <c r="AH352" s="365"/>
      <c r="AI352" s="365"/>
    </row>
    <row r="354" spans="11:35">
      <c r="K354" s="365"/>
      <c r="L354" s="365"/>
      <c r="M354" s="365"/>
      <c r="N354" s="365"/>
      <c r="O354" s="365"/>
      <c r="P354" s="365"/>
      <c r="Q354" s="365"/>
      <c r="R354" s="365"/>
      <c r="S354" s="365"/>
      <c r="T354" s="365"/>
      <c r="U354" s="365"/>
      <c r="V354" s="365"/>
      <c r="W354" s="365"/>
      <c r="X354" s="365"/>
      <c r="Y354" s="365"/>
      <c r="Z354" s="365"/>
      <c r="AA354" s="365"/>
      <c r="AB354" s="365"/>
      <c r="AC354" s="365"/>
      <c r="AD354" s="365"/>
      <c r="AE354" s="365"/>
      <c r="AF354" s="365"/>
      <c r="AG354" s="365"/>
      <c r="AH354" s="365"/>
      <c r="AI354" s="365"/>
    </row>
    <row r="355" spans="11:35">
      <c r="K355" s="365"/>
      <c r="L355" s="365"/>
      <c r="M355" s="365"/>
      <c r="N355" s="365"/>
      <c r="O355" s="365"/>
      <c r="P355" s="365"/>
      <c r="Q355" s="365"/>
      <c r="R355" s="365"/>
      <c r="S355" s="365"/>
      <c r="T355" s="365"/>
      <c r="U355" s="365"/>
      <c r="V355" s="365"/>
      <c r="W355" s="365"/>
      <c r="X355" s="365"/>
      <c r="Y355" s="365"/>
      <c r="Z355" s="365"/>
      <c r="AA355" s="365"/>
      <c r="AB355" s="365"/>
      <c r="AC355" s="365"/>
      <c r="AD355" s="365"/>
      <c r="AE355" s="365"/>
      <c r="AF355" s="365"/>
      <c r="AG355" s="365"/>
      <c r="AH355" s="365"/>
      <c r="AI355" s="365"/>
    </row>
    <row r="356" spans="11:35">
      <c r="K356" s="365"/>
      <c r="L356" s="365"/>
      <c r="M356" s="365"/>
      <c r="N356" s="365"/>
      <c r="O356" s="365"/>
      <c r="P356" s="365"/>
      <c r="Q356" s="365"/>
      <c r="R356" s="365"/>
      <c r="S356" s="365"/>
      <c r="T356" s="365"/>
      <c r="U356" s="365"/>
      <c r="V356" s="365"/>
      <c r="W356" s="365"/>
      <c r="X356" s="365"/>
      <c r="Y356" s="365"/>
      <c r="Z356" s="365"/>
      <c r="AA356" s="365"/>
      <c r="AB356" s="365"/>
      <c r="AC356" s="365"/>
      <c r="AD356" s="365"/>
      <c r="AE356" s="365"/>
      <c r="AF356" s="365"/>
      <c r="AG356" s="365"/>
      <c r="AH356" s="365"/>
      <c r="AI356" s="365"/>
    </row>
    <row r="357" spans="11:35">
      <c r="K357" s="365"/>
      <c r="L357" s="365"/>
      <c r="M357" s="365"/>
      <c r="N357" s="365"/>
      <c r="O357" s="365"/>
      <c r="P357" s="365"/>
      <c r="Q357" s="365"/>
      <c r="R357" s="365"/>
      <c r="S357" s="365"/>
      <c r="T357" s="365"/>
      <c r="U357" s="365"/>
      <c r="V357" s="365"/>
      <c r="W357" s="365"/>
      <c r="X357" s="365"/>
      <c r="Y357" s="365"/>
      <c r="Z357" s="365"/>
      <c r="AA357" s="365"/>
      <c r="AB357" s="365"/>
      <c r="AC357" s="365"/>
      <c r="AD357" s="365"/>
      <c r="AE357" s="365"/>
      <c r="AF357" s="365"/>
      <c r="AG357" s="365"/>
      <c r="AH357" s="365"/>
      <c r="AI357" s="365"/>
    </row>
    <row r="360" spans="11:35">
      <c r="K360" s="365"/>
      <c r="L360" s="365"/>
      <c r="M360" s="365"/>
      <c r="N360" s="365"/>
      <c r="O360" s="365"/>
      <c r="P360" s="365"/>
      <c r="Q360" s="365"/>
      <c r="R360" s="365"/>
      <c r="S360" s="365"/>
      <c r="T360" s="365"/>
      <c r="U360" s="365"/>
      <c r="V360" s="365"/>
      <c r="W360" s="365"/>
      <c r="X360" s="365"/>
      <c r="Y360" s="365"/>
      <c r="Z360" s="365"/>
      <c r="AA360" s="365"/>
      <c r="AB360" s="365"/>
      <c r="AC360" s="365"/>
      <c r="AD360" s="365"/>
      <c r="AE360" s="365"/>
      <c r="AF360" s="365"/>
      <c r="AG360" s="365"/>
      <c r="AH360" s="365"/>
      <c r="AI360" s="365"/>
    </row>
    <row r="361" spans="11:35">
      <c r="K361" s="365"/>
      <c r="L361" s="365"/>
      <c r="M361" s="365"/>
      <c r="N361" s="365"/>
      <c r="O361" s="365"/>
      <c r="P361" s="365"/>
      <c r="Q361" s="365"/>
      <c r="R361" s="365"/>
      <c r="S361" s="365"/>
      <c r="T361" s="365"/>
      <c r="U361" s="365"/>
      <c r="V361" s="365"/>
      <c r="W361" s="365"/>
      <c r="X361" s="365"/>
      <c r="Y361" s="365"/>
      <c r="Z361" s="365"/>
      <c r="AA361" s="365"/>
      <c r="AB361" s="365"/>
      <c r="AC361" s="365"/>
      <c r="AD361" s="365"/>
      <c r="AE361" s="365"/>
      <c r="AF361" s="365"/>
      <c r="AG361" s="365"/>
      <c r="AH361" s="365"/>
      <c r="AI361" s="365"/>
    </row>
    <row r="363" spans="11:35">
      <c r="AG363" s="365"/>
      <c r="AH363" s="365"/>
      <c r="AI363" s="365"/>
    </row>
    <row r="382" spans="11:35">
      <c r="K382" s="365"/>
      <c r="L382" s="365"/>
      <c r="M382" s="365"/>
      <c r="N382" s="365"/>
      <c r="O382" s="365"/>
      <c r="P382" s="365"/>
      <c r="Q382" s="365"/>
      <c r="R382" s="365"/>
      <c r="S382" s="365"/>
      <c r="T382" s="365"/>
      <c r="U382" s="365"/>
      <c r="V382" s="365"/>
      <c r="W382" s="365"/>
      <c r="X382" s="365"/>
      <c r="Y382" s="365"/>
      <c r="Z382" s="365"/>
      <c r="AA382" s="365"/>
      <c r="AB382" s="365"/>
      <c r="AC382" s="365"/>
      <c r="AD382" s="365"/>
      <c r="AE382" s="365"/>
      <c r="AF382" s="365"/>
      <c r="AG382" s="365"/>
      <c r="AH382" s="365"/>
      <c r="AI382" s="365"/>
    </row>
    <row r="383" spans="11:35">
      <c r="K383" s="365"/>
      <c r="L383" s="365"/>
      <c r="M383" s="365"/>
      <c r="N383" s="365"/>
      <c r="O383" s="365"/>
      <c r="P383" s="365"/>
      <c r="Q383" s="365"/>
      <c r="R383" s="365"/>
      <c r="S383" s="365"/>
      <c r="T383" s="365"/>
      <c r="U383" s="365"/>
      <c r="V383" s="365"/>
      <c r="W383" s="365"/>
      <c r="X383" s="365"/>
      <c r="Y383" s="365"/>
      <c r="Z383" s="365"/>
      <c r="AA383" s="365"/>
      <c r="AB383" s="365"/>
      <c r="AC383" s="365"/>
      <c r="AD383" s="365"/>
      <c r="AE383" s="365"/>
      <c r="AF383" s="365"/>
      <c r="AG383" s="365"/>
      <c r="AH383" s="365"/>
      <c r="AI383" s="365"/>
    </row>
    <row r="384" spans="11:35">
      <c r="K384" s="365"/>
      <c r="L384" s="365"/>
      <c r="M384" s="365"/>
      <c r="N384" s="365"/>
      <c r="O384" s="365"/>
      <c r="P384" s="365"/>
      <c r="Q384" s="365"/>
      <c r="R384" s="365"/>
      <c r="S384" s="365"/>
      <c r="T384" s="365"/>
      <c r="U384" s="365"/>
      <c r="V384" s="365"/>
      <c r="W384" s="365"/>
      <c r="X384" s="365"/>
      <c r="Y384" s="365"/>
      <c r="Z384" s="365"/>
      <c r="AA384" s="365"/>
      <c r="AB384" s="365"/>
      <c r="AC384" s="365"/>
      <c r="AD384" s="365"/>
      <c r="AE384" s="365"/>
      <c r="AF384" s="365"/>
      <c r="AG384" s="365"/>
      <c r="AH384" s="365"/>
      <c r="AI384" s="365"/>
    </row>
    <row r="387" spans="11:35">
      <c r="K387" s="365"/>
      <c r="L387" s="365"/>
      <c r="M387" s="365"/>
      <c r="N387" s="365"/>
      <c r="O387" s="365"/>
      <c r="P387" s="365"/>
      <c r="Q387" s="365"/>
      <c r="R387" s="365"/>
      <c r="S387" s="365"/>
      <c r="T387" s="365"/>
      <c r="U387" s="365"/>
      <c r="V387" s="365"/>
      <c r="W387" s="365"/>
      <c r="X387" s="365"/>
      <c r="Y387" s="365"/>
      <c r="Z387" s="365"/>
      <c r="AA387" s="365"/>
      <c r="AB387" s="365"/>
      <c r="AC387" s="365"/>
      <c r="AD387" s="365"/>
      <c r="AE387" s="365"/>
      <c r="AF387" s="365"/>
      <c r="AG387" s="365"/>
      <c r="AH387" s="365"/>
      <c r="AI387" s="365"/>
    </row>
    <row r="388" spans="11:35">
      <c r="K388" s="365"/>
      <c r="L388" s="365"/>
      <c r="M388" s="365"/>
      <c r="N388" s="365"/>
      <c r="O388" s="365"/>
      <c r="P388" s="365"/>
      <c r="Q388" s="365"/>
      <c r="R388" s="365"/>
      <c r="S388" s="365"/>
      <c r="T388" s="365"/>
      <c r="U388" s="365"/>
      <c r="V388" s="365"/>
      <c r="W388" s="365"/>
      <c r="X388" s="365"/>
      <c r="Y388" s="365"/>
      <c r="Z388" s="365"/>
      <c r="AA388" s="365"/>
      <c r="AB388" s="365"/>
      <c r="AC388" s="365"/>
      <c r="AD388" s="365"/>
      <c r="AE388" s="365"/>
      <c r="AF388" s="365"/>
      <c r="AG388" s="365"/>
      <c r="AH388" s="365"/>
      <c r="AI388" s="365"/>
    </row>
    <row r="390" spans="11:35">
      <c r="K390" s="365"/>
      <c r="L390" s="365"/>
      <c r="M390" s="365"/>
      <c r="N390" s="365"/>
      <c r="O390" s="365"/>
      <c r="P390" s="365"/>
      <c r="Q390" s="365"/>
      <c r="R390" s="365"/>
      <c r="S390" s="365"/>
      <c r="T390" s="365"/>
      <c r="U390" s="365"/>
      <c r="V390" s="365"/>
      <c r="W390" s="365"/>
      <c r="X390" s="365"/>
      <c r="Y390" s="365"/>
      <c r="Z390" s="365"/>
      <c r="AA390" s="365"/>
      <c r="AB390" s="365"/>
      <c r="AC390" s="365"/>
      <c r="AD390" s="365"/>
      <c r="AE390" s="365"/>
      <c r="AF390" s="365"/>
      <c r="AG390" s="365"/>
      <c r="AH390" s="365"/>
      <c r="AI390" s="365"/>
    </row>
    <row r="403" spans="3:35">
      <c r="C403" s="365"/>
      <c r="D403" s="365"/>
      <c r="E403" s="365"/>
      <c r="F403" s="365"/>
      <c r="G403" s="365"/>
      <c r="H403" s="365"/>
      <c r="I403" s="365"/>
      <c r="J403" s="365"/>
      <c r="K403" s="365"/>
      <c r="L403" s="365"/>
      <c r="M403" s="365"/>
      <c r="N403" s="365"/>
      <c r="O403" s="365"/>
      <c r="P403" s="365"/>
      <c r="Q403" s="365"/>
      <c r="R403" s="365"/>
      <c r="S403" s="365"/>
      <c r="T403" s="365"/>
      <c r="U403" s="365"/>
      <c r="V403" s="365"/>
      <c r="W403" s="365"/>
      <c r="X403" s="365"/>
      <c r="Y403" s="365"/>
      <c r="Z403" s="365"/>
      <c r="AA403" s="365"/>
      <c r="AB403" s="365"/>
      <c r="AC403" s="365"/>
      <c r="AD403" s="365"/>
      <c r="AE403" s="365"/>
      <c r="AF403" s="365"/>
      <c r="AG403" s="365"/>
      <c r="AH403" s="365"/>
      <c r="AI403" s="365"/>
    </row>
    <row r="421" spans="5:28">
      <c r="AA421" s="366"/>
    </row>
    <row r="422" spans="5:28">
      <c r="AA422" s="366"/>
    </row>
    <row r="423" spans="5:28">
      <c r="E423" s="366"/>
      <c r="S423" s="366"/>
      <c r="Z423" s="366"/>
      <c r="AB423" s="366"/>
    </row>
    <row r="424" spans="5:28">
      <c r="E424" s="366"/>
      <c r="S424" s="366"/>
      <c r="AB424" s="366"/>
    </row>
    <row r="425" spans="5:28">
      <c r="S425" s="366"/>
      <c r="AB425" s="366"/>
    </row>
    <row r="426" spans="5:28">
      <c r="E426" s="366"/>
      <c r="S426" s="366"/>
      <c r="AB426" s="366"/>
    </row>
    <row r="427" spans="5:28">
      <c r="E427" s="366"/>
      <c r="S427" s="366"/>
    </row>
    <row r="434" spans="16:35">
      <c r="Y434" s="366"/>
    </row>
    <row r="435" spans="16:35">
      <c r="P435" s="366"/>
      <c r="AG435" s="366"/>
      <c r="AI435" s="366"/>
    </row>
    <row r="461" spans="3:35">
      <c r="C461" s="365"/>
      <c r="D461" s="365"/>
      <c r="E461" s="365"/>
      <c r="F461" s="365"/>
      <c r="G461" s="365"/>
      <c r="H461" s="365"/>
      <c r="I461" s="365"/>
      <c r="J461" s="365"/>
      <c r="K461" s="365"/>
      <c r="L461" s="365"/>
      <c r="M461" s="365"/>
      <c r="N461" s="365"/>
      <c r="O461" s="365"/>
      <c r="P461" s="365"/>
      <c r="Q461" s="365"/>
      <c r="R461" s="365"/>
      <c r="S461" s="365"/>
      <c r="T461" s="365"/>
      <c r="U461" s="365"/>
      <c r="V461" s="365"/>
      <c r="W461" s="365"/>
      <c r="X461" s="365"/>
      <c r="Y461" s="365"/>
      <c r="Z461" s="365"/>
      <c r="AA461" s="365"/>
      <c r="AB461" s="365"/>
      <c r="AC461" s="365"/>
      <c r="AD461" s="365"/>
      <c r="AE461" s="365"/>
      <c r="AF461" s="365"/>
      <c r="AG461" s="365"/>
      <c r="AH461" s="365"/>
      <c r="AI461" s="365"/>
    </row>
    <row r="463" spans="3:35">
      <c r="C463" s="366"/>
      <c r="D463" s="366"/>
      <c r="E463" s="366"/>
      <c r="F463" s="366"/>
      <c r="G463" s="366"/>
      <c r="H463" s="366"/>
      <c r="I463" s="366"/>
      <c r="J463" s="366"/>
      <c r="K463" s="366"/>
      <c r="L463" s="366"/>
      <c r="M463" s="366"/>
      <c r="N463" s="366"/>
      <c r="O463" s="366"/>
      <c r="P463" s="366"/>
      <c r="Q463" s="366"/>
      <c r="R463" s="366"/>
      <c r="S463" s="366"/>
      <c r="T463" s="366"/>
      <c r="U463" s="366"/>
      <c r="V463" s="366"/>
      <c r="W463" s="366"/>
      <c r="X463" s="366"/>
      <c r="Y463" s="366"/>
      <c r="Z463" s="366"/>
      <c r="AA463" s="366"/>
      <c r="AB463" s="366"/>
      <c r="AC463" s="366"/>
      <c r="AD463" s="366"/>
      <c r="AE463" s="366"/>
      <c r="AF463" s="366"/>
      <c r="AG463" s="366"/>
      <c r="AH463" s="366"/>
      <c r="AI463" s="366"/>
    </row>
  </sheetData>
  <phoneticPr fontId="22" type="noConversion"/>
  <conditionalFormatting sqref="B57:AO5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customProperties>
    <customPr name="Qube.Worksheet.Visibility" r:id="rId2"/>
    <customPr name="SHEET_UNIQUE_ID" r:id="rId3"/>
  </customPropertie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78"/>
  <sheetViews>
    <sheetView workbookViewId="0">
      <selection sqref="A1:XFD1048576"/>
    </sheetView>
  </sheetViews>
  <sheetFormatPr defaultColWidth="9.140625" defaultRowHeight="14.25"/>
  <cols>
    <col min="1" max="13" width="24.42578125" style="385" customWidth="1"/>
    <col min="14" max="16384" width="9.140625" style="386"/>
  </cols>
  <sheetData>
    <row r="1" spans="1:13">
      <c r="B1" s="386" t="s">
        <v>344</v>
      </c>
      <c r="C1" s="386" t="s">
        <v>350</v>
      </c>
      <c r="D1" s="386" t="s">
        <v>334</v>
      </c>
      <c r="E1" s="386" t="s">
        <v>289</v>
      </c>
      <c r="F1" s="386" t="s">
        <v>153</v>
      </c>
      <c r="G1" s="386" t="s">
        <v>121</v>
      </c>
      <c r="H1" s="386" t="s">
        <v>122</v>
      </c>
      <c r="I1" s="386" t="s">
        <v>123</v>
      </c>
      <c r="J1" s="386" t="s">
        <v>124</v>
      </c>
      <c r="K1" s="386" t="s">
        <v>125</v>
      </c>
      <c r="L1" s="386" t="s">
        <v>126</v>
      </c>
      <c r="M1" s="386" t="s">
        <v>135</v>
      </c>
    </row>
    <row r="2" spans="1:13">
      <c r="A2" s="386" t="s">
        <v>120</v>
      </c>
      <c r="B2" s="386" t="s">
        <v>351</v>
      </c>
      <c r="C2" s="386" t="s">
        <v>352</v>
      </c>
      <c r="D2" s="386" t="s">
        <v>134</v>
      </c>
      <c r="E2" s="386" t="s">
        <v>352</v>
      </c>
      <c r="F2" s="386" t="s">
        <v>134</v>
      </c>
      <c r="G2" s="386" t="s">
        <v>352</v>
      </c>
      <c r="H2" s="386" t="s">
        <v>134</v>
      </c>
      <c r="I2" s="386" t="s">
        <v>352</v>
      </c>
      <c r="J2" s="386" t="s">
        <v>134</v>
      </c>
      <c r="K2" s="386" t="s">
        <v>134</v>
      </c>
      <c r="L2" s="386" t="s">
        <v>134</v>
      </c>
      <c r="M2" s="386" t="s">
        <v>134</v>
      </c>
    </row>
    <row r="3" spans="1:13">
      <c r="A3" s="386" t="s">
        <v>59</v>
      </c>
      <c r="B3" s="386" t="s">
        <v>60</v>
      </c>
      <c r="C3" s="386" t="s">
        <v>60</v>
      </c>
      <c r="D3" s="386" t="s">
        <v>60</v>
      </c>
      <c r="E3" s="386" t="s">
        <v>60</v>
      </c>
      <c r="F3" s="386" t="s">
        <v>60</v>
      </c>
      <c r="G3" s="386" t="s">
        <v>60</v>
      </c>
      <c r="H3" s="386" t="s">
        <v>60</v>
      </c>
      <c r="I3" s="386" t="s">
        <v>60</v>
      </c>
      <c r="J3" s="386" t="s">
        <v>60</v>
      </c>
      <c r="K3" s="386" t="s">
        <v>60</v>
      </c>
      <c r="L3" s="386" t="s">
        <v>60</v>
      </c>
      <c r="M3" s="386" t="s">
        <v>60</v>
      </c>
    </row>
    <row r="4" spans="1:13">
      <c r="A4" s="386" t="s">
        <v>345</v>
      </c>
    </row>
    <row r="5" spans="1:13">
      <c r="A5" s="386" t="s">
        <v>353</v>
      </c>
      <c r="C5" s="387">
        <v>1858446338.3399999</v>
      </c>
      <c r="D5" s="387">
        <v>4032158971.0799999</v>
      </c>
      <c r="E5" s="387">
        <v>1824182624.21</v>
      </c>
      <c r="F5" s="387">
        <v>4506679713.8199997</v>
      </c>
      <c r="G5" s="387">
        <v>2439691652.5999999</v>
      </c>
      <c r="H5" s="387">
        <v>4928416470.3500004</v>
      </c>
    </row>
    <row r="6" spans="1:13">
      <c r="A6" s="386" t="s">
        <v>354</v>
      </c>
      <c r="C6" s="387">
        <v>1401199905.72</v>
      </c>
      <c r="D6" s="387">
        <v>3073682754.9000001</v>
      </c>
      <c r="F6" s="387">
        <v>3334964596.23</v>
      </c>
      <c r="H6" s="387">
        <v>3548876308.6900001</v>
      </c>
    </row>
    <row r="7" spans="1:13">
      <c r="A7" s="386" t="s">
        <v>277</v>
      </c>
      <c r="C7" s="387">
        <v>457246432.62</v>
      </c>
      <c r="D7" s="387">
        <v>958476216.17999995</v>
      </c>
      <c r="F7" s="387">
        <v>1171715117.5899999</v>
      </c>
      <c r="H7" s="387">
        <v>1379540161.6600001</v>
      </c>
    </row>
    <row r="8" spans="1:13">
      <c r="A8" s="386" t="s">
        <v>278</v>
      </c>
      <c r="C8" s="387">
        <v>24.6</v>
      </c>
      <c r="D8" s="387">
        <v>23.77</v>
      </c>
      <c r="F8" s="387">
        <v>26</v>
      </c>
      <c r="H8" s="387">
        <v>27.99</v>
      </c>
    </row>
    <row r="9" spans="1:13">
      <c r="A9" s="386" t="s">
        <v>355</v>
      </c>
      <c r="C9" s="387">
        <v>71.58</v>
      </c>
      <c r="D9" s="387">
        <v>75.55</v>
      </c>
      <c r="E9" s="387">
        <v>80.31</v>
      </c>
      <c r="F9" s="387">
        <v>83.32</v>
      </c>
      <c r="G9" s="387">
        <v>85.3</v>
      </c>
      <c r="H9" s="387">
        <v>82</v>
      </c>
    </row>
    <row r="10" spans="1:13">
      <c r="A10" s="386" t="s">
        <v>356</v>
      </c>
    </row>
    <row r="11" spans="1:13">
      <c r="A11" s="386" t="s">
        <v>353</v>
      </c>
      <c r="E11" s="387">
        <v>1564819434.73</v>
      </c>
      <c r="F11" s="387">
        <v>3432705475.29</v>
      </c>
      <c r="G11" s="387">
        <v>1800126218.71</v>
      </c>
      <c r="H11" s="387">
        <v>3304454149.02</v>
      </c>
      <c r="I11" s="387">
        <v>1633684486.6300001</v>
      </c>
      <c r="J11" s="387">
        <v>2994439387.0799999</v>
      </c>
      <c r="K11" s="387">
        <v>2003058943.1900001</v>
      </c>
      <c r="L11" s="387">
        <v>1564637651.9000001</v>
      </c>
      <c r="M11" s="387">
        <v>1144602400</v>
      </c>
    </row>
    <row r="12" spans="1:13">
      <c r="A12" s="386" t="s">
        <v>354</v>
      </c>
      <c r="E12" s="387">
        <v>1213845203.9000001</v>
      </c>
      <c r="F12" s="387">
        <v>2618345285.5</v>
      </c>
      <c r="G12" s="387">
        <v>1341039724.0899999</v>
      </c>
      <c r="H12" s="387">
        <v>2500476557.23</v>
      </c>
      <c r="I12" s="387">
        <v>1228164889.96</v>
      </c>
      <c r="J12" s="387">
        <v>2275657927.6700001</v>
      </c>
      <c r="K12" s="387">
        <v>1565667353.8299999</v>
      </c>
      <c r="L12" s="387">
        <v>1282964707.3699999</v>
      </c>
    </row>
    <row r="13" spans="1:13">
      <c r="A13" s="386" t="s">
        <v>277</v>
      </c>
      <c r="E13" s="387">
        <v>350974230.82999998</v>
      </c>
      <c r="F13" s="387">
        <v>814360189.78999996</v>
      </c>
      <c r="G13" s="387">
        <v>459086494.62</v>
      </c>
      <c r="H13" s="387">
        <v>803977591.78999996</v>
      </c>
      <c r="I13" s="387">
        <v>405519596.67000002</v>
      </c>
      <c r="J13" s="387">
        <v>718781459.40999997</v>
      </c>
      <c r="K13" s="387">
        <v>437391589.36000001</v>
      </c>
      <c r="L13" s="387">
        <v>281672944.52999997</v>
      </c>
    </row>
    <row r="14" spans="1:13">
      <c r="A14" s="386" t="s">
        <v>278</v>
      </c>
      <c r="E14" s="387">
        <v>22.43</v>
      </c>
      <c r="F14" s="387">
        <v>23.72</v>
      </c>
      <c r="G14" s="387">
        <v>25.5</v>
      </c>
      <c r="H14" s="387">
        <v>24.33</v>
      </c>
      <c r="I14" s="387">
        <v>24.82</v>
      </c>
      <c r="J14" s="387">
        <v>24</v>
      </c>
      <c r="K14" s="387">
        <v>21.84</v>
      </c>
      <c r="L14" s="387">
        <v>18</v>
      </c>
      <c r="M14" s="387">
        <v>20.149999999999999</v>
      </c>
    </row>
    <row r="15" spans="1:13">
      <c r="A15" s="386" t="s">
        <v>355</v>
      </c>
      <c r="E15" s="387">
        <v>68.900000000000006</v>
      </c>
      <c r="F15" s="387">
        <v>63.47</v>
      </c>
      <c r="G15" s="387">
        <v>62.94</v>
      </c>
      <c r="H15" s="387">
        <v>54.98</v>
      </c>
      <c r="I15" s="387">
        <v>52.12</v>
      </c>
      <c r="J15" s="387">
        <v>52.74</v>
      </c>
      <c r="K15" s="387">
        <v>54.61</v>
      </c>
      <c r="L15" s="387">
        <v>59.34</v>
      </c>
      <c r="M15" s="387">
        <v>64.44</v>
      </c>
    </row>
    <row r="16" spans="1:13">
      <c r="A16" s="386" t="s">
        <v>357</v>
      </c>
    </row>
    <row r="17" spans="1:13">
      <c r="A17" s="386" t="s">
        <v>353</v>
      </c>
      <c r="E17" s="387">
        <v>259363189.47999999</v>
      </c>
      <c r="F17" s="387">
        <v>1073974238.53</v>
      </c>
      <c r="G17" s="387">
        <v>639565433.88999999</v>
      </c>
      <c r="H17" s="387">
        <v>1623962321.3299999</v>
      </c>
      <c r="I17" s="387">
        <v>942676804.78999996</v>
      </c>
      <c r="J17" s="387">
        <v>1743836223.8800001</v>
      </c>
      <c r="K17" s="387">
        <v>1122506423.0999999</v>
      </c>
      <c r="L17" s="387">
        <v>697156315.63</v>
      </c>
      <c r="M17" s="387">
        <v>428839200</v>
      </c>
    </row>
    <row r="18" spans="1:13">
      <c r="A18" s="386" t="s">
        <v>354</v>
      </c>
      <c r="E18" s="387">
        <v>182405252.87</v>
      </c>
      <c r="F18" s="387">
        <v>716619310.73000002</v>
      </c>
      <c r="G18" s="387">
        <v>429880273.37</v>
      </c>
      <c r="H18" s="387">
        <v>1048399751.46</v>
      </c>
      <c r="I18" s="387">
        <v>621060191.76999998</v>
      </c>
      <c r="J18" s="387">
        <v>1162842841.6199999</v>
      </c>
      <c r="K18" s="387">
        <v>712079661.03999996</v>
      </c>
      <c r="L18" s="387">
        <v>437623016.72000003</v>
      </c>
    </row>
    <row r="19" spans="1:13">
      <c r="A19" s="386" t="s">
        <v>277</v>
      </c>
      <c r="E19" s="387">
        <v>76957936.609999999</v>
      </c>
      <c r="F19" s="387">
        <v>357354927.80000001</v>
      </c>
      <c r="G19" s="387">
        <v>209685160.52000001</v>
      </c>
      <c r="H19" s="387">
        <v>575562569.87</v>
      </c>
      <c r="I19" s="387">
        <v>321616613.01999998</v>
      </c>
      <c r="J19" s="387">
        <v>580993382.25999999</v>
      </c>
      <c r="K19" s="387">
        <v>410426762.06</v>
      </c>
      <c r="L19" s="387">
        <v>259533298.91</v>
      </c>
    </row>
    <row r="20" spans="1:13">
      <c r="A20" s="386" t="s">
        <v>278</v>
      </c>
      <c r="E20" s="387">
        <v>29.67</v>
      </c>
      <c r="F20" s="387">
        <v>33.270000000000003</v>
      </c>
      <c r="G20" s="387">
        <v>32.79</v>
      </c>
      <c r="H20" s="387">
        <v>35.44</v>
      </c>
      <c r="I20" s="387">
        <v>34.119999999999997</v>
      </c>
      <c r="J20" s="387">
        <v>33.32</v>
      </c>
      <c r="K20" s="387">
        <v>36.56</v>
      </c>
      <c r="L20" s="387">
        <v>37.229999999999997</v>
      </c>
      <c r="M20" s="387">
        <v>35.979999999999997</v>
      </c>
    </row>
    <row r="21" spans="1:13">
      <c r="A21" s="386" t="s">
        <v>355</v>
      </c>
      <c r="E21" s="387">
        <v>11.42</v>
      </c>
      <c r="F21" s="387">
        <v>19.86</v>
      </c>
      <c r="G21" s="387">
        <v>22.36</v>
      </c>
      <c r="H21" s="387">
        <v>27.02</v>
      </c>
      <c r="I21" s="387">
        <v>30.07</v>
      </c>
      <c r="J21" s="387">
        <v>30.71</v>
      </c>
      <c r="K21" s="387">
        <v>30.6</v>
      </c>
      <c r="L21" s="387">
        <v>26.44</v>
      </c>
      <c r="M21" s="387">
        <v>24.14</v>
      </c>
    </row>
    <row r="22" spans="1:13">
      <c r="A22" s="386" t="s">
        <v>347</v>
      </c>
    </row>
    <row r="23" spans="1:13">
      <c r="A23" s="386" t="s">
        <v>353</v>
      </c>
      <c r="C23" s="387">
        <v>294471045.12</v>
      </c>
      <c r="D23" s="387">
        <v>469944909.74000001</v>
      </c>
      <c r="E23" s="387">
        <v>111915592.90000001</v>
      </c>
      <c r="F23" s="387">
        <v>270096580.49000001</v>
      </c>
      <c r="G23" s="387">
        <v>123915131.94</v>
      </c>
      <c r="H23" s="387">
        <v>334728785.07999998</v>
      </c>
      <c r="I23" s="387">
        <v>191599930.91</v>
      </c>
      <c r="J23" s="387">
        <v>294912269.31</v>
      </c>
      <c r="K23" s="387">
        <v>106481627.76000001</v>
      </c>
      <c r="L23" s="387">
        <v>40782140.159999996</v>
      </c>
      <c r="M23" s="387">
        <v>6516800</v>
      </c>
    </row>
    <row r="24" spans="1:13">
      <c r="A24" s="386" t="s">
        <v>354</v>
      </c>
      <c r="C24" s="387">
        <v>235668389.38999999</v>
      </c>
      <c r="H24" s="387">
        <v>283433005.99000001</v>
      </c>
      <c r="I24" s="387">
        <v>165586169.87</v>
      </c>
      <c r="J24" s="387">
        <v>220709121.72</v>
      </c>
      <c r="K24" s="387">
        <v>83520653.879999995</v>
      </c>
      <c r="L24" s="387">
        <v>33135289.809999999</v>
      </c>
    </row>
    <row r="25" spans="1:13">
      <c r="A25" s="386" t="s">
        <v>277</v>
      </c>
      <c r="C25" s="387">
        <v>58802655.729999997</v>
      </c>
      <c r="H25" s="387">
        <v>51295779.090000004</v>
      </c>
      <c r="I25" s="387">
        <v>26013761.039999999</v>
      </c>
      <c r="J25" s="387">
        <v>74203147.590000004</v>
      </c>
      <c r="K25" s="387">
        <v>22960973.879999999</v>
      </c>
      <c r="L25" s="387">
        <v>7646850.3499999996</v>
      </c>
    </row>
    <row r="26" spans="1:13">
      <c r="A26" s="386" t="s">
        <v>278</v>
      </c>
      <c r="C26" s="387">
        <v>19.97</v>
      </c>
      <c r="H26" s="387">
        <v>15.32</v>
      </c>
      <c r="I26" s="387">
        <v>13.58</v>
      </c>
      <c r="J26" s="387">
        <v>25.16</v>
      </c>
      <c r="K26" s="387">
        <v>21.56</v>
      </c>
      <c r="L26" s="387">
        <v>18.75</v>
      </c>
      <c r="M26" s="387">
        <v>32.119999999999997</v>
      </c>
    </row>
    <row r="27" spans="1:13">
      <c r="A27" s="386" t="s">
        <v>355</v>
      </c>
      <c r="C27" s="387">
        <v>11.34</v>
      </c>
      <c r="D27" s="387">
        <v>8.81</v>
      </c>
      <c r="E27" s="387">
        <v>4.93</v>
      </c>
      <c r="F27" s="387">
        <v>4.99</v>
      </c>
      <c r="G27" s="387">
        <v>4.33</v>
      </c>
      <c r="H27" s="387">
        <v>5.57</v>
      </c>
      <c r="I27" s="387">
        <v>6.11</v>
      </c>
      <c r="J27" s="387">
        <v>5.19</v>
      </c>
      <c r="K27" s="387">
        <v>2.9</v>
      </c>
      <c r="L27" s="387">
        <v>1.55</v>
      </c>
      <c r="M27" s="387">
        <v>0.37</v>
      </c>
    </row>
    <row r="28" spans="1:13">
      <c r="A28" s="386" t="s">
        <v>358</v>
      </c>
    </row>
    <row r="29" spans="1:13">
      <c r="A29" s="386" t="s">
        <v>353</v>
      </c>
      <c r="C29" s="387">
        <v>133841975.81</v>
      </c>
      <c r="D29" s="387">
        <v>366914673.01999998</v>
      </c>
      <c r="E29" s="387">
        <v>189909404.97</v>
      </c>
      <c r="F29" s="387">
        <v>390795099.88999999</v>
      </c>
      <c r="G29" s="387">
        <v>199649786.38999999</v>
      </c>
      <c r="H29" s="387">
        <v>538586773.72000003</v>
      </c>
      <c r="I29" s="387">
        <v>270696007.13</v>
      </c>
      <c r="J29" s="387">
        <v>504232439.63999999</v>
      </c>
      <c r="K29" s="387">
        <v>356953456.45999998</v>
      </c>
      <c r="L29" s="387">
        <v>267368924.53</v>
      </c>
      <c r="M29" s="387">
        <v>154509200</v>
      </c>
    </row>
    <row r="30" spans="1:13">
      <c r="A30" s="386" t="s">
        <v>354</v>
      </c>
      <c r="H30" s="387">
        <v>443485985.99000001</v>
      </c>
      <c r="I30" s="387">
        <v>216020176.27000001</v>
      </c>
      <c r="J30" s="387">
        <v>368162744.00999999</v>
      </c>
      <c r="K30" s="387">
        <v>253965981.46000001</v>
      </c>
      <c r="L30" s="387">
        <v>187087118.59999999</v>
      </c>
    </row>
    <row r="31" spans="1:13">
      <c r="A31" s="386" t="s">
        <v>277</v>
      </c>
      <c r="H31" s="387">
        <v>95100787.730000004</v>
      </c>
      <c r="I31" s="387">
        <v>54675830.859999999</v>
      </c>
      <c r="J31" s="387">
        <v>136069695.63</v>
      </c>
      <c r="K31" s="387">
        <v>102987475</v>
      </c>
      <c r="L31" s="387">
        <v>80281805.930000007</v>
      </c>
    </row>
    <row r="32" spans="1:13">
      <c r="A32" s="386" t="s">
        <v>278</v>
      </c>
      <c r="H32" s="387">
        <v>17.66</v>
      </c>
      <c r="I32" s="387">
        <v>20.2</v>
      </c>
      <c r="J32" s="387">
        <v>26.99</v>
      </c>
      <c r="K32" s="387">
        <v>28.85</v>
      </c>
      <c r="L32" s="387">
        <v>30.03</v>
      </c>
      <c r="M32" s="387">
        <v>31.85</v>
      </c>
    </row>
    <row r="33" spans="1:13">
      <c r="A33" s="386" t="s">
        <v>355</v>
      </c>
      <c r="C33" s="387">
        <v>5.15</v>
      </c>
      <c r="D33" s="387">
        <v>6.87</v>
      </c>
      <c r="E33" s="387">
        <v>8.36</v>
      </c>
      <c r="F33" s="387">
        <v>7.23</v>
      </c>
      <c r="G33" s="387">
        <v>6.98</v>
      </c>
      <c r="H33" s="387">
        <v>8.9600000000000009</v>
      </c>
      <c r="I33" s="387">
        <v>8.64</v>
      </c>
      <c r="J33" s="387">
        <v>8.8800000000000008</v>
      </c>
      <c r="K33" s="387">
        <v>9.73</v>
      </c>
      <c r="L33" s="387">
        <v>10.14</v>
      </c>
      <c r="M33" s="387">
        <v>8.6999999999999993</v>
      </c>
    </row>
    <row r="34" spans="1:13">
      <c r="A34" s="386" t="s">
        <v>359</v>
      </c>
    </row>
    <row r="35" spans="1:13">
      <c r="A35" s="386" t="s">
        <v>353</v>
      </c>
      <c r="E35" s="387">
        <v>33090480.09</v>
      </c>
      <c r="F35" s="387">
        <v>76795883.75</v>
      </c>
      <c r="G35" s="387">
        <v>45096958.109999999</v>
      </c>
      <c r="H35" s="387">
        <v>97652424.140000001</v>
      </c>
      <c r="I35" s="387">
        <v>54913571.409999996</v>
      </c>
      <c r="J35" s="387">
        <v>89242311.620000005</v>
      </c>
      <c r="K35" s="387">
        <v>39545024.380000003</v>
      </c>
      <c r="L35" s="387">
        <v>42865823.789999999</v>
      </c>
      <c r="M35" s="387">
        <v>14620800</v>
      </c>
    </row>
    <row r="36" spans="1:13">
      <c r="A36" s="386" t="s">
        <v>354</v>
      </c>
      <c r="H36" s="387">
        <v>100601499.27</v>
      </c>
      <c r="I36" s="387">
        <v>57125151.219999999</v>
      </c>
      <c r="J36" s="387">
        <v>85580674.620000005</v>
      </c>
      <c r="K36" s="387">
        <v>35443458.920000002</v>
      </c>
      <c r="L36" s="387">
        <v>38348259.789999999</v>
      </c>
    </row>
    <row r="37" spans="1:13">
      <c r="A37" s="386" t="s">
        <v>277</v>
      </c>
      <c r="H37" s="387">
        <v>-2949075.13</v>
      </c>
      <c r="I37" s="387">
        <v>-2211579.81</v>
      </c>
      <c r="J37" s="387">
        <v>3661637</v>
      </c>
      <c r="K37" s="387">
        <v>4101565.46</v>
      </c>
      <c r="L37" s="387">
        <v>4517564</v>
      </c>
    </row>
    <row r="38" spans="1:13">
      <c r="A38" s="386" t="s">
        <v>278</v>
      </c>
      <c r="J38" s="387">
        <v>4.0999999999999996</v>
      </c>
      <c r="K38" s="387">
        <v>10.37</v>
      </c>
      <c r="L38" s="387">
        <v>10.54</v>
      </c>
      <c r="M38" s="387">
        <v>9.99</v>
      </c>
    </row>
    <row r="39" spans="1:13">
      <c r="A39" s="386" t="s">
        <v>355</v>
      </c>
      <c r="E39" s="387">
        <v>1.46</v>
      </c>
      <c r="F39" s="387">
        <v>1.42</v>
      </c>
      <c r="G39" s="387">
        <v>1.58</v>
      </c>
      <c r="H39" s="387">
        <v>1.62</v>
      </c>
      <c r="I39" s="387">
        <v>1.75</v>
      </c>
      <c r="J39" s="387">
        <v>1.57</v>
      </c>
      <c r="K39" s="387">
        <v>1.08</v>
      </c>
      <c r="L39" s="387">
        <v>1.63</v>
      </c>
      <c r="M39" s="387">
        <v>0.82</v>
      </c>
    </row>
    <row r="40" spans="1:13">
      <c r="A40" s="386" t="s">
        <v>360</v>
      </c>
    </row>
    <row r="41" spans="1:13">
      <c r="A41" s="386" t="s">
        <v>353</v>
      </c>
      <c r="C41" s="387">
        <v>309739381.86000001</v>
      </c>
      <c r="D41" s="387">
        <v>468223956.25</v>
      </c>
      <c r="E41" s="387">
        <v>112209222.54000001</v>
      </c>
      <c r="F41" s="387">
        <v>164372792.93000001</v>
      </c>
      <c r="G41" s="387">
        <v>51789063.149999999</v>
      </c>
      <c r="H41" s="387">
        <v>80647021.609999999</v>
      </c>
      <c r="I41" s="387">
        <v>34559482.32</v>
      </c>
      <c r="J41" s="387">
        <v>40537921.329999998</v>
      </c>
      <c r="K41" s="387">
        <v>31362012.370000001</v>
      </c>
      <c r="L41" s="387">
        <v>16809751.559999999</v>
      </c>
      <c r="M41" s="387">
        <v>23148800</v>
      </c>
    </row>
    <row r="42" spans="1:13">
      <c r="A42" s="386" t="s">
        <v>354</v>
      </c>
      <c r="H42" s="387">
        <v>69150524.420000002</v>
      </c>
      <c r="I42" s="387">
        <v>26579924.010000002</v>
      </c>
      <c r="J42" s="387">
        <v>31070476.850000001</v>
      </c>
      <c r="K42" s="387">
        <v>23265053.170000002</v>
      </c>
      <c r="L42" s="387">
        <v>12565987.33</v>
      </c>
    </row>
    <row r="43" spans="1:13">
      <c r="A43" s="386" t="s">
        <v>277</v>
      </c>
      <c r="H43" s="387">
        <v>11496497.189999999</v>
      </c>
      <c r="I43" s="387">
        <v>7979558.3099999996</v>
      </c>
      <c r="J43" s="387">
        <v>9467444.4800000004</v>
      </c>
      <c r="K43" s="387">
        <v>8096959.2000000002</v>
      </c>
      <c r="L43" s="387">
        <v>4243764.2300000004</v>
      </c>
    </row>
    <row r="44" spans="1:13">
      <c r="A44" s="386" t="s">
        <v>278</v>
      </c>
      <c r="H44" s="387">
        <v>14.26</v>
      </c>
      <c r="I44" s="387">
        <v>23.09</v>
      </c>
      <c r="J44" s="387">
        <v>23.35</v>
      </c>
      <c r="K44" s="387">
        <v>25.82</v>
      </c>
      <c r="L44" s="387">
        <v>25.25</v>
      </c>
      <c r="M44" s="387">
        <v>38.409999999999997</v>
      </c>
    </row>
    <row r="45" spans="1:13">
      <c r="A45" s="386" t="s">
        <v>355</v>
      </c>
      <c r="C45" s="387">
        <v>11.93</v>
      </c>
      <c r="D45" s="387">
        <v>8.77</v>
      </c>
      <c r="E45" s="387">
        <v>4.9400000000000004</v>
      </c>
      <c r="F45" s="387">
        <v>3.04</v>
      </c>
      <c r="G45" s="387">
        <v>1.81</v>
      </c>
      <c r="H45" s="387">
        <v>1.34</v>
      </c>
      <c r="I45" s="387">
        <v>1.1000000000000001</v>
      </c>
      <c r="J45" s="387">
        <v>0.71</v>
      </c>
      <c r="K45" s="387">
        <v>0.85</v>
      </c>
      <c r="L45" s="387">
        <v>0.64</v>
      </c>
      <c r="M45" s="387">
        <v>1.3</v>
      </c>
    </row>
    <row r="46" spans="1:13">
      <c r="A46" s="386" t="s">
        <v>361</v>
      </c>
    </row>
    <row r="47" spans="1:13">
      <c r="A47" s="386" t="s">
        <v>353</v>
      </c>
      <c r="H47" s="387">
        <v>30269373.75</v>
      </c>
      <c r="I47" s="387">
        <v>6317126.8099999996</v>
      </c>
      <c r="J47" s="387">
        <v>10832970.02</v>
      </c>
      <c r="K47" s="387">
        <v>8340888.7000000002</v>
      </c>
      <c r="L47" s="387">
        <v>7067893.0099999998</v>
      </c>
      <c r="M47" s="387">
        <v>3906900</v>
      </c>
    </row>
    <row r="48" spans="1:13">
      <c r="A48" s="386" t="s">
        <v>354</v>
      </c>
      <c r="H48" s="387">
        <v>15471596.960000001</v>
      </c>
      <c r="I48" s="387">
        <v>4133851.18</v>
      </c>
      <c r="J48" s="387">
        <v>3859567.99</v>
      </c>
      <c r="K48" s="387">
        <v>5277376</v>
      </c>
      <c r="L48" s="387">
        <v>4952826.91</v>
      </c>
    </row>
    <row r="49" spans="1:13">
      <c r="A49" s="386" t="s">
        <v>277</v>
      </c>
      <c r="H49" s="387">
        <v>14797776.789999999</v>
      </c>
      <c r="I49" s="387">
        <v>2183275.63</v>
      </c>
      <c r="J49" s="387">
        <v>6973402.0300000003</v>
      </c>
      <c r="K49" s="387">
        <v>3063512.7</v>
      </c>
      <c r="L49" s="387">
        <v>2115066.1</v>
      </c>
    </row>
    <row r="50" spans="1:13">
      <c r="A50" s="386" t="s">
        <v>278</v>
      </c>
      <c r="H50" s="387">
        <v>48.89</v>
      </c>
      <c r="I50" s="387">
        <v>34.56</v>
      </c>
      <c r="J50" s="387">
        <v>64.37</v>
      </c>
      <c r="K50" s="387">
        <v>36.729999999999997</v>
      </c>
      <c r="L50" s="387">
        <v>29.92</v>
      </c>
    </row>
    <row r="51" spans="1:13">
      <c r="A51" s="386" t="s">
        <v>355</v>
      </c>
      <c r="H51" s="387">
        <v>0.5</v>
      </c>
      <c r="I51" s="387">
        <v>0.2</v>
      </c>
      <c r="J51" s="387">
        <v>0.19</v>
      </c>
      <c r="K51" s="387">
        <v>0.23</v>
      </c>
      <c r="L51" s="387">
        <v>0.27</v>
      </c>
      <c r="M51" s="387">
        <v>0.22</v>
      </c>
    </row>
    <row r="52" spans="1:13">
      <c r="A52" s="386" t="s">
        <v>362</v>
      </c>
    </row>
    <row r="53" spans="1:13">
      <c r="A53" s="386" t="s">
        <v>353</v>
      </c>
      <c r="C53" s="387">
        <v>2327923048.8000002</v>
      </c>
      <c r="D53" s="387">
        <v>4520065495.6700001</v>
      </c>
      <c r="E53" s="387">
        <v>1900476812.77</v>
      </c>
      <c r="F53" s="387">
        <v>4520780055.7399998</v>
      </c>
      <c r="G53" s="387">
        <v>2437557354.0799999</v>
      </c>
      <c r="H53" s="387">
        <v>5144937318.2299995</v>
      </c>
      <c r="I53" s="387">
        <v>2714848876.3099999</v>
      </c>
      <c r="J53" s="387">
        <v>4805134410.9099998</v>
      </c>
      <c r="K53" s="387">
        <v>2736166456</v>
      </c>
      <c r="L53" s="387">
        <v>1986553347.04</v>
      </c>
      <c r="M53" s="387">
        <v>1422870300</v>
      </c>
    </row>
    <row r="54" spans="1:13">
      <c r="A54" s="386" t="s">
        <v>354</v>
      </c>
      <c r="C54" s="387">
        <v>1827286270.4400001</v>
      </c>
      <c r="D54" s="387">
        <v>3533665771.4499998</v>
      </c>
      <c r="E54" s="387">
        <v>1477087599.8499999</v>
      </c>
      <c r="F54" s="387">
        <v>3471462904.2600002</v>
      </c>
      <c r="G54" s="387">
        <v>1806355264.3900001</v>
      </c>
      <c r="H54" s="387">
        <v>3826207950.5900002</v>
      </c>
      <c r="I54" s="387">
        <v>2007424415.96</v>
      </c>
      <c r="J54" s="387">
        <v>3485108314.6799998</v>
      </c>
      <c r="K54" s="387">
        <v>1947784977.22</v>
      </c>
      <c r="L54" s="387">
        <v>1471249163.71</v>
      </c>
    </row>
    <row r="55" spans="1:13">
      <c r="A55" s="386" t="s">
        <v>277</v>
      </c>
      <c r="C55" s="387">
        <v>500636778.36000001</v>
      </c>
      <c r="D55" s="387">
        <v>986399724.22000003</v>
      </c>
      <c r="E55" s="387">
        <v>423389212.92000002</v>
      </c>
      <c r="F55" s="387">
        <v>1049317151.48</v>
      </c>
      <c r="G55" s="387">
        <v>631202089.69000006</v>
      </c>
      <c r="H55" s="387">
        <v>1318729367.6400001</v>
      </c>
      <c r="I55" s="387">
        <v>707424460.35000002</v>
      </c>
      <c r="J55" s="387">
        <v>1320026096.23</v>
      </c>
      <c r="K55" s="387">
        <v>788381478.77999997</v>
      </c>
      <c r="L55" s="387">
        <v>515304183.32999998</v>
      </c>
    </row>
    <row r="56" spans="1:13">
      <c r="A56" s="386" t="s">
        <v>278</v>
      </c>
      <c r="C56" s="387">
        <v>21.51</v>
      </c>
      <c r="D56" s="387">
        <v>21.82</v>
      </c>
      <c r="E56" s="387">
        <v>22.28</v>
      </c>
      <c r="F56" s="387">
        <v>23.21</v>
      </c>
      <c r="G56" s="387">
        <v>25.89</v>
      </c>
      <c r="H56" s="387">
        <v>25.63</v>
      </c>
      <c r="I56" s="387">
        <v>26.06</v>
      </c>
      <c r="J56" s="387">
        <v>27.47</v>
      </c>
      <c r="K56" s="387">
        <v>28.81</v>
      </c>
      <c r="L56" s="387">
        <v>25.94</v>
      </c>
    </row>
    <row r="57" spans="1:13">
      <c r="A57" s="386" t="s">
        <v>355</v>
      </c>
      <c r="C57" s="387">
        <v>89.66</v>
      </c>
      <c r="D57" s="387">
        <v>84.69</v>
      </c>
      <c r="E57" s="387">
        <v>83.67</v>
      </c>
      <c r="F57" s="387">
        <v>83.58</v>
      </c>
      <c r="G57" s="387">
        <v>85.23</v>
      </c>
      <c r="H57" s="387">
        <v>85.6</v>
      </c>
      <c r="I57" s="387">
        <v>86.61</v>
      </c>
      <c r="J57" s="387">
        <v>84.63</v>
      </c>
      <c r="K57" s="387">
        <v>74.59</v>
      </c>
      <c r="L57" s="387">
        <v>75.34</v>
      </c>
      <c r="M57" s="387">
        <v>80.11</v>
      </c>
    </row>
    <row r="58" spans="1:13">
      <c r="A58" s="386" t="s">
        <v>363</v>
      </c>
    </row>
    <row r="59" spans="1:13">
      <c r="A59" s="386" t="s">
        <v>353</v>
      </c>
      <c r="C59" s="387">
        <v>268575692.32999998</v>
      </c>
      <c r="D59" s="387">
        <v>817177014.41999996</v>
      </c>
      <c r="E59" s="387">
        <v>370830511.94</v>
      </c>
      <c r="F59" s="387">
        <v>887960015.13999999</v>
      </c>
      <c r="G59" s="387">
        <v>422585238.11000001</v>
      </c>
      <c r="H59" s="387">
        <v>835094156.66999996</v>
      </c>
      <c r="I59" s="387">
        <v>413281406.88</v>
      </c>
      <c r="J59" s="387">
        <v>862066141.95000005</v>
      </c>
      <c r="K59" s="387">
        <v>923741031.25999999</v>
      </c>
      <c r="L59" s="387">
        <v>643067260.52999997</v>
      </c>
      <c r="M59" s="387">
        <v>349366900</v>
      </c>
    </row>
    <row r="60" spans="1:13">
      <c r="A60" s="386" t="s">
        <v>354</v>
      </c>
      <c r="C60" s="387">
        <v>191653146.22</v>
      </c>
      <c r="D60" s="387">
        <v>589532434.27999997</v>
      </c>
      <c r="E60" s="387">
        <v>292722633.85000002</v>
      </c>
      <c r="F60" s="387">
        <v>639631103.21000004</v>
      </c>
      <c r="G60" s="387">
        <v>315030828.38999999</v>
      </c>
      <c r="H60" s="387">
        <v>619339373.76999998</v>
      </c>
      <c r="I60" s="387">
        <v>307112087.13999999</v>
      </c>
      <c r="J60" s="387">
        <v>658915471.80999994</v>
      </c>
      <c r="K60" s="387">
        <v>726157185.08000004</v>
      </c>
      <c r="L60" s="387">
        <v>520475215.91000003</v>
      </c>
    </row>
    <row r="61" spans="1:13">
      <c r="A61" s="386" t="s">
        <v>277</v>
      </c>
      <c r="C61" s="387">
        <v>76922546.109999999</v>
      </c>
      <c r="D61" s="387">
        <v>227644580.13999999</v>
      </c>
      <c r="E61" s="387">
        <v>78107878.090000004</v>
      </c>
      <c r="F61" s="387">
        <v>248328911.93000001</v>
      </c>
      <c r="G61" s="387">
        <v>107554409.72</v>
      </c>
      <c r="H61" s="387">
        <v>215754782.90000001</v>
      </c>
      <c r="I61" s="387">
        <v>106169319.73999999</v>
      </c>
      <c r="J61" s="387">
        <v>203150670.13999999</v>
      </c>
      <c r="K61" s="387">
        <v>197583846.18000001</v>
      </c>
      <c r="L61" s="387">
        <v>122592044.62</v>
      </c>
    </row>
    <row r="62" spans="1:13">
      <c r="A62" s="386" t="s">
        <v>278</v>
      </c>
      <c r="C62" s="387">
        <v>28.64</v>
      </c>
      <c r="D62" s="387">
        <v>27.86</v>
      </c>
      <c r="E62" s="387">
        <v>21.06</v>
      </c>
      <c r="F62" s="387">
        <v>27.97</v>
      </c>
      <c r="G62" s="387">
        <v>25.45</v>
      </c>
      <c r="H62" s="387">
        <v>25.84</v>
      </c>
      <c r="I62" s="387">
        <v>25.69</v>
      </c>
      <c r="J62" s="387">
        <v>23.57</v>
      </c>
      <c r="K62" s="387">
        <v>21.39</v>
      </c>
      <c r="L62" s="387">
        <v>19.059999999999999</v>
      </c>
    </row>
    <row r="63" spans="1:13">
      <c r="A63" s="386" t="s">
        <v>355</v>
      </c>
      <c r="C63" s="387">
        <v>10.34</v>
      </c>
      <c r="D63" s="387">
        <v>15.31</v>
      </c>
      <c r="E63" s="387">
        <v>16.329999999999998</v>
      </c>
      <c r="F63" s="387">
        <v>16.420000000000002</v>
      </c>
      <c r="G63" s="387">
        <v>14.77</v>
      </c>
      <c r="H63" s="387">
        <v>13.89</v>
      </c>
      <c r="I63" s="387">
        <v>13.19</v>
      </c>
      <c r="J63" s="387">
        <v>15.18</v>
      </c>
      <c r="K63" s="387">
        <v>25.18</v>
      </c>
      <c r="L63" s="387">
        <v>24.39</v>
      </c>
      <c r="M63" s="387">
        <v>19.670000000000002</v>
      </c>
    </row>
    <row r="64" spans="1:13">
      <c r="A64" s="386" t="s">
        <v>364</v>
      </c>
    </row>
    <row r="65" spans="1:13">
      <c r="A65" s="386" t="s">
        <v>353</v>
      </c>
      <c r="H65" s="387">
        <v>30269373.75</v>
      </c>
      <c r="I65" s="387">
        <v>6317126.8099999996</v>
      </c>
      <c r="J65" s="387">
        <v>10832970.02</v>
      </c>
      <c r="K65" s="387">
        <v>8340888.7000000002</v>
      </c>
      <c r="L65" s="387">
        <v>7067893.0099999998</v>
      </c>
      <c r="M65" s="387">
        <v>3906900</v>
      </c>
    </row>
    <row r="66" spans="1:13">
      <c r="A66" s="386" t="s">
        <v>354</v>
      </c>
      <c r="H66" s="387">
        <v>15471596.960000001</v>
      </c>
      <c r="I66" s="387">
        <v>4133851.18</v>
      </c>
      <c r="J66" s="387">
        <v>3859567.99</v>
      </c>
      <c r="K66" s="387">
        <v>5277376</v>
      </c>
      <c r="L66" s="387">
        <v>4952826.91</v>
      </c>
    </row>
    <row r="67" spans="1:13">
      <c r="A67" s="386" t="s">
        <v>277</v>
      </c>
      <c r="H67" s="387">
        <v>14797776.789999999</v>
      </c>
      <c r="I67" s="387">
        <v>2183275.63</v>
      </c>
      <c r="J67" s="387">
        <v>6973402.0300000003</v>
      </c>
      <c r="K67" s="387">
        <v>3063512.7</v>
      </c>
      <c r="L67" s="387">
        <v>2115066.1</v>
      </c>
    </row>
    <row r="68" spans="1:13">
      <c r="A68" s="386" t="s">
        <v>278</v>
      </c>
      <c r="H68" s="387">
        <v>48.89</v>
      </c>
      <c r="I68" s="387">
        <v>34.56</v>
      </c>
      <c r="J68" s="387">
        <v>64.37</v>
      </c>
      <c r="K68" s="387">
        <v>36.729999999999997</v>
      </c>
      <c r="L68" s="387">
        <v>29.92</v>
      </c>
    </row>
    <row r="69" spans="1:13">
      <c r="A69" s="386" t="s">
        <v>355</v>
      </c>
      <c r="H69" s="387">
        <v>0.5</v>
      </c>
      <c r="I69" s="387">
        <v>0.2</v>
      </c>
      <c r="J69" s="387">
        <v>0.19</v>
      </c>
      <c r="K69" s="387">
        <v>0.23</v>
      </c>
      <c r="L69" s="387">
        <v>0.27</v>
      </c>
      <c r="M69" s="387">
        <v>0.22</v>
      </c>
    </row>
    <row r="70" spans="1:13">
      <c r="A70" s="386" t="s">
        <v>91</v>
      </c>
      <c r="B70" s="386" t="s">
        <v>26</v>
      </c>
      <c r="C70" s="386" t="s">
        <v>26</v>
      </c>
      <c r="D70" s="386" t="s">
        <v>26</v>
      </c>
      <c r="E70" s="386" t="s">
        <v>26</v>
      </c>
      <c r="F70" s="386" t="s">
        <v>26</v>
      </c>
      <c r="G70" s="386" t="s">
        <v>26</v>
      </c>
      <c r="H70" s="386" t="s">
        <v>26</v>
      </c>
      <c r="I70" s="386" t="s">
        <v>26</v>
      </c>
      <c r="J70" s="386" t="s">
        <v>26</v>
      </c>
      <c r="K70" s="386" t="s">
        <v>26</v>
      </c>
      <c r="L70" s="386" t="s">
        <v>26</v>
      </c>
      <c r="M70" s="386" t="s">
        <v>26</v>
      </c>
    </row>
    <row r="71" spans="1:13">
      <c r="A71" s="386" t="s">
        <v>90</v>
      </c>
      <c r="B71" s="386" t="s">
        <v>26</v>
      </c>
      <c r="C71" s="386" t="s">
        <v>26</v>
      </c>
      <c r="D71" s="386" t="s">
        <v>26</v>
      </c>
      <c r="E71" s="386" t="s">
        <v>26</v>
      </c>
      <c r="F71" s="386" t="s">
        <v>26</v>
      </c>
      <c r="G71" s="386" t="s">
        <v>26</v>
      </c>
      <c r="H71" s="386" t="s">
        <v>26</v>
      </c>
      <c r="I71" s="386" t="s">
        <v>26</v>
      </c>
      <c r="J71" s="386" t="s">
        <v>26</v>
      </c>
      <c r="K71" s="386" t="s">
        <v>26</v>
      </c>
      <c r="L71" s="386" t="s">
        <v>26</v>
      </c>
      <c r="M71" s="386" t="s">
        <v>26</v>
      </c>
    </row>
    <row r="72" spans="1:13">
      <c r="A72" s="386" t="s">
        <v>89</v>
      </c>
      <c r="B72" s="386" t="s">
        <v>365</v>
      </c>
      <c r="C72" s="386" t="s">
        <v>365</v>
      </c>
      <c r="D72" s="386" t="s">
        <v>365</v>
      </c>
      <c r="E72" s="386" t="s">
        <v>365</v>
      </c>
      <c r="F72" s="386" t="s">
        <v>365</v>
      </c>
      <c r="G72" s="386" t="s">
        <v>365</v>
      </c>
      <c r="H72" s="386" t="s">
        <v>365</v>
      </c>
      <c r="I72" s="386" t="s">
        <v>365</v>
      </c>
      <c r="J72" s="386" t="s">
        <v>365</v>
      </c>
      <c r="K72" s="386" t="s">
        <v>365</v>
      </c>
      <c r="L72" s="386" t="s">
        <v>365</v>
      </c>
      <c r="M72" s="386" t="s">
        <v>365</v>
      </c>
    </row>
    <row r="73" spans="1:13">
      <c r="A73" s="386" t="s">
        <v>366</v>
      </c>
      <c r="B73" s="386" t="s">
        <v>158</v>
      </c>
      <c r="C73" s="386" t="s">
        <v>158</v>
      </c>
      <c r="D73" s="386" t="s">
        <v>158</v>
      </c>
      <c r="E73" s="386" t="s">
        <v>158</v>
      </c>
      <c r="F73" s="386" t="s">
        <v>158</v>
      </c>
      <c r="G73" s="386" t="s">
        <v>158</v>
      </c>
      <c r="H73" s="386" t="s">
        <v>158</v>
      </c>
      <c r="I73" s="386" t="s">
        <v>158</v>
      </c>
      <c r="J73" s="386" t="s">
        <v>158</v>
      </c>
      <c r="K73" s="386" t="s">
        <v>158</v>
      </c>
      <c r="L73" s="386" t="s">
        <v>158</v>
      </c>
      <c r="M73" s="386" t="s">
        <v>158</v>
      </c>
    </row>
    <row r="77" spans="1:13">
      <c r="A77" s="386" t="s">
        <v>367</v>
      </c>
    </row>
    <row r="78" spans="1:13">
      <c r="A78" s="385" t="s">
        <v>279</v>
      </c>
    </row>
  </sheetData>
  <pageMargins left="0.7" right="0.7" top="0.75" bottom="0.75" header="0.3" footer="0.3"/>
  <pageSetup paperSize="0" orientation="portrait" r:id="rId1"/>
  <customProperties>
    <customPr name="Qube.Worksheet.Visibility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u b m i s s i o n S h e e t T e m p l a t e W r a p p e r   x m l n s : x s d = " h t t p : / / w w w . w 3 . o r g / 2 0 0 1 / X M L S c h e m a "   x m l n s : x s i = " h t t p : / / w w w . w 3 . o r g / 2 0 0 1 / X M L S c h e m a - i n s t a n c e "   S h e e t I d = " f 0 6 8 7 9 5 b - 3 7 9 f - 4 5 6 5 - 9 3 c 3 - 2 0 3 4 4 9 1 d 9 e 9 8 "   x m l n s = " E x c h a n g e - S u b m i s s i o n S h e e t W r a p p e r " >  
     < T e m p l a t e H a s h > 2 0 2 1 8 6 5 9 3 4 < / T e m p l a t e H a s h >  
     < T e m p l a t e P e r i o d s >  
         < P e r i o d W r a p p e r >  
             < M i l e s t o n e > E S T < / M i l e s t o n e >  
             < E n d D a t e > 3 1 D e c 2 8 < / E n d D a t e >  
             < P e r i o d N u m b e r > 0 < / P e r i o d N u m b e r >  
             < P e r i o d T y p e > A < / P e r i o d T y p e >  
             < Y e a r > 2 0 2 8 < / Y e a r >  
         < / P e r i o d W r a p p e r >  
         < P e r i o d W r a p p e r >  
             < M i l e s t o n e > A C T < / M i l e s t o n e >  
             < E n d D a t e > 3 1 D e c 2 1 < / E n d D a t e >  
             < P e r i o d N u m b e r > 0 < / P e r i o d N u m b e r >  
             < P e r i o d T y p e > A < / P e r i o d T y p e >  
             < Y e a r > 2 0 2 1 < / Y e a r >  
         < / P e r i o d W r a p p e r >  
         < P e r i o d W r a p p e r >  
             < M i l e s t o n e > E S T < / M i l e s t o n e >  
             < E n d D a t e > 3 1 D e c 2 7 < / E n d D a t e >  
             < P e r i o d N u m b e r > 0 < / P e r i o d N u m b e r >  
             < P e r i o d T y p e > A < / P e r i o d T y p e >  
             < Y e a r > 2 0 2 7 < / Y e a r >  
         < / P e r i o d W r a p p e r >  
         < P e r i o d W r a p p e r >  
             < M i l e s t o n e > A C T < / M i l e s t o n e >  
             < E n d D a t e > 3 1 D e c 2 4 < / E n d D a t e >  
             < P e r i o d N u m b e r > 0 < / P e r i o d N u m b e r >  
             < P e r i o d T y p e > A < / P e r i o d T y p e >  
             < Y e a r > 2 0 2 4 < / Y e a r >  
         < / P e r i o d W r a p p e r >  
         < P e r i o d W r a p p e r >  
             < M i l e s t o n e > A C T < / M i l e s t o n e >  
             < E n d D a t e > 3 1 D e c 2 0 < / E n d D a t e >  
             < P e r i o d N u m b e r > 0 < / P e r i o d N u m b e r >  
             < P e r i o d T y p e > A < / P e r i o d T y p e >  
             < Y e a r > 2 0 2 0 < / Y e a r >  
         < / P e r i o d W r a p p e r >  
         < P e r i o d W r a p p e r >  
             < M i l e s t o n e > A C T < / M i l e s t o n e >  
             < E n d D a t e > 3 1 D e c 1 8 < / E n d D a t e >  
             < P e r i o d N u m b e r > 0 < / P e r i o d N u m b e r >  
             < P e r i o d T y p e > A < / P e r i o d T y p e >  
             < Y e a r > 2 0 1 8 < / Y e a r >  
         < / P e r i o d W r a p p e r >  
         < P e r i o d W r a p p e r >  
             < M i l e s t o n e > E S T < / M i l e s t o n e >  
             < E n d D a t e > 3 1 D e c 2 5 < / E n d D a t e >  
             < P e r i o d N u m b e r > 0 < / P e r i o d N u m b e r >  
             < P e r i o d T y p e > A < / P e r i o d T y p e >  
             < Y e a r > 2 0 2 5 < / Y e a r >  
         < / P e r i o d W r a p p e r >  
         < P e r i o d W r a p p e r >  
             < M i l e s t o n e > A C T < / M i l e s t o n e >  
             < E n d D a t e > 3 1 D e c 1 9 < / E n d D a t e >  
             < P e r i o d N u m b e r > 0 < / P e r i o d N u m b e r >  
             < P e r i o d T y p e > A < / P e r i o d T y p e >  
             < Y e a r > 2 0 1 9 < / Y e a r >  
         < / P e r i o d W r a p p e r >  
         < P e r i o d W r a p p e r >  
             < M i l e s t o n e > E S T < / M i l e s t o n e >  
             < E n d D a t e > 3 1 D e c 2 9 < / E n d D a t e >  
             < P e r i o d N u m b e r > 0 < / P e r i o d N u m b e r >  
             < P e r i o d T y p e > A < / P e r i o d T y p e >  
             < Y e a r > 2 0 2 9 < / Y e a r >  
         < / P e r i o d W r a p p e r >  
         < P e r i o d W r a p p e r >  
             < M i l e s t o n e > E S T < / M i l e s t o n e >  
             < E n d D a t e > 3 1 D e c 3 0 < / E n d D a t e >  
             < P e r i o d N u m b e r > 0 < / P e r i o d N u m b e r >  
             < P e r i o d T y p e > A < / P e r i o d T y p e >  
             < Y e a r > 2 0 3 0 < / Y e a r >  
         < / P e r i o d W r a p p e r >  
         < P e r i o d W r a p p e r >  
             < M i l e s t o n e > E S T < / M i l e s t o n e >  
             < E n d D a t e > 3 1 D e c 2 6 < / E n d D a t e >  
             < P e r i o d N u m b e r > 0 < / P e r i o d N u m b e r >  
             < P e r i o d T y p e > A < / P e r i o d T y p e >  
             < Y e a r > 2 0 2 6 < / Y e a r >  
         < / P e r i o d W r a p p e r >  
         < P e r i o d W r a p p e r >  
             < M i l e s t o n e > A C T < / M i l e s t o n e >  
             < E n d D a t e > 3 1 D e c 2 2 < / E n d D a t e >  
             < P e r i o d N u m b e r > 0 < / P e r i o d N u m b e r >  
             < P e r i o d T y p e > A < / P e r i o d T y p e >  
             < Y e a r > 2 0 2 2 < / Y e a r >  
         < / P e r i o d W r a p p e r >  
         < P e r i o d W r a p p e r >  
             < M i l e s t o n e > A C T < / M i l e s t o n e >  
             < E n d D a t e > 3 1 D e c 1 7 < / E n d D a t e >  
             < P e r i o d N u m b e r > 0 < / P e r i o d N u m b e r >  
             < P e r i o d T y p e > A < / P e r i o d T y p e >  
             < Y e a r > 2 0 1 7 < / Y e a r >  
         < / P e r i o d W r a p p e r >  
         < P e r i o d W r a p p e r >  
             < M i l e s t o n e > A C T < / M i l e s t o n e >  
             < E n d D a t e > 3 1 D e c 2 3 < / E n d D a t e >  
             < P e r i o d N u m b e r > 0 < / P e r i o d N u m b e r >  
             < P e r i o d T y p e > A < / P e r i o d T y p e >  
             < Y e a r > 2 0 2 3 < / Y e a r >  
         < / P e r i o d W r a p p e r >  
         < P e r i o d W r a p p e r >  
             < M i l e s t o n e > A C T < / M i l e s t o n e >  
             < E n d D a t e > 3 0 J u n 2 3 < / E n d D a t e >  
             < P e r i o d N u m b e r > 2 < / P e r i o d N u m b e r >  
             < P e r i o d T y p e > Q < / P e r i o d T y p e >  
             < Y e a r > 2 0 2 3 < / Y e a r >  
         < / P e r i o d W r a p p e r >  
         < P e r i o d W r a p p e r >  
             < M i l e s t o n e > E S T < / M i l e s t o n e >  
             < E n d D a t e > 3 1 M a r 3 0 < / E n d D a t e >  
             < P e r i o d N u m b e r > 1 < / P e r i o d N u m b e r >  
             < P e r i o d T y p e > Q < / P e r i o d T y p e >  
             < Y e a r > 2 0 3 0 < / Y e a r >  
         < / P e r i o d W r a p p e r >  
         < P e r i o d W r a p p e r >  
             < M i l e s t o n e > A C T < / M i l e s t o n e >  
             < E n d D a t e > 3 0 J u n 2 4 < / E n d D a t e >  
             < P e r i o d N u m b e r > 2 < / P e r i o d N u m b e r >  
             < P e r i o d T y p e > Q < / P e r i o d T y p e >  
             < Y e a r > 2 0 2 4 < / Y e a r >  
         < / P e r i o d W r a p p e r >  
         < P e r i o d W r a p p e r >  
             < M i l e s t o n e > A C T < / M i l e s t o n e >  
             < E n d D a t e > 3 0 J u n 1 9 < / E n d D a t e >  
             < P e r i o d N u m b e r > 2 < / P e r i o d N u m b e r >  
             < P e r i o d T y p e > Q < / P e r i o d T y p e >  
             < Y e a r > 2 0 1 9 < / Y e a r >  
         < / P e r i o d W r a p p e r >  
         < P e r i o d W r a p p e r >  
             < M i l e s t o n e > A C T < / M i l e s t o n e >  
             < E n d D a t e > 3 0 S e p 2 2 < / E n d D a t e >  
             < P e r i o d N u m b e r > 3 < / P e r i o d N u m b e r >  
             < P e r i o d T y p e > Q < / P e r i o d T y p e >  
             < Y e a r > 2 0 2 2 < / Y e a r >  
         < / P e r i o d W r a p p e r >  
         < P e r i o d W r a p p e r >  
             < M i l e s t o n e > A C T < / M i l e s t o n e >  
             < E n d D a t e > 3 1 M a r 2 2 < / E n d D a t e >  
             < P e r i o d N u m b e r > 1 < / P e r i o d N u m b e r >  
             < P e r i o d T y p e > Q < / P e r i o d T y p e >  
             < Y e a r > 2 0 2 2 < / Y e a r >  
         < / P e r i o d W r a p p e r >  
         < P e r i o d W r a p p e r >  
             < M i l e s t o n e > E S T < / M i l e s t o n e >  
             < E n d D a t e > 3 1 M a r 2 9 < / E n d D a t e >  
             < P e r i o d N u m b e r > 1 < / P e r i o d N u m b e r >  
             < P e r i o d T y p e > Q < / P e r i o d T y p e >  
             < Y e a r > 2 0 2 9 < / Y e a r >  
         < / P e r i o d W r a p p e r >  
         < P e r i o d W r a p p e r >  
             < M i l e s t o n e > E S T < / M i l e s t o n e >  
             < E n d D a t e > 3 0 J u n 2 5 < / E n d D a t e >  
             < P e r i o d N u m b e r > 2 < / P e r i o d N u m b e r >  
             < P e r i o d T y p e > Q < / P e r i o d T y p e >  
             < Y e a r > 2 0 2 5 < / Y e a r >  
         < / P e r i o d W r a p p e r >  
         < P e r i o d W r a p p e r >  
             < M i l e s t o n e > A C T < / M i l e s t o n e >  
             < E n d D a t e > 3 1 D e c 2 1 < / E n d D a t e >  
             < P e r i o d N u m b e r > 4 < / P e r i o d N u m b e r >  
             < P e r i o d T y p e > Q < / P e r i o d T y p e >  
             < Y e a r > 2 0 2 1 < / Y e a r >  
         < / P e r i o d W r a p p e r >  
         < P e r i o d W r a p p e r >  
             < M i l e s t o n e > A C T < / M i l e s t o n e >  
             < E n d D a t e > 3 0 J u n 2 2 < / E n d D a t e >  
             < P e r i o d N u m b e r > 2 < / P e r i o d N u m b e r >  
             < P e r i o d T y p e > Q < / P e r i o d T y p e >  
             < Y e a r > 2 0 2 2 < / Y e a r >  
         < / P e r i o d W r a p p e r >  
         < P e r i o d W r a p p e r >  
             < M i l e s t o n e > A C T < / M i l e s t o n e >  
             < E n d D a t e > 3 0 S e p 2 0 < / E n d D a t e >  
             < P e r i o d N u m b e r > 3 < / P e r i o d N u m b e r >  
             < P e r i o d T y p e > Q < / P e r i o d T y p e >  
             < Y e a r > 2 0 2 0 < / Y e a r >  
         < / P e r i o d W r a p p e r >  
         < P e r i o d W r a p p e r >  
             < M i l e s t o n e > A C T < / M i l e s t o n e >  
             < E n d D a t e > 3 0 S e p 1 9 < / E n d D a t e >  
             < P e r i o d N u m b e r > 3 < / P e r i o d N u m b e r >  
             < P e r i o d T y p e > Q < / P e r i o d T y p e >  
             < Y e a r > 2 0 1 9 < / Y e a r >  
         < / P e r i o d W r a p p e r >  
         < P e r i o d W r a p p e r >  
             < M i l e s t o n e > A C T < / M i l e s t o n e >  
             < E n d D a t e > 3 1 D e c 2 0 < / E n d D a t e >  
             < P e r i o d N u m b e r > 4 < / P e r i o d N u m b e r >  
             < P e r i o d T y p e > Q < / P e r i o d T y p e >  
             < Y e a r > 2 0 2 0 < / Y e a r >  
         < / P e r i o d W r a p p e r >  
         < P e r i o d W r a p p e r >  
             < M i l e s t o n e > E S T < / M i l e s t o n e >  
             < E n d D a t e > 3 0 S e p 2 8 < / E n d D a t e >  
             < P e r i o d N u m b e r > 3 < / P e r i o d N u m b e r >  
             < P e r i o d T y p e > Q < / P e r i o d T y p e >  
             < Y e a r > 2 0 2 8 < / Y e a r >  
         < / P e r i o d W r a p p e r >  
         < P e r i o d W r a p p e r >  
             < M i l e s t o n e > E S T < / M i l e s t o n e >  
             < E n d D a t e > 3 1 D e c 3 0 < / E n d D a t e >  
             < P e r i o d N u m b e r > 4 < / P e r i o d N u m b e r >  
             < P e r i o d T y p e > Q < / P e r i o d T y p e >  
             < Y e a r > 2 0 3 0 < / Y e a r >  
         < / P e r i o d W r a p p e r >  
         < P e r i o d W r a p p e r >  
             < M i l e s t o n e > E S T < / M i l e s t o n e >  
             < E n d D a t e > 3 1 D e c 2 5 < / E n d D a t e >  
             < P e r i o d N u m b e r > 4 < / P e r i o d N u m b e r >  
             < P e r i o d T y p e > Q < / P e r i o d T y p e >  
             < Y e a r > 2 0 2 5 < / Y e a r >  
         < / P e r i o d W r a p p e r >  
         < P e r i o d W r a p p e r >  
             < M i l e s t o n e > E S T < / M i l e s t o n e >  
             < E n d D a t e > 3 0 J u n 2 9 < / E n d D a t e >  
             < P e r i o d N u m b e r > 2 < / P e r i o d N u m b e r >  
             < P e r i o d T y p e > Q < / P e r i o d T y p e >  
             < Y e a r > 2 0 2 9 < / Y e a r >  
         < / P e r i o d W r a p p e r >  
         < P e r i o d W r a p p e r >  
             < M i l e s t o n e > E S T < / M i l e s t o n e >  
             < E n d D a t e > 3 0 J u n 2 8 < / E n d D a t e >  
             < P e r i o d N u m b e r > 2 < / P e r i o d N u m b e r >  
             < P e r i o d T y p e > Q < / P e r i o d T y p e >  
             < Y e a r > 2 0 2 8 < / Y e a r >  
         < / P e r i o d W r a p p e r >  
         < P e r i o d W r a p p e r >  
             < M i l e s t o n e > A C T < / M i l e s t o n e >  
             < E n d D a t e > 3 0 S e p 2 3 < / E n d D a t e >  
             < P e r i o d N u m b e r > 3 < / P e r i o d N u m b e r >  
             < P e r i o d T y p e > Q < / P e r i o d T y p e >  
             < Y e a r > 2 0 2 3 < / Y e a r >  
         < / P e r i o d W r a p p e r >  
         < P e r i o d W r a p p e r >  
             < M i l e s t o n e > E S T < / M i l e s t o n e >  
             < E n d D a t e > 3 0 S e p 3 0 < / E n d D a t e >  
             < P e r i o d N u m b e r > 3 < / P e r i o d N u m b e r >  
             < P e r i o d T y p e > Q < / P e r i o d T y p e >  
             < Y e a r > 2 0 3 0 < / Y e a r >  
         < / P e r i o d W r a p p e r >  
         < P e r i o d W r a p p e r >  
             < M i l e s t o n e > A C T < / M i l e s t o n e >  
             < E n d D a t e > 3 1 D e c 2 2 < / E n d D a t e >  
             < P e r i o d N u m b e r > 4 < / P e r i o d N u m b e r >  
             < P e r i o d T y p e > Q < / P e r i o d T y p e >  
             < Y e a r > 2 0 2 2 < / Y e a r >  
         < / P e r i o d W r a p p e r >  
         < P e r i o d W r a p p e r >  
             < M i l e s t o n e > A C T < / M i l e s t o n e >  
             < E n d D a t e > 3 1 M a r 1 9 < / E n d D a t e >  
             < P e r i o d N u m b e r > 1 < / P e r i o d N u m b e r >  
             < P e r i o d T y p e > Q < / P e r i o d T y p e >  
             < Y e a r > 2 0 1 9 < / Y e a r >  
         < / P e r i o d W r a p p e r >  
         < P e r i o d W r a p p e r >  
             < M i l e s t o n e > A C T < / M i l e s t o n e >  
             < E n d D a t e > 3 1 D e c 2 3 < / E n d D a t e >  
             < P e r i o d N u m b e r > 4 < / P e r i o d N u m b e r >  
             < P e r i o d T y p e > Q < / P e r i o d T y p e >  
             < Y e a r > 2 0 2 3 < / Y e a r >  
         < / P e r i o d W r a p p e r >  
         < P e r i o d W r a p p e r >  
             < M i l e s t o n e > A C T < / M i l e s t o n e >  
             < E n d D a t e > 3 1 D e c 2 4 < / E n d D a t e >  
             < P e r i o d N u m b e r > 4 < / P e r i o d N u m b e r >  
             < P e r i o d T y p e > Q < / P e r i o d T y p e >  
             < Y e a r > 2 0 2 4 < / Y e a r >  
         < / P e r i o d W r a p p e r >  
         < P e r i o d W r a p p e r >  
             < M i l e s t o n e > E S T < / M i l e s t o n e >  
             < E n d D a t e > 3 0 J u n 2 6 < / E n d D a t e >  
             < P e r i o d N u m b e r > 2 < / P e r i o d N u m b e r >  
             < P e r i o d T y p e > Q < / P e r i o d T y p e >  
             < Y e a r > 2 0 2 6 < / Y e a r >  
         < / P e r i o d W r a p p e r >  
         < P e r i o d W r a p p e r >  
             < M i l e s t o n e > A C T < / M i l e s t o n e >  
             < E n d D a t e > 3 1 M a r 2 1 < / E n d D a t e >  
             < P e r i o d N u m b e r > 1 < / P e r i o d N u m b e r >  
             < P e r i o d T y p e > Q < / P e r i o d T y p e >  
             < Y e a r > 2 0 2 1 < / Y e a r >  
         < / P e r i o d W r a p p e r >  
         < P e r i o d W r a p p e r >  
             < M i l e s t o n e > E S T < / M i l e s t o n e >  
             < E n d D a t e > 3 1 D e c 2 7 < / E n d D a t e >  
             < P e r i o d N u m b e r > 4 < / P e r i o d N u m b e r >  
             < P e r i o d T y p e > Q < / P e r i o d T y p e >  
             < Y e a r > 2 0 2 7 < / Y e a r >  
         < / P e r i o d W r a p p e r >  
         < P e r i o d W r a p p e r >  
             < M i l e s t o n e > A C T < / M i l e s t o n e >  
             < E n d D a t e > 3 1 M a r 2 0 < / E n d D a t e >  
             < P e r i o d N u m b e r > 1 < / P e r i o d N u m b e r >  
             < P e r i o d T y p e > Q < / P e r i o d T y p e >  
             < Y e a r > 2 0 2 0 < / Y e a r >  
         < / P e r i o d W r a p p e r >  
         < P e r i o d W r a p p e r >  
             < M i l e s t o n e > A C T < / M i l e s t o n e >  
             < E n d D a t e > 3 0 J u n 2 1 < / E n d D a t e >  
             < P e r i o d N u m b e r > 2 < / P e r i o d N u m b e r >  
             < P e r i o d T y p e > Q < / P e r i o d T y p e >  
             < Y e a r > 2 0 2 1 < / Y e a r >  
         < / P e r i o d W r a p p e r >  
         < P e r i o d W r a p p e r >  
             < M i l e s t o n e > E S T < / M i l e s t o n e >  
             < E n d D a t e > 3 0 S e p 2 6 < / E n d D a t e >  
             < P e r i o d N u m b e r > 3 < / P e r i o d N u m b e r >  
             < P e r i o d T y p e > Q < / P e r i o d T y p e >  
             < Y e a r > 2 0 2 6 < / Y e a r >  
         < / P e r i o d W r a p p e r >  
         < P e r i o d W r a p p e r >  
             < M i l e s t o n e > E S T < / M i l e s t o n e >  
             < E n d D a t e > 3 1 D e c 2 9 < / E n d D a t e >  
             < P e r i o d N u m b e r > 4 < / P e r i o d N u m b e r >  
             < P e r i o d T y p e > Q < / P e r i o d T y p e >  
             < Y e a r > 2 0 2 9 < / Y e a r >  
         < / P e r i o d W r a p p e r >  
         < P e r i o d W r a p p e r >  
             < M i l e s t o n e > E S T < / M i l e s t o n e >  
             < E n d D a t e > 3 0 S e p 2 7 < / E n d D a t e >  
             < P e r i o d N u m b e r > 3 < / P e r i o d N u m b e r >  
             < P e r i o d T y p e > Q < / P e r i o d T y p e >  
             < Y e a r > 2 0 2 7 < / Y e a r >  
         < / P e r i o d W r a p p e r >  
         < P e r i o d W r a p p e r >  
             < M i l e s t o n e > E S T < / M i l e s t o n e >  
             < E n d D a t e > 3 1 M a r 2 6 < / E n d D a t e >  
             < P e r i o d N u m b e r > 1 < / P e r i o d N u m b e r >  
             < P e r i o d T y p e > Q < / P e r i o d T y p e >  
             < Y e a r > 2 0 2 6 < / Y e a r >  
         < / P e r i o d W r a p p e r >  
         < P e r i o d W r a p p e r >  
             < M i l e s t o n e > A C T < / M i l e s t o n e >  
             < E n d D a t e > 3 0 J u n 2 0 < / E n d D a t e >  
             < P e r i o d N u m b e r > 2 < / P e r i o d N u m b e r >  
             < P e r i o d T y p e > Q < / P e r i o d T y p e >  
             < Y e a r > 2 0 2 0 < / Y e a r >  
         < / P e r i o d W r a p p e r >  
         < P e r i o d W r a p p e r >  
             < M i l e s t o n e > E S T < / M i l e s t o n e >  
             < E n d D a t e > 3 0 S e p 2 9 < / E n d D a t e >  
             < P e r i o d N u m b e r > 3 < / P e r i o d N u m b e r >  
             < P e r i o d T y p e > Q < / P e r i o d T y p e >  
             < Y e a r > 2 0 2 9 < / Y e a r >  
         < / P e r i o d W r a p p e r >  
         < P e r i o d W r a p p e r >  
             < M i l e s t o n e > E S T < / M i l e s t o n e >  
             < E n d D a t e > 3 0 J u n 3 0 < / E n d D a t e >  
             < P e r i o d N u m b e r > 2 < / P e r i o d N u m b e r >  
             < P e r i o d T y p e > Q < / P e r i o d T y p e >  
             < Y e a r > 2 0 3 0 < / Y e a r >  
         < / P e r i o d W r a p p e r >  
         < P e r i o d W r a p p e r >  
             < M i l e s t o n e > E S T < / M i l e s t o n e >  
             < E n d D a t e > 3 1 M a r 2 7 < / E n d D a t e >  
             < P e r i o d N u m b e r > 1 < / P e r i o d N u m b e r >  
             < P e r i o d T y p e > Q < / P e r i o d T y p e >  
             < Y e a r > 2 0 2 7 < / Y e a r >  
         < / P e r i o d W r a p p e r >  
         < P e r i o d W r a p p e r >  
             < M i l e s t o n e > A C T < / M i l e s t o n e >  
             < E n d D a t e > 3 1 M a r 2 5 < / E n d D a t e >  
             < P e r i o d N u m b e r > 1 < / P e r i o d N u m b e r >  
             < P e r i o d T y p e > Q < / P e r i o d T y p e >  
             < Y e a r > 2 0 2 5 < / Y e a r >  
         < / P e r i o d W r a p p e r >  
         < P e r i o d W r a p p e r >  
             < M i l e s t o n e > E S T < / M i l e s t o n e >  
             < E n d D a t e > 3 0 S e p 2 5 < / E n d D a t e >  
             < P e r i o d N u m b e r > 3 < / P e r i o d N u m b e r >  
             < P e r i o d T y p e > Q < / P e r i o d T y p e >  
             < Y e a r > 2 0 2 5 < / Y e a r >  
         < / P e r i o d W r a p p e r >  
         < P e r i o d W r a p p e r >  
             < M i l e s t o n e > A C T < / M i l e s t o n e >  
             < E n d D a t e > 3 0 S e p 2 4 < / E n d D a t e >  
             < P e r i o d N u m b e r > 3 < / P e r i o d N u m b e r >  
             < P e r i o d T y p e > Q < / P e r i o d T y p e >  
             < Y e a r > 2 0 2 4 < / Y e a r >  
         < / P e r i o d W r a p p e r >  
         < P e r i o d W r a p p e r >  
             < M i l e s t o n e > E S T < / M i l e s t o n e >  
             < E n d D a t e > 3 1 M a r 2 8 < / E n d D a t e >  
             < P e r i o d N u m b e r > 1 < / P e r i o d N u m b e r >  
             < P e r i o d T y p e > Q < / P e r i o d T y p e >  
             < Y e a r > 2 0 2 8 < / Y e a r >  
         < / P e r i o d W r a p p e r >  
         < P e r i o d W r a p p e r >  
             < M i l e s t o n e > A C T < / M i l e s t o n e >  
             < E n d D a t e > 3 1 D e c 1 9 < / E n d D a t e >  
             < P e r i o d N u m b e r > 4 < / P e r i o d N u m b e r >  
             < P e r i o d T y p e > Q < / P e r i o d T y p e >  
             < Y e a r > 2 0 1 9 < / Y e a r >  
         < / P e r i o d W r a p p e r >  
         < P e r i o d W r a p p e r >  
             < M i l e s t o n e > E S T < / M i l e s t o n e >  
             < E n d D a t e > 3 1 D e c 2 8 < / E n d D a t e >  
             < P e r i o d N u m b e r > 4 < / P e r i o d N u m b e r >  
             < P e r i o d T y p e > Q < / P e r i o d T y p e >  
             < Y e a r > 2 0 2 8 < / Y e a r >  
         < / P e r i o d W r a p p e r >  
         < P e r i o d W r a p p e r >  
             < M i l e s t o n e > A C T < / M i l e s t o n e >  
             < E n d D a t e > 3 0 S e p 2 1 < / E n d D a t e >  
             < P e r i o d N u m b e r > 3 < / P e r i o d N u m b e r >  
             < P e r i o d T y p e > Q < / P e r i o d T y p e >  
             < Y e a r > 2 0 2 1 < / Y e a r >  
         < / P e r i o d W r a p p e r >  
         < P e r i o d W r a p p e r >  
             < M i l e s t o n e > E S T < / M i l e s t o n e >  
             < E n d D a t e > 3 0 J u n 2 7 < / E n d D a t e >  
             < P e r i o d N u m b e r > 2 < / P e r i o d N u m b e r >  
             < P e r i o d T y p e > Q < / P e r i o d T y p e >  
             < Y e a r > 2 0 2 7 < / Y e a r >  
         < / P e r i o d W r a p p e r >  
         < P e r i o d W r a p p e r >  
             < M i l e s t o n e > A C T < / M i l e s t o n e >  
             < E n d D a t e > 3 1 M a r 2 4 < / E n d D a t e >  
             < P e r i o d N u m b e r > 1 < / P e r i o d N u m b e r >  
             < P e r i o d T y p e > Q < / P e r i o d T y p e >  
             < Y e a r > 2 0 2 4 < / Y e a r >  
         < / P e r i o d W r a p p e r >  
         < P e r i o d W r a p p e r >  
             < M i l e s t o n e > A C T < / M i l e s t o n e >  
             < E n d D a t e > 3 1 M a r 2 3 < / E n d D a t e >  
             < P e r i o d N u m b e r > 1 < / P e r i o d N u m b e r >  
             < P e r i o d T y p e > Q < / P e r i o d T y p e >  
             < Y e a r > 2 0 2 3 < / Y e a r >  
         < / P e r i o d W r a p p e r >  
         < P e r i o d W r a p p e r >  
             < M i l e s t o n e > E S T < / M i l e s t o n e >  
             < E n d D a t e > 3 1 D e c 2 6 < / E n d D a t e >  
             < P e r i o d N u m b e r > 4 < / P e r i o d N u m b e r >  
             < P e r i o d T y p e > Q < / P e r i o d T y p e >  
             < Y e a r > 2 0 2 6 < / Y e a r >  
         < / P e r i o d W r a p p e r >  
     < / T e m p l a t e P e r i o d s >  
     < E n t i t y T e m p l a t e T e m p l a t e s >  
         < E n t i t y T e m p l a t e W r a p p e r >  
             < E n t i t y >  
                 < E n t i t y I d > 2 0 8 0 2 1 3 0 8 < / E n t i t y I d >  
                 < E n t i t y T y p e > I S S R < / E n t i t y T y p e >  
             < / E n t i t y >  
             < T e m p l a t e K e y w o r d s >  
                 < K e y w o r d M e t a d a t a W r a p p e r >  
                     < K e y w o r d > M A _ P R O B < / K e y w o r d >  
                     < K e y w o r d T y p e > C N T B < / K e y w o r d T y p e >  
                     < S h o r t D e s c > M & a m p ; A   p r o b a b i l i t y   ( 1   =   h i g h ,   3   =   l o w ) < / S h o r t D e s c >  
                     < E n t i t y T y p e > I S S R < / E n t i t y T y p e >  
                     < I s S c a l a r > t r u e < / I s S c a l a r >  
                     < D a t a T y p e > I N T E G E R 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< / F o r m a t M a s k >  
                     < K e y w o r d O r d e r > 2 1 0 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 S A L E S < / K e y w o r d >  
                     < K e y w o r d T y p e > C N T B < / K e y w o r d T y p e >  
                     < S h o r t D e s c > S a l e s ,   n e t   r e v e n u e 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< / F o r m a t M a s k >  
                     < K e y w o r d O r d e r > 1 5 5 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 P E R S O N N E L < / K e y w o r d >  
                     < K e y w o r d T y p e > C N T B < / K e y w o r d T y p e >  
                     < S h o r t D e s c > C o m p e n s a t i o n   & a m p ;   b e n f i t s   e x p e n s e 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 1 5 6 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 C O S T _ G D _ S D < / K e y w o r d >  
                     < K e y w o r d T y p e > C N T B < / K e y w o r d T y p e >  
                     < S h o r t D e s c > C o s t   o f   g o o d s   s o l d ,   C O G S 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 2 3 0 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 S E L _ G L _ A D < / K e y w o r d >  
                     < K e y w o r d T y p e > C N T B < / K e y w o r d T y p e >  
                     < S h o r t D e s c > S G & a m p ; A ,   s e l l i n g ,   g e n e r a l   a n d   a d m i n .   e x p e n s e 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 2 5 5 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 O P _ C O S T < / K e y w o r d >  
                     < K e y w o r d T y p e > C N T B < / K e y w o r d T y p e >  
                     < S h o r t D e s c > T o t a l   o p e r a t i n g   e x p e n s e 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 2 6 5 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 R D _ E X P < / K e y w o r d >  
                     < K e y w o r d T y p e > C N T B < / K e y w o r d T y p e >  
                     < S h o r t D e s c > R & a m p ; D   e x p e n s e 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 2 7 0 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 O T H _ O P _ I N C _ E X P < / K e y w o r d >  
                     < K e y w o r d T y p e > C N T B < / K e y w o r d T y p e >  
                     < S h o r t D e s c > O t h e r   o p e r a t i n g   i n c o m e / ( e x p e n s e )   ( i n c l .   l e a s e s ) 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 2 7 2 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 T O T _ O P S _ E X P _ D D A < / K e y w o r d >  
                     < K e y w o r d T y p e > C N T B < / K e y w o r d T y p e >  
                     < S h o r t D e s c > T o t a l   o p e r a t i n g   e x p e n s e   ( i n c l .   D & a m p ; A ) 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 3 2 5 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 T O T _ O P S _ E X P < / K e y w o r d >  
                     < K e y w o r d T y p e > C N T B < / K e y w o r d T y p e >  
                     < S h o r t D e s c > T o t a l   o p e r a t i n g   e x p e n s e   ( e x c l .   D & a m p ; A ) 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 3 3 0 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 E B I T D A _ C A L C < / K e y w o r d >  
                     < K e y w o r d T y p e > C N T B < / K e y w o r d T y p e >  
                     < S h o r t D e s c > E B I T D A 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 3 3 5 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 D E P R E C < / K e y w o r d >  
                     < K e y w o r d T y p e > C N T B < / K e y w o r d T y p e >  
                     < S h o r t D e s c > D e p r e c i a t i o n 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 3 4 5 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 G O O D W I L L _ A M O R T < / K e y w o r d >  
                     < K e y w o r d T y p e > C N T B < / K e y w o r d T y p e >  
                     < S h o r t D e s c > A m o r t i z a t i o n 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 3 5 0 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 E B I T < / K e y w o r d >  
                     < K e y w o r d T y p e > C N T B < / K e y w o r d T y p e >  
                     < S h o r t D e s c > E B I T ,   o p e r a t i n g   p r o f i t 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 3 7 5 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 I N T _ I N C _ I N D < / K e y w o r d >  
                     < K e y w o r d T y p e > C N T B < / K e y w o r d T y p e >  
                     < S h o r t D e s c > I n t e r e s t   i n c o m e 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 3 8 5 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 I N T _ E X P _ I N D < / K e y w o r d >  
                     < K e y w o r d T y p e > C N T B < / K e y w o r d T y p e >  
                     < S h o r t D e s c > I n t e r e s t   e x p e n s e 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 3 9 0 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 N E T _ I N T _ E X P < / K e y w o r d >  
                     < K e y w o r d T y p e > C N T B < / K e y w o r d T y p e >  
                     < S h o r t D e s c > N e t   i n t e r e s t   i n c o m e / ( e x p e n s e ) 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 4 0 5 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 A S S O C I A T E < / K e y w o r d >  
                     < K e y w o r d T y p e > C N T B < / K e y w o r d T y p e >  
                     < S h o r t D e s c > I n c o m e / ( l o s s )   f r o m   u n c o n s o l i d a t e d   s u b s   & a m p ;   a s s o c i a t e s 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 4 1 0 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 P R O F I T _ O N _ D I S P < / K e y w o r d >  
                     < K e y w o r d T y p e > C N T B < / K e y w o r d T y p e >  
                     < S h o r t D e s c > P r o f i t / ( l o s s )   o n   d i s p o s a l s   o f   a s s e t s ,   p r e - t a x 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 4 1 5 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 O T H _ C O S T _ I N C < / K e y w o r d >  
                     < K e y w o r d T y p e > C N T B < / K e y w o r d T y p e >  
                     < S h o r t D e s c > O t h e r   n o n - o p s   i n c o m e / ( e x p e n s e ) 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 4 3 0 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 P T _ P R O F < / K e y w o r d >  
                     < K e y w o r d T y p e > C N T B < / K e y w o r d T y p e >  
                     < S h o r t D e s c > P r e - t a x   p r o f i t 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 4 6 0 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 C O N T R I B _ M A R G I N _ R A T I O < / K e y w o r d >  
                     < K e y w o r d T y p e > C N T B < / K e y w o r d T y p e >  
                     < S h o r t D e s c > C o n t r i b u t i o n   m a r g i n   r a t i o 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 0 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 L E A S E _ P A Y < / K e y w o r d >  
                     < K e y w o r d T y p e > C N T B < / K e y w o r d T y p e >  
                     < S h o r t D e s c > O p e r a t i n g   l e a s e   c o s t 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 1 0 0 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 L E A S E _ D E E M _ I N T < / K e y w o r d >  
                     < K e y w o r d T y p e > C N T B < / K e y w o r d T y p e >  
                     < S h o r t D e s c > L e a s e   p a y m e n t s   ( d e e m e d   i n t e r e s t   p o r t i o n ) 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 1 0 1 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 L E A S E _ D E E M _ D E P R < / K e y w o r d >  
                     < K e y w o r d T y p e > C N T B < / K e y w o r d T y p e >  
                     < S h o r t D e s c > L e a s e   p a y m e n t s   ( d e e m e d   d e p r e c i a t i o n   p o r t i o n ) 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 1 0 2 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 N E T _ I N T _ C H < / K e y w o r d >  
                     < K e y w o r d T y p e > C N T B < / K e y w o r d T y p e >  
                     < S h o r t D e s c > G r o s s   i n t e r e s t   c h a r g e 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 1 1 0 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 A S S O C I A T E _ O P < / K e y w o r d >  
                     < K e y w o r d T y p e > C N T B < / K e y w o r d T y p e >  
                     < S h o r t D e s c > I n c o m e   f r o m   a s s o c i a t e s   ( o p e r a t i n g ) 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 1 1 1 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 D E P R _ R O U _ A S S E T S < / K e y w o r d >  
                     < K e y w o r d T y p e > C N T B < / K e y w o r d T y p e >  
                     < S h o r t D e s c > D e p r e c i a t i o n   R O U   a s s e t s       ( a p p l i c a b l e   t o   I F R S   c o s . ) 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 6 3 5 0 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 L E A S E _ I N T _ C H G < / K e y w o r d >  
                     < K e y w o r d T y p e > C N T B < / K e y w o r d T y p e >  
                     < S h o r t D e s c > L e a s e   i n t e r e s t   c h a r g e     ( a p p l i c a b l e   t o   I F R S   c o s . ) 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 6 4 0 0 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 L E A S E _ A D O P T < / K e y w o r d >  
                     < K e y w o r d T y p e > C N T B < / K e y w o r d T y p e >  
                     < S h o r t D e s c > L e a s e   s t a n d a r d   a d o p t e d   ( U S   G A A P   A S C   8 4 2 /   I F R S   1 6 ) < / S h o r t D e s c >  
                     < E n t i t y T y p e > I S S R < / E n t i t y T y p e >  
                     < I s S c a l a r > t r u e < / I s S c a l a r >  
                     < D a t a T y p e > E N U M < / D a t a T y p e >  
                     < E n u m O p t i o n s >  
                         < K e y w o r d E n u m W r a p p e r >  
                             < D i s p l a y N a m e > Y < / D i s p l a y N a m e >  
                             < E n u m C o d e > Y < / E n u m C o d e >  
                         < / K e y w o r d E n u m W r a p p e r >  
                         < K e y w o r d E n u m W r a p p e r >  
                             < D i s p l a y N a m e > N < / D i s p l a y N a m e >  
                             < E n u m C o d e > N < / E n u m C o d e >  
                         < / K e y w o r d E n u m W r a p p e r >  
                     < / E n u m O p t i o n s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 6 4 5 0 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 C A S H _ E Q < / K e y w o r d >  
                     < K e y w o r d T y p e > C N T B < / K e y w o r d T y p e >  
                     < S h o r t D e s c > C a s h   & a m p ;   c a s h   e q u i v a l e n t s 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 8 5 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 D E B T O R S < / K e y w o r d >  
                     < K e y w o r d T y p e > C N T B < / K e y w o r d T y p e >  
                     < S h o r t D e s c > A c c o u n t s   r e c e i v a b l e 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 1 9 0 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 S T O C K S < / K e y w o r d >  
                     < K e y w o r d T y p e > C N T B < / K e y w o r d T y p e >  
                     < S h o r t D e s c > I n v e n t o r y 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 2 4 0 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 O T H _ C U R _ A S S < / K e y w o r d >  
                     < K e y w o r d T y p e > C N T B < / K e y w o r d T y p e >  
                     < S h o r t D e s c > O t h e r   c u r r e n t   a s s e t s 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 2 7 0 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 C U R _ A S S < / K e y w o r d >  
                     < K e y w o r d T y p e > C N T B < / K e y w o r d T y p e >  
                     < S h o r t D e s c > T o t a l   c u r r e n t   a s s e t s 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 2 8 5 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 G R _ F I X _ A S S < / K e y w o r d >  
                     < K e y w o r d T y p e > C N T B < / K e y w o r d T y p e >  
                     < S h o r t D e s c > G r o s s   f i x e d   a s s e t s ,   P P & a m p ; E 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 2 9 0 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 A C C _ D D A < / K e y w o r d >  
                     < K e y w o r d T y p e > C N T B < / K e y w o r d T y p e >  
                     < S h o r t D e s c > A c c u m u l a t e d   d e p r e c i a t i o n 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 3 0 0 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 N E T _ F I X _ A S S < / K e y w o r d >  
                     < K e y w o r d T y p e > C N T B < / K e y w o r d T y p e >  
                     < S h o r t D e s c > N e t   P P & a m p ; E 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 3 0 5 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 G R _ I N T A N G < / K e y w o r d >  
                     < K e y w o r d T y p e > C N T B < / K e y w o r d T y p e >  
                     < S h o r t D e s c > G r o s s   i n t a n g i b l e s 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 3 3 5 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 A C C _ A M O R T < / K e y w o r d >  
                     < K e y w o r d T y p e > C N T B < / K e y w o r d T y p e >  
                     < S h o r t D e s c > A c c u m u l a t e d   a m o r t i z a t i o n 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 3 4 0 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 N E T _ I N T A N G < / K e y w o r d >  
                     < K e y w o r d T y p e > C N T B < / K e y w o r d T y p e >  
                     < S h o r t D e s c > N e t   i n t a n g i b l e   a s s e t s 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 3 5 5 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 F I X _ A S S _ I N V < / K e y w o r d >  
                     < K e y w o r d T y p e > C N T B < / K e y w o r d T y p e >  
                     < S h o r t D e s c > E q u i t y   m e t h o d   i n v e s t m e n t s 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 3 7 0 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 I N V _ S E C U R < / K e y w o r d >  
                     < K e y w o r d T y p e > C N T B < / K e y w o r d T y p e >  
                     < S h o r t D e s c > I n v e s t m e n t s   i n   s e c u r i t i e s 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 3 7 5 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 O T H _ L T _ A S S < / K e y w o r d >  
                     < K e y w o r d T y p e > C N T B < / K e y w o r d T y p e >  
                     < S h o r t D e s c > O t h e r   l o n g - t e r m   a s s e t s 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 3 8 0 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 T O T _ A S S E T < / K e y w o r d >  
                     < K e y w o r d T y p e > C N T B < / K e y w o r d T y p e >  
                     < S h o r t D e s c > T o t a l   a s s e t s 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 3 9 0 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 A C C _ P A Y _ G Q < / K e y w o r d >  
                     < K e y w o r d T y p e > C N T B < / K e y w o r d T y p e >  
                     < S h o r t D e s c > A c c o u n t s   p a y a b l e 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 4 9 5 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 S H O R T _ T _ D E B T < / K e y w o r d >  
                     < K e y w o r d T y p e > C N T B < / K e y w o r d T y p e >  
                     < S h o r t D e s c > S h o r t - t e r m   d e b t 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 5 6 5 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 S T _ L E A S E _ L I A B < / K e y w o r d >  
                     < K e y w o r d T y p e > C N T B < / K e y w o r d T y p e >  
                     < S h o r t D e s c > C u r r e n t   l e a s e   l i a b i l i t i e s   ( o p   l e a s e :   U S   G A A P ) 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 5 6 9 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 O T H _ C U R _ L I A B S < / K e y w o r d >  
                     < K e y w o r d T y p e > C N T B < / K e y w o r d T y p e >  
                     < S h o r t D e s c > O t h e r   c u r r e n t   l i a b i l i t i e s 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 5 7 0 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 S H O R T _ T E R M _ L I A B S < / K e y w o r d >  
                     < K e y w o r d T y p e > C N T B < / K e y w o r d T y p e >  
                     < S h o r t D e s c > T o t a l   c u r r e n t   l i a b i l i t i e s 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 5 7 5 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 L T _ D E B T < / K e y w o r d >  
                     < K e y w o r d T y p e > C N T B < / K e y w o r d T y p e >  
                     < S h o r t D e s c > L o n g - t e r m     d e b t 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 5 8 5 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 L T _ L E A S E _ L I A B < / K e y w o r d >  
                     < K e y w o r d T y p e > C N T B < / K e y w o r d T y p e >  
                     < S h o r t D e s c > N o n - c u r r e n t   l e a s e   l i a b i l i t i e s   ( o p   l e a s e :   U S   G A A P ) 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 5 8 8 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 O T H _ L T _ C R E D _ G Q < / K e y w o r d >  
                     < K e y w o r d T y p e > C N T B < / K e y w o r d T y p e >  
                     < S h o r t D e s c > O t h e r   l o n g - t e r m   l i a b i l i t i e s 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 6 1 5 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 T O T _ L T _ L I A B < / K e y w o r d >  
                     < K e y w o r d T y p e > C N T B < / K e y w o r d T y p e >  
                     < S h o r t D e s c > T o t a l   l o n g - t e r m   l i a b i l i t i e s 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 6 2 0 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 T O T _ L I A B < / K e y w o r d >  
                     < K e y w o r d T y p e > C N T B < / K e y w o r d T y p e >  
                     < S h o r t D e s c > T o t a l   l i a b i l i t i e s 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 6 4 5 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 P R E F _ S H < / K e y w o r d >  
                     < K e y w o r d T y p e > C N T B < / K e y w o r d T y p e >  
                     < S h o r t D e s c > P r e f e r r e d   s h a r e s 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 6 7 5 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 O R D _ S H _ F U N D < / K e y w o r d >  
                     < K e y w o r d T y p e > C N T B < / K e y w o r d T y p e >  
                     < S h o r t D e s c > T o t a l   c o m m o n   e q u i t y 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 6 8 0 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 M I N O R I T I E S < / K e y w o r d >  
                     < K e y w o r d T y p e > C N T B < / K e y w o r d T y p e >  
                     < S h o r t D e s c > M i n o r i t y   i n t e r e s t 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 7 0 5 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 E Q < / K e y w o r d >  
                     < K e y w o r d T y p e > C N T B < / K e y w o r d T y p e >  
                     < S h o r t D e s c > T o t a l   s h a r e h o l d e r s '   e q u i t y 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 7 1 0 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 T O T _ L I A B _ E Q < / K e y w o r d >  
                     < K e y w o r d T y p e > C N T B < / K e y w o r d T y p e >  
                     < S h o r t D e s c > T o t a l   l i a b i l i t i e s   a n d   e q u i t y 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 7 2 0 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 T O T _ U S D _ D E B T < / K e y w o r d >  
                     < K e y w o r d T y p e > C N T B < / K e y w o r d T y p e >  
                     < S h o r t D e s c > T o t a l   U S $   d e b t   ( i n   U S $ ) 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 T O T _ P C T _ U S D _ D E B T _ H E D G E D < / K e y w o r d >  
                     < K e y w o r d T y p e > C N T B < / K e y w o r d T y p e >  
                     < S h o r t D e s c > %   U S $   d e b t   h e d g e d   ( p r i n c i p a l ) 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 4 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 F L O A T I N G _ P C T _ L O C A L _ D E B T < / K e y w o r d >  
                     < K e y w o r d T y p e > C N T B < / K e y w o r d T y p e >  
                     < S h o r t D e s c > %   F l o a t i n g   d e b t   ( l o c a l   c u r r e n c y   d e b t ) 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 6 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 F L O A T I N G _ P C T _ L O C A L _ D E B T _ H E D G E D < / K e y w o r d >  
                     < K e y w o r d T y p e > C N T B < / K e y w o r d T y p e >  
                     < S h o r t D e s c > %   f l o a t i n g   d e b t   h e d g e d   ( r a t e s ) 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 8 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 N E T _ D E B T < / K e y w o r d >  
                     < K e y w o r d T y p e > C N T B < / K e y w o r d T y p e >  
                     < S h o r t D e s c > N e t   d e b t 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 1 3 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 C A P _ L E A S E S < / K e y w o r d >  
                     < K e y w o r d T y p e > C N T B < / K e y w o r d T y p e >  
                     < S h o r t D e s c > C a p i t a l i z e d   o p e r a t i n g   l e a s e s   ( o f f - b a l a n c e   s h e e t ) 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 2 0 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 D E F _ I N C _ T A X < / K e y w o r d >  
                     < K e y w o r d T y p e > C N T B < / K e y w o r d T y p e >  
                     < S h o r t D e s c > D e f e r r e d   i n c o m e   t a x e s 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 2 5 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 M V _ A S S O C I A T E S < / K e y w o r d >  
                     < K e y w o r d T y p e > C N T B < / K e y w o r d T y p e >  
                     < S h o r t D e s c > A s s o c i a t e s   ( m k t   v a l u e )   u s e d   i n   E V   c a l c u l a t i o n 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 3 0 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 N E T _ D E B T _ A D J < / K e y w o r d >  
                     < K e y w o r d T y p e > C N T B < / K e y w o r d T y p e >  
                     < S h o r t D e s c > N e t   d e b t   a d j u s t m e n t 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 3 5 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 C O _ B O R _ M A R G I N < / K e y w o r d >  
                     < K e y w o r d T y p e > C N T B < / K e y w o r d T y p e >  
                     < S h o r t D e s c > C o m p a n y   b o r r o w i n g   m a r g i n 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 f 0 % < / F o r m a t M a s k >  
                     < K e y w o r d O r d e r > 4 0 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 U N F _ P E N S < / K e y w o r d >  
                     < K e y w o r d T y p e > C N T B < / K e y w o r d T y p e >  
                     < S h o r t D e s c > U n f u n d e d   p e n s i o n s   & a m p ;   o t h e r   p r o v i s i o n s 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 4 5 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 U N F _ P E N S _ O F F < / K e y w o r d >  
                     < K e y w o r d T y p e > C N T B < / K e y w o r d T y p e >  
                     < S h o r t D e s c > U n f u n d e d   p e n s i o n   l i a b i l i t i e s   ( o f f   b a l a n c e   s h e e t ) 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 5 0 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 U N F _ P E N S _ L I A B _ O T H < / K e y w o r d >  
                     < K e y w o r d T y p e > C N T B < / K e y w o r d T y p e >  
                     < S h o r t D e s c > U n f u n d e d   p e n s i o n   l i a b i l i t i e s   & a m p ;   o t h e r ,   u s e d   i n   E V 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 5 5 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 A D J _ U N F _ P E N S _ G O O D < / K e y w o r d >  
                     < K e y w o r d T y p e > C N T B < / K e y w o r d T y p e >  
                     < S h o r t D e s c > A d j u s t m e n t   f o r   u n f u n d e d   p e n s i o n s   & a m p ;   g o o d w i l l 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 6 0 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 O T H _ G C I _ A D J < / K e y w o r d >  
                     < K e y w o r d T y p e > C N T B < / K e y w o r d T y p e >  
                     < S h o r t D e s c > O t h e r   G C I   a d j u s t m e n t s 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 6 3 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 G C I _ I N F L < / K e y w o r d >  
                     < K e y w o r d T y p e > C N T B < / K e y w o r d T y p e >  
                     < S h o r t D e s c > G C I   i n f l a t o r 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 6 5 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 B A L _ M I N O _ I N T < / K e y w o r d >  
                     < K e y w o r d T y p e > C N T B < / K e y w o r d T y p e >  
                     < S h o r t D e s c > M i n o r i t y   i n t e r e s t 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 6 6 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 R O U _ A S S E T < / K e y w o r d >  
                     < K e y w o r d T y p e > C N T B < / K e y w o r d T y p e >  
                     < S h o r t D e s c > R i g h t - o f - u s e   a s s e t s   ( o p   l e a s e   a s s e t s   u n d e r   U S   G A A P ) 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 6 2 5 0 < / K e y w o r d O r d e r >  
                     < K e y w o r d S e c t i o n I d > 1 3 1 9 < / K e y w o r d S e c t i o n I d >  
                 < / K e y w o r d M e t a d a t a W r a p p e r >  
                 < K e y w o r d M e t a d a t a W r a p p e r >  
                     < K e y w o r d > C F _ I N C _ M I N O R I T Y < / K e y w o r d >  
                     < K e y w o r d T y p e > C N T B < / K e y w o r d T y p e >  
                     < S h o r t D e s c > M i n o r i t y   i n t e r e s t   a d d - b a c k 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 1 5 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 D E P R _ A M O R T < / K e y w o r d >  
                     < K e y w o r d T y p e > C N T B < / K e y w o r d T y p e >  
                     < S h o r t D e s c > D e p r e c i a t i o n   & a m p ;   a m o r t i z a t i o n   a d d - b a c k 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 2 0 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 W O R K _ C A P < / K e y w o r d >  
                     < K e y w o r d T y p e > C N T B < / K e y w o r d T y p e >  
                     < S h o r t D e s c > ( I n c r e a s e ) / d e c r e a s e   i n   w o r k i n g   c a p i t a l 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 2 5 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 O T H _ O P _ C F < / K e y w o r d >  
                     < K e y w o r d T y p e > C N T B < / K e y w o r d T y p e >  
                     < S h o r t D e s c > O t h e r   o p e r a t i n g   c a s h   f l o w   i t e m s 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 3 0 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 C F _ O P S < / K e y w o r d >  
                     < K e y w o r d T y p e > C N T B < / K e y w o r d T y p e >  
                     < S h o r t D e s c > C a s h   f l o w   f r o m   o p e r a t i n g   a c t i v i t i e s 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 3 5 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 C A P E X < / K e y w o r d >  
                     < K e y w o r d T y p e > C N T B < / K e y w o r d T y p e >  
                     < S h o r t D e s c > C a p i t a l   e x p e n d i t u r e s ,   C a p e x 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 4 0 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 A C Q < / K e y w o r d >  
                     < K e y w o r d T y p e > C N T B < / K e y w o r d T y p e >  
                     < S h o r t D e s c > A c q u i s i t i o n s 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 4 5 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 D I V E S T < / K e y w o r d >  
                     < K e y w o r d T y p e > C N T B < / K e y w o r d T y p e >  
                     < S h o r t D e s c > D i v e s t i t u r e s 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 5 0 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 O T H _ I N V _ C F < / K e y w o r d >  
                     < K e y w o r d T y p e > C N T B < / K e y w o r d T y p e >  
                     < S h o r t D e s c > O t h e r   i n v e s t i n g   c a s h   f l o w   i t e m s 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 5 5 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 C F _ I N V < / K e y w o r d >  
                     < K e y w o r d T y p e > C N T B < / K e y w o r d T y p e >  
                     < S h o r t D e s c > C a s h   f l o w   f r o m   i n v e s t i n g 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 6 0 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 D I V _ P A I D < / K e y w o r d >  
                     < K e y w o r d T y p e > C N T B < / K e y w o r d T y p e >  
                     < S h o r t D e s c > D i v i d e n d s   p a i d 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 6 5 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 S H _ R E P U R < / K e y w o r d >  
                     < K e y w o r d T y p e > C N T B < / K e y w o r d T y p e >  
                     < S h o r t D e s c > C o m m o n   s t o c k   i s s u a n c e / ( r e p u r c h a s e ) 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 7 0 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 C H G _ L T _ D E B T < / K e y w o r d >  
                     < K e y w o r d T y p e > C N T B < / K e y w o r d T y p e >  
                     < S h o r t D e s c > I n c r e a s e / ( d e c r e a s e )   i n   t o t a l   d e b t 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 7 1 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 L E A S E _ P R I N C I P A L _ C A S H < / K e y w o r d >  
                     < K e y w o r d T y p e > C N T B < / K e y w o r d T y p e >  
                     < S h o r t D e s c > L e a s e   p r i n c i p a l   p a y m e n t s     ( a p p l i c a b l e   t o   I F R S   c o s . ) 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 7 5 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 O T H _ F I N _ C F < / K e y w o r d >  
                     < K e y w o r d T y p e > C N T B < / K e y w o r d T y p e >  
                     < S h o r t D e s c > O t h e r   f i n a n c i n g   c a s h   f l o w   i t e m s 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 8 0 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 C F _ F I N < / K e y w o r d >  
                     < K e y w o r d T y p e > C N T B < / K e y w o r d T y p e >  
                     < S h o r t D e s c > C a s h   f l o w   f r o m   f i n a n c i n g 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 8 5 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 T O T _ C F < / K e y w o r d >  
                     < K e y w o r d T y p e > C N T B < / K e y w o r d T y p e >  
                     < S h o r t D e s c > T o t a l   c a s h   f l o w 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 1 0 0 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 A S S O C _ J V _ A D D B K < / K e y w o r d >  
                     < K e y w o r d T y p e > C N T B < / K e y w o r d T y p e >  
                     < S h o r t D e s c > A s s o c i a t e   a n d   J V   a d d - b a c k 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 P L _ S A L E _ A S S E T S < / K e y w o r d >  
                     < K e y w o r d T y p e > C N T B < / K e y w o r d T y p e >  
                     < S h o r t D e s c > P r o f i t / ( l o s s )   o n   s a l e   o f   a s s e t s 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 O T H _ N O N C A S H _ A D J < / K e y w o r d >  
                     < K e y w o r d T y p e > C N T B < / K e y w o r d T y p e >  
                     < S h o r t D e s c > O t h e r   n o n - c a s h   a d j u s t m e n t s 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 O T H _ D A C F _ A D J < / K e y w o r d >  
                     < K e y w o r d T y p e > C N T B < / K e y w o r d T y p e >  
                     < S h o r t D e s c > O t h e r   D A C F   a d j u s t m e n t s 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 3 5 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 C A S H _ I N T _ E X P < / K e y w o r d >  
                     < K e y w o r d T y p e > C N T B < / K e y w o r d T y p e >  
                     < S h o r t D e s c > C a s h   i n t e r e s t   e x p e n s e 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 C A S H _ T A X _ E X P < / K e y w o r d >  
                     < K e y w o r d T y p e > C N T B < / K e y w o r d T y p e >  
                     < S h o r t D e s c > C a s h   t a x   e x p e n s e 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 D I V D S _ A S S O C _ J V < / K e y w o r d >  
                     < K e y w o r d T y p e > C N T B < / K e y w o r d T y p e >  
                     < S h o r t D e s c > D i v i d e n d s   r e c e i v e d   f r o m   a s s o c i a t e s / J V s 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 C A P E X _ M A I N T E N A N C E < / K e y w o r d >  
                     < K e y w o r d T y p e > C N T B < / K e y w o r d T y p e >  
                     < S h o r t D e s c > C a p e x   m a i n t e n a n c e 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 C A P E X _ E X P A N S I O N < / K e y w o r d >  
                     < K e y w o r d T y p e > C N T B < / K e y w o r d T y p e >  
                     < S h o r t D e s c > C a p e x   e x p a n s i o n 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 8 0 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 N O N P P E _ C A P E X < / K e y w o r d >  
                     < K e y w o r d T y p e > C N T B < / K e y w o r d T y p e >  
                     < S h o r t D e s c > N o n - P P & a m p ; E   c a p e x 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 9 0 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 D I V D S _ P D _ M I N O R I T I E S < / K e y w o r d >  
                     < K e y w o r d T y p e > C N T B < / K e y w o r d T y p e >  
                     < S h o r t D e s c > D i v i d e n d s   p a i d   t o   m i n o r i t i e s 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 1 0 0 < / K e y w o r d O r d e r >  
                     < K e y w o r d S e c t i o n I d > 1 3 1 J < / K e y w o r d S e c t i o n I d >  
                 < / K e y w o r d M e t a d a t a W r a p p e r >  
                 < K e y w o r d M e t a d a t a W r a p p e r >  
                     < K e y w o r d > E M P L O Y E E S < / K e y w o r d >  
                     < K e y w o r d T y p e > C N T B < / K e y w o r d T y p e >  
                     < S h o r t D e s c > N u m b e r   o f   e m p l o y e e s 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 0 < / K e y w o r d O r d e r >  
                     < K e y w o r d S e c t i o n I d > 1 3 1 O < / K e y w o r d S e c t i o n I d >  
                 < / K e y w o r d M e t a d a t a W r a p p e r >  
                 < K e y w o r d M e t a d a t a W r a p p e r >  
                     < K e y w o r d > S A L E S _ C A N A D A < / K e y w o r d >  
                     < K e y w o r d T y p e > C N T B < / K e y w o r d T y p e >  
                     < S h o r t D e s c > S a l e s   -   %   C a n a d a 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 S A L E S _ U S < / K e y w o r d >  
                     < K e y w o r d T y p e > C N T B < / K e y w o r d T y p e >  
                     < S h o r t D e s c > S a l e s   -   %   U n i t e d   S t a t e s 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 S A L E S _ O T H _ N O _ A M E R < / K e y w o r d >  
                     < K e y w o r d T y p e > C N T B < / K e y w o r d T y p e >  
                     < S h o r t D e s c > S a l e s   -   %   O t h e r   N o r t h   A m e r i c a s 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 S A L E S _ A R G E N T I N A < / K e y w o r d >  
                     < K e y w o r d T y p e > C N T B < / K e y w o r d T y p e >  
                     < S h o r t D e s c > S a l e s   -   %   A r g e n t i n a 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 S A L E S _ B R A Z I L < / K e y w o r d >  
                     < K e y w o r d T y p e > C N T B < / K e y w o r d T y p e >  
                     < S h o r t D e s c > S a l e s   -   %   B r a z i l 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 S A L E S _ C H I L E < / K e y w o r d >  
                     < K e y w o r d T y p e > C N T B < / K e y w o r d T y p e >  
                     < S h o r t D e s c > S a l e s   -   %   C h i l e 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 2 0 0 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 S A L E S _ C O L O M B I A < / K e y w o r d >  
                     < K e y w o r d T y p e > C N T B < / K e y w o r d T y p e >  
                     < S h o r t D e s c > S a l e s   -   %   C o l o m b i a 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 2 2 0 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 S A L E S _ M E X I C O < / K e y w o r d >  
                     < K e y w o r d T y p e > C N T B < / K e y w o r d T y p e >  
                     < S h o r t D e s c > S a l e s   -   %   M e x i c o 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 2 4 0 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 S A L E S _ V E N E Z U E L A < / K e y w o r d >  
                     < K e y w o r d T y p e > C N T B < / K e y w o r d T y p e >  
                     < S h o r t D e s c > S a l e s   -   %   V e n e z u e l a 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 2 6 0 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 S A L E S _ O T H _ L A T A M < / K e y w o r d >  
                     < K e y w o r d T y p e > C N T B < / K e y w o r d T y p e >  
                     < S h o r t D e s c > S a l e s   -   %   O t h e r   L a t i n   A m e r i c a s 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 2 8 0 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 S A L E S _ A U S T R I A < / K e y w o r d >  
                     < K e y w o r d T y p e > C N T B < / K e y w o r d T y p e >  
                     < S h o r t D e s c > S a l e s   -   %   A u s t r i a 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 3 0 0 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 S A L E S _ B E L < / K e y w o r d >  
                     < K e y w o r d T y p e > C N T B < / K e y w o r d T y p e >  
                     < S h o r t D e s c > S a l e s   -   %   B e l g i u m 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 3 2 0 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 S A L E S _ F R A < / K e y w o r d >  
                     < K e y w o r d T y p e > C N T B < / K e y w o r d T y p e >  
                     < S h o r t D e s c > S a l e s   -   %   F r a n c e 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 3 4 0 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 S A L E S _ G E R < / K e y w o r d >  
                     < K e y w o r d T y p e > C N T B < / K e y w o r d T y p e >  
                     < S h o r t D e s c > S a l e s   -   %   G e r m a n y 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 3 6 0 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 S A L E S _ G R E < / K e y w o r d >  
                     < K e y w o r d T y p e > C N T B < / K e y w o r d T y p e >  
                     < S h o r t D e s c > S a l e s   -   %   G r e e c e 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 3 8 0 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 S A L E S _ I R E < / K e y w o r d >  
                     < K e y w o r d T y p e > C N T B < / K e y w o r d T y p e >  
                     < S h o r t D e s c > S a l e s   -   %   I r e l a n d 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 4 0 0 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 S A L E S _ I T A < / K e y w o r d >  
                     < K e y w o r d T y p e > C N T B < / K e y w o r d T y p e >  
                     < S h o r t D e s c > S a l e s   -   %   I t a l y 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 4 2 0 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 S A L E S _ N E T H < / K e y w o r d >  
                     < K e y w o r d T y p e > C N T B < / K e y w o r d T y p e >  
                     < S h o r t D e s c > S a l e s   -   %   N e t h e r l a n d s 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 4 4 0 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 S A L E S _ N O R < / K e y w o r d >  
                     < K e y w o r d T y p e > C N T B < / K e y w o r d T y p e >  
                     < S h o r t D e s c > S a l e s   -   %   N o r w a y 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 4 6 0 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 S A L E S _ P O R < / K e y w o r d >  
                     < K e y w o r d T y p e > C N T B < / K e y w o r d T y p e >  
                     < S h o r t D e s c > S a l e s   -   %   P o r t u g a l 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 4 8 0 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 S A L E S _ S P A < / K e y w o r d >  
                     < K e y w o r d T y p e > C N T B < / K e y w o r d T y p e >  
                     < S h o r t D e s c > S a l e s   -   %   S p a i n 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 5 0 0 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 S A L E S _ S W E < / K e y w o r d >  
                     < K e y w o r d T y p e > C N T B < / K e y w o r d T y p e >  
                     < S h o r t D e s c > S a l e s   -   %   S w e d e n 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 5 2 0 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 S A L E S _ S W I T < / K e y w o r d >  
                     < K e y w o r d T y p e > C N T B < / K e y w o r d T y p e >  
                     < S h o r t D e s c > S a l e s   -   %   S w i t z e r l a n d 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 5 4 0 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 S A L E S _ U K < / K e y w o r d >  
                     < K e y w o r d T y p e > C N T B < / K e y w o r d T y p e >  
                     < S h o r t D e s c > S a l e s   -   %   U K 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 5 6 0 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 S A L E S _ O T H _ W E S T _ E U R O < / K e y w o r d >  
                     < K e y w o r d T y p e > C N T B < / K e y w o r d T y p e >  
                     < S h o r t D e s c > S a l e s   -   %   O t h e r   W e s t e r n   E u r o p e 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 5 8 0 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 S A L E S _ P O L A N D < / K e y w o r d >  
                     < K e y w o r d T y p e > C N T B < / K e y w o r d T y p e >  
                     < S h o r t D e s c > S a l e s   -   %   P o l a n d 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 6 0 0 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 S A L E S _ R U S S I A < / K e y w o r d >  
                     < K e y w o r d T y p e > C N T B < / K e y w o r d T y p e >  
                     < S h o r t D e s c > S a l e s   -   %   R u s s i a 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 6 2 0 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 S A L E S _ T U R K E Y < / K e y w o r d >  
                     < K e y w o r d T y p e > C N T B < / K e y w o r d T y p e >  
                     < S h o r t D e s c > S a l e s   -   %   T u r k e y 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 6 4 0 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 S A L E S _ O T H _ C E E < / K e y w o r d >  
                     < K e y w o r d T y p e > C N T B < / K e y w o r d T y p e >  
                     < S h o r t D e s c > S a l e s   -   %   O t h e r   C E E 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 6 6 0 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 S A L E S _ S A U D I _ A R A B I A < / K e y w o r d >  
                     < K e y w o r d T y p e > C N T B < / K e y w o r d T y p e >  
                     < S h o r t D e s c > S a l e s   -   %   S a u d i   A r a b i a 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 6 8 0 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 S A L E S _ U A E < / K e y w o r d >  
                     < K e y w o r d T y p e > C N T B < / K e y w o r d T y p e >  
                     < S h o r t D e s c > S a l e s   -   %   U n i t e d   A r a b   E m i r a t e s 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 7 0 0 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 S A L E S _ O T H _ M E < / K e y w o r d >  
                     < K e y w o r d T y p e > C N T B < / K e y w o r d T y p e >  
                     < S h o r t D e s c > S a l e s   -   %   O t h e r   M i d d l e   E a s t 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 7 2 0 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 S A L E S _ N I G E R I A < / K e y w o r d >  
                     < K e y w o r d T y p e > C N T B < / K e y w o r d T y p e >  
                     < S h o r t D e s c > S a l e s   -   %   N i g e r i a 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 7 4 0 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 S A L E S _ S O _ A F R I C A < / K e y w o r d >  
                     < K e y w o r d T y p e > C N T B < / K e y w o r d T y p e >  
                     < S h o r t D e s c > S a l e s   -   %   S o u t h   A f r i c a 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 7 6 0 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 S A L E S _ O T H _ A F R I C A < / K e y w o r d >  
                     < K e y w o r d T y p e > C N T B < / K e y w o r d T y p e >  
                     < S h o r t D e s c > S a l e s   -   %   O t h e r   A f r i c a 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 7 8 0 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 S A L E S _ H O N G _ K O N G < / K e y w o r d >  
                     < K e y w o r d T y p e > C N T B < / K e y w o r d T y p e >  
                     < S h o r t D e s c > S a l e s   -   %   H o n g   K o n g 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 8 0 0 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 S A L E S _ J A P A N < / K e y w o r d >  
                     < K e y w o r d T y p e > C N T B < / K e y w o r d T y p e >  
                     < S h o r t D e s c > S a l e s   -   %   J a p a n 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 8 2 0 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 S A L E S _ S I N G A P O R E < / K e y w o r d >  
                     < K e y w o r d T y p e > C N T B < / K e y w o r d T y p e >  
                     < S h o r t D e s c > S a l e s   -   %   S i n g a p o r e 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 8 4 0 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 S A L E S _ S K < / K e y w o r d >  
                     < K e y w o r d T y p e > C N T B < / K e y w o r d T y p e >  
                     < S h o r t D e s c > S a l e s   -   %   S o u t h   K o r e a 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 8 6 0 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 S A L E S _ T A I W A N < / K e y w o r d >  
                     < K e y w o r d T y p e > C N T B < / K e y w o r d T y p e >  
                     < S h o r t D e s c > S a l e s   -   %   T a i w a n 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 8 8 0 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 S A L E S _ O T H _ D E V _ A S I A < / K e y w o r d >  
                     < K e y w o r d T y p e > C N T B < / K e y w o r d T y p e >  
                     < S h o r t D e s c > S a l e s   -   %   O t h e r   D e v e l o p e d   A s i a 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 9 0 0 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 S A L E S _ C H I N A < / K e y w o r d >  
                     < K e y w o r d T y p e > C N T B < / K e y w o r d T y p e >  
                     < S h o r t D e s c > S a l e s   -   %   C h i n a 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 9 2 0 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 S A L E S _ I N D I A < / K e y w o r d >  
                     < K e y w o r d T y p e > C N T B < / K e y w o r d T y p e >  
                     < S h o r t D e s c > S a l e s   -   %   I n d i a 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 9 4 0 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 S A L E S _ I N D O N E S I A < / K e y w o r d >  
                     < K e y w o r d T y p e > C N T B < / K e y w o r d T y p e >  
                     < S h o r t D e s c > S a l e s   -   %   I n d o n e s i a 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 9 6 0 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 S A L E S _ T H A I L A N D < / K e y w o r d >  
                     < K e y w o r d T y p e > C N T B < / K e y w o r d T y p e >  
                     < S h o r t D e s c > S a l e s   -   %   T h a i l a n d 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 9 8 0 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 S A L E S _ O T H _ E M E R G _ A S I A < / K e y w o r d >  
                     < K e y w o r d T y p e > C N T B < / K e y w o r d T y p e >  
                     < S h o r t D e s c > S a l e s   -   %   O t h e r   E m e r g i n g   A s i a 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 S A L E S _ A U S T R A < / K e y w o r d >  
                     < K e y w o r d T y p e > C N T B < / K e y w o r d T y p e >  
                     < S h o r t D e s c > S a l e s   -   %   A u s t r a l i a 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 S A L E S _ N Z < / K e y w o r d >  
                     < K e y w o r d T y p e > C N T B < / K e y w o r d T y p e >  
                     < S h o r t D e s c > S a l e s   -   %   N e w   Z e a l a n d 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 S A L E S _ O T H E R < / K e y w o r d >  
                     < K e y w o r d T y p e > C N T B < / K e y w o r d T y p e >  
                     < S h o r t D e s c > S a l e s   -   %   O t h e r s 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 C O G S _ P C T _ U S < / K e y w o r d >  
                     < K e y w o r d T y p e > C N T B < / K e y w o r d T y p e >  
                     < S h o r t D e s c > %   o f   C o G S   f r o m   U . S .   ( G S   e s t i m a t e ) 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 1 0 6 5 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 C O G S _ P C T _ R O W < / K e y w o r d >  
                     < K e y w o r d T y p e > C N T B < / K e y w o r d T y p e >  
                     < S h o r t D e s c > %   o f   C o G S   f r o m   n o n - U . S .   ( G S   e s t i m a t e ) 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 1 0 6 8 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 S G A _ P C T _ U S < / K e y w o r d >  
                     < K e y w o r d T y p e > C N T B < / K e y w o r d T y p e >  
                     < S h o r t D e s c > %   o f   S G & a m p ; A   f r o m   U . S .   ( G S   e s t i m a t e ) 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 1 0 7 0 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 S G A _ P C T _ R O W < / K e y w o r d >  
                     < K e y w o r d T y p e > C N T B < / K e y w o r d T y p e >  
                     < S h o r t D e s c > %   o f   S G & a m p ; A   f r o m   n o n - U . S .   ( G S   e s t i m a t e ) < / S h o r t D e s c >  
                     < E n t i t y T y p e > I S S R 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 1 0 7 2 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 S A L E S _ C O N S < / K e y w o r d >  
                     < K e y w o r d T y p e > C N T B < / K e y w o r d T y p e >  
                     < S h o r t D e s c > S a l e s   - %   C o n s u m e r   ( C ) 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 1 0 8 0 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 S A L E S _ I N D < / K e y w o r d >  
                     < K e y w o r d T y p e > C N T B < / K e y w o r d T y p e >  
                     < S h o r t D e s c > S a l e s   - %   I n d u s t r y   ( I ) 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 1 1 0 0 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 S A L E S _ G O V < / K e y w o r d >  
                     < K e y w o r d T y p e > C N T B < / K e y w o r d T y p e >  
                     < S h o r t D e s c > S a l e s   - %   G o v e r n m e n t   ( G ) 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 1 1 2 0 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 S A L E S _ F I N A N < / K e y w o r d >  
                     < K e y w o r d T y p e > C N T B < / K e y w o r d T y p e >  
                     < S h o r t D e s c > S a l e s   -   %   I n d u s t r y   S u b - S e g m e n t :   F i n a n c i a l   S e r v i c e s 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 1 1 4 0 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 S A L E S _ O I L _ G A S < / K e y w o r d >  
                     < K e y w o r d T y p e > C N T B < / K e y w o r d T y p e >  
                     < S h o r t D e s c > S a l e s   -   %   I n d u s t r y   S u b - S e g m e n t :   O i l   & a m p ;   G a s 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 1 1 6 0 < / K e y w o r d O r d e r >  
                     < K e y w o r d S e c t i o n I d > 1 3 1 6 8 < / K e y w o r d S e c t i o n I d >  
                 < / K e y w o r d M e t a d a t a W r a p p e r >  
                 < K e y w o r d M e t a d a t a W r a p p e r >  
                     < K e y w o r d > E X P _ O I L _ P E T R O _ F U E L < / K e y w o r d >  
                     < K e y w o r d T y p e > C N T B < / K e y w o r d T y p e >  
                     < S h o r t D e s c > E x p e n s e   -   %   O i l / P e t r o l / F u e l 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 4 4 0 0 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 E X P _ O I L _ D E R I V _ N G L S _ P L A S T I C S < / K e y w o r d >  
                     < K e y w o r d T y p e > C N T B < / K e y w o r d T y p e >  
                     < S h o r t D e s c > E x p e n s e   -   %   O i l   d e r i v a t i v e s / N G L s / p l a s t i c s 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 4 5 0 0 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 E X P _ G O L D < / K e y w o r d >  
                     < K e y w o r d T y p e > C N T B < / K e y w o r d T y p e >  
                     < S h o r t D e s c > E x p e n s e   -   %   G o l d 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 4 7 0 0 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 E X P _ C O P P E R < / K e y w o r d >  
                     < K e y w o r d T y p e > C N T B < / K e y w o r d T y p e >  
                     < S h o r t D e s c > E x p e n s e   -   %   C o p p e r 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 4 8 0 0 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 E X P _ S I L V E R < / K e y w o r d >  
                     < K e y w o r d T y p e > C N T B < / K e y w o r d T y p e >  
                     < S h o r t D e s c > E x p e n s e   -   %   S i l v e r 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 4 9 0 0 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 E X P _ P L A T I N U M < / K e y w o r d >  
                     < K e y w o r d T y p e > C N T B < / K e y w o r d T y p e >  
                     < S h o r t D e s c > E x p e n s e   -   %   P l a t i n u m 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 5 0 0 0 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 E X P _ P A L L A D I U M < / K e y w o r d >  
                     < K e y w o r d T y p e > C N T B < / K e y w o r d T y p e >  
                     < S h o r t D e s c > E x p e n s e   -   %   P a l l a d i u m 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 5 1 0 0 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 E X P _ A L U M I N I U M < / K e y w o r d >  
                     < K e y w o r d T y p e > C N T B < / K e y w o r d T y p e >  
                     < S h o r t D e s c > E x p e n s e   -   %   A l u m i n i u m 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 5 2 0 0 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 E X P _ N I C K E L < / K e y w o r d >  
                     < K e y w o r d T y p e > C N T B < / K e y w o r d T y p e >  
                     < S h o r t D e s c > E x p e n s e   -   %   N i c k e l 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 5 3 0 0 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 E X P _ Z I N C < / K e y w o r d >  
                     < K e y w o r d T y p e > C N T B < / K e y w o r d T y p e >  
                     < S h o r t D e s c > E x p e n s e   -   %   Z i n c 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 5 4 0 0 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 E X P _ P A P E R _ P U L P < / K e y w o r d >  
                     < K e y w o r d T y p e > C N T B < / K e y w o r d T y p e >  
                     < S h o r t D e s c > E x p e n s e   -   %   P a p e r / p u l p 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 6 2 0 0 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 E X P _ G L A S S < / K e y w o r d >  
                     < K e y w o r d T y p e > C N T B < / K e y w o r d T y p e >  
                     < S h o r t D e s c > E x p e n s e   -   %   G l a s s 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 6 4 0 0 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 E X P _ W A T E R < / K e y w o r d >  
                     < K e y w o r d T y p e > C N T B < / K e y w o r d T y p e >  
                     < S h o r t D e s c > E x p e n s e   -   %   W a t e r 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 8 5 0 0 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 E X P _ O T H _ C O M M O D I T Y < / K e y w o r d >  
                     < K e y w o r d T y p e > C N T B < / K e y w o r d T y p e >  
                     < S h o r t D e s c > E x p e n s e   -   %   O t h e r   c o m m o d i t y 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 8 6 0 0 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 E X P _ O T H _ C O S T < / K e y w o r d >  
                     < K e y w o r d T y p e > C N T B < / K e y w o r d T y p e >  
                     < S h o r t D e s c > E x p e n s e   -   %   O t h e r   ( N o n - C o m m o d i t y )   c o s t 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 8 7 0 0 < / K e y w o r d O r d e r >  
                     < K e y w o r d S e c t i o n I d > 1 3 1 6 T < / K e y w o r d S e c t i o n I d >  
                 < / K e y w o r d M e t a d a t a W r a p p e r >  
                 < K e y w o r d M e t a d a t a W r a p p e r >  
                     < K e y w o r d > S A L E S _ F X _ G P B < / K e y w o r d >  
                     < K e y w o r d T y p e > C N T B < / K e y w o r d T y p e >  
                     < S h o r t D e s c > S a l e s   -   %   F X :   B r i t i s h   P o u n d s / P e n c e 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 1 0 0 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 S A L E S _ F X _ E U R < / K e y w o r d >  
                     < K e y w o r d T y p e > C N T B < / K e y w o r d T y p e >  
                     < S h o r t D e s c > S a l e s   -   %   F X :   E u r o 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 2 0 0 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 S A L E S _ F X _ R U B < / K e y w o r d >  
                     < K e y w o r d T y p e > C N T B < / K e y w o r d T y p e >  
                     < S h o r t D e s c > S a l e s   -   %   F X :   N e w   R u s s i a n   R u b l e 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 3 0 0 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 S A L E S _ F X _ U S D < / K e y w o r d >  
                     < K e y w o r d T y p e > C N T B < / K e y w o r d T y p e >  
                     < S h o r t D e s c > S a l e s   -   %   F X :   U . S .   D o l l a r 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 4 0 0 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 S A L E S _ F X _ B R L < / K e y w o r d >  
                     < K e y w o r d T y p e > C N T B < / K e y w o r d T y p e >  
                     < S h o r t D e s c > S a l e s   -   %   F X :   B r a z i l i a n   R e a l 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 5 0 0 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 S A L E S _ F X _ Y E N < / K e y w o r d >  
                     < K e y w o r d T y p e > C N T B < / K e y w o r d T y p e >  
                     < S h o r t D e s c > S a l e s   -   %   F X :   J a p a n e s e   Y e n 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 6 0 0 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 S A L E S _ F X _ C N Y < / K e y w o r d >  
                     < K e y w o r d T y p e > C N T B < / K e y w o r d T y p e >  
                     < S h o r t D e s c > S a l e s   -   %   F X :   C h i n e s e   R e n m i n b i 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 7 0 0 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 S A L E S _ F X _ I N R < / K e y w o r d >  
                     < K e y w o r d T y p e > C N T B < / K e y w o r d T y p e >  
                     < S h o r t D e s c > S a l e s   -   %   F X :   I n d i a n   R u p e e 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 8 0 0 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 S A L E S _ F X _ K R W < / K e y w o r d >  
                     < K e y w o r d T y p e > C N T B < / K e y w o r d T y p e >  
                     < S h o r t D e s c > S a l e s   -   %   F X :   S o u t h   K o r e a n   W o n 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 2 0 0 0 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 S A L E S _ F X _ T W D < / K e y w o r d >  
                     < K e y w o r d T y p e > C N T B < / K e y w o r d T y p e >  
                     < S h o r t D e s c > S a l e s   -   %   F X :   T a i w a n   D o l l a r 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 2 1 0 0 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 S A L E S _ F X _ O T H < / K e y w o r d >  
                     < K e y w o r d T y p e > C N T B < / K e y w o r d T y p e >  
                     < S h o r t D e s c > S a l e s   -   %   F X :   O t h e r   C u r r e n c y 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 2 6 0 0 < / K e y w o r d O r d e r >  
                     < K e y w o r d S e c t i o n I d > 1 3 1 6 U < / K e y w o r d S e c t i o n I d >  
                 < / K e y w o r d M e t a d a t a W r a p p e r >  
                 < K e y w o r d M e t a d a t a W r a p p e r >  
                     < K e y w o r d > S A L E S _ T O T _ A M < / K e y w o r d >  
                     < K e y w o r d T y p e > C N T B < / K e y w o r d T y p e >  
                     < S h o r t D e s c > S a l e s   -   T o t a l   %   A m e r i c a s 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 1 0 0 < / K e y w o r d O r d e r >  
                     < K e y w o r d S e c t i o n I d > 1 3 6 E < / K e y w o r d S e c t i o n I d >  
                 < / K e y w o r d M e t a d a t a W r a p p e r >  
                 < K e y w o r d M e t a d a t a W r a p p e r >  
                     < K e y w o r d > S A L E S _ O T H _ A M < / K e y w o r d >  
                     < K e y w o r d T y p e > C N T B < / K e y w o r d T y p e >  
                     < S h o r t D e s c > S a l e s   -   %   O t h e r   A m e r i c a s 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 1 5 0 < / K e y w o r d O r d e r >  
                     < K e y w o r d S e c t i o n I d > 1 3 6 E < / K e y w o r d S e c t i o n I d >  
                 < / K e y w o r d M e t a d a t a W r a p p e r >  
                 < K e y w o r d M e t a d a t a W r a p p e r >  
                     < K e y w o r d > S A L E S _ T O T _ E M E A < / K e y w o r d >  
                     < K e y w o r d T y p e > C N T B < / K e y w o r d T y p e >  
                     < S h o r t D e s c > S a l e s   -   T o t a l   %   E M E A 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 2 5 0 < / K e y w o r d O r d e r >  
                     < K e y w o r d S e c t i o n I d > 1 3 6 E < / K e y w o r d S e c t i o n I d >  
                 < / K e y w o r d M e t a d a t a W r a p p e r >  
                 < K e y w o r d M e t a d a t a W r a p p e r >  
                     < K e y w o r d > S A L E S _ E U _ E X _ U K < / K e y w o r d >  
                     < K e y w o r d T y p e > C N T B < / K e y w o r d T y p e >  
                     < S h o r t D e s c > S a l e s   -   %   W e s t e r n   E u r o p e - E x   U K 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 3 0 0 < / K e y w o r d O r d e r >  
                     < K e y w o r d S e c t i o n I d > 1 3 6 E < / K e y w o r d S e c t i o n I d >  
                 < / K e y w o r d M e t a d a t a W r a p p e r >  
                 < K e y w o r d M e t a d a t a W r a p p e r >  
                     < K e y w o r d > S A L E S _ C E E < / K e y w o r d >  
                     < K e y w o r d T y p e > C N T B < / K e y w o r d T y p e >  
                     < S h o r t D e s c > S a l e s   -   %   C e n t r a l   & a m p ;   E a s t e r n   E u r o p e 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 4 0 0 < / K e y w o r d O r d e r >  
                     < K e y w o r d S e c t i o n I d > 1 3 6 E < / K e y w o r d S e c t i o n I d >  
                 < / K e y w o r d M e t a d a t a W r a p p e r >  
                 < K e y w o r d M e t a d a t a W r a p p e r >  
                     < K e y w o r d > S A L E S _ M E < / K e y w o r d >  
                     < K e y w o r d T y p e > C N T B < / K e y w o r d T y p e >  
                     < S h o r t D e s c > S a l e s   -   %   M i d d l e   E a s t 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 4 5 0 < / K e y w o r d O r d e r >  
                     < K e y w o r d S e c t i o n I d > 1 3 6 E < / K e y w o r d S e c t i o n I d >  
                 < / K e y w o r d M e t a d a t a W r a p p e r >  
                 < K e y w o r d M e t a d a t a W r a p p e r >  
                     < K e y w o r d > S A L E S _ T O T _ A F R I C A < / K e y w o r d >  
                     < K e y w o r d T y p e > C N T B < / K e y w o r d T y p e >  
                     < S h o r t D e s c > S a l e s   -   %   T o t a l   A f r i c a 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 5 0 0 < / K e y w o r d O r d e r >  
                     < K e y w o r d S e c t i o n I d > 1 3 6 E < / K e y w o r d S e c t i o n I d >  
                 < / K e y w o r d M e t a d a t a W r a p p e r >  
                 < K e y w o r d M e t a d a t a W r a p p e r >  
                     < K e y w o r d > S A L E S _ O T H _ E M E A < / K e y w o r d >  
                     < K e y w o r d T y p e > C N T B < / K e y w o r d T y p e >  
                     < S h o r t D e s c > S a l e s   -   %   O t h e r   E M E A 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 5 5 0 < / K e y w o r d O r d e r >  
                     < K e y w o r d S e c t i o n I d > 1 3 6 E < / K e y w o r d S e c t i o n I d >  
                 < / K e y w o r d M e t a d a t a W r a p p e r >  
                 < K e y w o r d M e t a d a t a W r a p p e r >  
                     < K e y w o r d > S A L E S _ T O T _ A S I A < / K e y w o r d >  
                     < K e y w o r d T y p e > C N T B < / K e y w o r d T y p e >  
                     < S h o r t D e s c > S a l e s   -   T o t a l   %   A s i a   ( i n c l   A u s t r a l i a   & a m p ;   N e w   Z e a l a n d ) 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 6 0 0 < / K e y w o r d O r d e r >  
                     < K e y w o r d S e c t i o n I d > 1 3 6 E < / K e y w o r d S e c t i o n I d >  
                 < / K e y w o r d M e t a d a t a W r a p p e r >  
                 < K e y w o r d M e t a d a t a W r a p p e r >  
                     < K e y w o r d > S A L E S _ O T H _ A E J < / K e y w o r d >  
                     < K e y w o r d T y p e > C N T B < / K e y w o r d T y p e >  
                     < S h o r t D e s c > S a l e s   -   %   O t h e r   A s i a < / S h o r t D e s c >  
                     < E n t i t y T y p e > I S S R 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 f 0 . 0 0 % < / F o r m a t M a s k >  
                     < K e y w o r d O r d e r > 6 5 0 < / K e y w o r d O r d e r >  
                     < K e y w o r d S e c t i o n I d > 1 3 6 E < / K e y w o r d S e c t i o n I d >  
                 < / K e y w o r d M e t a d a t a W r a p p e r >  
             < / T e m p l a t e K e y w o r d s >  
             < T e m p l a t e S e c t i o n s >  
                 < K e y w o r d S e c t i o n W r a p p e r >  
                     < S e c t i o n I d > 1 3 A < / S e c t i o n I d >  
                     < D i s p l a y N a m e > G e n e r a l   I n f o r m a t i o n < / D i s p l a y N a m e >  
                     < D i s p l a y O r d e r > 5 < / D i s p l a y O r d e r >  
                     < P a r e n t I d / >  
                 < / K e y w o r d S e c t i o n W r a p p e r >  
                 < K e y w o r d S e c t i o n W r a p p e r >  
                     < S e c t i o n I d > 1 3 U < / S e c t i o n I d >  
                     < D i s p l a y N a m e > I n c o m e   S t a t e m e n t < / D i s p l a y N a m e >  
                     < D i s p l a y O r d e r > 4 5 < / D i s p l a y O r d e r >  
                     < P a r e n t I d / >  
                 < / K e y w o r d S e c t i o n W r a p p e r >  
                 < K e y w o r d S e c t i o n W r a p p e r >  
                     < S e c t i o n I d > 1 3 V < / S e c t i o n I d >  
                     < D i s p l a y N a m e > A d d i t i o n a l   I n c o m e   S t a t e m e n t   I t e m s < / D i s p l a y N a m e >  
                     < D i s p l a y O r d e r > 5 0 < / D i s p l a y O r d e r >  
                     < P a r e n t I d > 1 3 U < / P a r e n t I d >  
                 < / K e y w o r d S e c t i o n W r a p p e r >  
                 < K e y w o r d S e c t i o n W r a p p e r >  
                     < S e c t i o n I d > 1 3 1 4 < / S e c t i o n I d >  
                     < D i s p l a y N a m e > B a l a n c e   S h e e t < / D i s p l a y N a m e >  
                     < D i s p l a y O r d e r > 8 5 < / D i s p l a y O r d e r >  
                     < P a r e n t I d / >  
                 < / K e y w o r d S e c t i o n W r a p p e r >  
                 < K e y w o r d S e c t i o n W r a p p e r >  
                     < S e c t i o n I d > 1 3 1 9 < / S e c t i o n I d >  
                     < D i s p l a y N a m e > A d d i t i o n a l   B a l a n c e   S h e e t   I t e m s < / D i s p l a y N a m e >  
                     < D i s p l a y O r d e r > 9 0 < / D i s p l a y O r d e r >  
                     < P a r e n t I d > 1 3 1 4 < / P a r e n t I d >  
                 < / K e y w o r d S e c t i o n W r a p p e r >  
                 < K e y w o r d S e c t i o n W r a p p e r >  
                     < S e c t i o n I d > 1 3 1 E < / S e c t i o n I d >  
                     < D i s p l a y N a m e > C a s h   F l o w   S t a t e m e n t < / D i s p l a y N a m e >  
                     < D i s p l a y O r d e r > 1 0 0 < / D i s p l a y O r d e r >  
                     < P a r e n t I d / >  
                 < / K e y w o r d S e c t i o n W r a p p e r >  
                 < K e y w o r d S e c t i o n W r a p p e r >  
                     < S e c t i o n I d > 1 3 1 J < / S e c t i o n I d >  
                     < D i s p l a y N a m e > A d d i t i o n a l   C a s h   F l o w   I t e m s < / D i s p l a y N a m e >  
                     < D i s p l a y O r d e r > 1 0 5 < / D i s p l a y O r d e r >  
                     < P a r e n t I d > 1 3 1 4 < / P a r e n t I d >  
                 < / K e y w o r d S e c t i o n W r a p p e r >  
                 < K e y w o r d S e c t i o n W r a p p e r >  
                     < S e c t i o n I d > 1 3 1 O < / S e c t i o n I d >  
                     < D i s p l a y N a m e > O t h e r   I t e m s < / D i s p l a y N a m e >  
                     < D i s p l a y O r d e r > 1 1 5 < / D i s p l a y O r d e r >  
                     < P a r e n t I d / >  
                 < / K e y w o r d S e c t i o n W r a p p e r >  
                 < K e y w o r d S e c t i o n W r a p p e r >  
                     < S e c t i o n I d > 1 3 1 6 8 < / S e c t i o n I d >  
                     < D i s p l a y N a m e > G e o g r a p h i c a l   B r e a k d o w n < / D i s p l a y N a m e >  
                     < D i s p l a y O r d e r > 3 0 7 < / D i s p l a y O r d e r >  
                     < P a r e n t I d / >  
                 < / K e y w o r d S e c t i o n W r a p p e r >  
                 < K e y w o r d S e c t i o n W r a p p e r >  
                     < S e c t i o n I d > 1 3 1 6 T < / S e c t i o n I d >  
                     < D i s p l a y N a m e > C o m m o d i t i e s   E x p o s u r e   -   E x p e n s e < / D i s p l a y N a m e >  
                     < D i s p l a y O r d e r > 7 2 0 < / D i s p l a y O r d e r >  
                     < P a r e n t I d / >  
                 < / K e y w o r d S e c t i o n W r a p p e r >  
                 < K e y w o r d S e c t i o n W r a p p e r >  
                     < S e c t i o n I d > 1 3 1 6 U < / S e c t i o n I d >  
                     < D i s p l a y N a m e > F X   E x p o s u r e   -   S a l e s < / D i s p l a y N a m e >  
                     < D i s p l a y O r d e r > 7 5 0 < / D i s p l a y O r d e r >  
                     < P a r e n t I d / >  
                 < / K e y w o r d S e c t i o n W r a p p e r >  
                 < K e y w o r d S e c t i o n W r a p p e r >  
                     < S e c t i o n I d > 1 3 6 E < / S e c t i o n I d >  
                     < D i s p l a y N a m e > I t e m s   t o   b e   r e m o v e d < / D i s p l a y N a m e >  
                     < D i s p l a y O r d e r > 7 8 0 < / D i s p l a y O r d e r >  
                     < P a r e n t I d / >  
                 < / K e y w o r d S e c t i o n W r a p p e r >  
             < / T e m p l a t e S e c t i o n s >  
             < R e f D a t a >  
                 < R e f D a t a I t e m W r a p p e r >  
                     < L a b e l > I s s u e r   N a m e < / L a b e l >  
                     < V a l u e > C a m b r i c o n < / V a l u e >  
                     < K e y w o r d / >  
                 < / R e f D a t a I t e m W r a p p e r >  
                 < R e f D a t a I t e m W r a p p e r >  
                     < L a b e l > R e p o r t i n g   C u r r e n c y < / L a b e l >  
                     < V a l u e > C N Y < / V a l u e >  
                     < K e y w o r d > C U R R E N C Y _ I S O < / K e y w o r d >  
                 < / R e f D a t a I t e m W r a p p e r >  
             < / R e f D a t a >  
             < Q u b e H e l p e r A t t r i b u t e s >  
                 < S c a l a r T i c k e r > 6 8 8 2 5 6 . S S < / S c a l a r T i c k e r >  
                 < S h a r e s T i c k e r / >  
             < / Q u b e H e l p e r A t t r i b u t e s >  
         < / E n t i t y T e m p l a t e W r a p p e r >  
         < E n t i t y T e m p l a t e W r a p p e r >  
             < E n t i t y >  
                 < E n t i t y I d > 2 0 0 0 2 1 8 0 5 < / E n t i t y I d >  
                 < E n t i t y T y p e > E Q T Y < / E n t i t y T y p e >  
             < / E n t i t y >  
             < T e m p l a t e K e y w o r d s >  
                 < K e y w o r d M e t a d a t a W r a p p e r >  
                     < K e y w o r d > A E J _ L I S T < / K e y w o r d >  
                     < K e y w o r d T y p e > C N T B < / K e y w o r d T y p e >  
                     < S h o r t D e s c > A s i a   e x .   J a p a n   I n v e s t m e n t   L i s t < / S h o r t D e s c >  
                     < E n t i t y T y p e > E Q T Y < / E n t i t y T y p e >  
                     < I s S c a l a r > t r u e < / I s S c a l a r >  
                     < D a t a T y p e > E N U M < / D a t a T y p e >  
                     < E n u m O p t i o n s >  
                         < K e y w o r d E n u m W r a p p e r >  
                             < D i s p l a y N a m e > B u y < / D i s p l a y N a m e >  
                             < E n u m C o d e > B < / E n u m C o d e >  
                         < / K e y w o r d E n u m W r a p p e r >  
                         < K e y w o r d E n u m W r a p p e r >  
                             < D i s p l a y N a m e > S e l l < / D i s p l a y N a m e >  
                             < E n u m C o d e > S < / E n u m C o d e >  
                         < / K e y w o r d E n u m W r a p p e r >  
                     < / E n u m O p t i o n s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 3 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 N O T   I N   U S E < / K e y w o r d >  
                     < K e y w o r d T y p e > C N T B < / K e y w o r d T y p e >  
                     < S h o r t D e s c > A s i a   e x .   J a p a n   C o n v i c t i o n   L i s t < / S h o r t D e s c >  
                     < E n t i t y T y p e > E Q T Y < / E n t i t y T y p e >  
                     < I s S c a l a r > t r u e < / I s S c a l a r >  
                     < D a t a T y p e > E N U M 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 4 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 L E G A L _ R A T I N G < / K e y w o r d >  
                     < K e y w o r d T y p e > C N T B < / K e y w o r d T y p e >  
                     < S h o r t D e s c > L e g a l   r a t i n g < / S h o r t D e s c >  
                     < E n t i t y T y p e > E Q T Y < / E n t i t y T y p e >  
                     < I s S c a l a r > t r u e < / I s S c a l a r >  
                     < D a t a T y p e > E N U M < / D a t a T y p e >  
                     < E n u m O p t i o n s >  
                         < K e y w o r d E n u m W r a p p e r >  
                             < D i s p l a y N a m e > N o t   R a t e d < / D i s p l a y N a m e >  
                             < E n u m C o d e > N R < / E n u m C o d e >  
                         < / K e y w o r d E n u m W r a p p e r >  
                         < K e y w o r d E n u m W r a p p e r >  
                             < D i s p l a y N a m e > C o v e r a g e   S u s p e n d e d < / D i s p l a y N a m e >  
                             < E n u m C o d e > C S < / E n u m C o d e >  
                         < / K e y w o r d E n u m W r a p p e r >  
                         < K e y w o r d E n u m W r a p p e r >  
                             < D i s p l a y N a m e > R a t i n g   S u s p e n d e d < / D i s p l a y N a m e >  
                             < E n u m C o d e > R S < / E n u m C o d e >  
                         < / K e y w o r d E n u m W r a p p e r >  
                         < K e y w o r d E n u m W r a p p e r >  
                             < D i s p l a y N a m e > E a r l y - S t a g e   B i o t e c h < / D i s p l a y N a m e >  
                             < E n u m C o d e > E S < / E n u m C o d e >  
                         < / K e y w o r d E n u m W r a p p e r >  
                     < / E n u m O p t i o n s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 1 1 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 T A R G E T _ P R I C E < / K e y w o r d >  
                     < K e y w o r d T y p e > C N T B < / K e y w o r d T y p e >  
                     < S h o r t D e s c > T a r g e t   p r i c e < / S h o r t D e s c >  
                     < E n t i t y T y p e > E Q T Y < / E n t i t y T y p e >  
                     < I s S c a l a r > t r u e 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 P R I 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 1 2 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 T P _ P E R I O D < / K e y w o r d >  
                     < K e y w o r d T y p e > C N T B < / K e y w o r d T y p e >  
                     < S h o r t D e s c > T a r g e t   p r i c e   p e r i o d < / S h o r t D e s c >  
                     < E n t i t y T y p e > E Q T Y < / E n t i t y T y p e >  
                     < I s S c a l a r > t r u e < / I s S c a l a r >  
                     < D a t a T y p e > E N U M < / D a t a T y p e >  
                     < E n u m O p t i o n s >  
                         < K e y w o r d E n u m W r a p p e r >  
                             < D i s p l a y N a m e > 6   m o n t h s < / D i s p l a y N a m e >  
                             < E n u m C o d e > 6 M < / E n u m C o d e >  
                         < / K e y w o r d E n u m W r a p p e r >  
                         < K e y w o r d E n u m W r a p p e r >  
                             < D i s p l a y N a m e > 1 2   m o n t h s < / D i s p l a y N a m e >  
                             < E n u m C o d e > 1 2 M < / E n u m C o d e >  
                         < / K e y w o r d E n u m W r a p p e r >  
                         < K e y w o r d E n u m W r a p p e r >  
                             < D i s p l a y N a m e > 1 8   m o n t h s < / D i s p l a y N a m e >  
                             < E n u m C o d e > 1 8 M < / E n u m C o d e >  
                         < / K e y w o r d E n u m W r a p p e r >  
                         < K e y w o r d E n u m W r a p p e r >  
                             < D i s p l a y N a m e > 2   y e a r s < / D i s p l a y N a m e >  
                             < E n u m C o d e > 2 Y < / E n u m C o d e >  
                         < / K e y w o r d E n u m W r a p p e r >  
                         < K e y w o r d E n u m W r a p p e r >  
                             < D i s p l a y N a m e > 1   m o n t h < / D i s p l a y N a m e >  
                             < E n u m C o d e > 1 M < / E n u m C o d e >  
                         < / K e y w o r d E n u m W r a p p e r >  
                         < K e y w o r d E n u m W r a p p e r >  
                             < D i s p l a y N a m e > 3   m o n t h s < / D i s p l a y N a m e >  
                             < E n u m C o d e > 3 M < / E n u m C o d e >  
                         < / K e y w o r d E n u m W r a p p e r >  
                         < K e y w o r d E n u m W r a p p e r >  
                             < D i s p l a y N a m e > 9   m o n t h s < / D i s p l a y N a m e >  
                             < E n u m C o d e > 9 M < / E n u m C o d e >  
                         < / K e y w o r d E n u m W r a p p e r >  
                         < K e y w o r d E n u m W r a p p e r >  
                             < D i s p l a y N a m e > 3   y e a r s < / D i s p l a y N a m e >  
                             < E n u m C o d e > 3 Y < / E n u m C o d e >  
                         < / K e y w o r d E n u m W r a p p e r >  
                     < / E n u m O p t i o n s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 1 3 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 T A R G E T _ P R I C E _ F U N D A M E N T A L < / K e y w o r d >  
                     < K e y w o r d T y p e > C N T B < / K e y w o r d T y p e >  
                     < S h o r t D e s c > F u n d a m e n t a l   v a l u e < / S h o r t D e s c >  
                     < E n t i t y T y p e > E Q T Y < / E n t i t y T y p e >  
                     < I s S c a l a r > t r u e 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 P R I 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 1 4 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 T A R G E T _ P R I C E _ M A < / K e y w o r d >  
                     < K e y w o r d T y p e > C N T B < / K e y w o r d T y p e >  
                     < S h o r t D e s c > M & a m p ; A   v a l u e < / S h o r t D e s c >  
                     < E n t i t y T y p e > E Q T Y < / E n t i t y T y p e >  
                     < I s S c a l a r > t r u e 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 P R I 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 1 5 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 N U M _ S H < / K e y w o r d >  
                     < K e y w o r d T y p e > C N T B < / K e y w o r d T y p e >  
                     < S h o r t D e s c > C u r r e n t   s h a r e s   o u t s t a n d i n g   ( m n ) < / S h o r t D e s c >  
                     < E n t i t y T y p e > E Q T Y < / E n t i t y T y p e >  
                     < I s S c a l a r > t r u e 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 2 0 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 F R E E _ F L O A T < / K e y w o r d >  
                     < K e y w o r d T y p e > C N T B < / K e y w o r d T y p e >  
                     < S h o r t D e s c > F r e e   f l o a t < / S h o r t D e s c >  
                     < E n t i t y T y p e > E Q T Y < / E n t i t y T y p e >  
                     < I s S c a l a r > t r u e 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 3 0 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 F O R E I G N _ H O L D N G < / K e y w o r d >  
                     < K e y w o r d T y p e > C N T B < / K e y w o r d T y p e >  
                     < S h o r t D e s c > F o r e i g n   o w n e r s h i p < / S h o r t D e s c >  
                     < E n t i t y T y p e > E Q T Y < / E n t i t y T y p e >  
                     < I s S c a l a r > t r u e 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 1 2 0 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 A C T < / K e y w o r d >  
                     < K e y w o r d T y p e > C N T B < / K e y w o r d T y p e >  
                     < S h o r t D e s c > S h a r e h o l d e r   o w n e r s h i p   ( % ) < / S h o r t D e s c >  
                     < E n t i t y T y p e > E Q T Y < / E n t i t y T y p e >  
                     < I s S c a l a r > t r u e < / I s S c a l a r >  
                     < D a t a T y p e > P E R C E N T A G E < / D a t a T y p e >  
                     < E n u m O p t i o n s / >  
                     < B r e a k d o w n D a t a T y p e > P E R C E N T A G E 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 f 0 . 0 % < / F o r m a t M a s k >  
                     < K e y w o r d O r d e r > 1 2 1 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 C A T A L Y S T 1 _ D A T E < / K e y w o r d >  
                     < K e y w o r d T y p e > C N T B < / K e y w o r d T y p e >  
                     < S h o r t D e s c > C a t a l y s t   1   d a t e < / S h o r t D e s c >  
                     < E n t i t y T y p e > E Q T Y < / E n t i t y T y p e >  
                     < I s S c a l a r > t r u e < / I s S c a l a r >  
                     < D a t a T y p e > D A T E 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 1 2 5 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 C A T A L Y S T 1 _ E V E N T < / K e y w o r d >  
                     < K e y w o r d T y p e > C N T B < / K e y w o r d T y p e >  
                     < S h o r t D e s c > C a t a l y s t   1   d e s c r i p t i o n < / S h o r t D e s c >  
                     < E n t i t y T y p e > E Q T Y < / E n t i t y T y p e >  
                     < I s S c a l a r > t r u e < / I s S c a l a r >  
                     < D a t a T y p e > T E X T 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 1 3 0 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 C A T A L Y S T 2 _ D A T E < / K e y w o r d >  
                     < K e y w o r d T y p e > C N T B < / K e y w o r d T y p e >  
                     < S h o r t D e s c > C a t a l y s t   2   d a t e < / S h o r t D e s c >  
                     < E n t i t y T y p e > E Q T Y < / E n t i t y T y p e >  
                     < I s S c a l a r > t r u e < / I s S c a l a r >  
                     < D a t a T y p e > D A T E 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 1 3 5 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 C A T A L Y S T 2 _ E V E N T < / K e y w o r d >  
                     < K e y w o r d T y p e > C N T B < / K e y w o r d T y p e >  
                     < S h o r t D e s c > C a t a l y s t   2   d e s c r i p t i o n < / S h o r t D e s c >  
                     < E n t i t y T y p e > E Q T Y < / E n t i t y T y p e >  
                     < I s S c a l a r > t r u e < / I s S c a l a r >  
                     < D a t a T y p e > T E X T 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 1 4 0 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 C A T A L Y S T 3 _ D A T E < / K e y w o r d >  
                     < K e y w o r d T y p e > C N T B < / K e y w o r d T y p e >  
                     < S h o r t D e s c > C a t a l y s t   3   d a t e < / S h o r t D e s c >  
                     < E n t i t y T y p e > E Q T Y < / E n t i t y T y p e >  
                     < I s S c a l a r > t r u e < / I s S c a l a r >  
                     < D a t a T y p e > D A T E 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 1 4 5 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 C A T A L Y S T 3 _ E V E N T < / K e y w o r d >  
                     < K e y w o r d T y p e > C N T B < / K e y w o r d T y p e >  
                     < S h o r t D e s c > C a t a l y s t   3   d e s c r i p t i o n < / S h o r t D e s c >  
                     < E n t i t y T y p e > E Q T Y < / E n t i t y T y p e >  
                     < I s S c a l a r > t r u e < / I s S c a l a r >  
                     < D a t a T y p e > T E X T 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 1 5 0 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 C A T A L Y S T 4 _ D A T E < / K e y w o r d >  
                     < K e y w o r d T y p e > C N T B < / K e y w o r d T y p e >  
                     < S h o r t D e s c > C a t a l y s t   4   d a t e < / S h o r t D e s c >  
                     < E n t i t y T y p e > E Q T Y < / E n t i t y T y p e >  
                     < I s S c a l a r > t r u e < / I s S c a l a r >  
                     < D a t a T y p e > D A T E 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 1 5 5 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 C A T A L Y S T 4 _ E V E N T < / K e y w o r d >  
                     < K e y w o r d T y p e > C N T B < / K e y w o r d T y p e >  
                     < S h o r t D e s c > C a t a l y s t   4   d e s c r i p t i o n < / S h o r t D e s c >  
                     < E n t i t y T y p e > E Q T Y < / E n t i t y T y p e >  
                     < I s S c a l a r > t r u e < / I s S c a l a r >  
                     < D a t a T y p e > T E X T 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 1 6 0 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 C A T A L Y S T 5 _ D A T E < / K e y w o r d >  
                     < K e y w o r d T y p e > C N T B < / K e y w o r d T y p e >  
                     < S h o r t D e s c > C a t a l y s t   5   d a t e < / S h o r t D e s c >  
                     < E n t i t y T y p e > E Q T Y < / E n t i t y T y p e >  
                     < I s S c a l a r > t r u e < / I s S c a l a r >  
                     < D a t a T y p e > D A T E 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 1 6 5 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 C A T A L Y S T 5 _ E V E N T < / K e y w o r d >  
                     < K e y w o r d T y p e > C N T B < / K e y w o r d T y p e >  
                     < S h o r t D e s c > C a t a l y s t   5   d e s c r i p t i o n < / S h o r t D e s c >  
                     < E n t i t y T y p e > E Q T Y < / E n t i t y T y p e >  
                     < I s S c a l a r > t r u e < / I s S c a l a r >  
                     < D a t a T y p e > T E X T 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 1 7 0 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 P R I _ T A R G _ M U L T < / K e y w o r d >  
                     < K e y w o r d T y p e > C N T B < / K e y w o r d T y p e >  
                     < S h o r t D e s c > T a r g e t   p r i c e   m u l t i p l e < / S h o r t D e s c >  
                     < E n t i t y T y p e > E Q T Y < / E n t i t y T y p e >  
                     < I s S c a l a r > t r u e 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 2 0 0 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 P R I _ T A R G _ M E T H < / K e y w o r d >  
                     < K e y w o r d T y p e > C N T B < / K e y w o r d T y p e >  
                     < S h o r t D e s c > T a r g e t   p r i c e   m e t h o d o l o g y < / S h o r t D e s c >  
                     < E n t i t y T y p e > E Q T Y < / E n t i t y T y p e >  
                     < I s S c a l a r > t r u e < / I s S c a l a r >  
                     < D a t a T y p e > T E X T 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/ >  
                     < K e y w o r d O r d e r > 1 0 1 0 < / K e y w o r d O r d e r >  
                     < K e y w o r d S e c t i o n I d > 1 3 A < / K e y w o r d S e c t i o n I d >  
                 < / K e y w o r d M e t a d a t a W r a p p e r >  
                 < K e y w o r d M e t a d a t a W r a p p e r >  
                     < K e y w o r d > B V P S _ P U B < / K e y w o r d >  
                     < K e y w o r d T y p e > C N T B < / K e y w o r d T y p e >  
                     < S h o r t D e s c > B o o k   v a l u e   p e r   s h a r e ,   B V P S 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 1 0 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 D P S _ P U B < / K e y w o r d >  
                     < K e y w o r d T y p e > C N T B < / K e y w o r d T y p e >  
                     < S h o r t D e s c > D P S ,   d i v i d e n d   p e r   s h a r e 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 1 1 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 D P S _ S P E C I A L _ P U B < / K e y w o r d >  
                     < K e y w o r d T y p e > C N T B < / K e y w o r d T y p e >  
                     < S h o r t D e s c > S p e c i a l   d i v i d e n d   p e r   s h a r e 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 1 1 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 E B I T D A _ P U B < / K e y w o r d >  
                     < K e y w o r d T y p e > C N T B < / K e y w o r d T y p e >  
                     < S h o r t D e s c > E B I T D A 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 1 2 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 E P S _ P U B < / K e y w o r d >  
                     < K e y w o r d T y p e > C N T B < / K e y w o r d T y p e >  
                     < S h o r t D e s c > E P S 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 1 3 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 E V _ A D J _ P U B < / K e y w o r d >  
                     < K e y w o r d T y p e > C N T B < / K e y w o r d T y p e >  
                     < S h o r t D e s c > E V   a d j u s t m e n t 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 3 0 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 N E T _ D E B T _ P U B < / K e y w o r d >  
                     < K e y w o r d T y p e > C N T B < / K e y w o r d T y p e >  
                     < S h o r t D e s c > N e t   d e b t 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 4 0 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 N E T _ D E B T _ E X _ L E A S E S _ P U B < / K e y w o r d >  
                     < K e y w o r d T y p e > C N T B < / K e y w o r d T y p e >  
                     < S h o r t D e s c > N e t   D e b t   ( e x   l e a s e s ) 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 4 1 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 C E E E _ N D E B T < / K e y w o r d >  
                     < K e y w o r d T y p e > C N T B < / K e y w o r d T y p e >  
                     < S h o r t D e s c > C o n s e n s u s   e q u i v a l e n t   n e t   d e b t 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 4 3 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 N I _ P U B < / K e y w o r d >  
                     < K e y w o r d T y p e > C N T B < / K e y w o r d T y p e >  
                     < S h o r t D e s c > N e t   i n c o m e 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 4 5 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 E B I T _ P U B < / K e y w o r d >  
                     < K e y w o r d T y p e > C N T B < / K e y w o r d T y p e >  
                     < S h o r t D e s c > E B I T ,   o p e r a t i n g   p r o f i t 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 5 0 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 P T P _ P U B < / K e y w o r d >  
                     < K e y w o r d T y p e > C N T B < / K e y w o r d T y p e >  
                     < S h o r t D e s c > P r e - t a x   p r o f i t 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 5 5 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 R E V S _ P U B < / K e y w o r d >  
                     < K e y w o r d T y p e > C N T B < / K e y w o r d T y p e >  
                     < S h o r t D e s c > S a l e s ,   r e v e n u e 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 6 0 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 E Q _ P U B < / K e y w o r d >  
                     < K e y w o r d T y p e > C N T B < / K e y w o r d T y p e >  
                     < S h o r t D e s c > T o t a l   s h a r e h o l d e r s '   e q u i t y 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 6 5 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 E P S _ C O N S _ P U B < / K e y w o r d >  
                     < K e y w o r d T y p e > C N T B < / K e y w o r d T y p e >  
                     < S h o r t D e s c > E P S   ( c o n s e n s u s ) 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 P U B 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 1 3 0 < / K e y w o r d O r d e r >  
                     < K e y w o r d S e c t i o n I d > 1 3 K < / K e y w o r d S e c t i o n I d >  
                 < / K e y w o r d M e t a d a t a W r a p p e r >  
                 < K e y w o r d M e t a d a t a W r a p p e r >  
                     < K e y w o r d > P R O V _ I N C _ T A X < / K e y w o r d >  
                     < K e y w o r d T y p e > C N T B < / K e y w o r d T y p e >  
                     < S h o r t D e s c > P r o v i s i o n   f o r   i n c o m e   t a x 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 4 8 0 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 I N C _ M I N O R I T Y < / K e y w o r d >  
                     < K e y w o r d T y p e > C N T B < / K e y w o r d T y p e >  
                     < S h o r t D e s c > M i n o r i t y   i n t e r e s t 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 4 9 0 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 N I _ P R E _ P R E F < / K e y w o r d >  
                     < K e y w o r d T y p e > C N T B < / K e y w o r d T y p e >  
                     < S h o r t D e s c > N e t   i n c o m e   ( p r e - p r e f e r r e d   d i v i d e n d s ) 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 5 1 5 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 P R E F _ D I V < / K e y w o r d >  
                     < K e y w o r d T y p e > C N T B < / K e y w o r d T y p e >  
                     < S h o r t D e s c > P r e f e r r e d   d i v i d e n d s 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 5 4 0 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 N E T _ E A R N I N G < / K e y w o r d >  
                     < K e y w o r d T y p e > C N T B < / K e y w o r d T y p e >  
                     < S h o r t D e s c > N e t   i n c o m e   ( p r e - e x c e p t i o n a l s ) 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 5 6 5 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 T A X _ E X C < / K e y w o r d >  
                     < K e y w o r d T y p e > C N T B < / K e y w o r d T y p e >  
                     < S h o r t D e s c > P o s t - t a x   e x c e p t i o n a l s 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 5 8 0 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 N E T _ I N C < / K e y w o r d >  
                     < K e y w o r d T y p e > C N T B < / K e y w o r d T y p e >  
                     < S h o r t D e s c > N e t   i n c o m e   ( p o s t - e x c e p t i o n a l s ) 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 5 9 0 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 E P S < / K e y w o r d >  
                     < K e y w o r d T y p e > C N T B < / K e y w o r d T y p e >  
                     < S h o r t D e s c > E P S   ( p r e - e x c e p t i o n a l s ,   b a s i c ) 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 6 0 0 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 E P S _ F U L _ D I L < / K e y w o r d >  
                     < K e y w o r d T y p e > C N T B < / K e y w o r d T y p e >  
                     < S h o r t D e s c > E P S   ( p r e - e x c e p t i o n a l s ,   d i l u t e d ) 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 6 2 0 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 E P S _ P O S T _ B A S I C < / K e y w o r d >  
                     < K e y w o r d T y p e > C N T B < / K e y w o r d T y p e >  
                     < S h o r t D e s c > E P S   ( p o s t - e x c e p t i o n a l s ,   b a s i c ) 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 6 3 5 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 F U L L Y _ D I L _ E P S < / K e y w o r d >  
                     < K e y w o r d T y p e > C N T B < / K e y w o r d T y p e >  
                     < S h o r t D e s c > E P S   ( p o s t - e x c e p t i o n a l s ,   d i l u t e d ) 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 6 4 6 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 C O M M O N _ D I V _ P A I D < / K e y w o r d >  
                     < K e y w o r d T y p e > C N T B < / K e y w o r d T y p e >  
                     < S h o r t D e s c > C o m m o n   d i v i d e n d s   p a i d 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 6 7 5 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 D P S < / K e y w o r d >  
                     < K e y w o r d T y p e > C N T B < / K e y w o r d T y p e >  
                     < S h o r t D e s c > D P S ,   d i v i d e n d   p e r   s h a r e 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 6 8 5 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 S H < / K e y w o r d >  
                     < K e y w o r d T y p e > C N T B < / K e y w o r d T y p e >  
                     < S h o r t D e s c > W e i g h t e d   a v e r a g e   s h a r e s   o u t s t a n d i n g ,   b a s i c 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 7 1 5 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 D I L U T E _ S H A R E S < / K e y w o r d >  
                     < K e y w o r d T y p e > C N T B < / K e y w o r d T y p e >  
                     < S h o r t D e s c > D i l u t e d   a v e r a g e   s h a r e s   o u t s t a n d i n g   ( m n ) 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 7 2 0 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 N O N _ O P _ A D D < / K e y w o r d >  
                     < K e y w o r d T y p e > C N T B < / K e y w o r d T y p e >  
                     < S h o r t D e s c > P e r i o d - e n d   s h a r e s   o u t s t a n d i n g 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 7 3 0 < / K e y w o r d O r d e r >  
                     < K e y w o r d S e c t i o n I d > 1 3 U < / K e y w o r d S e c t i o n I d >  
                 < / K e y w o r d M e t a d a t a W r a p p e r >  
                 < K e y w o r d M e t a d a t a W r a p p e r >  
                     < K e y w o r d > M A R G I N _ T A X _ R A T E < / K e y w o r d >  
                     < K e y w o r d T y p e > C N T B < / K e y w o r d T y p e >  
                     < S h o r t D e s c > M a r g i n a l   t a x   r a t e < / S h o r t D e s c >  
                     < E n t i t y T y p e > E Q T Y < / E n t i t y T y p e >  
                     < I s S c a l a r > f a l s e 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 f 0 % < / F o r m a t M a s k >  
                     < K e y w o r d O r d e r > 1 9 5 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 N I _ C O N S < / K e y w o r d >  
                     < K e y w o r d T y p e > C N T B < / K e y w o r d T y p e >  
                     < S h o r t D e s c > N e t   i n c o m e   ( c o n s e n s u s )   ( P u b ) 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 1 0 0 0 < / K e y w o r d O r d e r >  
                     < K e y w o r d S e c t i o n I d > 1 3 V < / K e y w o r d S e c t i o n I d >  
                 < / K e y w o r d M e t a d a t a W r a p p e r >  
                 < K e y w o r d M e t a d a t a W r a p p e r >  
                     < K e y w o r d > B V P S < / K e y w o r d >  
                     < K e y w o r d T y p e > C N T B < / K e y w o r d T y p e >  
                     < S h o r t D e s c > B V P S ,   b o o k   v a l u e   p e r   s h a r e 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 7 3 0 < / K e y w o r d O r d e r >  
                     < K e y w o r d S e c t i o n I d > 1 3 1 4 < / K e y w o r d S e c t i o n I d >  
                 < / K e y w o r d M e t a d a t a W r a p p e r >  
                 < K e y w o r d M e t a d a t a W r a p p e r >  
                     < K e y w o r d > C F _ N I _ P R E _ P R E F < / K e y w o r d >  
                     < K e y w o r d T y p e > C N T B < / K e y w o r d T y p e >  
                     < S h o r t D e s c > N e t   i n c o m e   ( p r e - p r e f e r r e d   d i v i d e n d s ) < / S h o r t D e s c >  
                     < E n t i t y T y p e > E Q T Y < / E n t i t y T y p e >  
                     < I s S c a l a r > f a l s e 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 R E P < / C u r r e n c y T y p e >  
                     < A n n o t a t i o n R e q u i r e m e n t > O P T I O N A L < / A n n o t a t i o n R e q u i r e m e n t >  
                     < F o r m a t M a s k > f 0 . 0 < / F o r m a t M a s k >  
                     < K e y w o r d O r d e r > 1 0 < / K e y w o r d O r d e r >  
                     < K e y w o r d S e c t i o n I d > 1 3 1 E < / K e y w o r d S e c t i o n I d >  
                 < / K e y w o r d M e t a d a t a W r a p p e r >  
                 < K e y w o r d M e t a d a t a W r a p p e r >  
                     < K e y w o r d > B E T A _ A N A L Y S T < / K e y w o r d >  
                     < K e y w o r d T y p e > C N T B < / K e y w o r d T y p e >  
                     < S h o r t D e s c > B e t a < / S h o r t D e s c >  
                     < E n t i t y T y p e > E Q T Y < / E n t i t y T y p e >  
                     < I s S c a l a r > t r u e < / I s S c a l a r >  
                     < D a t a T y p e > R E A L 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 f 0 . 0 0 < / F o r m a t M a s k >  
                     < K e y w o r d O r d e r > 0 < / K e y w o r d O r d e r >  
                     < K e y w o r d S e c t i o n I d > 1 3 1 O < / K e y w o r d S e c t i o n I d >  
                 < / K e y w o r d M e t a d a t a W r a p p e r >  
                 < K e y w o r d M e t a d a t a W r a p p e r >  
                     < K e y w o r d > M K T _ E Q _ R I S K _ P R E M < / K e y w o r d >  
                     < K e y w o r d T y p e > C N T B < / K e y w o r d T y p e >  
                     < S h o r t D e s c > M a r k e t   e q u i t y   r i s k   p r e m i u m < / S h o r t D e s c >  
                     < E n t i t y T y p e > E Q T Y < / E n t i t y T y p e >  
                     < I s S c a l a r > t r u e 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 f 0 % < / F o r m a t M a s k >  
                     < K e y w o r d O r d e r > 3 5 0 < / K e y w o r d O r d e r >  
                     < K e y w o r d S e c t i o n I d > 1 3 1 O < / K e y w o r d S e c t i o n I d >  
                 < / K e y w o r d M e t a d a t a W r a p p e r >  
                 < K e y w o r d M e t a d a t a W r a p p e r >  
                     < K e y w o r d > R I S K _ F R _ R A T E < / K e y w o r d >  
                     < K e y w o r d T y p e > C N T B < / K e y w o r d T y p e >  
                     < S h o r t D e s c > R i s k - f r e e   r a t e < / S h o r t D e s c >  
                     < E n t i t y T y p e > E Q T Y < / E n t i t y T y p e >  
                     < I s S c a l a r > t r u e < / I s S c a l a r >  
                     < D a t a T y p e > P E R C E N T A G E < / D a t a T y p e >  
                     < E n u m O p t i o n s / >  
                     < B r e a k d o w n D a t a T y p e > N O N E < / B r e a k d o w n D a t a T y p e >  
                     < B r e a k d o w n M a x I n d e x > 0 < / B r e a k d o w n M a x I n d e x >  
                     < C u r r e n c y T y p e > N O N E < / C u r r e n c y T y p e >  
                     < A n n o t a t i o n R e q u i r e m e n t > O P T I O N A L < / A n n o t a t i o n R e q u i r e m e n t >  
                     < F o r m a t M a s k > f 0 % < / F o r m a t M a s k >  
                     < K e y w o r d O r d e r > 3 6 0 < / K e y w o r d O r d e r >  
                     < K e y w o r d S e c t i o n I d > 1 3 1 O < / K e y w o r d S e c t i o n I d >  
                 < / K e y w o r d M e t a d a t a W r a p p e r >  
             < / T e m p l a t e K e y w o r d s >  
             < T e m p l a t e S e c t i o n s >  
                 < K e y w o r d S e c t i o n W r a p p e r >  
                     < S e c t i o n I d > 1 3 A < / S e c t i o n I d >  
                     < D i s p l a y N a m e > G e n e r a l   I n f o r m a t i o n < / D i s p l a y N a m e >  
                     < D i s p l a y O r d e r > 5 < / D i s p l a y O r d e r >  
                     < P a r e n t I d / >  
                 < / K e y w o r d S e c t i o n W r a p p e r >  
                 < K e y w o r d S e c t i o n W r a p p e r >  
                     < S e c t i o n I d > 1 3 K < / S e c t i o n I d >  
                     < D i s p l a y N a m e > P u b l i s h i n g   I t e m s < / D i s p l a y N a m e >  
                     < D i s p l a y O r d e r > 1 0 < / D i s p l a y O r d e r >  
                     < P a r e n t I d / >  
                 < / K e y w o r d S e c t i o n W r a p p e r >  
                 < K e y w o r d S e c t i o n W r a p p e r >  
                     < S e c t i o n I d > 1 3 U < / S e c t i o n I d >  
                     < D i s p l a y N a m e > I n c o m e   S t a t e m e n t < / D i s p l a y N a m e >  
                     < D i s p l a y O r d e r > 4 5 < / D i s p l a y O r d e r >  
                     < P a r e n t I d / >  
                 < / K e y w o r d S e c t i o n W r a p p e r >  
                 < K e y w o r d S e c t i o n W r a p p e r >  
                     < S e c t i o n I d > 1 3 V < / S e c t i o n I d >  
                     < D i s p l a y N a m e > A d d i t i o n a l   I n c o m e   S t a t e m e n t   I t e m s < / D i s p l a y N a m e >  
                     < D i s p l a y O r d e r > 5 0 < / D i s p l a y O r d e r >  
                     < P a r e n t I d > 1 3 U < / P a r e n t I d >  
                 < / K e y w o r d S e c t i o n W r a p p e r >  
                 < K e y w o r d S e c t i o n W r a p p e r >  
                     < S e c t i o n I d > 1 3 1 4 < / S e c t i o n I d >  
                     < D i s p l a y N a m e > B a l a n c e   S h e e t < / D i s p l a y N a m e >  
                     < D i s p l a y O r d e r > 8 5 < / D i s p l a y O r d e r >  
                     < P a r e n t I d / >  
                 < / K e y w o r d S e c t i o n W r a p p e r >  
                 < K e y w o r d S e c t i o n W r a p p e r >  
                     < S e c t i o n I d > 1 3 1 E < / S e c t i o n I d >  
                     < D i s p l a y N a m e > C a s h   F l o w   S t a t e m e n t < / D i s p l a y N a m e >  
                     < D i s p l a y O r d e r > 1 0 0 < / D i s p l a y O r d e r >  
                     < P a r e n t I d / >  
                 < / K e y w o r d S e c t i o n W r a p p e r >  
                 < K e y w o r d S e c t i o n W r a p p e r >  
                     < S e c t i o n I d > 1 3 1 O < / S e c t i o n I d >  
                     < D i s p l a y N a m e > O t h e r   I t e m s < / D i s p l a y N a m e >  
                     < D i s p l a y O r d e r > 1 1 5 < / D i s p l a y O r d e r >  
                     < P a r e n t I d / >  
                 < / K e y w o r d S e c t i o n W r a p p e r >  
             < / T e m p l a t e S e c t i o n s >  
             < R e f D a t a >  
                 < R e f D a t a I t e m W r a p p e r >  
                     < L a b e l > T i c k e r < / L a b e l >  
                     < V a l u e > 6 8 8 2 5 6 . S S < / V a l u e >  
                     < K e y w o r d / >  
                 < / R e f D a t a I t e m W r a p p e r >  
                 < R e f D a t a I t e m W r a p p e r >  
                     < L a b e l > S e c u r i t y   N a m e < / L a b e l >  
                     < V a l u e > C a m b r i c o n < / V a l u e >  
                     < K e y w o r d / >  
                 < / R e f D a t a I t e m W r a p p e r >  
                 < R e f D a t a I t e m W r a p p e r >  
                     < L a b e l > I n t e r i m   T y p e < / L a b e l >  
                     < V a l u e > Q < / V a l u e >  
                     < K e y w o r d / >  
                 < / R e f D a t a I t e m W r a p p e r >  
                 < R e f D a t a I t e m W r a p p e r >  
                     < L a b e l > P u b l i s h i n g   C u r r e n c y < / L a b e l >  
                     < V a l u e > C N Y < / V a l u e >  
                     < K e y w o r d > P U B _ C U R R E N C Y _ I S O < / K e y w o r d >  
                 < / R e f D a t a I t e m W r a p p e r >  
                 < R e f D a t a I t e m W r a p p e r >  
                     < L a b e l > P r i c i n g   C u r r e n c y < / L a b e l >  
                     < V a l u e > C N Y < / V a l u e >  
                     < K e y w o r d > P R I C E _ C U R R E N C Y _ I S O < / K e y w o r d >  
                 < / R e f D a t a I t e m W r a p p e r >  
                 < R e f D a t a I t e m W r a p p e r >  
                     < L a b e l > R e p o r t i n g   C u r r e n c y < / L a b e l >  
                     < V a l u e > C N Y < / V a l u e >  
                     < K e y w o r d > C U R R E N C Y _ I S O < / K e y w o r d >  
                 < / R e f D a t a I t e m W r a p p e r >  
             < / R e f D a t a >  
             < Q u b e H e l p e r A t t r i b u t e s >  
                 < S c a l a r T i c k e r > 6 8 8 2 5 6 . S S < / S c a l a r T i c k e r >  
                 < S h a r e s T i c k e r > 6 8 8 2 5 6 . S S < / S h a r e s T i c k e r >  
             < / Q u b e H e l p e r A t t r i b u t e s >  
         < / E n t i t y T e m p l a t e W r a p p e r >  
     < / E n t i t y T e m p l a t e T e m p l a t e s >  
     < V e c t o r M i l e s t o n e s >  
         < M i l e s t o n e M e t a d a t a W r a p p e r >  
             < M i l e s t o n e >  
                 < T y p e C o d e > E S T < / T y p e C o d e >  
                 < N a m e > E s t i m a t e < / N a m e >  
             < / M i l e s t o n e >  
             < D i s p l a y N a m e > E s t i m a t e < / D i s p l a y N a m e >  
             < T r a n s i t i o n s >  
                 < s t r i n g > P R E < / s t r i n g >  
                 < s t r i n g > A C T < / s t r i n g >  
             < / T r a n s i t i o n s >  
         < / M i l e s t o n e M e t a d a t a W r a p p e r >  
         < M i l e s t o n e M e t a d a t a W r a p p e r >  
             < M i l e s t o n e >  
                 < T y p e C o d e > P R E < / T y p e C o d e >  
                 < N a m e > P r e l i m i n a r y < / N a m e >  
             < / M i l e s t o n e >  
             < D i s p l a y N a m e > P r e l i m i n a r y < / D i s p l a y N a m e >  
             < T r a n s i t i o n s >  
                 < s t r i n g > A C T < / s t r i n g >  
                 < s t r i n g > E S T < / s t r i n g >  
             < / T r a n s i t i o n s >  
         < / M i l e s t o n e M e t a d a t a W r a p p e r >  
         < M i l e s t o n e M e t a d a t a W r a p p e r >  
             < M i l e s t o n e >  
                 < T y p e C o d e > A C T < / T y p e C o d e >  
                 < N a m e > A c t u a l < / N a m e >  
             < / M i l e s t o n e >  
             < D i s p l a y N a m e > A c t u a l < / D i s p l a y N a m e >  
             < T r a n s i t i o n s >  
                 < s t r i n g > R S T < / s t r i n g >  
                 < s t r i n g > P R E < / s t r i n g >  
                 < s t r i n g > E S T < / s t r i n g >  
             < / T r a n s i t i o n s >  
         < / M i l e s t o n e M e t a d a t a W r a p p e r >  
         < M i l e s t o n e M e t a d a t a W r a p p e r >  
             < M i l e s t o n e >  
                 < T y p e C o d e > R S T < / T y p e C o d e >  
                 < N a m e > R e s t a t e d < / N a m e >  
             < / M i l e s t o n e >  
             < D i s p l a y N a m e > R e s t a t e d < / D i s p l a y N a m e >  
             < T r a n s i t i o n s >  
                 < s t r i n g > A C T < / s t r i n g >  
             < / T r a n s i t i o n s >  
         < / M i l e s t o n e M e t a d a t a W r a p p e r >  
     < / V e c t o r M i l e s t o n e s >  
     < S c a l a r M i l e s t o n e s / >  
 < / S u b m i s s i o n S h e e t T e m p l a t e W r a p p e r > 
</file>

<file path=customXml/itemProps1.xml><?xml version="1.0" encoding="utf-8"?>
<ds:datastoreItem xmlns:ds="http://schemas.openxmlformats.org/officeDocument/2006/customXml" ds:itemID="{D8C0E151-5CA7-498C-8D23-9BF1D143F6CF}">
  <ds:schemaRefs>
    <ds:schemaRef ds:uri="http://www.w3.org/2001/XMLSchema"/>
    <ds:schemaRef ds:uri="Exchange-SubmissionSheetWrapper"/>
  </ds:schemaRefs>
</ds:datastoreItem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Cover Page</vt:lpstr>
      <vt:lpstr>TP</vt:lpstr>
      <vt:lpstr>BS</vt:lpstr>
      <vt:lpstr>PL</vt:lpstr>
      <vt:lpstr>CF</vt:lpstr>
      <vt:lpstr>Assumption</vt:lpstr>
      <vt:lpstr>Annual</vt:lpstr>
      <vt:lpstr>Quarter</vt:lpstr>
      <vt:lpstr>Segment</vt:lpstr>
      <vt:lpstr>Assumption!Print_Titles</vt:lpstr>
      <vt:lpstr>PL!Print_Titles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Hemeng [GIR]</dc:creator>
  <cp:lastModifiedBy>Hu, Yifan [GIR]</cp:lastModifiedBy>
  <cp:lastPrinted>2026-08-23T15:52:27Z</cp:lastPrinted>
  <dcterms:created xsi:type="dcterms:W3CDTF">2008-05-07T14:33:01Z</dcterms:created>
  <dcterms:modified xsi:type="dcterms:W3CDTF">2026-08-25T02:17:30Z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CCLabel">
    <vt:lpwstr>f96BUwofjoFV3eYtOLuaHTP11KWRf/gok+VdfzfK/InVHkMhGqujSqdAIbORAxSGg3qu4nJPSgpzwXpERIj0MgYZDG8jg/h2KRQBS3gW/qZY30KlFZy+qwfGF3PkXZr1</vt:lpwstr>
  </property>
  <property fmtid="{D5CDD505-2E9C-101B-9397-08002B2CF9AE}" pid="3" name="TitusGUID">
    <vt:lpwstr>21bd9f11-ffb9-4884-a4bf-748d6d2acc52</vt:lpwstr>
  </property>
  <property fmtid="{D5CDD505-2E9C-101B-9397-08002B2CF9AE}" pid="4" name="Classification">
    <vt:lpwstr>EB</vt:lpwstr>
  </property>
  <property fmtid="{D5CDD505-2E9C-101B-9397-08002B2CF9AE}" pid="5" name="Project">
    <vt:lpwstr>irroot</vt:lpwstr>
  </property>
  <property fmtid="{D5CDD505-2E9C-101B-9397-08002B2CF9AE}" pid="6" name="DocNoClass">
    <vt:lpwstr>Not In Use</vt:lpwstr>
  </property>
</Properties>
</file>